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mc:AlternateContent xmlns:mc="http://schemas.openxmlformats.org/markup-compatibility/2006">
    <mc:Choice Requires="x15">
      <x15ac:absPath xmlns:x15ac="http://schemas.microsoft.com/office/spreadsheetml/2010/11/ac" url="C:\Users\tmorse\Desktop\"/>
    </mc:Choice>
  </mc:AlternateContent>
  <xr:revisionPtr revIDLastSave="0" documentId="8_{A6A766D6-F422-4AAC-864F-798A45CE8C71}" xr6:coauthVersionLast="40" xr6:coauthVersionMax="40" xr10:uidLastSave="{00000000-0000-0000-0000-000000000000}"/>
  <bookViews>
    <workbookView xWindow="0" yWindow="0" windowWidth="16800" windowHeight="6885" firstSheet="3" activeTab="4" xr2:uid="{00000000-000D-0000-FFFF-FFFF00000000}"/>
  </bookViews>
  <sheets>
    <sheet name="PL - School COA" sheetId="1" state="hidden" r:id="rId1"/>
    <sheet name="PL - School COA (3)" sheetId="4" state="hidden" r:id="rId2"/>
    <sheet name="YTD Trial Balance" sheetId="7" state="hidden" r:id="rId3"/>
    <sheet name="Balance Sheet" sheetId="5" r:id="rId4"/>
    <sheet name="Rev-Exp 12.31.18" sheetId="3" r:id="rId5"/>
    <sheet name="FY19 Original Budget" sheetId="6" state="hidden" r:id="rId6"/>
    <sheet name="FY19 Staffing V1-1 (3)" sheetId="2" state="hidden" r:id="rId7"/>
  </sheets>
  <externalReferences>
    <externalReference r:id="rId8"/>
    <externalReference r:id="rId9"/>
    <externalReference r:id="rId10"/>
    <externalReference r:id="rId11"/>
    <externalReference r:id="rId12"/>
    <externalReference r:id="rId13"/>
    <externalReference r:id="rId14"/>
  </externalReferences>
  <definedNames>
    <definedName name="_Fill" localSheetId="5" hidden="1">#REF!</definedName>
    <definedName name="_Fill" localSheetId="0" hidden="1">#REF!</definedName>
    <definedName name="_Fill" localSheetId="1" hidden="1">#REF!</definedName>
    <definedName name="_Fill" localSheetId="4" hidden="1">#REF!</definedName>
    <definedName name="_Fill" hidden="1">#REF!</definedName>
    <definedName name="_xlnm._FilterDatabase" localSheetId="5" hidden="1">'FY19 Original Budget'!$A$21:$Z$683</definedName>
    <definedName name="_xlnm._FilterDatabase" localSheetId="0" hidden="1">'PL - School COA'!$A$21:$Z$679</definedName>
    <definedName name="_xlnm._FilterDatabase" localSheetId="1" hidden="1">'PL - School COA (3)'!$A$21:$Z$679</definedName>
    <definedName name="_xlnm._FilterDatabase" localSheetId="4" hidden="1">'Rev-Exp 12.31.18'!$A$21:$B$173</definedName>
    <definedName name="_Key1" localSheetId="5" hidden="1">#REF!</definedName>
    <definedName name="_Key1" localSheetId="0" hidden="1">#REF!</definedName>
    <definedName name="_Key1" localSheetId="1" hidden="1">#REF!</definedName>
    <definedName name="_Key1" localSheetId="4" hidden="1">#REF!</definedName>
    <definedName name="_Key1" hidden="1">#REF!</definedName>
    <definedName name="_Key2" localSheetId="5" hidden="1">#REF!</definedName>
    <definedName name="_Key2" localSheetId="0" hidden="1">#REF!</definedName>
    <definedName name="_Key2" localSheetId="1" hidden="1">#REF!</definedName>
    <definedName name="_Key2" localSheetId="4" hidden="1">#REF!</definedName>
    <definedName name="_Key2" hidden="1">#REF!</definedName>
    <definedName name="_Order1" hidden="1">255</definedName>
    <definedName name="_Order2" hidden="1">255</definedName>
    <definedName name="_Sort" localSheetId="5" hidden="1">#REF!</definedName>
    <definedName name="_Sort" localSheetId="0" hidden="1">#REF!</definedName>
    <definedName name="_Sort" localSheetId="1" hidden="1">#REF!</definedName>
    <definedName name="_Sort" localSheetId="4" hidden="1">#REF!</definedName>
    <definedName name="_Sort" hidden="1">#REF!</definedName>
    <definedName name="_Table2_Out" localSheetId="5" hidden="1">#REF!</definedName>
    <definedName name="_Table2_Out" localSheetId="0" hidden="1">#REF!</definedName>
    <definedName name="_Table2_Out" localSheetId="1" hidden="1">#REF!</definedName>
    <definedName name="_Table2_Out" localSheetId="4" hidden="1">#REF!</definedName>
    <definedName name="_Table2_Out" hidden="1">#REF!</definedName>
    <definedName name="AS2DocOpenMode" hidden="1">"AS2DocumentEdit"</definedName>
    <definedName name="AS2NamedRange" hidden="1">2</definedName>
    <definedName name="AS2ReportLS" hidden="1">2</definedName>
    <definedName name="AS2SyncStepLS" hidden="1">3</definedName>
    <definedName name="AS2VersionLS" hidden="1">220</definedName>
    <definedName name="BNE_MESSAGES_HIDDEN" localSheetId="5" hidden="1">#REF!</definedName>
    <definedName name="BNE_MESSAGES_HIDDEN" localSheetId="0" hidden="1">#REF!</definedName>
    <definedName name="BNE_MESSAGES_HIDDEN" localSheetId="1" hidden="1">#REF!</definedName>
    <definedName name="BNE_MESSAGES_HIDDEN" localSheetId="4" hidden="1">#REF!</definedName>
    <definedName name="BNE_MESSAGES_HIDDEN" hidden="1">#REF!</definedName>
    <definedName name="BudgetNewnameSW" localSheetId="5" hidden="1">{#N/A,#N/A,FALSE,"Lesson Summary";#N/A,#N/A,FALSE,"601";#N/A,#N/A,FALSE,"602";#N/A,#N/A,FALSE,"603";#N/A,#N/A,FALSE,"604";#N/A,#N/A,FALSE,"701";#N/A,#N/A,FALSE,"702";#N/A,#N/A,FALSE,"703";#N/A,#N/A,FALSE,"704";#N/A,#N/A,FALSE,"801";#N/A,#N/A,FALSE,"802";#N/A,#N/A,FALSE,"803";#N/A,#N/A,FALSE,"804"}</definedName>
    <definedName name="BudgetNewnameSW" hidden="1">{#N/A,#N/A,FALSE,"Lesson Summary";#N/A,#N/A,FALSE,"601";#N/A,#N/A,FALSE,"602";#N/A,#N/A,FALSE,"603";#N/A,#N/A,FALSE,"604";#N/A,#N/A,FALSE,"701";#N/A,#N/A,FALSE,"702";#N/A,#N/A,FALSE,"703";#N/A,#N/A,FALSE,"704";#N/A,#N/A,FALSE,"801";#N/A,#N/A,FALSE,"802";#N/A,#N/A,FALSE,"803";#N/A,#N/A,FALSE,"804"}</definedName>
    <definedName name="CAP" localSheetId="5"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Charges" localSheetId="3">#REF!</definedName>
    <definedName name="Charges" localSheetId="5">#REF!</definedName>
    <definedName name="Charges" localSheetId="6">#REF!</definedName>
    <definedName name="Charges" localSheetId="0">#REF!</definedName>
    <definedName name="Charges" localSheetId="1">#REF!</definedName>
    <definedName name="Charges" localSheetId="4">#REF!</definedName>
    <definedName name="Charges">#REF!</definedName>
    <definedName name="dddd" localSheetId="5" hidden="1">{#N/A,#N/A,FALSE,"Debt Summary Schedule";#N/A,#N/A,FALSE,"Interest Summary";#N/A,#N/A,FALSE,"Five-Year Debt Maturity"}</definedName>
    <definedName name="dddd" hidden="1">{#N/A,#N/A,FALSE,"Debt Summary Schedule";#N/A,#N/A,FALSE,"Interest Summary";#N/A,#N/A,FALSE,"Five-Year Debt Maturity"}</definedName>
    <definedName name="Dental" localSheetId="3">#REF!</definedName>
    <definedName name="Dental" localSheetId="5">#REF!</definedName>
    <definedName name="Dental" localSheetId="6">#REF!</definedName>
    <definedName name="Dental" localSheetId="0">#REF!</definedName>
    <definedName name="Dental" localSheetId="1">#REF!</definedName>
    <definedName name="Dental" localSheetId="4">#REF!</definedName>
    <definedName name="Dental">#REF!</definedName>
    <definedName name="dfhs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fhs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fr" localSheetId="5" hidden="1">{#N/A,#N/A,FALSE,"Debt Summary Schedule";#N/A,#N/A,FALSE,"Interest Summary";#N/A,#N/A,FALSE,"Five-Year Debt Maturity"}</definedName>
    <definedName name="ffr" hidden="1">{#N/A,#N/A,FALSE,"Debt Summary Schedule";#N/A,#N/A,FALSE,"Interest Summary";#N/A,#N/A,FALSE,"Five-Year Debt Maturity"}</definedName>
    <definedName name="FPC" localSheetId="6">[1]DISTSERV!$B$3</definedName>
    <definedName name="FPC">[2]DISTSERV!$B$3</definedName>
    <definedName name="fsa"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sa"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sd" localSheetId="5" hidden="1">{"inputs raw data",#N/A,TRUE,"INPUT"}</definedName>
    <definedName name="fsd" hidden="1">{"inputs raw data",#N/A,TRUE,"INPUT"}</definedName>
    <definedName name="funding" localSheetId="6">[1]DISTSERV!$B$25</definedName>
    <definedName name="funding">[2]DISTSERV!$B$25</definedName>
    <definedName name="hdd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hdd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Health" localSheetId="3">#REF!</definedName>
    <definedName name="Health" localSheetId="5">#REF!</definedName>
    <definedName name="Health" localSheetId="6">#REF!</definedName>
    <definedName name="Health" localSheetId="0">#REF!</definedName>
    <definedName name="Health" localSheetId="1">#REF!</definedName>
    <definedName name="Health" localSheetId="4">#REF!</definedName>
    <definedName name="Health">#REF!</definedName>
    <definedName name="hjhjh" localSheetId="5" hidden="1">{#N/A,#N/A,FALSE,"Debt Summary Schedule";#N/A,#N/A,FALSE,"Interest Summary";#N/A,#N/A,FALSE,"Five-Year Debt Maturity"}</definedName>
    <definedName name="hjhjh" hidden="1">{#N/A,#N/A,FALSE,"Debt Summary Schedule";#N/A,#N/A,FALSE,"Interest Summary";#N/A,#N/A,FALSE,"Five-Year Debt Maturity"}</definedName>
    <definedName name="HTML_CodePage" hidden="1">1252</definedName>
    <definedName name="HTML_Control" localSheetId="5"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Life" localSheetId="3">#REF!</definedName>
    <definedName name="Life" localSheetId="5">#REF!</definedName>
    <definedName name="Life" localSheetId="6">#REF!</definedName>
    <definedName name="Life" localSheetId="0">#REF!</definedName>
    <definedName name="Life" localSheetId="1">#REF!</definedName>
    <definedName name="Life" localSheetId="4">#REF!</definedName>
    <definedName name="Life">#REF!</definedName>
    <definedName name="LTD" localSheetId="3">#REF!</definedName>
    <definedName name="LTD" localSheetId="5">#REF!</definedName>
    <definedName name="LTD" localSheetId="6">#REF!</definedName>
    <definedName name="LTD" localSheetId="0">#REF!</definedName>
    <definedName name="LTD" localSheetId="1">#REF!</definedName>
    <definedName name="LTD" localSheetId="4">#REF!</definedName>
    <definedName name="LTD">#REF!</definedName>
    <definedName name="Medicare" localSheetId="3">#REF!</definedName>
    <definedName name="Medicare" localSheetId="5">#REF!</definedName>
    <definedName name="Medicare" localSheetId="6">#REF!</definedName>
    <definedName name="Medicare" localSheetId="0">#REF!</definedName>
    <definedName name="Medicare" localSheetId="1">#REF!</definedName>
    <definedName name="Medicare" localSheetId="4">#REF!</definedName>
    <definedName name="Medicare">#REF!</definedName>
    <definedName name="month" localSheetId="6">[1]DISTSERV!$F$8</definedName>
    <definedName name="month">[2]DISTSERV!$F$8</definedName>
    <definedName name="NameConflict" localSheetId="5" hidden="1">{#N/A,#N/A,TRUE,"Terms";#N/A,#N/A,TRUE,"ATDS";#N/A,#N/A,TRUE,"CVRG";#N/A,#N/A,TRUE,"Pro_Forma";#N/A,#N/A,TRUE,"ADS+";#N/A,#N/A,TRUE,"Monthly"}</definedName>
    <definedName name="NameConflict" hidden="1">{#N/A,#N/A,TRUE,"Terms";#N/A,#N/A,TRUE,"ATDS";#N/A,#N/A,TRUE,"CVRG";#N/A,#N/A,TRUE,"Pro_Forma";#N/A,#N/A,TRUE,"ADS+";#N/A,#N/A,TRUE,"Monthly"}</definedName>
    <definedName name="PERA" localSheetId="3">#REF!</definedName>
    <definedName name="PERA" localSheetId="5">#REF!</definedName>
    <definedName name="PERA" localSheetId="6">#REF!</definedName>
    <definedName name="PERA" localSheetId="0">#REF!</definedName>
    <definedName name="PERA" localSheetId="1">#REF!</definedName>
    <definedName name="PERA" localSheetId="4">#REF!</definedName>
    <definedName name="PERA">#REF!</definedName>
    <definedName name="Permonth" localSheetId="6">[1]DISTSERV!$D$10</definedName>
    <definedName name="Permonth">[2]DISTSERV!$D$10</definedName>
    <definedName name="perpupil" localSheetId="6">[1]DISTSERV!$B$14</definedName>
    <definedName name="perpupil">[2]DISTSERV!$B$14</definedName>
    <definedName name="PPORINC" localSheetId="3">#REF!</definedName>
    <definedName name="PPORINC" localSheetId="5">#REF!</definedName>
    <definedName name="PPORINC" localSheetId="6">#REF!</definedName>
    <definedName name="PPORINC" localSheetId="0">#REF!</definedName>
    <definedName name="PPORINC" localSheetId="1">#REF!</definedName>
    <definedName name="PPORINC" localSheetId="4">#REF!</definedName>
    <definedName name="PPORINC">#REF!</definedName>
    <definedName name="PRACTICE" localSheetId="5"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'Balance Sheet'!$A$1:$L$67</definedName>
    <definedName name="_xlnm.Print_Area" localSheetId="5">'FY19 Original Budget'!$A$1:$BT$691</definedName>
    <definedName name="_xlnm.Print_Area" localSheetId="0">'PL - School COA'!$A$1:$BT$687</definedName>
    <definedName name="_xlnm.Print_Area" localSheetId="1">'PL - School COA (3)'!$A$1:$BT$687</definedName>
    <definedName name="_xlnm.Print_Area" localSheetId="4">'Rev-Exp 12.31.18'!$A$1:$H$181</definedName>
    <definedName name="_xlnm.Print_Titles" localSheetId="5">'FY19 Original Budget'!$20:$22</definedName>
    <definedName name="_xlnm.Print_Titles" localSheetId="0">'PL - School COA'!$20:$22</definedName>
    <definedName name="_xlnm.Print_Titles" localSheetId="1">'PL - School COA (3)'!$20:$22</definedName>
    <definedName name="_xlnm.Print_Titles" localSheetId="4">'Rev-Exp 12.31.18'!$20:$22</definedName>
    <definedName name="projppor" localSheetId="6">[1]DISTSERV!$C$4</definedName>
    <definedName name="projppor">[2]DISTSERV!$C$4</definedName>
    <definedName name="Projstud" localSheetId="6">[1]DISTSERV!$C$3</definedName>
    <definedName name="Projstud">[2]DISTSERV!$C$3</definedName>
    <definedName name="s" localSheetId="5">#REF!</definedName>
    <definedName name="s" localSheetId="6">#REF!</definedName>
    <definedName name="s" localSheetId="0">#REF!</definedName>
    <definedName name="s" localSheetId="1">#REF!</definedName>
    <definedName name="s" localSheetId="4">#REF!</definedName>
    <definedName name="s">#REF!</definedName>
    <definedName name="SALINC" localSheetId="3">#REF!</definedName>
    <definedName name="SALINC" localSheetId="5">#REF!</definedName>
    <definedName name="SALINC" localSheetId="6">#REF!</definedName>
    <definedName name="SALINC" localSheetId="0">#REF!</definedName>
    <definedName name="SALINC" localSheetId="1">#REF!</definedName>
    <definedName name="SALINC" localSheetId="4">#REF!</definedName>
    <definedName name="SALINC">#REF!</definedName>
    <definedName name="SAPBEXrevision" hidden="1">2</definedName>
    <definedName name="SAPBEXsysID" hidden="1">"PBW"</definedName>
    <definedName name="SAPBEXwbID" hidden="1">"3XEUAYA7IG9XEWFAMM9HC9V0U"</definedName>
    <definedName name="TextRefCopyRangeCount" hidden="1">1</definedName>
    <definedName name="TOTCREXP" localSheetId="3">#REF!</definedName>
    <definedName name="TOTCREXP" localSheetId="5">#REF!</definedName>
    <definedName name="TOTCREXP" localSheetId="6">#REF!</definedName>
    <definedName name="TOTCREXP" localSheetId="0">#REF!</definedName>
    <definedName name="TOTCREXP" localSheetId="1">#REF!</definedName>
    <definedName name="TOTCREXP" localSheetId="4">#REF!</definedName>
    <definedName name="TOTCREXP">#REF!</definedName>
    <definedName name="TOTFS" localSheetId="3">#REF!</definedName>
    <definedName name="TOTFS" localSheetId="5">#REF!</definedName>
    <definedName name="TOTFS" localSheetId="6">#REF!</definedName>
    <definedName name="TOTFS" localSheetId="0">#REF!</definedName>
    <definedName name="TOTFS" localSheetId="1">#REF!</definedName>
    <definedName name="TOTFS" localSheetId="4">#REF!</definedName>
    <definedName name="TOTFS">#REF!</definedName>
    <definedName name="TOTGFEXP" localSheetId="3">#REF!</definedName>
    <definedName name="TOTGFEXP" localSheetId="5">#REF!</definedName>
    <definedName name="TOTGFEXP" localSheetId="6">#REF!</definedName>
    <definedName name="TOTGFEXP" localSheetId="0">#REF!</definedName>
    <definedName name="TOTGFEXP" localSheetId="1">#REF!</definedName>
    <definedName name="TOTGFEXP" localSheetId="4">#REF!</definedName>
    <definedName name="TOTGFEXP">#REF!</definedName>
    <definedName name="TotGFREV" localSheetId="3">[3]Expenditures!#REF!</definedName>
    <definedName name="TotGFREV" localSheetId="5">'FY19 Original Budget'!#REF!</definedName>
    <definedName name="TotGFREV" localSheetId="6">[4]Expenditures!#REF!</definedName>
    <definedName name="TotGFREV" localSheetId="0">'PL - School COA'!#REF!</definedName>
    <definedName name="TotGFREV" localSheetId="1">'PL - School COA (3)'!#REF!</definedName>
    <definedName name="TotGFREV" localSheetId="4">'Rev-Exp 12.31.18'!#REF!</definedName>
    <definedName name="TotGFREV">[5]Expenditures!#REF!</definedName>
    <definedName name="TotGFREV00" localSheetId="3">[3]Expenditures!#REF!</definedName>
    <definedName name="TotGFREV00" localSheetId="5">'FY19 Original Budget'!#REF!</definedName>
    <definedName name="TotGFREV00" localSheetId="6">[4]Expenditures!#REF!</definedName>
    <definedName name="TotGFREV00" localSheetId="0">'PL - School COA'!#REF!</definedName>
    <definedName name="TotGFREV00" localSheetId="1">'PL - School COA (3)'!#REF!</definedName>
    <definedName name="TotGFREV00" localSheetId="4">'Rev-Exp 12.31.18'!#REF!</definedName>
    <definedName name="TotGFREV00">[5]Expenditures!#REF!</definedName>
    <definedName name="totgfrev01" localSheetId="3">[3]Expenditures!#REF!</definedName>
    <definedName name="totgfrev01" localSheetId="5">'FY19 Original Budget'!#REF!</definedName>
    <definedName name="totgfrev01" localSheetId="6">[4]Expenditures!#REF!</definedName>
    <definedName name="totgfrev01" localSheetId="0">'PL - School COA'!#REF!</definedName>
    <definedName name="totgfrev01" localSheetId="1">'PL - School COA (3)'!#REF!</definedName>
    <definedName name="totgfrev01" localSheetId="4">'Rev-Exp 12.31.18'!#REF!</definedName>
    <definedName name="totgfrev01">[5]Expenditures!#REF!</definedName>
    <definedName name="TOTGRANTS" localSheetId="3">#REF!</definedName>
    <definedName name="TOTGRANTS" localSheetId="5">#REF!</definedName>
    <definedName name="TOTGRANTS" localSheetId="6">#REF!</definedName>
    <definedName name="TOTGRANTS" localSheetId="0">#REF!</definedName>
    <definedName name="TOTGRANTS" localSheetId="1">#REF!</definedName>
    <definedName name="TOTGRANTS" localSheetId="4">#REF!</definedName>
    <definedName name="TOTGRANTS">#REF!</definedName>
    <definedName name="TOTINS" localSheetId="6">[1]BUDGSUM!$D$63</definedName>
    <definedName name="TOTINS">[2]BUDGSUM!$D$63</definedName>
    <definedName name="TOTSAEXP" localSheetId="3">#REF!</definedName>
    <definedName name="TOTSAEXP" localSheetId="5">#REF!</definedName>
    <definedName name="TOTSAEXP" localSheetId="6">#REF!</definedName>
    <definedName name="TOTSAEXP" localSheetId="0">#REF!</definedName>
    <definedName name="TOTSAEXP" localSheetId="1">#REF!</definedName>
    <definedName name="TOTSAEXP" localSheetId="4">#REF!</definedName>
    <definedName name="TOTSAEXP">#REF!</definedName>
    <definedName name="totstud" localSheetId="3">#REF!</definedName>
    <definedName name="totstud" localSheetId="5">#REF!</definedName>
    <definedName name="totstud" localSheetId="6">#REF!</definedName>
    <definedName name="totstud" localSheetId="0">#REF!</definedName>
    <definedName name="totstud" localSheetId="1">#REF!</definedName>
    <definedName name="totstud" localSheetId="4">#REF!</definedName>
    <definedName name="totstud">#REF!</definedName>
    <definedName name="UC" localSheetId="3">#REF!</definedName>
    <definedName name="UC" localSheetId="5">#REF!</definedName>
    <definedName name="UC" localSheetId="6">#REF!</definedName>
    <definedName name="UC" localSheetId="0">#REF!</definedName>
    <definedName name="UC" localSheetId="1">#REF!</definedName>
    <definedName name="UC" localSheetId="4">#REF!</definedName>
    <definedName name="UC">#REF!</definedName>
    <definedName name="Vision" localSheetId="3">#REF!</definedName>
    <definedName name="Vision" localSheetId="5">#REF!</definedName>
    <definedName name="Vision" localSheetId="6">#REF!</definedName>
    <definedName name="Vision" localSheetId="0">#REF!</definedName>
    <definedName name="Vision" localSheetId="1">#REF!</definedName>
    <definedName name="Vision" localSheetId="4">#REF!</definedName>
    <definedName name="Vision">#REF!</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ase._.Data._.Comparison." localSheetId="5"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Cost._.Report." localSheetId="5" hidden="1">{"Cost View",#N/A,TRUE,"CP Staffing"}</definedName>
    <definedName name="wrn.Cost._.Report." hidden="1">{"Cost View",#N/A,TRUE,"CP Staffing"}</definedName>
    <definedName name="wrn.Debt._.Instrument._.Report." localSheetId="5" hidden="1">{#N/A,#N/A,FALSE,"Debt Summary Schedule";#N/A,#N/A,FALSE,"Interest Summary";#N/A,#N/A,FALSE,"Five-Year Debt Maturity"}</definedName>
    <definedName name="wrn.Debt._.Instrument._.Report." hidden="1">{#N/A,#N/A,FALSE,"Debt Summary Schedule";#N/A,#N/A,FALSE,"Interest Summary";#N/A,#N/A,FALSE,"Five-Year Debt Maturity"}</definedName>
    <definedName name="wrn.EntireModel." localSheetId="5" hidden="1">{"cvr",#N/A,FALSE,"CVR";"sum",#N/A,FALSE,"SUM";"obal",#N/A,FALSE,"OBAL";#N/A,#N/A,FALSE,"INC1";#N/A,#N/A,FALSE,"INC2";"bal1",#N/A,FALSE,"BAL1";"inc",#N/A,FALSE,"INC";"bal",#N/A,FALSE,"BAL";"cash",#N/A,FALSE,"CASH";"debt",#N/A,FALSE,"DEBT";"eqty",#N/A,FALSE,"EQTY";"tax",#N/A,FALSE,"TAX";"depr",#N/A,FALSE,"DEPR";#N/A,#N/A,FALSE,"IRR";"strip1",#N/A,FALSE,"STRP";"fee",#N/A,FALSE,"FEE"}</definedName>
    <definedName name="wrn.EntireModel." hidden="1">{"cvr",#N/A,FALSE,"CVR";"sum",#N/A,FALSE,"SUM";"obal",#N/A,FALSE,"OBAL";#N/A,#N/A,FALSE,"INC1";#N/A,#N/A,FALSE,"INC2";"bal1",#N/A,FALSE,"BAL1";"inc",#N/A,FALSE,"INC";"bal",#N/A,FALSE,"BAL";"cash",#N/A,FALSE,"CASH";"debt",#N/A,FALSE,"DEBT";"eqty",#N/A,FALSE,"EQTY";"tax",#N/A,FALSE,"TAX";"depr",#N/A,FALSE,"DEPR";#N/A,#N/A,FALSE,"IRR";"strip1",#N/A,FALSE,"STRP";"fee",#N/A,FALSE,"FEE"}</definedName>
    <definedName name="wrn.Head._.Count._.Report." localSheetId="5" hidden="1">{"Head Count",#N/A,TRUE,"CP Staffing"}</definedName>
    <definedName name="wrn.Head._.Count._.Report." hidden="1">{"Head Count",#N/A,TRUE,"CP Staffing"}</definedName>
    <definedName name="wrn.Mark." localSheetId="5" hidden="1">{#N/A,#N/A,TRUE,"Terms";#N/A,#N/A,TRUE,"ATDS";#N/A,#N/A,TRUE,"CVRG";#N/A,#N/A,TRUE,"Pro_Forma";#N/A,#N/A,TRUE,"ADS+";#N/A,#N/A,TRUE,"Monthly"}</definedName>
    <definedName name="wrn.Mark." hidden="1">{#N/A,#N/A,TRUE,"Terms";#N/A,#N/A,TRUE,"ATDS";#N/A,#N/A,TRUE,"CVRG";#N/A,#N/A,TRUE,"Pro_Forma";#N/A,#N/A,TRUE,"ADS+";#N/A,#N/A,TRUE,"Monthly"}</definedName>
    <definedName name="wrn.PD._.Budget." localSheetId="5" hidden="1">{#N/A,#N/A,FALSE,"Lesson Summary";#N/A,#N/A,FALSE,"601";#N/A,#N/A,FALSE,"602";#N/A,#N/A,FALSE,"603";#N/A,#N/A,FALSE,"604";#N/A,#N/A,FALSE,"701";#N/A,#N/A,FALSE,"702";#N/A,#N/A,FALSE,"703";#N/A,#N/A,FALSE,"704";#N/A,#N/A,FALSE,"801";#N/A,#N/A,FALSE,"802";#N/A,#N/A,FALSE,"803";#N/A,#N/A,FALSE,"804"}</definedName>
    <definedName name="wrn.PD._.Budget." hidden="1">{#N/A,#N/A,FALSE,"Lesson Summary";#N/A,#N/A,FALSE,"601";#N/A,#N/A,FALSE,"602";#N/A,#N/A,FALSE,"603";#N/A,#N/A,FALSE,"604";#N/A,#N/A,FALSE,"701";#N/A,#N/A,FALSE,"702";#N/A,#N/A,FALSE,"703";#N/A,#N/A,FALSE,"704";#N/A,#N/A,FALSE,"801";#N/A,#N/A,FALSE,"802";#N/A,#N/A,FALSE,"803";#N/A,#N/A,FALSE,"804"}</definedName>
    <definedName name="wrn.print._.graphs." localSheetId="5"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5" hidden="1">{"inputs raw data",#N/A,TRUE,"INPUT"}</definedName>
    <definedName name="wrn.print._.raw._.data._.entry." hidden="1">{"inputs raw data",#N/A,TRUE,"INPUT"}</definedName>
    <definedName name="wrn.print._.summary._.sheets." localSheetId="5" hidden="1">{"summary1",#N/A,TRUE,"Comps";"summary2",#N/A,TRUE,"Comps";"summary3",#N/A,TRUE,"Comps"}</definedName>
    <definedName name="wrn.print._.summary._.sheets." hidden="1">{"summary1",#N/A,TRUE,"Comps";"summary2",#N/A,TRUE,"Comps";"summary3",#N/A,TRUE,"Comps"}</definedName>
    <definedName name="wrn.rating_book." localSheetId="5" hidden="1">{#N/A,#N/A,TRUE,"Terms";#N/A,#N/A,TRUE,"ATDS";#N/A,#N/A,TRUE,"CVRG";#N/A,#N/A,TRUE,"Pro_Forma";#N/A,#N/A,TRUE,"Enrollment"}</definedName>
    <definedName name="wrn.rating_book." hidden="1">{#N/A,#N/A,TRUE,"Terms";#N/A,#N/A,TRUE,"ATDS";#N/A,#N/A,TRUE,"CVRG";#N/A,#N/A,TRUE,"Pro_Forma";#N/A,#N/A,TRUE,"Enrollment"}</definedName>
    <definedName name="wrn.Refunding1." localSheetId="5" hidden="1">{#N/A,#N/A,TRUE,"Terms";#N/A,#N/A,TRUE,"BP (2)";#N/A,#N/A,TRUE,"ATDS";#N/A,#N/A,TRUE,"CVRG";#N/A,#N/A,TRUE,"OUT-ADS";#N/A,#N/A,TRUE,"ESCROW"}</definedName>
    <definedName name="wrn.Refunding1." hidden="1">{#N/A,#N/A,TRUE,"Terms";#N/A,#N/A,TRUE,"BP (2)";#N/A,#N/A,TRUE,"ATDS";#N/A,#N/A,TRUE,"CVRG";#N/A,#N/A,TRUE,"OUT-ADS";#N/A,#N/A,TRUE,"ESCROW"}</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w" localSheetId="5" hidden="1">{#N/A,#N/A,FALSE,"Debt Summary Schedule";#N/A,#N/A,FALSE,"Interest Summary";#N/A,#N/A,FALSE,"Five-Year Debt Maturity"}</definedName>
    <definedName name="www" hidden="1">{#N/A,#N/A,FALSE,"Debt Summary Schedule";#N/A,#N/A,FALSE,"Interest Summary";#N/A,#N/A,FALSE,"Five-Year Debt Maturity"}</definedName>
    <definedName name="XREF_COLUMN_1" localSheetId="5" hidden="1">#REF!</definedName>
    <definedName name="XREF_COLUMN_1" localSheetId="0" hidden="1">#REF!</definedName>
    <definedName name="XREF_COLUMN_1" localSheetId="1" hidden="1">#REF!</definedName>
    <definedName name="XREF_COLUMN_1" localSheetId="4" hidden="1">#REF!</definedName>
    <definedName name="XREF_COLUMN_1" hidden="1">#REF!</definedName>
    <definedName name="XREF_COLUMN_2" localSheetId="5" hidden="1">#REF!</definedName>
    <definedName name="XREF_COLUMN_2" localSheetId="0" hidden="1">#REF!</definedName>
    <definedName name="XREF_COLUMN_2" localSheetId="1" hidden="1">#REF!</definedName>
    <definedName name="XREF_COLUMN_2" localSheetId="4" hidden="1">#REF!</definedName>
    <definedName name="XREF_COLUMN_2" hidden="1">#REF!</definedName>
    <definedName name="XRefColumnsCount" hidden="1">3</definedName>
    <definedName name="XRefCopy1" localSheetId="5" hidden="1">#REF!</definedName>
    <definedName name="XRefCopy1" localSheetId="0" hidden="1">#REF!</definedName>
    <definedName name="XRefCopy1" localSheetId="1" hidden="1">#REF!</definedName>
    <definedName name="XRefCopy1" localSheetId="4" hidden="1">#REF!</definedName>
    <definedName name="XRefCopy1" hidden="1">#REF!</definedName>
    <definedName name="XRefCopy1Row" localSheetId="5" hidden="1">#REF!</definedName>
    <definedName name="XRefCopy1Row" localSheetId="0" hidden="1">#REF!</definedName>
    <definedName name="XRefCopy1Row" localSheetId="1" hidden="1">#REF!</definedName>
    <definedName name="XRefCopy1Row" localSheetId="4" hidden="1">#REF!</definedName>
    <definedName name="XRefCopy1Row" hidden="1">#REF!</definedName>
    <definedName name="XRefCopy3Row" localSheetId="5" hidden="1">[6]XREF!#REF!</definedName>
    <definedName name="XRefCopy3Row" localSheetId="0" hidden="1">[6]XREF!#REF!</definedName>
    <definedName name="XRefCopy3Row" localSheetId="1" hidden="1">[6]XREF!#REF!</definedName>
    <definedName name="XRefCopy3Row" localSheetId="4" hidden="1">[6]XREF!#REF!</definedName>
    <definedName name="XRefCopy3Row" hidden="1">[6]XREF!#REF!</definedName>
    <definedName name="XRefCopyRangeCount" hidden="1">5</definedName>
    <definedName name="XRefPasteRangeCount" hidden="1">1</definedName>
    <definedName name="Z_C125CD97_B92E_497E_A2CB_95D2BCCC1DF3_.wvu.PrintArea" localSheetId="5" hidden="1">'FY19 Original Budget'!$A$1:$C$683</definedName>
    <definedName name="Z_C125CD97_B92E_497E_A2CB_95D2BCCC1DF3_.wvu.PrintArea" localSheetId="0" hidden="1">'PL - School COA'!$A$1:$C$679</definedName>
    <definedName name="Z_C125CD97_B92E_497E_A2CB_95D2BCCC1DF3_.wvu.PrintArea" localSheetId="1" hidden="1">'PL - School COA (3)'!$A$1:$C$679</definedName>
    <definedName name="Z_C125CD97_B92E_497E_A2CB_95D2BCCC1DF3_.wvu.PrintArea" localSheetId="4" hidden="1">'Rev-Exp 12.31.18'!$A$1:$B$173</definedName>
    <definedName name="Z_C125CD97_B92E_497E_A2CB_95D2BCCC1DF3_.wvu.PrintTitles" localSheetId="5" hidden="1">'FY19 Original Budget'!$2:$3</definedName>
    <definedName name="Z_C125CD97_B92E_497E_A2CB_95D2BCCC1DF3_.wvu.PrintTitles" localSheetId="0" hidden="1">'PL - School COA'!$2:$3</definedName>
    <definedName name="Z_C125CD97_B92E_497E_A2CB_95D2BCCC1DF3_.wvu.PrintTitles" localSheetId="1" hidden="1">'PL - School COA (3)'!$2:$3</definedName>
    <definedName name="Z_C125CD97_B92E_497E_A2CB_95D2BCCC1DF3_.wvu.PrintTitles" localSheetId="4" hidden="1">'Rev-Exp 12.31.18'!$2:$3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 i="5" l="1"/>
  <c r="E61" i="5"/>
  <c r="K40" i="5"/>
  <c r="K61" i="5"/>
  <c r="K28" i="5" l="1"/>
  <c r="K27" i="5"/>
  <c r="K25" i="5"/>
  <c r="K47" i="5"/>
  <c r="E42" i="5"/>
  <c r="K33" i="5"/>
  <c r="K12" i="5" l="1"/>
  <c r="E10" i="5"/>
  <c r="F30" i="7" l="1"/>
  <c r="D62" i="5"/>
  <c r="D227" i="7" l="1"/>
  <c r="D226" i="7"/>
  <c r="D225" i="7"/>
  <c r="D224" i="7"/>
  <c r="D223" i="7"/>
  <c r="D221" i="7"/>
  <c r="D220" i="7"/>
  <c r="D215" i="7"/>
  <c r="D214" i="7"/>
  <c r="D219" i="7"/>
  <c r="D218" i="7"/>
  <c r="D217" i="7"/>
  <c r="D216" i="7"/>
  <c r="D212" i="7"/>
  <c r="D207" i="7"/>
  <c r="D206" i="7"/>
  <c r="D205" i="7"/>
  <c r="D204" i="7"/>
  <c r="D203" i="7"/>
  <c r="D202" i="7"/>
  <c r="D201" i="7"/>
  <c r="D200" i="7"/>
  <c r="D199" i="7"/>
  <c r="D198" i="7"/>
  <c r="D197" i="7"/>
  <c r="D196" i="7"/>
  <c r="D195" i="7"/>
  <c r="D194" i="7"/>
  <c r="D193" i="7"/>
  <c r="D192" i="7"/>
  <c r="D191" i="7"/>
  <c r="D190" i="7"/>
  <c r="D189" i="7"/>
  <c r="D188" i="7"/>
  <c r="D211" i="7"/>
  <c r="D210" i="7"/>
  <c r="D187" i="7"/>
  <c r="D209" i="7"/>
  <c r="D185"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20" i="7"/>
  <c r="D19" i="7"/>
  <c r="D18" i="7"/>
  <c r="D17" i="7"/>
  <c r="D13" i="7"/>
  <c r="D12" i="7"/>
  <c r="D11" i="7"/>
  <c r="D10" i="7"/>
  <c r="D9" i="7"/>
  <c r="D8" i="7"/>
  <c r="D7" i="7"/>
  <c r="D6" i="7"/>
  <c r="D29" i="7"/>
  <c r="D28" i="7"/>
  <c r="D27" i="7"/>
  <c r="D26" i="7"/>
  <c r="D25" i="7"/>
  <c r="D24" i="7"/>
  <c r="D23" i="7"/>
  <c r="D22" i="7"/>
  <c r="E22" i="5" l="1"/>
  <c r="K48" i="5"/>
  <c r="D40" i="5"/>
  <c r="L22" i="5"/>
  <c r="D61" i="5"/>
  <c r="D12" i="5"/>
  <c r="D44" i="5"/>
  <c r="D42" i="5"/>
  <c r="D56" i="5"/>
  <c r="K14" i="5"/>
  <c r="I64" i="5"/>
  <c r="H64" i="5"/>
  <c r="G64" i="5"/>
  <c r="F64" i="5"/>
  <c r="L53" i="5"/>
  <c r="K53" i="5"/>
  <c r="J53" i="5"/>
  <c r="I53" i="5"/>
  <c r="H53" i="5"/>
  <c r="G53" i="5"/>
  <c r="F53" i="5"/>
  <c r="E53" i="5"/>
  <c r="L48" i="5"/>
  <c r="J48" i="5"/>
  <c r="I48" i="5"/>
  <c r="H48" i="5"/>
  <c r="G48" i="5"/>
  <c r="F48" i="5"/>
  <c r="L34" i="5"/>
  <c r="K34" i="5"/>
  <c r="J34" i="5"/>
  <c r="I34" i="5"/>
  <c r="H34" i="5"/>
  <c r="G34" i="5"/>
  <c r="F34" i="5"/>
  <c r="E34" i="5"/>
  <c r="K22" i="5"/>
  <c r="J22" i="5"/>
  <c r="I22" i="5"/>
  <c r="H22" i="5"/>
  <c r="G22" i="5"/>
  <c r="F22" i="5"/>
  <c r="L14" i="5"/>
  <c r="J14" i="5"/>
  <c r="I14" i="5"/>
  <c r="H14" i="5"/>
  <c r="G14" i="5"/>
  <c r="G36" i="5" s="1"/>
  <c r="F14" i="5"/>
  <c r="F36" i="5" s="1"/>
  <c r="E14" i="5"/>
  <c r="D60" i="5"/>
  <c r="D59" i="5"/>
  <c r="D58" i="5"/>
  <c r="D57" i="5"/>
  <c r="D52" i="5"/>
  <c r="D51" i="5"/>
  <c r="D53" i="5" s="1"/>
  <c r="D47" i="5"/>
  <c r="D46" i="5"/>
  <c r="D45" i="5"/>
  <c r="D43" i="5"/>
  <c r="D41" i="5"/>
  <c r="D33" i="5"/>
  <c r="D32" i="5"/>
  <c r="D31" i="5"/>
  <c r="D30" i="5"/>
  <c r="D29" i="5"/>
  <c r="D28" i="5"/>
  <c r="D27" i="5"/>
  <c r="D26" i="5"/>
  <c r="D25" i="5"/>
  <c r="D21" i="5"/>
  <c r="D20" i="5"/>
  <c r="D19" i="5"/>
  <c r="D18" i="5"/>
  <c r="D16" i="5"/>
  <c r="D13" i="5"/>
  <c r="D11" i="5"/>
  <c r="D10" i="5"/>
  <c r="H36" i="5" l="1"/>
  <c r="I36" i="5"/>
  <c r="I66" i="5"/>
  <c r="I68" i="5" s="1"/>
  <c r="L36" i="5"/>
  <c r="J36" i="5"/>
  <c r="F66" i="5"/>
  <c r="F68" i="5" s="1"/>
  <c r="G66" i="5"/>
  <c r="G68" i="5" s="1"/>
  <c r="H66" i="5"/>
  <c r="H68" i="5" s="1"/>
  <c r="D17" i="5"/>
  <c r="D22" i="5" s="1"/>
  <c r="E48" i="5"/>
  <c r="K36" i="5"/>
  <c r="E36" i="5"/>
  <c r="D48" i="5"/>
  <c r="D34" i="5"/>
  <c r="D14" i="5"/>
  <c r="D36" i="5" l="1"/>
  <c r="BT696" i="4" l="1"/>
  <c r="BS696" i="4"/>
  <c r="BR696" i="4"/>
  <c r="BQ696" i="4"/>
  <c r="BQ452" i="4" s="1"/>
  <c r="BD452" i="4" s="1"/>
  <c r="BP696" i="4"/>
  <c r="BO696" i="4"/>
  <c r="BN696" i="4"/>
  <c r="BM696" i="4"/>
  <c r="BM452" i="4" s="1"/>
  <c r="AZ452" i="4" s="1"/>
  <c r="BL696" i="4"/>
  <c r="BK696" i="4"/>
  <c r="BJ696" i="4"/>
  <c r="BI696" i="4"/>
  <c r="BI452" i="4" s="1"/>
  <c r="AV452" i="4" s="1"/>
  <c r="Q681" i="4"/>
  <c r="P681" i="4"/>
  <c r="O681" i="4"/>
  <c r="N681" i="4"/>
  <c r="M681" i="4"/>
  <c r="L681" i="4"/>
  <c r="H681" i="4"/>
  <c r="E681" i="4"/>
  <c r="BT679" i="4"/>
  <c r="BS679" i="4"/>
  <c r="BR679" i="4"/>
  <c r="BQ679" i="4"/>
  <c r="BP679" i="4"/>
  <c r="BO679" i="4"/>
  <c r="BN679" i="4"/>
  <c r="BM679" i="4"/>
  <c r="BL679" i="4"/>
  <c r="BK679" i="4"/>
  <c r="BJ679" i="4"/>
  <c r="BI679" i="4"/>
  <c r="AO679" i="4" s="1"/>
  <c r="BG679" i="4"/>
  <c r="BF679" i="4"/>
  <c r="BE679" i="4"/>
  <c r="BD679" i="4"/>
  <c r="BC679" i="4"/>
  <c r="BB679" i="4"/>
  <c r="BA679" i="4"/>
  <c r="AZ679" i="4"/>
  <c r="AY679" i="4"/>
  <c r="AX679" i="4"/>
  <c r="AW679" i="4"/>
  <c r="AV679" i="4"/>
  <c r="AL679" i="4"/>
  <c r="AK679" i="4"/>
  <c r="AJ679" i="4"/>
  <c r="AI679" i="4"/>
  <c r="AH679" i="4"/>
  <c r="AG679" i="4"/>
  <c r="AF679" i="4"/>
  <c r="AE679" i="4"/>
  <c r="AD679" i="4"/>
  <c r="AC679" i="4"/>
  <c r="AB679" i="4"/>
  <c r="AA679" i="4"/>
  <c r="R679" i="4"/>
  <c r="BT678" i="4"/>
  <c r="BS678" i="4"/>
  <c r="BR678" i="4"/>
  <c r="BQ678" i="4"/>
  <c r="BP678" i="4"/>
  <c r="BO678" i="4"/>
  <c r="BN678" i="4"/>
  <c r="BM678" i="4"/>
  <c r="BL678" i="4"/>
  <c r="BK678" i="4"/>
  <c r="BJ678" i="4"/>
  <c r="BI678" i="4"/>
  <c r="BG678" i="4"/>
  <c r="BF678" i="4"/>
  <c r="BE678" i="4"/>
  <c r="BD678" i="4"/>
  <c r="BC678" i="4"/>
  <c r="BB678" i="4"/>
  <c r="BA678" i="4"/>
  <c r="AZ678" i="4"/>
  <c r="AY678" i="4"/>
  <c r="AX678" i="4"/>
  <c r="AW678" i="4"/>
  <c r="AV678" i="4"/>
  <c r="AL678" i="4"/>
  <c r="AK678" i="4"/>
  <c r="AJ678" i="4"/>
  <c r="AI678" i="4"/>
  <c r="AH678" i="4"/>
  <c r="AG678" i="4"/>
  <c r="AF678" i="4"/>
  <c r="AE678" i="4"/>
  <c r="AD678" i="4"/>
  <c r="AC678" i="4"/>
  <c r="AB678" i="4"/>
  <c r="AA678" i="4"/>
  <c r="R678" i="4"/>
  <c r="BT677" i="4"/>
  <c r="BS677" i="4"/>
  <c r="BR677" i="4"/>
  <c r="BQ677" i="4"/>
  <c r="BP677" i="4"/>
  <c r="BO677" i="4"/>
  <c r="BN677" i="4"/>
  <c r="BM677" i="4"/>
  <c r="BL677" i="4"/>
  <c r="BK677" i="4"/>
  <c r="BJ677" i="4"/>
  <c r="BI677" i="4"/>
  <c r="AO677" i="4" s="1"/>
  <c r="BG677" i="4"/>
  <c r="BF677" i="4"/>
  <c r="BE677" i="4"/>
  <c r="BD677" i="4"/>
  <c r="BC677" i="4"/>
  <c r="BB677" i="4"/>
  <c r="BA677" i="4"/>
  <c r="AZ677" i="4"/>
  <c r="AY677" i="4"/>
  <c r="AX677" i="4"/>
  <c r="AW677" i="4"/>
  <c r="AV677" i="4"/>
  <c r="AL677" i="4"/>
  <c r="AK677" i="4"/>
  <c r="AJ677" i="4"/>
  <c r="AI677" i="4"/>
  <c r="AH677" i="4"/>
  <c r="AG677" i="4"/>
  <c r="AF677" i="4"/>
  <c r="AE677" i="4"/>
  <c r="AD677" i="4"/>
  <c r="AC677" i="4"/>
  <c r="AB677" i="4"/>
  <c r="AA677" i="4"/>
  <c r="S677" i="4"/>
  <c r="R677" i="4"/>
  <c r="BP676" i="4"/>
  <c r="BC676" i="4" s="1"/>
  <c r="AN676" i="4"/>
  <c r="AL676" i="4"/>
  <c r="AK676" i="4"/>
  <c r="AJ676" i="4"/>
  <c r="AI676" i="4"/>
  <c r="AH676" i="4"/>
  <c r="AG676" i="4"/>
  <c r="AF676" i="4"/>
  <c r="AE676" i="4"/>
  <c r="AD676" i="4"/>
  <c r="AC676" i="4"/>
  <c r="AB676" i="4"/>
  <c r="AA676" i="4"/>
  <c r="Y676" i="4"/>
  <c r="D676" i="4"/>
  <c r="BS676" i="4" s="1"/>
  <c r="BF676" i="4" s="1"/>
  <c r="BT675" i="4"/>
  <c r="BS675" i="4"/>
  <c r="BR675" i="4"/>
  <c r="BQ675" i="4"/>
  <c r="BP675" i="4"/>
  <c r="BO675" i="4"/>
  <c r="BN675" i="4"/>
  <c r="BM675" i="4"/>
  <c r="BL675" i="4"/>
  <c r="BK675" i="4"/>
  <c r="BJ675" i="4"/>
  <c r="BI675" i="4"/>
  <c r="BG675" i="4"/>
  <c r="BF675" i="4"/>
  <c r="BE675" i="4"/>
  <c r="BD675" i="4"/>
  <c r="BC675" i="4"/>
  <c r="BB675" i="4"/>
  <c r="BA675" i="4"/>
  <c r="AZ675" i="4"/>
  <c r="AY675" i="4"/>
  <c r="AX675" i="4"/>
  <c r="AW675" i="4"/>
  <c r="AV675" i="4"/>
  <c r="AL675" i="4"/>
  <c r="AK675" i="4"/>
  <c r="AJ675" i="4"/>
  <c r="AI675" i="4"/>
  <c r="AH675" i="4"/>
  <c r="AG675" i="4"/>
  <c r="AF675" i="4"/>
  <c r="AE675" i="4"/>
  <c r="AD675" i="4"/>
  <c r="AC675" i="4"/>
  <c r="AB675" i="4"/>
  <c r="AA675" i="4"/>
  <c r="T675" i="4"/>
  <c r="R675" i="4"/>
  <c r="S675" i="4" s="1"/>
  <c r="BT674" i="4"/>
  <c r="BS674" i="4"/>
  <c r="BR674" i="4"/>
  <c r="BQ674" i="4"/>
  <c r="BP674" i="4"/>
  <c r="BO674" i="4"/>
  <c r="BN674" i="4"/>
  <c r="BM674" i="4"/>
  <c r="BL674" i="4"/>
  <c r="BK674" i="4"/>
  <c r="BJ674" i="4"/>
  <c r="BI674" i="4"/>
  <c r="BG674" i="4"/>
  <c r="BF674" i="4"/>
  <c r="BE674" i="4"/>
  <c r="BD674" i="4"/>
  <c r="BC674" i="4"/>
  <c r="BB674" i="4"/>
  <c r="BA674" i="4"/>
  <c r="AZ674" i="4"/>
  <c r="AY674" i="4"/>
  <c r="AX674" i="4"/>
  <c r="AW674" i="4"/>
  <c r="AV674" i="4"/>
  <c r="AL674" i="4"/>
  <c r="AK674" i="4"/>
  <c r="AJ674" i="4"/>
  <c r="AI674" i="4"/>
  <c r="AH674" i="4"/>
  <c r="AG674" i="4"/>
  <c r="AF674" i="4"/>
  <c r="AE674" i="4"/>
  <c r="AD674" i="4"/>
  <c r="AC674" i="4"/>
  <c r="AB674" i="4"/>
  <c r="AA674" i="4"/>
  <c r="R674" i="4"/>
  <c r="BT673" i="4"/>
  <c r="BS673" i="4"/>
  <c r="BR673" i="4"/>
  <c r="BQ673" i="4"/>
  <c r="BP673" i="4"/>
  <c r="BO673" i="4"/>
  <c r="BN673" i="4"/>
  <c r="BM673" i="4"/>
  <c r="BL673" i="4"/>
  <c r="BK673" i="4"/>
  <c r="BJ673" i="4"/>
  <c r="BI673" i="4"/>
  <c r="BG673" i="4"/>
  <c r="BF673" i="4"/>
  <c r="BE673" i="4"/>
  <c r="BD673" i="4"/>
  <c r="BC673" i="4"/>
  <c r="BB673" i="4"/>
  <c r="BA673" i="4"/>
  <c r="AZ673" i="4"/>
  <c r="AY673" i="4"/>
  <c r="AX673" i="4"/>
  <c r="AW673" i="4"/>
  <c r="AV673" i="4"/>
  <c r="AL673" i="4"/>
  <c r="AK673" i="4"/>
  <c r="AJ673" i="4"/>
  <c r="AI673" i="4"/>
  <c r="AH673" i="4"/>
  <c r="AG673" i="4"/>
  <c r="AF673" i="4"/>
  <c r="AE673" i="4"/>
  <c r="AD673" i="4"/>
  <c r="AC673" i="4"/>
  <c r="AB673" i="4"/>
  <c r="AA673" i="4"/>
  <c r="R673" i="4"/>
  <c r="BT672" i="4"/>
  <c r="BS672" i="4"/>
  <c r="BR672" i="4"/>
  <c r="BQ672" i="4"/>
  <c r="BP672" i="4"/>
  <c r="BO672" i="4"/>
  <c r="BN672" i="4"/>
  <c r="BM672" i="4"/>
  <c r="BL672" i="4"/>
  <c r="BK672" i="4"/>
  <c r="BJ672" i="4"/>
  <c r="BI672" i="4"/>
  <c r="BG672" i="4"/>
  <c r="BF672" i="4"/>
  <c r="BE672" i="4"/>
  <c r="BD672" i="4"/>
  <c r="BC672" i="4"/>
  <c r="BB672" i="4"/>
  <c r="BA672" i="4"/>
  <c r="AZ672" i="4"/>
  <c r="AY672" i="4"/>
  <c r="AX672" i="4"/>
  <c r="AW672" i="4"/>
  <c r="AV672" i="4"/>
  <c r="AL672" i="4"/>
  <c r="AK672" i="4"/>
  <c r="AJ672" i="4"/>
  <c r="AI672" i="4"/>
  <c r="AH672" i="4"/>
  <c r="AG672" i="4"/>
  <c r="AF672" i="4"/>
  <c r="AE672" i="4"/>
  <c r="AD672" i="4"/>
  <c r="AC672" i="4"/>
  <c r="AB672" i="4"/>
  <c r="AA672" i="4"/>
  <c r="R672" i="4"/>
  <c r="BT671" i="4"/>
  <c r="BS671" i="4"/>
  <c r="BR671" i="4"/>
  <c r="BQ671" i="4"/>
  <c r="BP671" i="4"/>
  <c r="BO671" i="4"/>
  <c r="BN671" i="4"/>
  <c r="BM671" i="4"/>
  <c r="BL671" i="4"/>
  <c r="BK671" i="4"/>
  <c r="BJ671" i="4"/>
  <c r="BI671" i="4"/>
  <c r="BG671" i="4"/>
  <c r="BF671" i="4"/>
  <c r="BE671" i="4"/>
  <c r="BD671" i="4"/>
  <c r="BC671" i="4"/>
  <c r="BB671" i="4"/>
  <c r="BA671" i="4"/>
  <c r="AZ671" i="4"/>
  <c r="AY671" i="4"/>
  <c r="AX671" i="4"/>
  <c r="AW671" i="4"/>
  <c r="AV671" i="4"/>
  <c r="AL671" i="4"/>
  <c r="AK671" i="4"/>
  <c r="AJ671" i="4"/>
  <c r="AI671" i="4"/>
  <c r="AH671" i="4"/>
  <c r="AG671" i="4"/>
  <c r="AF671" i="4"/>
  <c r="AE671" i="4"/>
  <c r="AD671" i="4"/>
  <c r="AC671" i="4"/>
  <c r="AB671" i="4"/>
  <c r="AA671" i="4"/>
  <c r="S671" i="4"/>
  <c r="T671" i="4" s="1"/>
  <c r="R671" i="4"/>
  <c r="Q668" i="4"/>
  <c r="Q683" i="4" s="1"/>
  <c r="P668" i="4"/>
  <c r="P683" i="4" s="1"/>
  <c r="O668" i="4"/>
  <c r="O683" i="4" s="1"/>
  <c r="N668" i="4"/>
  <c r="M668" i="4"/>
  <c r="M683" i="4" s="1"/>
  <c r="L668" i="4"/>
  <c r="H668" i="4"/>
  <c r="H683" i="4" s="1"/>
  <c r="H687" i="4" s="1"/>
  <c r="AR685" i="4" s="1"/>
  <c r="E668" i="4"/>
  <c r="BO666" i="4"/>
  <c r="BB666" i="4" s="1"/>
  <c r="AN666" i="4"/>
  <c r="AL666" i="4"/>
  <c r="AK666" i="4"/>
  <c r="AJ666" i="4"/>
  <c r="AI666" i="4"/>
  <c r="AH666" i="4"/>
  <c r="AG666" i="4"/>
  <c r="AF666" i="4"/>
  <c r="AE666" i="4"/>
  <c r="AD666" i="4"/>
  <c r="AC666" i="4"/>
  <c r="AB666" i="4"/>
  <c r="AA666" i="4"/>
  <c r="Y666" i="4"/>
  <c r="I666" i="4"/>
  <c r="J666" i="4" s="1"/>
  <c r="D666" i="4"/>
  <c r="BK666" i="4" s="1"/>
  <c r="AX666" i="4" s="1"/>
  <c r="BT665" i="4"/>
  <c r="BS665" i="4"/>
  <c r="BR665" i="4"/>
  <c r="BQ665" i="4"/>
  <c r="BP665" i="4"/>
  <c r="BO665" i="4"/>
  <c r="BN665" i="4"/>
  <c r="BM665" i="4"/>
  <c r="BL665" i="4"/>
  <c r="BK665" i="4"/>
  <c r="BJ665" i="4"/>
  <c r="AO665" i="4" s="1"/>
  <c r="BI665" i="4"/>
  <c r="BG665" i="4"/>
  <c r="BF665" i="4"/>
  <c r="BE665" i="4"/>
  <c r="BD665" i="4"/>
  <c r="BC665" i="4"/>
  <c r="BB665" i="4"/>
  <c r="BA665" i="4"/>
  <c r="AZ665" i="4"/>
  <c r="AY665" i="4"/>
  <c r="AX665" i="4"/>
  <c r="AW665" i="4"/>
  <c r="AV665" i="4"/>
  <c r="AL665" i="4"/>
  <c r="AK665" i="4"/>
  <c r="AJ665" i="4"/>
  <c r="AI665" i="4"/>
  <c r="AH665" i="4"/>
  <c r="AG665" i="4"/>
  <c r="AF665" i="4"/>
  <c r="AE665" i="4"/>
  <c r="AD665" i="4"/>
  <c r="AC665" i="4"/>
  <c r="AB665" i="4"/>
  <c r="AA665" i="4"/>
  <c r="S665" i="4"/>
  <c r="R665" i="4"/>
  <c r="BT664" i="4"/>
  <c r="BS664" i="4"/>
  <c r="BR664" i="4"/>
  <c r="BQ664" i="4"/>
  <c r="BP664" i="4"/>
  <c r="BO664" i="4"/>
  <c r="BN664" i="4"/>
  <c r="BM664" i="4"/>
  <c r="BL664" i="4"/>
  <c r="BK664" i="4"/>
  <c r="BJ664" i="4"/>
  <c r="BI664" i="4"/>
  <c r="BG664" i="4"/>
  <c r="BF664" i="4"/>
  <c r="BE664" i="4"/>
  <c r="BD664" i="4"/>
  <c r="BC664" i="4"/>
  <c r="BB664" i="4"/>
  <c r="BA664" i="4"/>
  <c r="AZ664" i="4"/>
  <c r="AY664" i="4"/>
  <c r="AX664" i="4"/>
  <c r="AW664" i="4"/>
  <c r="AV664" i="4"/>
  <c r="AL664" i="4"/>
  <c r="AK664" i="4"/>
  <c r="AJ664" i="4"/>
  <c r="AI664" i="4"/>
  <c r="AH664" i="4"/>
  <c r="AG664" i="4"/>
  <c r="AF664" i="4"/>
  <c r="AE664" i="4"/>
  <c r="AD664" i="4"/>
  <c r="AC664" i="4"/>
  <c r="AB664" i="4"/>
  <c r="AA664" i="4"/>
  <c r="R664" i="4"/>
  <c r="BT663" i="4"/>
  <c r="BS663" i="4"/>
  <c r="BR663" i="4"/>
  <c r="BQ663" i="4"/>
  <c r="BP663" i="4"/>
  <c r="BO663" i="4"/>
  <c r="BN663" i="4"/>
  <c r="BM663" i="4"/>
  <c r="BL663" i="4"/>
  <c r="BK663" i="4"/>
  <c r="BJ663" i="4"/>
  <c r="BI663" i="4"/>
  <c r="AO663" i="4" s="1"/>
  <c r="BG663" i="4"/>
  <c r="BF663" i="4"/>
  <c r="BE663" i="4"/>
  <c r="BD663" i="4"/>
  <c r="BC663" i="4"/>
  <c r="BB663" i="4"/>
  <c r="BA663" i="4"/>
  <c r="AZ663" i="4"/>
  <c r="AY663" i="4"/>
  <c r="AX663" i="4"/>
  <c r="AW663" i="4"/>
  <c r="AV663" i="4"/>
  <c r="AL663" i="4"/>
  <c r="AK663" i="4"/>
  <c r="AJ663" i="4"/>
  <c r="AI663" i="4"/>
  <c r="AH663" i="4"/>
  <c r="AG663" i="4"/>
  <c r="AF663" i="4"/>
  <c r="AE663" i="4"/>
  <c r="AD663" i="4"/>
  <c r="AC663" i="4"/>
  <c r="AB663" i="4"/>
  <c r="AA663" i="4"/>
  <c r="R663" i="4"/>
  <c r="S663" i="4" s="1"/>
  <c r="BT662" i="4"/>
  <c r="BS662" i="4"/>
  <c r="BR662" i="4"/>
  <c r="BQ662" i="4"/>
  <c r="BP662" i="4"/>
  <c r="BO662" i="4"/>
  <c r="BN662" i="4"/>
  <c r="BM662" i="4"/>
  <c r="BL662" i="4"/>
  <c r="BK662" i="4"/>
  <c r="BJ662" i="4"/>
  <c r="BI662" i="4"/>
  <c r="AO662" i="4" s="1"/>
  <c r="BG662" i="4"/>
  <c r="BF662" i="4"/>
  <c r="BE662" i="4"/>
  <c r="BD662" i="4"/>
  <c r="BC662" i="4"/>
  <c r="BB662" i="4"/>
  <c r="BA662" i="4"/>
  <c r="AZ662" i="4"/>
  <c r="AY662" i="4"/>
  <c r="AX662" i="4"/>
  <c r="AW662" i="4"/>
  <c r="AV662" i="4"/>
  <c r="AL662" i="4"/>
  <c r="AK662" i="4"/>
  <c r="AJ662" i="4"/>
  <c r="AI662" i="4"/>
  <c r="AH662" i="4"/>
  <c r="AG662" i="4"/>
  <c r="AF662" i="4"/>
  <c r="AE662" i="4"/>
  <c r="AD662" i="4"/>
  <c r="AC662" i="4"/>
  <c r="AB662" i="4"/>
  <c r="AA662" i="4"/>
  <c r="R662" i="4"/>
  <c r="BT661" i="4"/>
  <c r="BS661" i="4"/>
  <c r="BR661" i="4"/>
  <c r="BQ661" i="4"/>
  <c r="BP661" i="4"/>
  <c r="BO661" i="4"/>
  <c r="BN661" i="4"/>
  <c r="BM661" i="4"/>
  <c r="BL661" i="4"/>
  <c r="BK661" i="4"/>
  <c r="BJ661" i="4"/>
  <c r="BI661" i="4"/>
  <c r="BG661" i="4"/>
  <c r="BF661" i="4"/>
  <c r="BE661" i="4"/>
  <c r="BD661" i="4"/>
  <c r="BC661" i="4"/>
  <c r="BB661" i="4"/>
  <c r="BA661" i="4"/>
  <c r="AZ661" i="4"/>
  <c r="AY661" i="4"/>
  <c r="AX661" i="4"/>
  <c r="AW661" i="4"/>
  <c r="AV661" i="4"/>
  <c r="AL661" i="4"/>
  <c r="AK661" i="4"/>
  <c r="AJ661" i="4"/>
  <c r="AI661" i="4"/>
  <c r="AH661" i="4"/>
  <c r="AG661" i="4"/>
  <c r="AF661" i="4"/>
  <c r="AE661" i="4"/>
  <c r="AD661" i="4"/>
  <c r="AC661" i="4"/>
  <c r="AB661" i="4"/>
  <c r="AA661" i="4"/>
  <c r="R661" i="4"/>
  <c r="S661" i="4" s="1"/>
  <c r="BT660" i="4"/>
  <c r="BS660" i="4"/>
  <c r="BR660" i="4"/>
  <c r="BQ660" i="4"/>
  <c r="BP660" i="4"/>
  <c r="BO660" i="4"/>
  <c r="BO668" i="4" s="1"/>
  <c r="BN660" i="4"/>
  <c r="BM660" i="4"/>
  <c r="BL660" i="4"/>
  <c r="BK660" i="4"/>
  <c r="BK668" i="4" s="1"/>
  <c r="BJ660" i="4"/>
  <c r="BI660" i="4"/>
  <c r="BG660" i="4"/>
  <c r="BF660" i="4"/>
  <c r="BE660" i="4"/>
  <c r="BD660" i="4"/>
  <c r="BC660" i="4"/>
  <c r="BB660" i="4"/>
  <c r="BB668" i="4" s="1"/>
  <c r="BA660" i="4"/>
  <c r="AZ660" i="4"/>
  <c r="AY660" i="4"/>
  <c r="AX660" i="4"/>
  <c r="AX668" i="4" s="1"/>
  <c r="AW660" i="4"/>
  <c r="AV660" i="4"/>
  <c r="AL660" i="4"/>
  <c r="AK660" i="4"/>
  <c r="AK668" i="4" s="1"/>
  <c r="AJ660" i="4"/>
  <c r="AI660" i="4"/>
  <c r="AH660" i="4"/>
  <c r="AG660" i="4"/>
  <c r="AF660" i="4"/>
  <c r="AE660" i="4"/>
  <c r="AD660" i="4"/>
  <c r="AC660" i="4"/>
  <c r="AB660" i="4"/>
  <c r="AA660" i="4"/>
  <c r="R660" i="4"/>
  <c r="Q648" i="4"/>
  <c r="P648" i="4"/>
  <c r="O648" i="4"/>
  <c r="N648" i="4"/>
  <c r="M648" i="4"/>
  <c r="L648" i="4"/>
  <c r="H648" i="4"/>
  <c r="E648" i="4"/>
  <c r="BS646" i="4"/>
  <c r="BF646" i="4" s="1"/>
  <c r="AN646" i="4"/>
  <c r="AL646" i="4"/>
  <c r="AK646" i="4"/>
  <c r="AJ646" i="4"/>
  <c r="AI646" i="4"/>
  <c r="AH646" i="4"/>
  <c r="AG646" i="4"/>
  <c r="AF646" i="4"/>
  <c r="AE646" i="4"/>
  <c r="AD646" i="4"/>
  <c r="AC646" i="4"/>
  <c r="AB646" i="4"/>
  <c r="AA646" i="4"/>
  <c r="Y646" i="4"/>
  <c r="D646" i="4"/>
  <c r="BT645" i="4"/>
  <c r="BS645" i="4"/>
  <c r="BR645" i="4"/>
  <c r="BQ645" i="4"/>
  <c r="BP645" i="4"/>
  <c r="BO645" i="4"/>
  <c r="BN645" i="4"/>
  <c r="BM645" i="4"/>
  <c r="BL645" i="4"/>
  <c r="BK645" i="4"/>
  <c r="BJ645" i="4"/>
  <c r="BI645" i="4"/>
  <c r="BG645" i="4"/>
  <c r="BF645" i="4"/>
  <c r="BE645" i="4"/>
  <c r="BD645" i="4"/>
  <c r="BC645" i="4"/>
  <c r="BB645" i="4"/>
  <c r="BA645" i="4"/>
  <c r="AZ645" i="4"/>
  <c r="AY645" i="4"/>
  <c r="AX645" i="4"/>
  <c r="AW645" i="4"/>
  <c r="AV645" i="4"/>
  <c r="AL645" i="4"/>
  <c r="AK645" i="4"/>
  <c r="AJ645" i="4"/>
  <c r="AI645" i="4"/>
  <c r="AH645" i="4"/>
  <c r="AG645" i="4"/>
  <c r="AF645" i="4"/>
  <c r="AE645" i="4"/>
  <c r="AD645" i="4"/>
  <c r="AC645" i="4"/>
  <c r="AB645" i="4"/>
  <c r="AA645" i="4"/>
  <c r="R645" i="4"/>
  <c r="S645" i="4" s="1"/>
  <c r="BT644" i="4"/>
  <c r="BN644" i="4"/>
  <c r="AO644" i="4" s="1"/>
  <c r="BG644" i="4"/>
  <c r="BF644" i="4"/>
  <c r="BE644" i="4"/>
  <c r="BD644" i="4"/>
  <c r="BC644" i="4"/>
  <c r="BB644" i="4"/>
  <c r="AZ644" i="4"/>
  <c r="AY644" i="4"/>
  <c r="AX644" i="4"/>
  <c r="AW644" i="4"/>
  <c r="AV644" i="4"/>
  <c r="AL644" i="4"/>
  <c r="AK644" i="4"/>
  <c r="AJ644" i="4"/>
  <c r="AI644" i="4"/>
  <c r="AH644" i="4"/>
  <c r="AG644" i="4"/>
  <c r="AF644" i="4"/>
  <c r="AE644" i="4"/>
  <c r="AD644" i="4"/>
  <c r="AC644" i="4"/>
  <c r="AB644" i="4"/>
  <c r="AA644" i="4"/>
  <c r="R644" i="4"/>
  <c r="BT643" i="4"/>
  <c r="BS643" i="4"/>
  <c r="BR643" i="4"/>
  <c r="BQ643" i="4"/>
  <c r="BP643" i="4"/>
  <c r="BO643" i="4"/>
  <c r="BN643" i="4"/>
  <c r="BM643" i="4"/>
  <c r="BL643" i="4"/>
  <c r="BK643" i="4"/>
  <c r="BJ643" i="4"/>
  <c r="BI643" i="4"/>
  <c r="BG643" i="4"/>
  <c r="BF643" i="4"/>
  <c r="BE643" i="4"/>
  <c r="BD643" i="4"/>
  <c r="BC643" i="4"/>
  <c r="BB643" i="4"/>
  <c r="BA643" i="4"/>
  <c r="AZ643" i="4"/>
  <c r="AY643" i="4"/>
  <c r="AX643" i="4"/>
  <c r="AW643" i="4"/>
  <c r="AV643" i="4"/>
  <c r="AL643" i="4"/>
  <c r="AK643" i="4"/>
  <c r="AJ643" i="4"/>
  <c r="AI643" i="4"/>
  <c r="AH643" i="4"/>
  <c r="AG643" i="4"/>
  <c r="AF643" i="4"/>
  <c r="AE643" i="4"/>
  <c r="AD643" i="4"/>
  <c r="AC643" i="4"/>
  <c r="AB643" i="4"/>
  <c r="AA643" i="4"/>
  <c r="R643" i="4"/>
  <c r="S643" i="4" s="1"/>
  <c r="BT642" i="4"/>
  <c r="BS642" i="4"/>
  <c r="BR642" i="4"/>
  <c r="BQ642" i="4"/>
  <c r="BP642" i="4"/>
  <c r="BO642" i="4"/>
  <c r="BN642" i="4"/>
  <c r="BM642" i="4"/>
  <c r="BL642" i="4"/>
  <c r="BK642" i="4"/>
  <c r="AO642" i="4" s="1"/>
  <c r="BJ642" i="4"/>
  <c r="BI642" i="4"/>
  <c r="BG642" i="4"/>
  <c r="BF642" i="4"/>
  <c r="BE642" i="4"/>
  <c r="BD642" i="4"/>
  <c r="BC642" i="4"/>
  <c r="BB642" i="4"/>
  <c r="BA642" i="4"/>
  <c r="AZ642" i="4"/>
  <c r="AY642" i="4"/>
  <c r="AX642" i="4"/>
  <c r="AW642" i="4"/>
  <c r="AV642" i="4"/>
  <c r="AL642" i="4"/>
  <c r="AK642" i="4"/>
  <c r="AJ642" i="4"/>
  <c r="AI642" i="4"/>
  <c r="AH642" i="4"/>
  <c r="AG642" i="4"/>
  <c r="AF642" i="4"/>
  <c r="AE642" i="4"/>
  <c r="AD642" i="4"/>
  <c r="AC642" i="4"/>
  <c r="AB642" i="4"/>
  <c r="AA642" i="4"/>
  <c r="R642" i="4"/>
  <c r="BT641" i="4"/>
  <c r="BS641" i="4"/>
  <c r="BR641" i="4"/>
  <c r="BQ641" i="4"/>
  <c r="BP641" i="4"/>
  <c r="BO641" i="4"/>
  <c r="BN641" i="4"/>
  <c r="BM641" i="4"/>
  <c r="BL641" i="4"/>
  <c r="BK641" i="4"/>
  <c r="BJ641" i="4"/>
  <c r="BI641" i="4"/>
  <c r="AR641" i="4" s="1"/>
  <c r="BG641" i="4"/>
  <c r="BF641" i="4"/>
  <c r="BE641" i="4"/>
  <c r="BD641" i="4"/>
  <c r="BC641" i="4"/>
  <c r="BB641" i="4"/>
  <c r="BA641" i="4"/>
  <c r="AZ641" i="4"/>
  <c r="AY641" i="4"/>
  <c r="AX641" i="4"/>
  <c r="AW641" i="4"/>
  <c r="AV641" i="4"/>
  <c r="AL641" i="4"/>
  <c r="AK641" i="4"/>
  <c r="AJ641" i="4"/>
  <c r="AI641" i="4"/>
  <c r="AH641" i="4"/>
  <c r="AG641" i="4"/>
  <c r="AF641" i="4"/>
  <c r="AE641" i="4"/>
  <c r="AD641" i="4"/>
  <c r="AC641" i="4"/>
  <c r="AB641" i="4"/>
  <c r="AA641" i="4"/>
  <c r="S641" i="4"/>
  <c r="R641" i="4"/>
  <c r="BT640" i="4"/>
  <c r="BS640" i="4"/>
  <c r="BR640" i="4"/>
  <c r="BQ640" i="4"/>
  <c r="BP640" i="4"/>
  <c r="BO640" i="4"/>
  <c r="BN640" i="4"/>
  <c r="BM640" i="4"/>
  <c r="BL640" i="4"/>
  <c r="BK640" i="4"/>
  <c r="BJ640" i="4"/>
  <c r="BI640" i="4"/>
  <c r="BG640" i="4"/>
  <c r="BF640" i="4"/>
  <c r="BE640" i="4"/>
  <c r="BD640" i="4"/>
  <c r="BC640" i="4"/>
  <c r="BB640" i="4"/>
  <c r="BA640" i="4"/>
  <c r="AZ640" i="4"/>
  <c r="AY640" i="4"/>
  <c r="AX640" i="4"/>
  <c r="AW640" i="4"/>
  <c r="AV640" i="4"/>
  <c r="AL640" i="4"/>
  <c r="AK640" i="4"/>
  <c r="AJ640" i="4"/>
  <c r="AI640" i="4"/>
  <c r="AH640" i="4"/>
  <c r="AG640" i="4"/>
  <c r="AF640" i="4"/>
  <c r="AE640" i="4"/>
  <c r="AD640" i="4"/>
  <c r="AC640" i="4"/>
  <c r="AB640" i="4"/>
  <c r="AA640" i="4"/>
  <c r="R640" i="4"/>
  <c r="BG639" i="4"/>
  <c r="BF639" i="4"/>
  <c r="BE639" i="4"/>
  <c r="BD639" i="4"/>
  <c r="BC639" i="4"/>
  <c r="BB639" i="4"/>
  <c r="BA639" i="4"/>
  <c r="AZ639" i="4"/>
  <c r="AY639" i="4"/>
  <c r="AX639" i="4"/>
  <c r="AW639" i="4"/>
  <c r="AV639" i="4"/>
  <c r="AR639" i="4"/>
  <c r="AO639" i="4"/>
  <c r="AS639" i="4" s="1"/>
  <c r="AT639" i="4" s="1"/>
  <c r="AL639" i="4"/>
  <c r="AK639" i="4"/>
  <c r="AJ639" i="4"/>
  <c r="AI639" i="4"/>
  <c r="AH639" i="4"/>
  <c r="AG639" i="4"/>
  <c r="AF639" i="4"/>
  <c r="AE639" i="4"/>
  <c r="AD639" i="4"/>
  <c r="AC639" i="4"/>
  <c r="AB639" i="4"/>
  <c r="AA639" i="4"/>
  <c r="R639" i="4"/>
  <c r="S639" i="4" s="1"/>
  <c r="BG638" i="4"/>
  <c r="BF638" i="4"/>
  <c r="BE638" i="4"/>
  <c r="BD638" i="4"/>
  <c r="BC638" i="4"/>
  <c r="BB638" i="4"/>
  <c r="BA638" i="4"/>
  <c r="AZ638" i="4"/>
  <c r="AY638" i="4"/>
  <c r="AX638" i="4"/>
  <c r="AW638" i="4"/>
  <c r="AV638" i="4"/>
  <c r="AR638" i="4"/>
  <c r="AO638" i="4"/>
  <c r="AL638" i="4"/>
  <c r="AK638" i="4"/>
  <c r="AJ638" i="4"/>
  <c r="AI638" i="4"/>
  <c r="AH638" i="4"/>
  <c r="AG638" i="4"/>
  <c r="AF638" i="4"/>
  <c r="AE638" i="4"/>
  <c r="AD638" i="4"/>
  <c r="AC638" i="4"/>
  <c r="AB638" i="4"/>
  <c r="AA638" i="4"/>
  <c r="R638" i="4"/>
  <c r="BT637" i="4"/>
  <c r="BS637" i="4"/>
  <c r="BR637" i="4"/>
  <c r="BQ637" i="4"/>
  <c r="BP637" i="4"/>
  <c r="BO637" i="4"/>
  <c r="BN637" i="4"/>
  <c r="BM637" i="4"/>
  <c r="BL637" i="4"/>
  <c r="BK637" i="4"/>
  <c r="BJ637" i="4"/>
  <c r="BI637" i="4"/>
  <c r="BG637" i="4"/>
  <c r="BF637" i="4"/>
  <c r="BE637" i="4"/>
  <c r="BD637" i="4"/>
  <c r="BC637" i="4"/>
  <c r="BB637" i="4"/>
  <c r="BA637" i="4"/>
  <c r="AZ637" i="4"/>
  <c r="AY637" i="4"/>
  <c r="AX637" i="4"/>
  <c r="AW637" i="4"/>
  <c r="AV637" i="4"/>
  <c r="AR637" i="4"/>
  <c r="AL637" i="4"/>
  <c r="AK637" i="4"/>
  <c r="AJ637" i="4"/>
  <c r="AI637" i="4"/>
  <c r="AH637" i="4"/>
  <c r="AG637" i="4"/>
  <c r="AF637" i="4"/>
  <c r="AE637" i="4"/>
  <c r="AD637" i="4"/>
  <c r="AC637" i="4"/>
  <c r="AB637" i="4"/>
  <c r="AA637" i="4"/>
  <c r="R637" i="4"/>
  <c r="S637" i="4" s="1"/>
  <c r="BT636" i="4"/>
  <c r="BS636" i="4"/>
  <c r="BR636" i="4"/>
  <c r="BQ636" i="4"/>
  <c r="BP636" i="4"/>
  <c r="BO636" i="4"/>
  <c r="BN636" i="4"/>
  <c r="BM636" i="4"/>
  <c r="BL636" i="4"/>
  <c r="BK636" i="4"/>
  <c r="BJ636" i="4"/>
  <c r="BI636" i="4"/>
  <c r="BG636" i="4"/>
  <c r="BF636" i="4"/>
  <c r="BE636" i="4"/>
  <c r="BD636" i="4"/>
  <c r="BC636" i="4"/>
  <c r="BB636" i="4"/>
  <c r="BA636" i="4"/>
  <c r="AZ636" i="4"/>
  <c r="AY636" i="4"/>
  <c r="AX636" i="4"/>
  <c r="AW636" i="4"/>
  <c r="AV636" i="4"/>
  <c r="AL636" i="4"/>
  <c r="AK636" i="4"/>
  <c r="AJ636" i="4"/>
  <c r="AI636" i="4"/>
  <c r="AH636" i="4"/>
  <c r="AG636" i="4"/>
  <c r="AF636" i="4"/>
  <c r="AE636" i="4"/>
  <c r="AD636" i="4"/>
  <c r="AC636" i="4"/>
  <c r="AB636" i="4"/>
  <c r="AA636" i="4"/>
  <c r="R636" i="4"/>
  <c r="BT635" i="4"/>
  <c r="BS635" i="4"/>
  <c r="BR635" i="4"/>
  <c r="BQ635" i="4"/>
  <c r="BP635" i="4"/>
  <c r="BO635" i="4"/>
  <c r="BN635" i="4"/>
  <c r="BM635" i="4"/>
  <c r="BL635" i="4"/>
  <c r="AR635" i="4" s="1"/>
  <c r="BK635" i="4"/>
  <c r="BJ635" i="4"/>
  <c r="BI635" i="4"/>
  <c r="BG635" i="4"/>
  <c r="BF635" i="4"/>
  <c r="BE635" i="4"/>
  <c r="BD635" i="4"/>
  <c r="BC635" i="4"/>
  <c r="BB635" i="4"/>
  <c r="BA635" i="4"/>
  <c r="AZ635" i="4"/>
  <c r="AY635" i="4"/>
  <c r="AX635" i="4"/>
  <c r="AW635" i="4"/>
  <c r="AV635" i="4"/>
  <c r="AL635" i="4"/>
  <c r="AK635" i="4"/>
  <c r="AJ635" i="4"/>
  <c r="AI635" i="4"/>
  <c r="AH635" i="4"/>
  <c r="AG635" i="4"/>
  <c r="AF635" i="4"/>
  <c r="AE635" i="4"/>
  <c r="AD635" i="4"/>
  <c r="AC635" i="4"/>
  <c r="AB635" i="4"/>
  <c r="AA635" i="4"/>
  <c r="S635" i="4"/>
  <c r="R635" i="4"/>
  <c r="BT634" i="4"/>
  <c r="BS634" i="4"/>
  <c r="BR634" i="4"/>
  <c r="BQ634" i="4"/>
  <c r="BP634" i="4"/>
  <c r="BO634" i="4"/>
  <c r="BN634" i="4"/>
  <c r="BM634" i="4"/>
  <c r="BL634" i="4"/>
  <c r="BK634" i="4"/>
  <c r="BJ634" i="4"/>
  <c r="AO634" i="4" s="1"/>
  <c r="BI634" i="4"/>
  <c r="BG634" i="4"/>
  <c r="BF634" i="4"/>
  <c r="BE634" i="4"/>
  <c r="BD634" i="4"/>
  <c r="BC634" i="4"/>
  <c r="BB634" i="4"/>
  <c r="BA634" i="4"/>
  <c r="AZ634" i="4"/>
  <c r="AY634" i="4"/>
  <c r="AX634" i="4"/>
  <c r="AW634" i="4"/>
  <c r="AV634" i="4"/>
  <c r="AL634" i="4"/>
  <c r="AK634" i="4"/>
  <c r="AJ634" i="4"/>
  <c r="AI634" i="4"/>
  <c r="AH634" i="4"/>
  <c r="AG634" i="4"/>
  <c r="AF634" i="4"/>
  <c r="AE634" i="4"/>
  <c r="AD634" i="4"/>
  <c r="AC634" i="4"/>
  <c r="AB634" i="4"/>
  <c r="AA634" i="4"/>
  <c r="R634" i="4"/>
  <c r="Q630" i="4"/>
  <c r="Q650" i="4" s="1"/>
  <c r="P630" i="4"/>
  <c r="P650" i="4" s="1"/>
  <c r="O630" i="4"/>
  <c r="O650" i="4" s="1"/>
  <c r="N630" i="4"/>
  <c r="N650" i="4" s="1"/>
  <c r="M630" i="4"/>
  <c r="M650" i="4" s="1"/>
  <c r="L630" i="4"/>
  <c r="L650" i="4" s="1"/>
  <c r="H630" i="4"/>
  <c r="H650" i="4" s="1"/>
  <c r="H654" i="4" s="1"/>
  <c r="AR652" i="4" s="1"/>
  <c r="E630" i="4"/>
  <c r="E650" i="4" s="1"/>
  <c r="E654" i="4" s="1"/>
  <c r="AL628" i="4"/>
  <c r="AK628" i="4"/>
  <c r="AJ628" i="4"/>
  <c r="AI628" i="4"/>
  <c r="AH628" i="4"/>
  <c r="AG628" i="4"/>
  <c r="AF628" i="4"/>
  <c r="AE628" i="4"/>
  <c r="AD628" i="4"/>
  <c r="AC628" i="4"/>
  <c r="AB628" i="4"/>
  <c r="AA628" i="4"/>
  <c r="R628" i="4"/>
  <c r="AN627" i="4"/>
  <c r="AL627" i="4"/>
  <c r="AK627" i="4"/>
  <c r="AK630" i="4" s="1"/>
  <c r="AJ627" i="4"/>
  <c r="AJ630" i="4" s="1"/>
  <c r="AI627" i="4"/>
  <c r="AI630" i="4" s="1"/>
  <c r="AH627" i="4"/>
  <c r="AG627" i="4"/>
  <c r="AG630" i="4" s="1"/>
  <c r="AF627" i="4"/>
  <c r="AF630" i="4" s="1"/>
  <c r="AE627" i="4"/>
  <c r="AE630" i="4" s="1"/>
  <c r="AD627" i="4"/>
  <c r="AC627" i="4"/>
  <c r="AC630" i="4" s="1"/>
  <c r="AB627" i="4"/>
  <c r="AB630" i="4" s="1"/>
  <c r="AA627" i="4"/>
  <c r="AA630" i="4" s="1"/>
  <c r="Y627" i="4"/>
  <c r="D627" i="4"/>
  <c r="BT606" i="4"/>
  <c r="BI606" i="4"/>
  <c r="Q606" i="4"/>
  <c r="P606" i="4"/>
  <c r="O606" i="4"/>
  <c r="N606" i="4"/>
  <c r="M606" i="4"/>
  <c r="L606" i="4"/>
  <c r="H606" i="4"/>
  <c r="E606" i="4"/>
  <c r="BG597" i="4"/>
  <c r="BF597" i="4"/>
  <c r="BE597" i="4"/>
  <c r="BD597" i="4"/>
  <c r="BC597" i="4"/>
  <c r="BB597" i="4"/>
  <c r="BA597" i="4"/>
  <c r="AZ597" i="4"/>
  <c r="AY597" i="4"/>
  <c r="AX597" i="4"/>
  <c r="AW597" i="4"/>
  <c r="AV597" i="4"/>
  <c r="AR597" i="4"/>
  <c r="AO597" i="4"/>
  <c r="AL597" i="4"/>
  <c r="AK597" i="4"/>
  <c r="AJ597" i="4"/>
  <c r="AI597" i="4"/>
  <c r="AH597" i="4"/>
  <c r="AG597" i="4"/>
  <c r="AF597" i="4"/>
  <c r="AE597" i="4"/>
  <c r="AD597" i="4"/>
  <c r="AC597" i="4"/>
  <c r="AB597" i="4"/>
  <c r="AA597" i="4"/>
  <c r="R597" i="4"/>
  <c r="BG596" i="4"/>
  <c r="AV596" i="4"/>
  <c r="AL596" i="4"/>
  <c r="AK596" i="4"/>
  <c r="AJ596" i="4"/>
  <c r="AI596" i="4"/>
  <c r="AH596" i="4"/>
  <c r="AG596" i="4"/>
  <c r="AF596" i="4"/>
  <c r="AE596" i="4"/>
  <c r="AD596" i="4"/>
  <c r="AC596" i="4"/>
  <c r="AB596" i="4"/>
  <c r="AA596" i="4"/>
  <c r="R596" i="4"/>
  <c r="BG595" i="4"/>
  <c r="BF595" i="4"/>
  <c r="BE595" i="4"/>
  <c r="BD595" i="4"/>
  <c r="BC595" i="4"/>
  <c r="BB595" i="4"/>
  <c r="BA595" i="4"/>
  <c r="AZ595" i="4"/>
  <c r="AY595" i="4"/>
  <c r="AX595" i="4"/>
  <c r="AW595" i="4"/>
  <c r="AV595" i="4"/>
  <c r="AR595" i="4"/>
  <c r="AO595" i="4"/>
  <c r="AL595" i="4"/>
  <c r="AK595" i="4"/>
  <c r="AJ595" i="4"/>
  <c r="AI595" i="4"/>
  <c r="AH595" i="4"/>
  <c r="AG595" i="4"/>
  <c r="AF595" i="4"/>
  <c r="AE595" i="4"/>
  <c r="AD595" i="4"/>
  <c r="AC595" i="4"/>
  <c r="AB595" i="4"/>
  <c r="AA595" i="4"/>
  <c r="R595" i="4"/>
  <c r="BG594" i="4"/>
  <c r="AV594" i="4"/>
  <c r="AL594" i="4"/>
  <c r="AK594" i="4"/>
  <c r="AJ594" i="4"/>
  <c r="AI594" i="4"/>
  <c r="AH594" i="4"/>
  <c r="AG594" i="4"/>
  <c r="AF594" i="4"/>
  <c r="AE594" i="4"/>
  <c r="AD594" i="4"/>
  <c r="AC594" i="4"/>
  <c r="AB594" i="4"/>
  <c r="AA594" i="4"/>
  <c r="R594" i="4"/>
  <c r="BG593" i="4"/>
  <c r="BF593" i="4"/>
  <c r="BE593" i="4"/>
  <c r="BD593" i="4"/>
  <c r="BC593" i="4"/>
  <c r="BB593" i="4"/>
  <c r="BA593" i="4"/>
  <c r="AZ593" i="4"/>
  <c r="AY593" i="4"/>
  <c r="AX593" i="4"/>
  <c r="AW593" i="4"/>
  <c r="AV593" i="4"/>
  <c r="AR593" i="4"/>
  <c r="AO593" i="4"/>
  <c r="AL593" i="4"/>
  <c r="AK593" i="4"/>
  <c r="AJ593" i="4"/>
  <c r="AI593" i="4"/>
  <c r="AH593" i="4"/>
  <c r="AG593" i="4"/>
  <c r="AF593" i="4"/>
  <c r="AE593" i="4"/>
  <c r="AD593" i="4"/>
  <c r="AC593" i="4"/>
  <c r="AB593" i="4"/>
  <c r="AA593" i="4"/>
  <c r="R593" i="4"/>
  <c r="BG592" i="4"/>
  <c r="AV592" i="4"/>
  <c r="AL592" i="4"/>
  <c r="AK592" i="4"/>
  <c r="AJ592" i="4"/>
  <c r="AI592" i="4"/>
  <c r="AH592" i="4"/>
  <c r="AG592" i="4"/>
  <c r="AF592" i="4"/>
  <c r="AE592" i="4"/>
  <c r="AD592" i="4"/>
  <c r="AC592" i="4"/>
  <c r="AB592" i="4"/>
  <c r="AA592" i="4"/>
  <c r="R592" i="4"/>
  <c r="BG591" i="4"/>
  <c r="BF591" i="4"/>
  <c r="BE591" i="4"/>
  <c r="BD591" i="4"/>
  <c r="BC591" i="4"/>
  <c r="BB591" i="4"/>
  <c r="BA591" i="4"/>
  <c r="AZ591" i="4"/>
  <c r="AY591" i="4"/>
  <c r="AX591" i="4"/>
  <c r="AW591" i="4"/>
  <c r="AV591" i="4"/>
  <c r="AR591" i="4"/>
  <c r="AO591" i="4"/>
  <c r="AS591" i="4" s="1"/>
  <c r="AT591" i="4" s="1"/>
  <c r="AL591" i="4"/>
  <c r="AK591" i="4"/>
  <c r="AJ591" i="4"/>
  <c r="AI591" i="4"/>
  <c r="AH591" i="4"/>
  <c r="AG591" i="4"/>
  <c r="AF591" i="4"/>
  <c r="AE591" i="4"/>
  <c r="AD591" i="4"/>
  <c r="AC591" i="4"/>
  <c r="AB591" i="4"/>
  <c r="AA591" i="4"/>
  <c r="R591" i="4"/>
  <c r="BG590" i="4"/>
  <c r="BF590" i="4"/>
  <c r="BE590" i="4"/>
  <c r="BD590" i="4"/>
  <c r="BC590" i="4"/>
  <c r="BB590" i="4"/>
  <c r="BA590" i="4"/>
  <c r="AZ590" i="4"/>
  <c r="AY590" i="4"/>
  <c r="AX590" i="4"/>
  <c r="AW590" i="4"/>
  <c r="AV590" i="4"/>
  <c r="AR590" i="4"/>
  <c r="AO590" i="4"/>
  <c r="AL590" i="4"/>
  <c r="AK590" i="4"/>
  <c r="AJ590" i="4"/>
  <c r="AI590" i="4"/>
  <c r="AH590" i="4"/>
  <c r="AG590" i="4"/>
  <c r="AF590" i="4"/>
  <c r="AE590" i="4"/>
  <c r="AD590" i="4"/>
  <c r="AC590" i="4"/>
  <c r="AB590" i="4"/>
  <c r="AA590" i="4"/>
  <c r="S590" i="4"/>
  <c r="R590" i="4"/>
  <c r="BG589" i="4"/>
  <c r="AV589" i="4"/>
  <c r="AL589" i="4"/>
  <c r="AK589" i="4"/>
  <c r="AJ589" i="4"/>
  <c r="AI589" i="4"/>
  <c r="AH589" i="4"/>
  <c r="AG589" i="4"/>
  <c r="AF589" i="4"/>
  <c r="AE589" i="4"/>
  <c r="AD589" i="4"/>
  <c r="AC589" i="4"/>
  <c r="AB589" i="4"/>
  <c r="AA589" i="4"/>
  <c r="R589" i="4"/>
  <c r="Q585" i="4"/>
  <c r="Q608" i="4" s="1"/>
  <c r="P585" i="4"/>
  <c r="P608" i="4" s="1"/>
  <c r="O585" i="4"/>
  <c r="O608" i="4" s="1"/>
  <c r="N585" i="4"/>
  <c r="N608" i="4" s="1"/>
  <c r="M585" i="4"/>
  <c r="M608" i="4" s="1"/>
  <c r="L585" i="4"/>
  <c r="L608" i="4" s="1"/>
  <c r="H585" i="4"/>
  <c r="H608" i="4" s="1"/>
  <c r="H612" i="4" s="1"/>
  <c r="AR610" i="4" s="1"/>
  <c r="E585" i="4"/>
  <c r="E608" i="4" s="1"/>
  <c r="E612" i="4" s="1"/>
  <c r="Y584" i="4"/>
  <c r="BS583" i="4"/>
  <c r="BS585" i="4" s="1"/>
  <c r="BR583" i="4"/>
  <c r="BQ583" i="4"/>
  <c r="BQ585" i="4" s="1"/>
  <c r="BP583" i="4"/>
  <c r="BP585" i="4" s="1"/>
  <c r="BO583" i="4"/>
  <c r="BO585" i="4" s="1"/>
  <c r="BN583" i="4"/>
  <c r="BM583" i="4"/>
  <c r="BM585" i="4" s="1"/>
  <c r="BL583" i="4"/>
  <c r="BL585" i="4" s="1"/>
  <c r="BK583" i="4"/>
  <c r="BK585" i="4" s="1"/>
  <c r="BJ583" i="4"/>
  <c r="BI583" i="4"/>
  <c r="BI585" i="4" s="1"/>
  <c r="BI608" i="4" s="1"/>
  <c r="BF583" i="4"/>
  <c r="BF585" i="4" s="1"/>
  <c r="BD583" i="4"/>
  <c r="BD585" i="4" s="1"/>
  <c r="BC583" i="4"/>
  <c r="BC585" i="4" s="1"/>
  <c r="BB583" i="4"/>
  <c r="BB585" i="4" s="1"/>
  <c r="AZ583" i="4"/>
  <c r="AZ585" i="4" s="1"/>
  <c r="AY583" i="4"/>
  <c r="AY585" i="4" s="1"/>
  <c r="AX583" i="4"/>
  <c r="AX585" i="4" s="1"/>
  <c r="AV583" i="4"/>
  <c r="AV585" i="4" s="1"/>
  <c r="AL583" i="4"/>
  <c r="AL585" i="4" s="1"/>
  <c r="AK583" i="4"/>
  <c r="AK585" i="4" s="1"/>
  <c r="AJ583" i="4"/>
  <c r="AJ585" i="4" s="1"/>
  <c r="AI583" i="4"/>
  <c r="AI585" i="4" s="1"/>
  <c r="AH583" i="4"/>
  <c r="AH585" i="4" s="1"/>
  <c r="AG583" i="4"/>
  <c r="AG585" i="4" s="1"/>
  <c r="AF583" i="4"/>
  <c r="AF585" i="4" s="1"/>
  <c r="AE583" i="4"/>
  <c r="AE585" i="4" s="1"/>
  <c r="AD583" i="4"/>
  <c r="AD585" i="4" s="1"/>
  <c r="AC583" i="4"/>
  <c r="AC585" i="4" s="1"/>
  <c r="AB583" i="4"/>
  <c r="AB585" i="4" s="1"/>
  <c r="AA583" i="4"/>
  <c r="AA585" i="4" s="1"/>
  <c r="R583" i="4"/>
  <c r="Q564" i="4"/>
  <c r="P564" i="4"/>
  <c r="O564" i="4"/>
  <c r="N564" i="4"/>
  <c r="M564" i="4"/>
  <c r="L564" i="4"/>
  <c r="H564" i="4"/>
  <c r="E564" i="4"/>
  <c r="AR562" i="4"/>
  <c r="AL561" i="4"/>
  <c r="AK561" i="4"/>
  <c r="AJ561" i="4"/>
  <c r="AI561" i="4"/>
  <c r="AH561" i="4"/>
  <c r="AG561" i="4"/>
  <c r="AF561" i="4"/>
  <c r="AE561" i="4"/>
  <c r="AD561" i="4"/>
  <c r="AC561" i="4"/>
  <c r="AB561" i="4"/>
  <c r="AA561" i="4"/>
  <c r="R561" i="4"/>
  <c r="BT560" i="4"/>
  <c r="BS560" i="4"/>
  <c r="BR560" i="4"/>
  <c r="BQ560" i="4"/>
  <c r="BP560" i="4"/>
  <c r="BO560" i="4"/>
  <c r="BN560" i="4"/>
  <c r="BM560" i="4"/>
  <c r="BL560" i="4"/>
  <c r="BK560" i="4"/>
  <c r="BJ560" i="4"/>
  <c r="BI560" i="4"/>
  <c r="BG560" i="4"/>
  <c r="BF560" i="4"/>
  <c r="BE560" i="4"/>
  <c r="BD560" i="4"/>
  <c r="BC560" i="4"/>
  <c r="BB560" i="4"/>
  <c r="BA560" i="4"/>
  <c r="AZ560" i="4"/>
  <c r="AY560" i="4"/>
  <c r="AX560" i="4"/>
  <c r="AW560" i="4"/>
  <c r="AV560" i="4"/>
  <c r="AR560" i="4"/>
  <c r="AL560" i="4"/>
  <c r="AK560" i="4"/>
  <c r="AJ560" i="4"/>
  <c r="AI560" i="4"/>
  <c r="AH560" i="4"/>
  <c r="AG560" i="4"/>
  <c r="AF560" i="4"/>
  <c r="AE560" i="4"/>
  <c r="AD560" i="4"/>
  <c r="AC560" i="4"/>
  <c r="AB560" i="4"/>
  <c r="AA560" i="4"/>
  <c r="R560" i="4"/>
  <c r="BT559" i="4"/>
  <c r="BS559" i="4"/>
  <c r="BR559" i="4"/>
  <c r="BQ559" i="4"/>
  <c r="BP559" i="4"/>
  <c r="BO559" i="4"/>
  <c r="BN559" i="4"/>
  <c r="BM559" i="4"/>
  <c r="BL559" i="4"/>
  <c r="BK559" i="4"/>
  <c r="BJ559" i="4"/>
  <c r="BI559" i="4"/>
  <c r="BG559" i="4"/>
  <c r="BF559" i="4"/>
  <c r="BE559" i="4"/>
  <c r="BD559" i="4"/>
  <c r="BC559" i="4"/>
  <c r="BB559" i="4"/>
  <c r="BA559" i="4"/>
  <c r="AZ559" i="4"/>
  <c r="AY559" i="4"/>
  <c r="AX559" i="4"/>
  <c r="AW559" i="4"/>
  <c r="AV559" i="4"/>
  <c r="AL559" i="4"/>
  <c r="AK559" i="4"/>
  <c r="AJ559" i="4"/>
  <c r="AI559" i="4"/>
  <c r="AH559" i="4"/>
  <c r="AG559" i="4"/>
  <c r="AF559" i="4"/>
  <c r="AE559" i="4"/>
  <c r="AD559" i="4"/>
  <c r="AC559" i="4"/>
  <c r="AB559" i="4"/>
  <c r="AA559" i="4"/>
  <c r="R559" i="4"/>
  <c r="BT558" i="4"/>
  <c r="BS558" i="4"/>
  <c r="BR558" i="4"/>
  <c r="BQ558" i="4"/>
  <c r="BP558" i="4"/>
  <c r="BO558" i="4"/>
  <c r="BN558" i="4"/>
  <c r="BM558" i="4"/>
  <c r="BL558" i="4"/>
  <c r="BK558" i="4"/>
  <c r="BJ558" i="4"/>
  <c r="BI558" i="4"/>
  <c r="BG558" i="4"/>
  <c r="BF558" i="4"/>
  <c r="BE558" i="4"/>
  <c r="BD558" i="4"/>
  <c r="BC558" i="4"/>
  <c r="BB558" i="4"/>
  <c r="BA558" i="4"/>
  <c r="AZ558" i="4"/>
  <c r="AY558" i="4"/>
  <c r="AX558" i="4"/>
  <c r="AW558" i="4"/>
  <c r="AV558" i="4"/>
  <c r="AL558" i="4"/>
  <c r="AK558" i="4"/>
  <c r="AJ558" i="4"/>
  <c r="AI558" i="4"/>
  <c r="AH558" i="4"/>
  <c r="AG558" i="4"/>
  <c r="AF558" i="4"/>
  <c r="AE558" i="4"/>
  <c r="AD558" i="4"/>
  <c r="AC558" i="4"/>
  <c r="AB558" i="4"/>
  <c r="AA558" i="4"/>
  <c r="R558" i="4"/>
  <c r="S558" i="4" s="1"/>
  <c r="BT557" i="4"/>
  <c r="BS557" i="4"/>
  <c r="BR557" i="4"/>
  <c r="BQ557" i="4"/>
  <c r="BP557" i="4"/>
  <c r="BO557" i="4"/>
  <c r="BN557" i="4"/>
  <c r="BM557" i="4"/>
  <c r="BL557" i="4"/>
  <c r="BK557" i="4"/>
  <c r="AR557" i="4" s="1"/>
  <c r="BJ557" i="4"/>
  <c r="BI557" i="4"/>
  <c r="BG557" i="4"/>
  <c r="BF557" i="4"/>
  <c r="BE557" i="4"/>
  <c r="BD557" i="4"/>
  <c r="BC557" i="4"/>
  <c r="BB557" i="4"/>
  <c r="BA557" i="4"/>
  <c r="AZ557" i="4"/>
  <c r="AY557" i="4"/>
  <c r="AX557" i="4"/>
  <c r="AW557" i="4"/>
  <c r="AV557" i="4"/>
  <c r="AL557" i="4"/>
  <c r="AK557" i="4"/>
  <c r="AJ557" i="4"/>
  <c r="AI557" i="4"/>
  <c r="AH557" i="4"/>
  <c r="AG557" i="4"/>
  <c r="AF557" i="4"/>
  <c r="AE557" i="4"/>
  <c r="AD557" i="4"/>
  <c r="AC557" i="4"/>
  <c r="AB557" i="4"/>
  <c r="AA557" i="4"/>
  <c r="R557" i="4"/>
  <c r="BF556" i="4"/>
  <c r="BE556" i="4"/>
  <c r="BD556" i="4"/>
  <c r="BC556" i="4"/>
  <c r="BB556" i="4"/>
  <c r="BA556" i="4"/>
  <c r="AZ556" i="4"/>
  <c r="AY556" i="4"/>
  <c r="AX556" i="4"/>
  <c r="AW556" i="4"/>
  <c r="AV556" i="4"/>
  <c r="AL556" i="4"/>
  <c r="AK556" i="4"/>
  <c r="AJ556" i="4"/>
  <c r="AI556" i="4"/>
  <c r="AH556" i="4"/>
  <c r="AG556" i="4"/>
  <c r="AF556" i="4"/>
  <c r="AE556" i="4"/>
  <c r="AD556" i="4"/>
  <c r="AC556" i="4"/>
  <c r="AB556" i="4"/>
  <c r="AA556" i="4"/>
  <c r="R556" i="4"/>
  <c r="BT555" i="4"/>
  <c r="BS555" i="4"/>
  <c r="BR555" i="4"/>
  <c r="BQ555" i="4"/>
  <c r="BP555" i="4"/>
  <c r="BO555" i="4"/>
  <c r="BN555" i="4"/>
  <c r="BM555" i="4"/>
  <c r="BL555" i="4"/>
  <c r="BK555" i="4"/>
  <c r="BJ555" i="4"/>
  <c r="BI555" i="4"/>
  <c r="BG555" i="4"/>
  <c r="BF555" i="4"/>
  <c r="BE555" i="4"/>
  <c r="BD555" i="4"/>
  <c r="BC555" i="4"/>
  <c r="BB555" i="4"/>
  <c r="BA555" i="4"/>
  <c r="AZ555" i="4"/>
  <c r="AY555" i="4"/>
  <c r="AX555" i="4"/>
  <c r="AW555" i="4"/>
  <c r="AV555" i="4"/>
  <c r="AL555" i="4"/>
  <c r="AK555" i="4"/>
  <c r="AJ555" i="4"/>
  <c r="AI555" i="4"/>
  <c r="AH555" i="4"/>
  <c r="AG555" i="4"/>
  <c r="AF555" i="4"/>
  <c r="AE555" i="4"/>
  <c r="AD555" i="4"/>
  <c r="AC555" i="4"/>
  <c r="AB555" i="4"/>
  <c r="AA555" i="4"/>
  <c r="R555" i="4"/>
  <c r="BT554" i="4"/>
  <c r="BS554" i="4"/>
  <c r="BR554" i="4"/>
  <c r="BQ554" i="4"/>
  <c r="BP554" i="4"/>
  <c r="BO554" i="4"/>
  <c r="BN554" i="4"/>
  <c r="BM554" i="4"/>
  <c r="BL554" i="4"/>
  <c r="BK554" i="4"/>
  <c r="BJ554" i="4"/>
  <c r="BI554" i="4"/>
  <c r="BG554" i="4"/>
  <c r="BF554" i="4"/>
  <c r="BE554" i="4"/>
  <c r="BD554" i="4"/>
  <c r="BC554" i="4"/>
  <c r="BB554" i="4"/>
  <c r="BA554" i="4"/>
  <c r="AZ554" i="4"/>
  <c r="AY554" i="4"/>
  <c r="AX554" i="4"/>
  <c r="AW554" i="4"/>
  <c r="AV554" i="4"/>
  <c r="AL554" i="4"/>
  <c r="AK554" i="4"/>
  <c r="AJ554" i="4"/>
  <c r="AI554" i="4"/>
  <c r="AH554" i="4"/>
  <c r="AG554" i="4"/>
  <c r="AF554" i="4"/>
  <c r="AE554" i="4"/>
  <c r="AD554" i="4"/>
  <c r="AC554" i="4"/>
  <c r="AB554" i="4"/>
  <c r="AA554" i="4"/>
  <c r="S554" i="4"/>
  <c r="R554" i="4"/>
  <c r="T554" i="4" s="1"/>
  <c r="BT553" i="4"/>
  <c r="BS553" i="4"/>
  <c r="BR553" i="4"/>
  <c r="BQ553" i="4"/>
  <c r="BP553" i="4"/>
  <c r="BO553" i="4"/>
  <c r="BN553" i="4"/>
  <c r="BM553" i="4"/>
  <c r="BL553" i="4"/>
  <c r="BK553" i="4"/>
  <c r="BJ553" i="4"/>
  <c r="BI553" i="4"/>
  <c r="BG553" i="4"/>
  <c r="BF553" i="4"/>
  <c r="BE553" i="4"/>
  <c r="BD553" i="4"/>
  <c r="BC553" i="4"/>
  <c r="BB553" i="4"/>
  <c r="BA553" i="4"/>
  <c r="AZ553" i="4"/>
  <c r="AY553" i="4"/>
  <c r="AX553" i="4"/>
  <c r="AW553" i="4"/>
  <c r="AV553" i="4"/>
  <c r="AL553" i="4"/>
  <c r="AK553" i="4"/>
  <c r="AJ553" i="4"/>
  <c r="AI553" i="4"/>
  <c r="AH553" i="4"/>
  <c r="AG553" i="4"/>
  <c r="AF553" i="4"/>
  <c r="AE553" i="4"/>
  <c r="AD553" i="4"/>
  <c r="AC553" i="4"/>
  <c r="AB553" i="4"/>
  <c r="AA553" i="4"/>
  <c r="S553" i="4"/>
  <c r="R553" i="4"/>
  <c r="BT552" i="4"/>
  <c r="BS552" i="4"/>
  <c r="BR552" i="4"/>
  <c r="BQ552" i="4"/>
  <c r="BP552" i="4"/>
  <c r="BO552" i="4"/>
  <c r="BN552" i="4"/>
  <c r="BM552" i="4"/>
  <c r="BL552" i="4"/>
  <c r="BK552" i="4"/>
  <c r="BJ552" i="4"/>
  <c r="BI552" i="4"/>
  <c r="BG552" i="4"/>
  <c r="BF552" i="4"/>
  <c r="BE552" i="4"/>
  <c r="BD552" i="4"/>
  <c r="BC552" i="4"/>
  <c r="BB552" i="4"/>
  <c r="BA552" i="4"/>
  <c r="AZ552" i="4"/>
  <c r="AY552" i="4"/>
  <c r="AX552" i="4"/>
  <c r="AW552" i="4"/>
  <c r="AV552" i="4"/>
  <c r="AO552" i="4"/>
  <c r="AL552" i="4"/>
  <c r="AK552" i="4"/>
  <c r="AJ552" i="4"/>
  <c r="AI552" i="4"/>
  <c r="AH552" i="4"/>
  <c r="AG552" i="4"/>
  <c r="AF552" i="4"/>
  <c r="AE552" i="4"/>
  <c r="AD552" i="4"/>
  <c r="AC552" i="4"/>
  <c r="AB552" i="4"/>
  <c r="AA552" i="4"/>
  <c r="R552" i="4"/>
  <c r="BG551" i="4"/>
  <c r="BF551" i="4"/>
  <c r="BE551" i="4"/>
  <c r="BD551" i="4"/>
  <c r="BC551" i="4"/>
  <c r="BB551" i="4"/>
  <c r="BA551" i="4"/>
  <c r="AZ551" i="4"/>
  <c r="AY551" i="4"/>
  <c r="AX551" i="4"/>
  <c r="AW551" i="4"/>
  <c r="AV551" i="4"/>
  <c r="AR551" i="4"/>
  <c r="AO551" i="4"/>
  <c r="AL551" i="4"/>
  <c r="AK551" i="4"/>
  <c r="AJ551" i="4"/>
  <c r="AI551" i="4"/>
  <c r="AH551" i="4"/>
  <c r="AG551" i="4"/>
  <c r="AF551" i="4"/>
  <c r="AE551" i="4"/>
  <c r="AD551" i="4"/>
  <c r="AC551" i="4"/>
  <c r="AB551" i="4"/>
  <c r="AA551" i="4"/>
  <c r="R551" i="4"/>
  <c r="Q547" i="4"/>
  <c r="P547" i="4"/>
  <c r="O547" i="4"/>
  <c r="N547" i="4"/>
  <c r="M547" i="4"/>
  <c r="L547" i="4"/>
  <c r="H547" i="4"/>
  <c r="E547" i="4"/>
  <c r="AL541" i="4"/>
  <c r="AK541" i="4"/>
  <c r="AJ541" i="4"/>
  <c r="AI541" i="4"/>
  <c r="AH541" i="4"/>
  <c r="AG541" i="4"/>
  <c r="AF541" i="4"/>
  <c r="AE541" i="4"/>
  <c r="AD541" i="4"/>
  <c r="AC541" i="4"/>
  <c r="AB541" i="4"/>
  <c r="AA541" i="4"/>
  <c r="S541" i="4"/>
  <c r="R541" i="4"/>
  <c r="BT540" i="4"/>
  <c r="BS540" i="4"/>
  <c r="BR540" i="4"/>
  <c r="BQ540" i="4"/>
  <c r="BP540" i="4"/>
  <c r="BO540" i="4"/>
  <c r="BN540" i="4"/>
  <c r="BM540" i="4"/>
  <c r="BL540" i="4"/>
  <c r="BK540" i="4"/>
  <c r="BJ540" i="4"/>
  <c r="AO540" i="4" s="1"/>
  <c r="BI540" i="4"/>
  <c r="BG540" i="4"/>
  <c r="BF540" i="4"/>
  <c r="BE540" i="4"/>
  <c r="BD540" i="4"/>
  <c r="BC540" i="4"/>
  <c r="BB540" i="4"/>
  <c r="BA540" i="4"/>
  <c r="AZ540" i="4"/>
  <c r="AY540" i="4"/>
  <c r="AX540" i="4"/>
  <c r="AW540" i="4"/>
  <c r="AV540" i="4"/>
  <c r="AL540" i="4"/>
  <c r="AK540" i="4"/>
  <c r="AJ540" i="4"/>
  <c r="AI540" i="4"/>
  <c r="AH540" i="4"/>
  <c r="AG540" i="4"/>
  <c r="AF540" i="4"/>
  <c r="AE540" i="4"/>
  <c r="AD540" i="4"/>
  <c r="AC540" i="4"/>
  <c r="AB540" i="4"/>
  <c r="AA540" i="4"/>
  <c r="R540" i="4"/>
  <c r="BT539" i="4"/>
  <c r="BS539" i="4"/>
  <c r="BR539" i="4"/>
  <c r="BQ539" i="4"/>
  <c r="BP539" i="4"/>
  <c r="BO539" i="4"/>
  <c r="BN539" i="4"/>
  <c r="BM539" i="4"/>
  <c r="BL539" i="4"/>
  <c r="BK539" i="4"/>
  <c r="BJ539" i="4"/>
  <c r="BI539" i="4"/>
  <c r="BG539" i="4"/>
  <c r="BF539" i="4"/>
  <c r="BE539" i="4"/>
  <c r="BD539" i="4"/>
  <c r="BC539" i="4"/>
  <c r="BB539" i="4"/>
  <c r="BA539" i="4"/>
  <c r="AZ539" i="4"/>
  <c r="AY539" i="4"/>
  <c r="AX539" i="4"/>
  <c r="AW539" i="4"/>
  <c r="AV539" i="4"/>
  <c r="AR539" i="4"/>
  <c r="AL539" i="4"/>
  <c r="AK539" i="4"/>
  <c r="AJ539" i="4"/>
  <c r="AI539" i="4"/>
  <c r="AH539" i="4"/>
  <c r="AG539" i="4"/>
  <c r="AF539" i="4"/>
  <c r="AE539" i="4"/>
  <c r="AD539" i="4"/>
  <c r="AC539" i="4"/>
  <c r="AB539" i="4"/>
  <c r="AA539" i="4"/>
  <c r="R539" i="4"/>
  <c r="BG538" i="4"/>
  <c r="BF538" i="4"/>
  <c r="BE538" i="4"/>
  <c r="BD538" i="4"/>
  <c r="BC538" i="4"/>
  <c r="BB538" i="4"/>
  <c r="BA538" i="4"/>
  <c r="AZ538" i="4"/>
  <c r="AY538" i="4"/>
  <c r="AX538" i="4"/>
  <c r="AW538" i="4"/>
  <c r="AV538" i="4"/>
  <c r="AR538" i="4"/>
  <c r="AO538" i="4"/>
  <c r="AS538" i="4" s="1"/>
  <c r="AT538" i="4" s="1"/>
  <c r="AL538" i="4"/>
  <c r="AK538" i="4"/>
  <c r="AJ538" i="4"/>
  <c r="AI538" i="4"/>
  <c r="AH538" i="4"/>
  <c r="AG538" i="4"/>
  <c r="AF538" i="4"/>
  <c r="AE538" i="4"/>
  <c r="AD538" i="4"/>
  <c r="AC538" i="4"/>
  <c r="AB538" i="4"/>
  <c r="AA538" i="4"/>
  <c r="R538" i="4"/>
  <c r="S538" i="4" s="1"/>
  <c r="T538" i="4" s="1"/>
  <c r="BG537" i="4"/>
  <c r="BF537" i="4"/>
  <c r="BE537" i="4"/>
  <c r="BD537" i="4"/>
  <c r="BC537" i="4"/>
  <c r="BB537" i="4"/>
  <c r="BA537" i="4"/>
  <c r="AZ537" i="4"/>
  <c r="AY537" i="4"/>
  <c r="AX537" i="4"/>
  <c r="AW537" i="4"/>
  <c r="AV537" i="4"/>
  <c r="AR537" i="4"/>
  <c r="AO537" i="4"/>
  <c r="AS537" i="4" s="1"/>
  <c r="AT537" i="4" s="1"/>
  <c r="AL537" i="4"/>
  <c r="AK537" i="4"/>
  <c r="AJ537" i="4"/>
  <c r="AI537" i="4"/>
  <c r="AH537" i="4"/>
  <c r="AG537" i="4"/>
  <c r="AF537" i="4"/>
  <c r="AE537" i="4"/>
  <c r="AD537" i="4"/>
  <c r="AC537" i="4"/>
  <c r="AB537" i="4"/>
  <c r="AA537" i="4"/>
  <c r="S537" i="4"/>
  <c r="R537" i="4"/>
  <c r="BG536" i="4"/>
  <c r="BF536" i="4"/>
  <c r="BE536" i="4"/>
  <c r="BD536" i="4"/>
  <c r="BC536" i="4"/>
  <c r="BB536" i="4"/>
  <c r="BA536" i="4"/>
  <c r="AZ536" i="4"/>
  <c r="AY536" i="4"/>
  <c r="AX536" i="4"/>
  <c r="AW536" i="4"/>
  <c r="AV536" i="4"/>
  <c r="AR536" i="4"/>
  <c r="AO536" i="4"/>
  <c r="AS536" i="4" s="1"/>
  <c r="AT536" i="4" s="1"/>
  <c r="AL536" i="4"/>
  <c r="AK536" i="4"/>
  <c r="AJ536" i="4"/>
  <c r="AI536" i="4"/>
  <c r="AH536" i="4"/>
  <c r="AG536" i="4"/>
  <c r="AF536" i="4"/>
  <c r="AE536" i="4"/>
  <c r="AD536" i="4"/>
  <c r="AC536" i="4"/>
  <c r="AB536" i="4"/>
  <c r="AA536" i="4"/>
  <c r="R536" i="4"/>
  <c r="BG535" i="4"/>
  <c r="BF535" i="4"/>
  <c r="BE535" i="4"/>
  <c r="BD535" i="4"/>
  <c r="BC535" i="4"/>
  <c r="BB535" i="4"/>
  <c r="BA535" i="4"/>
  <c r="AZ535" i="4"/>
  <c r="AY535" i="4"/>
  <c r="AX535" i="4"/>
  <c r="AW535" i="4"/>
  <c r="AV535" i="4"/>
  <c r="AR535" i="4"/>
  <c r="AO535" i="4"/>
  <c r="AS535" i="4" s="1"/>
  <c r="AT535" i="4" s="1"/>
  <c r="AL535" i="4"/>
  <c r="AK535" i="4"/>
  <c r="AJ535" i="4"/>
  <c r="AI535" i="4"/>
  <c r="AH535" i="4"/>
  <c r="AG535" i="4"/>
  <c r="AF535" i="4"/>
  <c r="AE535" i="4"/>
  <c r="AD535" i="4"/>
  <c r="AC535" i="4"/>
  <c r="AB535" i="4"/>
  <c r="AA535" i="4"/>
  <c r="R535" i="4"/>
  <c r="BT534" i="4"/>
  <c r="BS534" i="4"/>
  <c r="BR534" i="4"/>
  <c r="BQ534" i="4"/>
  <c r="BP534" i="4"/>
  <c r="BO534" i="4"/>
  <c r="BN534" i="4"/>
  <c r="BM534" i="4"/>
  <c r="BL534" i="4"/>
  <c r="BK534" i="4"/>
  <c r="BJ534" i="4"/>
  <c r="BI534" i="4"/>
  <c r="BG534" i="4"/>
  <c r="BF534" i="4"/>
  <c r="BE534" i="4"/>
  <c r="BD534" i="4"/>
  <c r="BC534" i="4"/>
  <c r="BB534" i="4"/>
  <c r="BA534" i="4"/>
  <c r="AZ534" i="4"/>
  <c r="AY534" i="4"/>
  <c r="AX534" i="4"/>
  <c r="AW534" i="4"/>
  <c r="AV534" i="4"/>
  <c r="AL534" i="4"/>
  <c r="AK534" i="4"/>
  <c r="AJ534" i="4"/>
  <c r="AI534" i="4"/>
  <c r="AH534" i="4"/>
  <c r="AG534" i="4"/>
  <c r="AF534" i="4"/>
  <c r="AE534" i="4"/>
  <c r="AD534" i="4"/>
  <c r="AC534" i="4"/>
  <c r="AB534" i="4"/>
  <c r="AA534" i="4"/>
  <c r="S534" i="4"/>
  <c r="T534" i="4" s="1"/>
  <c r="R534" i="4"/>
  <c r="BT533" i="4"/>
  <c r="BS533" i="4"/>
  <c r="BR533" i="4"/>
  <c r="BQ533" i="4"/>
  <c r="BP533" i="4"/>
  <c r="BO533" i="4"/>
  <c r="BN533" i="4"/>
  <c r="BM533" i="4"/>
  <c r="BL533" i="4"/>
  <c r="BK533" i="4"/>
  <c r="BJ533" i="4"/>
  <c r="BI533" i="4"/>
  <c r="BG533" i="4"/>
  <c r="BF533" i="4"/>
  <c r="BE533" i="4"/>
  <c r="BD533" i="4"/>
  <c r="BC533" i="4"/>
  <c r="BB533" i="4"/>
  <c r="BA533" i="4"/>
  <c r="AZ533" i="4"/>
  <c r="AY533" i="4"/>
  <c r="AX533" i="4"/>
  <c r="AW533" i="4"/>
  <c r="AV533" i="4"/>
  <c r="AL533" i="4"/>
  <c r="AK533" i="4"/>
  <c r="AJ533" i="4"/>
  <c r="AI533" i="4"/>
  <c r="AH533" i="4"/>
  <c r="AG533" i="4"/>
  <c r="AF533" i="4"/>
  <c r="AE533" i="4"/>
  <c r="AD533" i="4"/>
  <c r="AC533" i="4"/>
  <c r="AB533" i="4"/>
  <c r="AA533" i="4"/>
  <c r="S533" i="4"/>
  <c r="R533" i="4"/>
  <c r="BT532" i="4"/>
  <c r="BS532" i="4"/>
  <c r="BR532" i="4"/>
  <c r="BQ532" i="4"/>
  <c r="BP532" i="4"/>
  <c r="BO532" i="4"/>
  <c r="BN532" i="4"/>
  <c r="BM532" i="4"/>
  <c r="BL532" i="4"/>
  <c r="BK532" i="4"/>
  <c r="BJ532" i="4"/>
  <c r="BI532" i="4"/>
  <c r="BG532" i="4"/>
  <c r="BF532" i="4"/>
  <c r="BE532" i="4"/>
  <c r="BD532" i="4"/>
  <c r="BC532" i="4"/>
  <c r="BB532" i="4"/>
  <c r="BA532" i="4"/>
  <c r="AZ532" i="4"/>
  <c r="AY532" i="4"/>
  <c r="AX532" i="4"/>
  <c r="AW532" i="4"/>
  <c r="AV532" i="4"/>
  <c r="AO532" i="4"/>
  <c r="AL532" i="4"/>
  <c r="AK532" i="4"/>
  <c r="AJ532" i="4"/>
  <c r="AI532" i="4"/>
  <c r="AH532" i="4"/>
  <c r="AG532" i="4"/>
  <c r="AF532" i="4"/>
  <c r="AE532" i="4"/>
  <c r="AD532" i="4"/>
  <c r="AC532" i="4"/>
  <c r="AB532" i="4"/>
  <c r="AA532" i="4"/>
  <c r="R532" i="4"/>
  <c r="AL531" i="4"/>
  <c r="AK531" i="4"/>
  <c r="AJ531" i="4"/>
  <c r="AJ547" i="4" s="1"/>
  <c r="AI531" i="4"/>
  <c r="AH531" i="4"/>
  <c r="AG531" i="4"/>
  <c r="AF531" i="4"/>
  <c r="AF547" i="4" s="1"/>
  <c r="AE531" i="4"/>
  <c r="AD531" i="4"/>
  <c r="AC531" i="4"/>
  <c r="AB531" i="4"/>
  <c r="AB547" i="4" s="1"/>
  <c r="AA531" i="4"/>
  <c r="R531" i="4"/>
  <c r="Q527" i="4"/>
  <c r="P527" i="4"/>
  <c r="O527" i="4"/>
  <c r="N527" i="4"/>
  <c r="M527" i="4"/>
  <c r="L527" i="4"/>
  <c r="H527" i="4"/>
  <c r="E527" i="4"/>
  <c r="BT525" i="4"/>
  <c r="BS525" i="4"/>
  <c r="BR525" i="4"/>
  <c r="BQ525" i="4"/>
  <c r="BP525" i="4"/>
  <c r="BO525" i="4"/>
  <c r="BN525" i="4"/>
  <c r="BM525" i="4"/>
  <c r="BL525" i="4"/>
  <c r="BK525" i="4"/>
  <c r="BJ525" i="4"/>
  <c r="BI525" i="4"/>
  <c r="AO525" i="4" s="1"/>
  <c r="BG525" i="4"/>
  <c r="BF525" i="4"/>
  <c r="BE525" i="4"/>
  <c r="BD525" i="4"/>
  <c r="BC525" i="4"/>
  <c r="BB525" i="4"/>
  <c r="BA525" i="4"/>
  <c r="AZ525" i="4"/>
  <c r="AY525" i="4"/>
  <c r="AX525" i="4"/>
  <c r="AW525" i="4"/>
  <c r="AV525" i="4"/>
  <c r="AL525" i="4"/>
  <c r="AK525" i="4"/>
  <c r="AJ525" i="4"/>
  <c r="AI525" i="4"/>
  <c r="AH525" i="4"/>
  <c r="AG525" i="4"/>
  <c r="AF525" i="4"/>
  <c r="AE525" i="4"/>
  <c r="AD525" i="4"/>
  <c r="AC525" i="4"/>
  <c r="AB525" i="4"/>
  <c r="AA525" i="4"/>
  <c r="S525" i="4"/>
  <c r="R525" i="4"/>
  <c r="BT524" i="4"/>
  <c r="BS524" i="4"/>
  <c r="BR524" i="4"/>
  <c r="BQ524" i="4"/>
  <c r="BP524" i="4"/>
  <c r="BO524" i="4"/>
  <c r="BN524" i="4"/>
  <c r="BM524" i="4"/>
  <c r="BL524" i="4"/>
  <c r="BK524" i="4"/>
  <c r="BJ524" i="4"/>
  <c r="BI524" i="4"/>
  <c r="BG524" i="4"/>
  <c r="BF524" i="4"/>
  <c r="BE524" i="4"/>
  <c r="BD524" i="4"/>
  <c r="BC524" i="4"/>
  <c r="BB524" i="4"/>
  <c r="BA524" i="4"/>
  <c r="AZ524" i="4"/>
  <c r="AY524" i="4"/>
  <c r="AX524" i="4"/>
  <c r="AW524" i="4"/>
  <c r="AV524" i="4"/>
  <c r="AR524" i="4"/>
  <c r="AL524" i="4"/>
  <c r="AK524" i="4"/>
  <c r="AJ524" i="4"/>
  <c r="AI524" i="4"/>
  <c r="AH524" i="4"/>
  <c r="AG524" i="4"/>
  <c r="AF524" i="4"/>
  <c r="AE524" i="4"/>
  <c r="AD524" i="4"/>
  <c r="AC524" i="4"/>
  <c r="AB524" i="4"/>
  <c r="AA524" i="4"/>
  <c r="R524" i="4"/>
  <c r="AL523" i="4"/>
  <c r="AK523" i="4"/>
  <c r="AJ523" i="4"/>
  <c r="AI523" i="4"/>
  <c r="AH523" i="4"/>
  <c r="AG523" i="4"/>
  <c r="AF523" i="4"/>
  <c r="AE523" i="4"/>
  <c r="AD523" i="4"/>
  <c r="AC523" i="4"/>
  <c r="AB523" i="4"/>
  <c r="AA523" i="4"/>
  <c r="R523" i="4"/>
  <c r="AL522" i="4"/>
  <c r="AK522" i="4"/>
  <c r="AJ522" i="4"/>
  <c r="AI522" i="4"/>
  <c r="AH522" i="4"/>
  <c r="AG522" i="4"/>
  <c r="AF522" i="4"/>
  <c r="AE522" i="4"/>
  <c r="AD522" i="4"/>
  <c r="AC522" i="4"/>
  <c r="AB522" i="4"/>
  <c r="AA522" i="4"/>
  <c r="R522" i="4"/>
  <c r="AL521" i="4"/>
  <c r="AK521" i="4"/>
  <c r="AJ521" i="4"/>
  <c r="AI521" i="4"/>
  <c r="AH521" i="4"/>
  <c r="AG521" i="4"/>
  <c r="AF521" i="4"/>
  <c r="AE521" i="4"/>
  <c r="AD521" i="4"/>
  <c r="AC521" i="4"/>
  <c r="AB521" i="4"/>
  <c r="AA521" i="4"/>
  <c r="R521" i="4"/>
  <c r="BT520" i="4"/>
  <c r="BS520" i="4"/>
  <c r="BR520" i="4"/>
  <c r="BQ520" i="4"/>
  <c r="BP520" i="4"/>
  <c r="BO520" i="4"/>
  <c r="BN520" i="4"/>
  <c r="BM520" i="4"/>
  <c r="BL520" i="4"/>
  <c r="BK520" i="4"/>
  <c r="BJ520" i="4"/>
  <c r="BI520" i="4"/>
  <c r="BG520" i="4"/>
  <c r="BF520" i="4"/>
  <c r="BE520" i="4"/>
  <c r="BD520" i="4"/>
  <c r="BC520" i="4"/>
  <c r="BB520" i="4"/>
  <c r="BA520" i="4"/>
  <c r="AZ520" i="4"/>
  <c r="AY520" i="4"/>
  <c r="AX520" i="4"/>
  <c r="AW520" i="4"/>
  <c r="AV520" i="4"/>
  <c r="AL520" i="4"/>
  <c r="AK520" i="4"/>
  <c r="AJ520" i="4"/>
  <c r="AI520" i="4"/>
  <c r="AH520" i="4"/>
  <c r="AG520" i="4"/>
  <c r="AF520" i="4"/>
  <c r="AE520" i="4"/>
  <c r="AD520" i="4"/>
  <c r="AC520" i="4"/>
  <c r="AB520" i="4"/>
  <c r="AA520" i="4"/>
  <c r="R520" i="4"/>
  <c r="S520" i="4" s="1"/>
  <c r="BT519" i="4"/>
  <c r="BS519" i="4"/>
  <c r="BR519" i="4"/>
  <c r="BQ519" i="4"/>
  <c r="BP519" i="4"/>
  <c r="BO519" i="4"/>
  <c r="BN519" i="4"/>
  <c r="BM519" i="4"/>
  <c r="BL519" i="4"/>
  <c r="BK519" i="4"/>
  <c r="AR519" i="4" s="1"/>
  <c r="BJ519" i="4"/>
  <c r="BI519" i="4"/>
  <c r="BG519" i="4"/>
  <c r="BF519" i="4"/>
  <c r="BE519" i="4"/>
  <c r="BD519" i="4"/>
  <c r="BC519" i="4"/>
  <c r="BB519" i="4"/>
  <c r="BA519" i="4"/>
  <c r="AZ519" i="4"/>
  <c r="AY519" i="4"/>
  <c r="AX519" i="4"/>
  <c r="AW519" i="4"/>
  <c r="AV519" i="4"/>
  <c r="AL519" i="4"/>
  <c r="AK519" i="4"/>
  <c r="AJ519" i="4"/>
  <c r="AI519" i="4"/>
  <c r="AH519" i="4"/>
  <c r="AG519" i="4"/>
  <c r="AF519" i="4"/>
  <c r="AE519" i="4"/>
  <c r="AD519" i="4"/>
  <c r="AC519" i="4"/>
  <c r="AB519" i="4"/>
  <c r="AA519" i="4"/>
  <c r="R519" i="4"/>
  <c r="BT518" i="4"/>
  <c r="BS518" i="4"/>
  <c r="BR518" i="4"/>
  <c r="BQ518" i="4"/>
  <c r="BP518" i="4"/>
  <c r="BO518" i="4"/>
  <c r="BN518" i="4"/>
  <c r="BM518" i="4"/>
  <c r="BL518" i="4"/>
  <c r="BK518" i="4"/>
  <c r="BJ518" i="4"/>
  <c r="BI518" i="4"/>
  <c r="BG518" i="4"/>
  <c r="BF518" i="4"/>
  <c r="BE518" i="4"/>
  <c r="BD518" i="4"/>
  <c r="BC518" i="4"/>
  <c r="BB518" i="4"/>
  <c r="BA518" i="4"/>
  <c r="AZ518" i="4"/>
  <c r="AY518" i="4"/>
  <c r="AX518" i="4"/>
  <c r="AW518" i="4"/>
  <c r="AV518" i="4"/>
  <c r="AL518" i="4"/>
  <c r="AK518" i="4"/>
  <c r="AJ518" i="4"/>
  <c r="AI518" i="4"/>
  <c r="AH518" i="4"/>
  <c r="AG518" i="4"/>
  <c r="AF518" i="4"/>
  <c r="AE518" i="4"/>
  <c r="AD518" i="4"/>
  <c r="AC518" i="4"/>
  <c r="AB518" i="4"/>
  <c r="AA518" i="4"/>
  <c r="R518" i="4"/>
  <c r="BT517" i="4"/>
  <c r="BS517" i="4"/>
  <c r="BR517" i="4"/>
  <c r="BQ517" i="4"/>
  <c r="BP517" i="4"/>
  <c r="BO517" i="4"/>
  <c r="BN517" i="4"/>
  <c r="BM517" i="4"/>
  <c r="BL517" i="4"/>
  <c r="BK517" i="4"/>
  <c r="BJ517" i="4"/>
  <c r="BI517" i="4"/>
  <c r="BG517" i="4"/>
  <c r="BF517" i="4"/>
  <c r="BE517" i="4"/>
  <c r="BD517" i="4"/>
  <c r="BC517" i="4"/>
  <c r="BB517" i="4"/>
  <c r="BA517" i="4"/>
  <c r="AZ517" i="4"/>
  <c r="AY517" i="4"/>
  <c r="AX517" i="4"/>
  <c r="AW517" i="4"/>
  <c r="AV517" i="4"/>
  <c r="AL517" i="4"/>
  <c r="AK517" i="4"/>
  <c r="AJ517" i="4"/>
  <c r="AI517" i="4"/>
  <c r="AH517" i="4"/>
  <c r="AG517" i="4"/>
  <c r="AF517" i="4"/>
  <c r="AE517" i="4"/>
  <c r="AD517" i="4"/>
  <c r="AC517" i="4"/>
  <c r="AB517" i="4"/>
  <c r="AA517" i="4"/>
  <c r="S517" i="4"/>
  <c r="T517" i="4" s="1"/>
  <c r="R517" i="4"/>
  <c r="BT516" i="4"/>
  <c r="BS516" i="4"/>
  <c r="BR516" i="4"/>
  <c r="BQ516" i="4"/>
  <c r="BP516" i="4"/>
  <c r="BO516" i="4"/>
  <c r="BN516" i="4"/>
  <c r="BM516" i="4"/>
  <c r="BL516" i="4"/>
  <c r="BK516" i="4"/>
  <c r="BJ516" i="4"/>
  <c r="BI516" i="4"/>
  <c r="BG516" i="4"/>
  <c r="BF516" i="4"/>
  <c r="BE516" i="4"/>
  <c r="BD516" i="4"/>
  <c r="BC516" i="4"/>
  <c r="BB516" i="4"/>
  <c r="BA516" i="4"/>
  <c r="AZ516" i="4"/>
  <c r="AY516" i="4"/>
  <c r="AX516" i="4"/>
  <c r="AW516" i="4"/>
  <c r="AV516" i="4"/>
  <c r="AL516" i="4"/>
  <c r="AK516" i="4"/>
  <c r="AJ516" i="4"/>
  <c r="AI516" i="4"/>
  <c r="AH516" i="4"/>
  <c r="AG516" i="4"/>
  <c r="AF516" i="4"/>
  <c r="AE516" i="4"/>
  <c r="AD516" i="4"/>
  <c r="AC516" i="4"/>
  <c r="AB516" i="4"/>
  <c r="AA516" i="4"/>
  <c r="S516" i="4"/>
  <c r="R516" i="4"/>
  <c r="BT515" i="4"/>
  <c r="BS515" i="4"/>
  <c r="BR515" i="4"/>
  <c r="BQ515" i="4"/>
  <c r="BP515" i="4"/>
  <c r="BO515" i="4"/>
  <c r="BN515" i="4"/>
  <c r="BM515" i="4"/>
  <c r="BL515" i="4"/>
  <c r="BK515" i="4"/>
  <c r="BJ515" i="4"/>
  <c r="BI515" i="4"/>
  <c r="BG515" i="4"/>
  <c r="BF515" i="4"/>
  <c r="BE515" i="4"/>
  <c r="BD515" i="4"/>
  <c r="BC515" i="4"/>
  <c r="BB515" i="4"/>
  <c r="BA515" i="4"/>
  <c r="AZ515" i="4"/>
  <c r="AY515" i="4"/>
  <c r="AX515" i="4"/>
  <c r="AW515" i="4"/>
  <c r="AV515" i="4"/>
  <c r="AO515" i="4"/>
  <c r="AL515" i="4"/>
  <c r="AK515" i="4"/>
  <c r="AJ515" i="4"/>
  <c r="AI515" i="4"/>
  <c r="AH515" i="4"/>
  <c r="AG515" i="4"/>
  <c r="AF515" i="4"/>
  <c r="AE515" i="4"/>
  <c r="AD515" i="4"/>
  <c r="AC515" i="4"/>
  <c r="AB515" i="4"/>
  <c r="AA515" i="4"/>
  <c r="R515" i="4"/>
  <c r="BT514" i="4"/>
  <c r="BS514" i="4"/>
  <c r="BR514" i="4"/>
  <c r="BQ514" i="4"/>
  <c r="BP514" i="4"/>
  <c r="BO514" i="4"/>
  <c r="BN514" i="4"/>
  <c r="BM514" i="4"/>
  <c r="BL514" i="4"/>
  <c r="BK514" i="4"/>
  <c r="BJ514" i="4"/>
  <c r="AR514" i="4" s="1"/>
  <c r="BI514" i="4"/>
  <c r="BG514" i="4"/>
  <c r="BF514" i="4"/>
  <c r="BE514" i="4"/>
  <c r="BD514" i="4"/>
  <c r="BC514" i="4"/>
  <c r="BB514" i="4"/>
  <c r="BA514" i="4"/>
  <c r="AZ514" i="4"/>
  <c r="AY514" i="4"/>
  <c r="AX514" i="4"/>
  <c r="AW514" i="4"/>
  <c r="AV514" i="4"/>
  <c r="AL514" i="4"/>
  <c r="AK514" i="4"/>
  <c r="AJ514" i="4"/>
  <c r="AI514" i="4"/>
  <c r="AH514" i="4"/>
  <c r="AG514" i="4"/>
  <c r="AF514" i="4"/>
  <c r="AE514" i="4"/>
  <c r="AD514" i="4"/>
  <c r="AC514" i="4"/>
  <c r="AB514" i="4"/>
  <c r="AA514" i="4"/>
  <c r="R514" i="4"/>
  <c r="BT513" i="4"/>
  <c r="BS513" i="4"/>
  <c r="BR513" i="4"/>
  <c r="BQ513" i="4"/>
  <c r="BP513" i="4"/>
  <c r="BO513" i="4"/>
  <c r="BN513" i="4"/>
  <c r="BM513" i="4"/>
  <c r="BL513" i="4"/>
  <c r="BK513" i="4"/>
  <c r="BJ513" i="4"/>
  <c r="BI513" i="4"/>
  <c r="BG513" i="4"/>
  <c r="BF513" i="4"/>
  <c r="BE513" i="4"/>
  <c r="BD513" i="4"/>
  <c r="BC513" i="4"/>
  <c r="BB513" i="4"/>
  <c r="BA513" i="4"/>
  <c r="AZ513" i="4"/>
  <c r="AY513" i="4"/>
  <c r="AX513" i="4"/>
  <c r="AW513" i="4"/>
  <c r="AV513" i="4"/>
  <c r="AL513" i="4"/>
  <c r="AK513" i="4"/>
  <c r="AJ513" i="4"/>
  <c r="AI513" i="4"/>
  <c r="AH513" i="4"/>
  <c r="AG513" i="4"/>
  <c r="AF513" i="4"/>
  <c r="AE513" i="4"/>
  <c r="AD513" i="4"/>
  <c r="AC513" i="4"/>
  <c r="AB513" i="4"/>
  <c r="AA513" i="4"/>
  <c r="R513" i="4"/>
  <c r="S513" i="4" s="1"/>
  <c r="T513" i="4" s="1"/>
  <c r="BT512" i="4"/>
  <c r="BS512" i="4"/>
  <c r="BR512" i="4"/>
  <c r="BQ512" i="4"/>
  <c r="BP512" i="4"/>
  <c r="BO512" i="4"/>
  <c r="BN512" i="4"/>
  <c r="BM512" i="4"/>
  <c r="BL512" i="4"/>
  <c r="BK512" i="4"/>
  <c r="AR512" i="4" s="1"/>
  <c r="BJ512" i="4"/>
  <c r="BI512" i="4"/>
  <c r="BG512" i="4"/>
  <c r="BF512" i="4"/>
  <c r="BE512" i="4"/>
  <c r="BD512" i="4"/>
  <c r="BC512" i="4"/>
  <c r="BB512" i="4"/>
  <c r="BA512" i="4"/>
  <c r="AZ512" i="4"/>
  <c r="AY512" i="4"/>
  <c r="AX512" i="4"/>
  <c r="AW512" i="4"/>
  <c r="AV512" i="4"/>
  <c r="AL512" i="4"/>
  <c r="AK512" i="4"/>
  <c r="AJ512" i="4"/>
  <c r="AI512" i="4"/>
  <c r="AH512" i="4"/>
  <c r="AG512" i="4"/>
  <c r="AF512" i="4"/>
  <c r="AE512" i="4"/>
  <c r="AD512" i="4"/>
  <c r="AC512" i="4"/>
  <c r="AB512" i="4"/>
  <c r="AA512" i="4"/>
  <c r="R512" i="4"/>
  <c r="S512" i="4" s="1"/>
  <c r="BT511" i="4"/>
  <c r="BS511" i="4"/>
  <c r="BR511" i="4"/>
  <c r="BQ511" i="4"/>
  <c r="BP511" i="4"/>
  <c r="BO511" i="4"/>
  <c r="BN511" i="4"/>
  <c r="BM511" i="4"/>
  <c r="BL511" i="4"/>
  <c r="BK511" i="4"/>
  <c r="BJ511" i="4"/>
  <c r="BI511" i="4"/>
  <c r="AO511" i="4" s="1"/>
  <c r="BG511" i="4"/>
  <c r="BF511" i="4"/>
  <c r="BE511" i="4"/>
  <c r="BD511" i="4"/>
  <c r="BC511" i="4"/>
  <c r="BB511" i="4"/>
  <c r="BA511" i="4"/>
  <c r="AZ511" i="4"/>
  <c r="AY511" i="4"/>
  <c r="AX511" i="4"/>
  <c r="AW511" i="4"/>
  <c r="AV511" i="4"/>
  <c r="AL511" i="4"/>
  <c r="AK511" i="4"/>
  <c r="AJ511" i="4"/>
  <c r="AI511" i="4"/>
  <c r="AH511" i="4"/>
  <c r="AG511" i="4"/>
  <c r="AF511" i="4"/>
  <c r="AE511" i="4"/>
  <c r="AD511" i="4"/>
  <c r="AC511" i="4"/>
  <c r="AB511" i="4"/>
  <c r="AA511" i="4"/>
  <c r="R511" i="4"/>
  <c r="AL510" i="4"/>
  <c r="AK510" i="4"/>
  <c r="AJ510" i="4"/>
  <c r="AI510" i="4"/>
  <c r="AH510" i="4"/>
  <c r="AG510" i="4"/>
  <c r="AF510" i="4"/>
  <c r="AE510" i="4"/>
  <c r="AD510" i="4"/>
  <c r="AC510" i="4"/>
  <c r="AB510" i="4"/>
  <c r="AA510" i="4"/>
  <c r="R510" i="4"/>
  <c r="S510" i="4" s="1"/>
  <c r="T510" i="4" s="1"/>
  <c r="AL509" i="4"/>
  <c r="AK509" i="4"/>
  <c r="AJ509" i="4"/>
  <c r="AI509" i="4"/>
  <c r="AH509" i="4"/>
  <c r="AG509" i="4"/>
  <c r="AF509" i="4"/>
  <c r="AE509" i="4"/>
  <c r="AD509" i="4"/>
  <c r="AC509" i="4"/>
  <c r="AB509" i="4"/>
  <c r="AA509" i="4"/>
  <c r="S509" i="4"/>
  <c r="T509" i="4" s="1"/>
  <c r="R509" i="4"/>
  <c r="BT508" i="4"/>
  <c r="BS508" i="4"/>
  <c r="BR508" i="4"/>
  <c r="BQ508" i="4"/>
  <c r="BP508" i="4"/>
  <c r="BO508" i="4"/>
  <c r="BN508" i="4"/>
  <c r="BM508" i="4"/>
  <c r="BL508" i="4"/>
  <c r="BK508" i="4"/>
  <c r="BJ508" i="4"/>
  <c r="BI508" i="4"/>
  <c r="BG508" i="4"/>
  <c r="BF508" i="4"/>
  <c r="BE508" i="4"/>
  <c r="BD508" i="4"/>
  <c r="BC508" i="4"/>
  <c r="BB508" i="4"/>
  <c r="BA508" i="4"/>
  <c r="AZ508" i="4"/>
  <c r="AY508" i="4"/>
  <c r="AX508" i="4"/>
  <c r="AW508" i="4"/>
  <c r="AV508" i="4"/>
  <c r="AL508" i="4"/>
  <c r="AK508" i="4"/>
  <c r="AJ508" i="4"/>
  <c r="AI508" i="4"/>
  <c r="AH508" i="4"/>
  <c r="AG508" i="4"/>
  <c r="AF508" i="4"/>
  <c r="AE508" i="4"/>
  <c r="AD508" i="4"/>
  <c r="AC508" i="4"/>
  <c r="AB508" i="4"/>
  <c r="AA508" i="4"/>
  <c r="S508" i="4"/>
  <c r="R508" i="4"/>
  <c r="BT507" i="4"/>
  <c r="BS507" i="4"/>
  <c r="BR507" i="4"/>
  <c r="BQ507" i="4"/>
  <c r="BP507" i="4"/>
  <c r="BO507" i="4"/>
  <c r="BN507" i="4"/>
  <c r="BM507" i="4"/>
  <c r="BL507" i="4"/>
  <c r="BK507" i="4"/>
  <c r="BJ507" i="4"/>
  <c r="BI507" i="4"/>
  <c r="BG507" i="4"/>
  <c r="BF507" i="4"/>
  <c r="BE507" i="4"/>
  <c r="BD507" i="4"/>
  <c r="BC507" i="4"/>
  <c r="BB507" i="4"/>
  <c r="BA507" i="4"/>
  <c r="AZ507" i="4"/>
  <c r="AY507" i="4"/>
  <c r="AX507" i="4"/>
  <c r="AW507" i="4"/>
  <c r="AV507" i="4"/>
  <c r="AO507" i="4"/>
  <c r="AL507" i="4"/>
  <c r="AK507" i="4"/>
  <c r="AJ507" i="4"/>
  <c r="AI507" i="4"/>
  <c r="AH507" i="4"/>
  <c r="AG507" i="4"/>
  <c r="AF507" i="4"/>
  <c r="AE507" i="4"/>
  <c r="AD507" i="4"/>
  <c r="AC507" i="4"/>
  <c r="AB507" i="4"/>
  <c r="AA507" i="4"/>
  <c r="R507" i="4"/>
  <c r="BT506" i="4"/>
  <c r="BS506" i="4"/>
  <c r="BR506" i="4"/>
  <c r="BQ506" i="4"/>
  <c r="BP506" i="4"/>
  <c r="BO506" i="4"/>
  <c r="BN506" i="4"/>
  <c r="BM506" i="4"/>
  <c r="BL506" i="4"/>
  <c r="BK506" i="4"/>
  <c r="BJ506" i="4"/>
  <c r="AR506" i="4" s="1"/>
  <c r="BI506" i="4"/>
  <c r="BG506" i="4"/>
  <c r="BF506" i="4"/>
  <c r="BE506" i="4"/>
  <c r="BD506" i="4"/>
  <c r="BC506" i="4"/>
  <c r="BB506" i="4"/>
  <c r="BA506" i="4"/>
  <c r="AZ506" i="4"/>
  <c r="AY506" i="4"/>
  <c r="AX506" i="4"/>
  <c r="AW506" i="4"/>
  <c r="AV506" i="4"/>
  <c r="AL506" i="4"/>
  <c r="AK506" i="4"/>
  <c r="AJ506" i="4"/>
  <c r="AI506" i="4"/>
  <c r="AH506" i="4"/>
  <c r="AG506" i="4"/>
  <c r="AF506" i="4"/>
  <c r="AE506" i="4"/>
  <c r="AD506" i="4"/>
  <c r="AC506" i="4"/>
  <c r="AB506" i="4"/>
  <c r="AA506" i="4"/>
  <c r="R506" i="4"/>
  <c r="BT505" i="4"/>
  <c r="BS505" i="4"/>
  <c r="BR505" i="4"/>
  <c r="BQ505" i="4"/>
  <c r="BP505" i="4"/>
  <c r="BO505" i="4"/>
  <c r="BN505" i="4"/>
  <c r="BM505" i="4"/>
  <c r="BL505" i="4"/>
  <c r="BK505" i="4"/>
  <c r="BJ505" i="4"/>
  <c r="BI505" i="4"/>
  <c r="BG505" i="4"/>
  <c r="BF505" i="4"/>
  <c r="BE505" i="4"/>
  <c r="BD505" i="4"/>
  <c r="BC505" i="4"/>
  <c r="BB505" i="4"/>
  <c r="BA505" i="4"/>
  <c r="AZ505" i="4"/>
  <c r="AY505" i="4"/>
  <c r="AX505" i="4"/>
  <c r="AW505" i="4"/>
  <c r="AV505" i="4"/>
  <c r="AL505" i="4"/>
  <c r="AK505" i="4"/>
  <c r="AJ505" i="4"/>
  <c r="AI505" i="4"/>
  <c r="AH505" i="4"/>
  <c r="AG505" i="4"/>
  <c r="AF505" i="4"/>
  <c r="AE505" i="4"/>
  <c r="AD505" i="4"/>
  <c r="AC505" i="4"/>
  <c r="AB505" i="4"/>
  <c r="AA505" i="4"/>
  <c r="R505" i="4"/>
  <c r="S505" i="4" s="1"/>
  <c r="T505" i="4" s="1"/>
  <c r="BP504" i="4"/>
  <c r="BC504" i="4" s="1"/>
  <c r="AN504" i="4"/>
  <c r="AL504" i="4"/>
  <c r="AK504" i="4"/>
  <c r="AJ504" i="4"/>
  <c r="AI504" i="4"/>
  <c r="AH504" i="4"/>
  <c r="AG504" i="4"/>
  <c r="AF504" i="4"/>
  <c r="AE504" i="4"/>
  <c r="AD504" i="4"/>
  <c r="AC504" i="4"/>
  <c r="AB504" i="4"/>
  <c r="AA504" i="4"/>
  <c r="Y504" i="4"/>
  <c r="D504" i="4"/>
  <c r="BK504" i="4" s="1"/>
  <c r="AX504" i="4" s="1"/>
  <c r="BT503" i="4"/>
  <c r="BS503" i="4"/>
  <c r="BR503" i="4"/>
  <c r="BQ503" i="4"/>
  <c r="BP503" i="4"/>
  <c r="BO503" i="4"/>
  <c r="BN503" i="4"/>
  <c r="BM503" i="4"/>
  <c r="BL503" i="4"/>
  <c r="BK503" i="4"/>
  <c r="BJ503" i="4"/>
  <c r="BI503" i="4"/>
  <c r="BG503" i="4"/>
  <c r="BF503" i="4"/>
  <c r="BE503" i="4"/>
  <c r="BD503" i="4"/>
  <c r="BC503" i="4"/>
  <c r="BB503" i="4"/>
  <c r="BA503" i="4"/>
  <c r="AZ503" i="4"/>
  <c r="AY503" i="4"/>
  <c r="AX503" i="4"/>
  <c r="AW503" i="4"/>
  <c r="AV503" i="4"/>
  <c r="AL503" i="4"/>
  <c r="AK503" i="4"/>
  <c r="AJ503" i="4"/>
  <c r="AI503" i="4"/>
  <c r="AH503" i="4"/>
  <c r="AG503" i="4"/>
  <c r="AF503" i="4"/>
  <c r="AE503" i="4"/>
  <c r="AD503" i="4"/>
  <c r="AC503" i="4"/>
  <c r="AB503" i="4"/>
  <c r="AA503" i="4"/>
  <c r="S503" i="4"/>
  <c r="R503" i="4"/>
  <c r="BT502" i="4"/>
  <c r="BS502" i="4"/>
  <c r="BR502" i="4"/>
  <c r="BQ502" i="4"/>
  <c r="BP502" i="4"/>
  <c r="BO502" i="4"/>
  <c r="BN502" i="4"/>
  <c r="BM502" i="4"/>
  <c r="BL502" i="4"/>
  <c r="BK502" i="4"/>
  <c r="BJ502" i="4"/>
  <c r="AO502" i="4" s="1"/>
  <c r="BI502" i="4"/>
  <c r="BG502" i="4"/>
  <c r="BF502" i="4"/>
  <c r="BE502" i="4"/>
  <c r="BD502" i="4"/>
  <c r="BC502" i="4"/>
  <c r="BB502" i="4"/>
  <c r="BA502" i="4"/>
  <c r="AZ502" i="4"/>
  <c r="AY502" i="4"/>
  <c r="AX502" i="4"/>
  <c r="AW502" i="4"/>
  <c r="AV502" i="4"/>
  <c r="AL502" i="4"/>
  <c r="AK502" i="4"/>
  <c r="AJ502" i="4"/>
  <c r="AI502" i="4"/>
  <c r="AH502" i="4"/>
  <c r="AG502" i="4"/>
  <c r="AF502" i="4"/>
  <c r="AE502" i="4"/>
  <c r="AD502" i="4"/>
  <c r="AC502" i="4"/>
  <c r="AB502" i="4"/>
  <c r="AA502" i="4"/>
  <c r="R502" i="4"/>
  <c r="S502" i="4" s="1"/>
  <c r="BT501" i="4"/>
  <c r="BS501" i="4"/>
  <c r="BR501" i="4"/>
  <c r="BQ501" i="4"/>
  <c r="BP501" i="4"/>
  <c r="BO501" i="4"/>
  <c r="BN501" i="4"/>
  <c r="BM501" i="4"/>
  <c r="BL501" i="4"/>
  <c r="BK501" i="4"/>
  <c r="BJ501" i="4"/>
  <c r="BI501" i="4"/>
  <c r="AR501" i="4" s="1"/>
  <c r="BG501" i="4"/>
  <c r="BF501" i="4"/>
  <c r="BE501" i="4"/>
  <c r="BD501" i="4"/>
  <c r="BC501" i="4"/>
  <c r="BB501" i="4"/>
  <c r="BA501" i="4"/>
  <c r="AZ501" i="4"/>
  <c r="AY501" i="4"/>
  <c r="AX501" i="4"/>
  <c r="AW501" i="4"/>
  <c r="AV501" i="4"/>
  <c r="AL501" i="4"/>
  <c r="AK501" i="4"/>
  <c r="AJ501" i="4"/>
  <c r="AI501" i="4"/>
  <c r="AH501" i="4"/>
  <c r="AG501" i="4"/>
  <c r="AF501" i="4"/>
  <c r="AE501" i="4"/>
  <c r="AD501" i="4"/>
  <c r="AC501" i="4"/>
  <c r="AB501" i="4"/>
  <c r="AA501" i="4"/>
  <c r="R501" i="4"/>
  <c r="BT500" i="4"/>
  <c r="BS500" i="4"/>
  <c r="BR500" i="4"/>
  <c r="BQ500" i="4"/>
  <c r="BP500" i="4"/>
  <c r="BO500" i="4"/>
  <c r="BN500" i="4"/>
  <c r="BM500" i="4"/>
  <c r="BL500" i="4"/>
  <c r="BK500" i="4"/>
  <c r="BJ500" i="4"/>
  <c r="BI500" i="4"/>
  <c r="BG500" i="4"/>
  <c r="BF500" i="4"/>
  <c r="BE500" i="4"/>
  <c r="BD500" i="4"/>
  <c r="BC500" i="4"/>
  <c r="BB500" i="4"/>
  <c r="BA500" i="4"/>
  <c r="AZ500" i="4"/>
  <c r="AY500" i="4"/>
  <c r="AX500" i="4"/>
  <c r="AW500" i="4"/>
  <c r="AV500" i="4"/>
  <c r="AL500" i="4"/>
  <c r="AK500" i="4"/>
  <c r="AJ500" i="4"/>
  <c r="AI500" i="4"/>
  <c r="AH500" i="4"/>
  <c r="AG500" i="4"/>
  <c r="AF500" i="4"/>
  <c r="AE500" i="4"/>
  <c r="AD500" i="4"/>
  <c r="AC500" i="4"/>
  <c r="AB500" i="4"/>
  <c r="AA500" i="4"/>
  <c r="S500" i="4"/>
  <c r="T500" i="4" s="1"/>
  <c r="U500" i="4" s="1"/>
  <c r="R500" i="4"/>
  <c r="BT499" i="4"/>
  <c r="BS499" i="4"/>
  <c r="BR499" i="4"/>
  <c r="BQ499" i="4"/>
  <c r="BP499" i="4"/>
  <c r="BO499" i="4"/>
  <c r="BN499" i="4"/>
  <c r="BM499" i="4"/>
  <c r="BL499" i="4"/>
  <c r="BK499" i="4"/>
  <c r="BJ499" i="4"/>
  <c r="BI499" i="4"/>
  <c r="BG499" i="4"/>
  <c r="BF499" i="4"/>
  <c r="BE499" i="4"/>
  <c r="BD499" i="4"/>
  <c r="BC499" i="4"/>
  <c r="BB499" i="4"/>
  <c r="BA499" i="4"/>
  <c r="AZ499" i="4"/>
  <c r="AY499" i="4"/>
  <c r="AX499" i="4"/>
  <c r="AW499" i="4"/>
  <c r="AV499" i="4"/>
  <c r="AL499" i="4"/>
  <c r="AK499" i="4"/>
  <c r="AJ499" i="4"/>
  <c r="AI499" i="4"/>
  <c r="AH499" i="4"/>
  <c r="AG499" i="4"/>
  <c r="AF499" i="4"/>
  <c r="AE499" i="4"/>
  <c r="AD499" i="4"/>
  <c r="AC499" i="4"/>
  <c r="AB499" i="4"/>
  <c r="AA499" i="4"/>
  <c r="S499" i="4"/>
  <c r="T499" i="4" s="1"/>
  <c r="R499" i="4"/>
  <c r="BG498" i="4"/>
  <c r="BF498" i="4"/>
  <c r="BE498" i="4"/>
  <c r="BD498" i="4"/>
  <c r="BC498" i="4"/>
  <c r="BB498" i="4"/>
  <c r="BA498" i="4"/>
  <c r="AZ498" i="4"/>
  <c r="AY498" i="4"/>
  <c r="AX498" i="4"/>
  <c r="AW498" i="4"/>
  <c r="AV498" i="4"/>
  <c r="AS498" i="4"/>
  <c r="AT498" i="4" s="1"/>
  <c r="AR498" i="4"/>
  <c r="AO498" i="4"/>
  <c r="AL498" i="4"/>
  <c r="AK498" i="4"/>
  <c r="AJ498" i="4"/>
  <c r="AI498" i="4"/>
  <c r="AH498" i="4"/>
  <c r="AG498" i="4"/>
  <c r="AF498" i="4"/>
  <c r="AE498" i="4"/>
  <c r="AD498" i="4"/>
  <c r="AC498" i="4"/>
  <c r="AB498" i="4"/>
  <c r="AA498" i="4"/>
  <c r="R498" i="4"/>
  <c r="BG497" i="4"/>
  <c r="BF497" i="4"/>
  <c r="BE497" i="4"/>
  <c r="BD497" i="4"/>
  <c r="BC497" i="4"/>
  <c r="BB497" i="4"/>
  <c r="BA497" i="4"/>
  <c r="AZ497" i="4"/>
  <c r="AY497" i="4"/>
  <c r="AX497" i="4"/>
  <c r="AW497" i="4"/>
  <c r="AV497" i="4"/>
  <c r="AR497" i="4"/>
  <c r="AO497" i="4"/>
  <c r="AL497" i="4"/>
  <c r="AK497" i="4"/>
  <c r="AJ497" i="4"/>
  <c r="AI497" i="4"/>
  <c r="AH497" i="4"/>
  <c r="AG497" i="4"/>
  <c r="AF497" i="4"/>
  <c r="AE497" i="4"/>
  <c r="AD497" i="4"/>
  <c r="AC497" i="4"/>
  <c r="AB497" i="4"/>
  <c r="AA497" i="4"/>
  <c r="R497" i="4"/>
  <c r="BG496" i="4"/>
  <c r="BF496" i="4"/>
  <c r="BE496" i="4"/>
  <c r="BD496" i="4"/>
  <c r="BC496" i="4"/>
  <c r="BB496" i="4"/>
  <c r="BA496" i="4"/>
  <c r="AZ496" i="4"/>
  <c r="AY496" i="4"/>
  <c r="AX496" i="4"/>
  <c r="AW496" i="4"/>
  <c r="AV496" i="4"/>
  <c r="AR496" i="4"/>
  <c r="AO496" i="4"/>
  <c r="AL496" i="4"/>
  <c r="AK496" i="4"/>
  <c r="AJ496" i="4"/>
  <c r="AI496" i="4"/>
  <c r="AH496" i="4"/>
  <c r="AG496" i="4"/>
  <c r="AF496" i="4"/>
  <c r="AE496" i="4"/>
  <c r="AD496" i="4"/>
  <c r="AC496" i="4"/>
  <c r="AB496" i="4"/>
  <c r="AA496" i="4"/>
  <c r="R496" i="4"/>
  <c r="BG495" i="4"/>
  <c r="BF495" i="4"/>
  <c r="BE495" i="4"/>
  <c r="BD495" i="4"/>
  <c r="BC495" i="4"/>
  <c r="BB495" i="4"/>
  <c r="BA495" i="4"/>
  <c r="AZ495" i="4"/>
  <c r="AY495" i="4"/>
  <c r="AX495" i="4"/>
  <c r="AW495" i="4"/>
  <c r="AV495" i="4"/>
  <c r="AR495" i="4"/>
  <c r="AO495" i="4"/>
  <c r="AL495" i="4"/>
  <c r="AK495" i="4"/>
  <c r="AJ495" i="4"/>
  <c r="AI495" i="4"/>
  <c r="AH495" i="4"/>
  <c r="AG495" i="4"/>
  <c r="AF495" i="4"/>
  <c r="AE495" i="4"/>
  <c r="AD495" i="4"/>
  <c r="AC495" i="4"/>
  <c r="AB495" i="4"/>
  <c r="AA495" i="4"/>
  <c r="R495" i="4"/>
  <c r="BG494" i="4"/>
  <c r="BF494" i="4"/>
  <c r="BE494" i="4"/>
  <c r="BD494" i="4"/>
  <c r="BC494" i="4"/>
  <c r="BB494" i="4"/>
  <c r="BA494" i="4"/>
  <c r="AZ494" i="4"/>
  <c r="AY494" i="4"/>
  <c r="AX494" i="4"/>
  <c r="AW494" i="4"/>
  <c r="AV494" i="4"/>
  <c r="AR494" i="4"/>
  <c r="AO494" i="4"/>
  <c r="AL494" i="4"/>
  <c r="AK494" i="4"/>
  <c r="AJ494" i="4"/>
  <c r="AI494" i="4"/>
  <c r="AH494" i="4"/>
  <c r="AG494" i="4"/>
  <c r="AF494" i="4"/>
  <c r="AE494" i="4"/>
  <c r="AD494" i="4"/>
  <c r="AC494" i="4"/>
  <c r="AB494" i="4"/>
  <c r="AA494" i="4"/>
  <c r="R494" i="4"/>
  <c r="AL493" i="4"/>
  <c r="AK493" i="4"/>
  <c r="AJ493" i="4"/>
  <c r="AI493" i="4"/>
  <c r="AH493" i="4"/>
  <c r="AG493" i="4"/>
  <c r="AF493" i="4"/>
  <c r="AE493" i="4"/>
  <c r="AD493" i="4"/>
  <c r="AC493" i="4"/>
  <c r="AB493" i="4"/>
  <c r="AA493" i="4"/>
  <c r="T493" i="4"/>
  <c r="R493" i="4"/>
  <c r="S493" i="4" s="1"/>
  <c r="AL492" i="4"/>
  <c r="AK492" i="4"/>
  <c r="AJ492" i="4"/>
  <c r="AI492" i="4"/>
  <c r="AH492" i="4"/>
  <c r="AG492" i="4"/>
  <c r="AF492" i="4"/>
  <c r="AE492" i="4"/>
  <c r="AD492" i="4"/>
  <c r="AC492" i="4"/>
  <c r="AB492" i="4"/>
  <c r="AA492" i="4"/>
  <c r="R492" i="4"/>
  <c r="S492" i="4" s="1"/>
  <c r="AL491" i="4"/>
  <c r="AK491" i="4"/>
  <c r="AJ491" i="4"/>
  <c r="AI491" i="4"/>
  <c r="AH491" i="4"/>
  <c r="AG491" i="4"/>
  <c r="AF491" i="4"/>
  <c r="AE491" i="4"/>
  <c r="AD491" i="4"/>
  <c r="AC491" i="4"/>
  <c r="AB491" i="4"/>
  <c r="AA491" i="4"/>
  <c r="R491" i="4"/>
  <c r="BG490" i="4"/>
  <c r="BF490" i="4"/>
  <c r="BE490" i="4"/>
  <c r="BD490" i="4"/>
  <c r="BC490" i="4"/>
  <c r="BB490" i="4"/>
  <c r="BA490" i="4"/>
  <c r="AZ490" i="4"/>
  <c r="AX490" i="4"/>
  <c r="AW490" i="4"/>
  <c r="AV490" i="4"/>
  <c r="AL490" i="4"/>
  <c r="AK490" i="4"/>
  <c r="AJ490" i="4"/>
  <c r="AI490" i="4"/>
  <c r="AH490" i="4"/>
  <c r="AG490" i="4"/>
  <c r="AF490" i="4"/>
  <c r="AE490" i="4"/>
  <c r="AD490" i="4"/>
  <c r="AC490" i="4"/>
  <c r="AB490" i="4"/>
  <c r="AA490" i="4"/>
  <c r="R490" i="4"/>
  <c r="AL489" i="4"/>
  <c r="AK489" i="4"/>
  <c r="AJ489" i="4"/>
  <c r="AI489" i="4"/>
  <c r="AH489" i="4"/>
  <c r="AG489" i="4"/>
  <c r="AF489" i="4"/>
  <c r="AE489" i="4"/>
  <c r="AD489" i="4"/>
  <c r="AC489" i="4"/>
  <c r="AB489" i="4"/>
  <c r="AA489" i="4"/>
  <c r="R489" i="4"/>
  <c r="AL488" i="4"/>
  <c r="AK488" i="4"/>
  <c r="AJ488" i="4"/>
  <c r="AI488" i="4"/>
  <c r="AH488" i="4"/>
  <c r="AG488" i="4"/>
  <c r="AF488" i="4"/>
  <c r="AE488" i="4"/>
  <c r="AD488" i="4"/>
  <c r="AC488" i="4"/>
  <c r="AB488" i="4"/>
  <c r="AA488" i="4"/>
  <c r="S488" i="4"/>
  <c r="R488" i="4"/>
  <c r="T488" i="4" s="1"/>
  <c r="AL487" i="4"/>
  <c r="AK487" i="4"/>
  <c r="AJ487" i="4"/>
  <c r="AI487" i="4"/>
  <c r="AH487" i="4"/>
  <c r="AG487" i="4"/>
  <c r="AF487" i="4"/>
  <c r="AE487" i="4"/>
  <c r="AD487" i="4"/>
  <c r="AC487" i="4"/>
  <c r="AB487" i="4"/>
  <c r="AA487" i="4"/>
  <c r="S487" i="4"/>
  <c r="R487" i="4"/>
  <c r="BG486" i="4"/>
  <c r="BF486" i="4"/>
  <c r="BE486" i="4"/>
  <c r="BD486" i="4"/>
  <c r="BC486" i="4"/>
  <c r="BB486" i="4"/>
  <c r="BA486" i="4"/>
  <c r="AZ486" i="4"/>
  <c r="AY486" i="4"/>
  <c r="AX486" i="4"/>
  <c r="AW486" i="4"/>
  <c r="AV486" i="4"/>
  <c r="AR486" i="4"/>
  <c r="AO486" i="4"/>
  <c r="AL486" i="4"/>
  <c r="AK486" i="4"/>
  <c r="AJ486" i="4"/>
  <c r="AI486" i="4"/>
  <c r="AH486" i="4"/>
  <c r="AG486" i="4"/>
  <c r="AF486" i="4"/>
  <c r="AE486" i="4"/>
  <c r="AD486" i="4"/>
  <c r="AC486" i="4"/>
  <c r="AB486" i="4"/>
  <c r="AA486" i="4"/>
  <c r="R486" i="4"/>
  <c r="BG485" i="4"/>
  <c r="BF485" i="4"/>
  <c r="BE485" i="4"/>
  <c r="BD485" i="4"/>
  <c r="BC485" i="4"/>
  <c r="BB485" i="4"/>
  <c r="BA485" i="4"/>
  <c r="AZ485" i="4"/>
  <c r="AY485" i="4"/>
  <c r="AX485" i="4"/>
  <c r="AW485" i="4"/>
  <c r="AV485" i="4"/>
  <c r="AR485" i="4"/>
  <c r="AO485" i="4"/>
  <c r="AL485" i="4"/>
  <c r="AK485" i="4"/>
  <c r="AJ485" i="4"/>
  <c r="AI485" i="4"/>
  <c r="AH485" i="4"/>
  <c r="AG485" i="4"/>
  <c r="AF485" i="4"/>
  <c r="AE485" i="4"/>
  <c r="AD485" i="4"/>
  <c r="AC485" i="4"/>
  <c r="AB485" i="4"/>
  <c r="AA485" i="4"/>
  <c r="R485" i="4"/>
  <c r="AL484" i="4"/>
  <c r="AK484" i="4"/>
  <c r="AJ484" i="4"/>
  <c r="AI484" i="4"/>
  <c r="AH484" i="4"/>
  <c r="AG484" i="4"/>
  <c r="AF484" i="4"/>
  <c r="AE484" i="4"/>
  <c r="AD484" i="4"/>
  <c r="AC484" i="4"/>
  <c r="AB484" i="4"/>
  <c r="AA484" i="4"/>
  <c r="R484" i="4"/>
  <c r="S484" i="4" s="1"/>
  <c r="T484" i="4" s="1"/>
  <c r="AL483" i="4"/>
  <c r="AK483" i="4"/>
  <c r="AJ483" i="4"/>
  <c r="AI483" i="4"/>
  <c r="AH483" i="4"/>
  <c r="AG483" i="4"/>
  <c r="AF483" i="4"/>
  <c r="AE483" i="4"/>
  <c r="AD483" i="4"/>
  <c r="AC483" i="4"/>
  <c r="AB483" i="4"/>
  <c r="AA483" i="4"/>
  <c r="R483" i="4"/>
  <c r="S483" i="4" s="1"/>
  <c r="AL482" i="4"/>
  <c r="AK482" i="4"/>
  <c r="AJ482" i="4"/>
  <c r="AI482" i="4"/>
  <c r="AH482" i="4"/>
  <c r="AG482" i="4"/>
  <c r="AF482" i="4"/>
  <c r="AE482" i="4"/>
  <c r="AD482" i="4"/>
  <c r="AC482" i="4"/>
  <c r="AB482" i="4"/>
  <c r="AA482" i="4"/>
  <c r="R482" i="4"/>
  <c r="AL481" i="4"/>
  <c r="AK481" i="4"/>
  <c r="AJ481" i="4"/>
  <c r="AI481" i="4"/>
  <c r="AH481" i="4"/>
  <c r="AG481" i="4"/>
  <c r="AF481" i="4"/>
  <c r="AE481" i="4"/>
  <c r="AD481" i="4"/>
  <c r="AC481" i="4"/>
  <c r="AB481" i="4"/>
  <c r="AA481" i="4"/>
  <c r="R481" i="4"/>
  <c r="BG480" i="4"/>
  <c r="BF480" i="4"/>
  <c r="BE480" i="4"/>
  <c r="BD480" i="4"/>
  <c r="BC480" i="4"/>
  <c r="BB480" i="4"/>
  <c r="BA480" i="4"/>
  <c r="AZ480" i="4"/>
  <c r="AY480" i="4"/>
  <c r="AX480" i="4"/>
  <c r="AW480" i="4"/>
  <c r="AV480" i="4"/>
  <c r="AR480" i="4"/>
  <c r="AO480" i="4"/>
  <c r="AS480" i="4" s="1"/>
  <c r="AT480" i="4" s="1"/>
  <c r="AL480" i="4"/>
  <c r="AK480" i="4"/>
  <c r="AJ480" i="4"/>
  <c r="AI480" i="4"/>
  <c r="AH480" i="4"/>
  <c r="AG480" i="4"/>
  <c r="AF480" i="4"/>
  <c r="AE480" i="4"/>
  <c r="AD480" i="4"/>
  <c r="AC480" i="4"/>
  <c r="AB480" i="4"/>
  <c r="AA480" i="4"/>
  <c r="S480" i="4"/>
  <c r="R480" i="4"/>
  <c r="BG479" i="4"/>
  <c r="BF479" i="4"/>
  <c r="BE479" i="4"/>
  <c r="BD479" i="4"/>
  <c r="BC479" i="4"/>
  <c r="BB479" i="4"/>
  <c r="BA479" i="4"/>
  <c r="AZ479" i="4"/>
  <c r="AY479" i="4"/>
  <c r="AX479" i="4"/>
  <c r="AW479" i="4"/>
  <c r="AV479" i="4"/>
  <c r="AR479" i="4"/>
  <c r="AO479" i="4"/>
  <c r="AL479" i="4"/>
  <c r="AK479" i="4"/>
  <c r="AJ479" i="4"/>
  <c r="AI479" i="4"/>
  <c r="AH479" i="4"/>
  <c r="AG479" i="4"/>
  <c r="AF479" i="4"/>
  <c r="AE479" i="4"/>
  <c r="AD479" i="4"/>
  <c r="AC479" i="4"/>
  <c r="AB479" i="4"/>
  <c r="AA479" i="4"/>
  <c r="S479" i="4"/>
  <c r="R479" i="4"/>
  <c r="AL478" i="4"/>
  <c r="AK478" i="4"/>
  <c r="AJ478" i="4"/>
  <c r="AI478" i="4"/>
  <c r="AH478" i="4"/>
  <c r="AG478" i="4"/>
  <c r="AF478" i="4"/>
  <c r="AE478" i="4"/>
  <c r="AD478" i="4"/>
  <c r="AC478" i="4"/>
  <c r="AB478" i="4"/>
  <c r="AA478" i="4"/>
  <c r="R478" i="4"/>
  <c r="AL477" i="4"/>
  <c r="AK477" i="4"/>
  <c r="AJ477" i="4"/>
  <c r="AI477" i="4"/>
  <c r="AH477" i="4"/>
  <c r="AG477" i="4"/>
  <c r="AF477" i="4"/>
  <c r="AE477" i="4"/>
  <c r="AD477" i="4"/>
  <c r="AC477" i="4"/>
  <c r="AB477" i="4"/>
  <c r="AA477" i="4"/>
  <c r="R477" i="4"/>
  <c r="Q473" i="4"/>
  <c r="P473" i="4"/>
  <c r="O473" i="4"/>
  <c r="N473" i="4"/>
  <c r="M473" i="4"/>
  <c r="L473" i="4"/>
  <c r="H473" i="4"/>
  <c r="E473" i="4"/>
  <c r="BT471" i="4"/>
  <c r="BS471" i="4"/>
  <c r="BR471" i="4"/>
  <c r="BQ471" i="4"/>
  <c r="BP471" i="4"/>
  <c r="BO471" i="4"/>
  <c r="BN471" i="4"/>
  <c r="BM471" i="4"/>
  <c r="BL471" i="4"/>
  <c r="BK471" i="4"/>
  <c r="BJ471" i="4"/>
  <c r="BI471" i="4"/>
  <c r="BG471" i="4"/>
  <c r="BF471" i="4"/>
  <c r="BE471" i="4"/>
  <c r="BD471" i="4"/>
  <c r="BC471" i="4"/>
  <c r="BB471" i="4"/>
  <c r="BA471" i="4"/>
  <c r="AZ471" i="4"/>
  <c r="AY471" i="4"/>
  <c r="AX471" i="4"/>
  <c r="AW471" i="4"/>
  <c r="AV471" i="4"/>
  <c r="AL471" i="4"/>
  <c r="AK471" i="4"/>
  <c r="AJ471" i="4"/>
  <c r="AI471" i="4"/>
  <c r="AH471" i="4"/>
  <c r="AG471" i="4"/>
  <c r="AF471" i="4"/>
  <c r="AE471" i="4"/>
  <c r="AD471" i="4"/>
  <c r="AC471" i="4"/>
  <c r="AB471" i="4"/>
  <c r="AA471" i="4"/>
  <c r="R471" i="4"/>
  <c r="S471" i="4" s="1"/>
  <c r="BT470" i="4"/>
  <c r="BS470" i="4"/>
  <c r="BR470" i="4"/>
  <c r="BQ470" i="4"/>
  <c r="BP470" i="4"/>
  <c r="BO470" i="4"/>
  <c r="BN470" i="4"/>
  <c r="BM470" i="4"/>
  <c r="BL470" i="4"/>
  <c r="BK470" i="4"/>
  <c r="BJ470" i="4"/>
  <c r="BI470" i="4"/>
  <c r="AO470" i="4" s="1"/>
  <c r="BG470" i="4"/>
  <c r="BF470" i="4"/>
  <c r="BE470" i="4"/>
  <c r="BD470" i="4"/>
  <c r="BC470" i="4"/>
  <c r="BB470" i="4"/>
  <c r="BA470" i="4"/>
  <c r="AZ470" i="4"/>
  <c r="AY470" i="4"/>
  <c r="AX470" i="4"/>
  <c r="AW470" i="4"/>
  <c r="AV470" i="4"/>
  <c r="AL470" i="4"/>
  <c r="AK470" i="4"/>
  <c r="AJ470" i="4"/>
  <c r="AI470" i="4"/>
  <c r="AH470" i="4"/>
  <c r="AG470" i="4"/>
  <c r="AF470" i="4"/>
  <c r="AE470" i="4"/>
  <c r="AD470" i="4"/>
  <c r="AC470" i="4"/>
  <c r="AB470" i="4"/>
  <c r="AA470" i="4"/>
  <c r="R470" i="4"/>
  <c r="BT469" i="4"/>
  <c r="BS469" i="4"/>
  <c r="BR469" i="4"/>
  <c r="BQ469" i="4"/>
  <c r="BP469" i="4"/>
  <c r="BO469" i="4"/>
  <c r="BN469" i="4"/>
  <c r="BM469" i="4"/>
  <c r="BL469" i="4"/>
  <c r="BK469" i="4"/>
  <c r="BJ469" i="4"/>
  <c r="BI469" i="4"/>
  <c r="BG469" i="4"/>
  <c r="BF469" i="4"/>
  <c r="BE469" i="4"/>
  <c r="BD469" i="4"/>
  <c r="BC469" i="4"/>
  <c r="BB469" i="4"/>
  <c r="BA469" i="4"/>
  <c r="AZ469" i="4"/>
  <c r="AY469" i="4"/>
  <c r="AX469" i="4"/>
  <c r="AW469" i="4"/>
  <c r="AV469" i="4"/>
  <c r="AL469" i="4"/>
  <c r="AK469" i="4"/>
  <c r="AJ469" i="4"/>
  <c r="AI469" i="4"/>
  <c r="AH469" i="4"/>
  <c r="AG469" i="4"/>
  <c r="AF469" i="4"/>
  <c r="AE469" i="4"/>
  <c r="AD469" i="4"/>
  <c r="AC469" i="4"/>
  <c r="AB469" i="4"/>
  <c r="AA469" i="4"/>
  <c r="S469" i="4"/>
  <c r="R469" i="4"/>
  <c r="AL468" i="4"/>
  <c r="AK468" i="4"/>
  <c r="AJ468" i="4"/>
  <c r="AI468" i="4"/>
  <c r="AH468" i="4"/>
  <c r="AG468" i="4"/>
  <c r="AF468" i="4"/>
  <c r="AE468" i="4"/>
  <c r="AD468" i="4"/>
  <c r="AC468" i="4"/>
  <c r="AB468" i="4"/>
  <c r="AA468" i="4"/>
  <c r="T468" i="4"/>
  <c r="R468" i="4"/>
  <c r="S468" i="4" s="1"/>
  <c r="BG467" i="4"/>
  <c r="BF467" i="4"/>
  <c r="BE467" i="4"/>
  <c r="BD467" i="4"/>
  <c r="BC467" i="4"/>
  <c r="BB467" i="4"/>
  <c r="BA467" i="4"/>
  <c r="AZ467" i="4"/>
  <c r="AY467" i="4"/>
  <c r="AX467" i="4"/>
  <c r="AW467" i="4"/>
  <c r="AV467" i="4"/>
  <c r="AR467" i="4"/>
  <c r="AO467" i="4"/>
  <c r="AS467" i="4" s="1"/>
  <c r="AT467" i="4" s="1"/>
  <c r="AL467" i="4"/>
  <c r="AK467" i="4"/>
  <c r="AJ467" i="4"/>
  <c r="AI467" i="4"/>
  <c r="AH467" i="4"/>
  <c r="AG467" i="4"/>
  <c r="AF467" i="4"/>
  <c r="AE467" i="4"/>
  <c r="AD467" i="4"/>
  <c r="AC467" i="4"/>
  <c r="AB467" i="4"/>
  <c r="AA467" i="4"/>
  <c r="R467" i="4"/>
  <c r="S467" i="4" s="1"/>
  <c r="BG466" i="4"/>
  <c r="BF466" i="4"/>
  <c r="BE466" i="4"/>
  <c r="BD466" i="4"/>
  <c r="BC466" i="4"/>
  <c r="BB466" i="4"/>
  <c r="BA466" i="4"/>
  <c r="AZ466" i="4"/>
  <c r="AY466" i="4"/>
  <c r="AX466" i="4"/>
  <c r="AW466" i="4"/>
  <c r="AV466" i="4"/>
  <c r="AR466" i="4"/>
  <c r="AO466" i="4"/>
  <c r="AS466" i="4" s="1"/>
  <c r="AT466" i="4" s="1"/>
  <c r="AL466" i="4"/>
  <c r="AK466" i="4"/>
  <c r="AJ466" i="4"/>
  <c r="AI466" i="4"/>
  <c r="AH466" i="4"/>
  <c r="AG466" i="4"/>
  <c r="AF466" i="4"/>
  <c r="AE466" i="4"/>
  <c r="AD466" i="4"/>
  <c r="AC466" i="4"/>
  <c r="AB466" i="4"/>
  <c r="AA466" i="4"/>
  <c r="R466" i="4"/>
  <c r="AL465" i="4"/>
  <c r="AK465" i="4"/>
  <c r="AJ465" i="4"/>
  <c r="AI465" i="4"/>
  <c r="AH465" i="4"/>
  <c r="AG465" i="4"/>
  <c r="AF465" i="4"/>
  <c r="AE465" i="4"/>
  <c r="AD465" i="4"/>
  <c r="AC465" i="4"/>
  <c r="AB465" i="4"/>
  <c r="AA465" i="4"/>
  <c r="R465" i="4"/>
  <c r="AL464" i="4"/>
  <c r="AK464" i="4"/>
  <c r="AJ464" i="4"/>
  <c r="AI464" i="4"/>
  <c r="AH464" i="4"/>
  <c r="AG464" i="4"/>
  <c r="AF464" i="4"/>
  <c r="AE464" i="4"/>
  <c r="AD464" i="4"/>
  <c r="AC464" i="4"/>
  <c r="AB464" i="4"/>
  <c r="AA464" i="4"/>
  <c r="S464" i="4"/>
  <c r="R464" i="4"/>
  <c r="T464" i="4" s="1"/>
  <c r="BG463" i="4"/>
  <c r="BF463" i="4"/>
  <c r="BE463" i="4"/>
  <c r="BD463" i="4"/>
  <c r="BC463" i="4"/>
  <c r="BB463" i="4"/>
  <c r="BA463" i="4"/>
  <c r="AZ463" i="4"/>
  <c r="AX463" i="4"/>
  <c r="AW463" i="4"/>
  <c r="AV463" i="4"/>
  <c r="AL463" i="4"/>
  <c r="AK463" i="4"/>
  <c r="AJ463" i="4"/>
  <c r="AI463" i="4"/>
  <c r="AH463" i="4"/>
  <c r="AG463" i="4"/>
  <c r="AF463" i="4"/>
  <c r="AE463" i="4"/>
  <c r="AD463" i="4"/>
  <c r="AC463" i="4"/>
  <c r="AB463" i="4"/>
  <c r="AA463" i="4"/>
  <c r="R463" i="4"/>
  <c r="S463" i="4" s="1"/>
  <c r="AL462" i="4"/>
  <c r="AK462" i="4"/>
  <c r="AJ462" i="4"/>
  <c r="AI462" i="4"/>
  <c r="AH462" i="4"/>
  <c r="AG462" i="4"/>
  <c r="AF462" i="4"/>
  <c r="AE462" i="4"/>
  <c r="AD462" i="4"/>
  <c r="AC462" i="4"/>
  <c r="AB462" i="4"/>
  <c r="AA462" i="4"/>
  <c r="R462" i="4"/>
  <c r="S462" i="4" s="1"/>
  <c r="BT461" i="4"/>
  <c r="BS461" i="4"/>
  <c r="BR461" i="4"/>
  <c r="BQ461" i="4"/>
  <c r="BP461" i="4"/>
  <c r="BO461" i="4"/>
  <c r="BN461" i="4"/>
  <c r="BM461" i="4"/>
  <c r="BL461" i="4"/>
  <c r="BK461" i="4"/>
  <c r="BJ461" i="4"/>
  <c r="BI461" i="4"/>
  <c r="BG461" i="4"/>
  <c r="BF461" i="4"/>
  <c r="BE461" i="4"/>
  <c r="BD461" i="4"/>
  <c r="BC461" i="4"/>
  <c r="BB461" i="4"/>
  <c r="BA461" i="4"/>
  <c r="AZ461" i="4"/>
  <c r="AY461" i="4"/>
  <c r="AX461" i="4"/>
  <c r="AW461" i="4"/>
  <c r="AV461" i="4"/>
  <c r="AR461" i="4"/>
  <c r="AL461" i="4"/>
  <c r="AL473" i="4" s="1"/>
  <c r="AK461" i="4"/>
  <c r="AJ461" i="4"/>
  <c r="AI461" i="4"/>
  <c r="AH461" i="4"/>
  <c r="AH473" i="4" s="1"/>
  <c r="AG461" i="4"/>
  <c r="AF461" i="4"/>
  <c r="AE461" i="4"/>
  <c r="AD461" i="4"/>
  <c r="AD473" i="4" s="1"/>
  <c r="AC461" i="4"/>
  <c r="AB461" i="4"/>
  <c r="AA461" i="4"/>
  <c r="R461" i="4"/>
  <c r="Q457" i="4"/>
  <c r="P457" i="4"/>
  <c r="O457" i="4"/>
  <c r="N457" i="4"/>
  <c r="M457" i="4"/>
  <c r="L457" i="4"/>
  <c r="E457" i="4"/>
  <c r="BT455" i="4"/>
  <c r="BS455" i="4"/>
  <c r="BR455" i="4"/>
  <c r="BQ455" i="4"/>
  <c r="BP455" i="4"/>
  <c r="BO455" i="4"/>
  <c r="BN455" i="4"/>
  <c r="BM455" i="4"/>
  <c r="BL455" i="4"/>
  <c r="BK455" i="4"/>
  <c r="BJ455" i="4"/>
  <c r="BI455" i="4"/>
  <c r="BG455" i="4"/>
  <c r="BF455" i="4"/>
  <c r="BE455" i="4"/>
  <c r="BD455" i="4"/>
  <c r="BC455" i="4"/>
  <c r="BB455" i="4"/>
  <c r="BA455" i="4"/>
  <c r="AZ455" i="4"/>
  <c r="AY455" i="4"/>
  <c r="AX455" i="4"/>
  <c r="AW455" i="4"/>
  <c r="AV455" i="4"/>
  <c r="AL455" i="4"/>
  <c r="AK455" i="4"/>
  <c r="AJ455" i="4"/>
  <c r="AI455" i="4"/>
  <c r="AH455" i="4"/>
  <c r="AG455" i="4"/>
  <c r="AF455" i="4"/>
  <c r="AE455" i="4"/>
  <c r="AD455" i="4"/>
  <c r="AC455" i="4"/>
  <c r="AB455" i="4"/>
  <c r="AA455" i="4"/>
  <c r="S455" i="4"/>
  <c r="R455" i="4"/>
  <c r="BT454" i="4"/>
  <c r="BS454" i="4"/>
  <c r="BR454" i="4"/>
  <c r="BQ454" i="4"/>
  <c r="BP454" i="4"/>
  <c r="BO454" i="4"/>
  <c r="BN454" i="4"/>
  <c r="BM454" i="4"/>
  <c r="BL454" i="4"/>
  <c r="BK454" i="4"/>
  <c r="BJ454" i="4"/>
  <c r="BI454" i="4"/>
  <c r="BG454" i="4"/>
  <c r="BF454" i="4"/>
  <c r="BE454" i="4"/>
  <c r="BD454" i="4"/>
  <c r="BC454" i="4"/>
  <c r="BB454" i="4"/>
  <c r="BA454" i="4"/>
  <c r="AZ454" i="4"/>
  <c r="AY454" i="4"/>
  <c r="AX454" i="4"/>
  <c r="AW454" i="4"/>
  <c r="AV454" i="4"/>
  <c r="AL454" i="4"/>
  <c r="AK454" i="4"/>
  <c r="AJ454" i="4"/>
  <c r="AI454" i="4"/>
  <c r="AH454" i="4"/>
  <c r="AG454" i="4"/>
  <c r="AF454" i="4"/>
  <c r="AE454" i="4"/>
  <c r="AD454" i="4"/>
  <c r="AC454" i="4"/>
  <c r="AB454" i="4"/>
  <c r="AA454" i="4"/>
  <c r="S454" i="4"/>
  <c r="R454" i="4"/>
  <c r="BT453" i="4"/>
  <c r="BS453" i="4"/>
  <c r="BR453" i="4"/>
  <c r="BQ453" i="4"/>
  <c r="BP453" i="4"/>
  <c r="BO453" i="4"/>
  <c r="BN453" i="4"/>
  <c r="BM453" i="4"/>
  <c r="BL453" i="4"/>
  <c r="BK453" i="4"/>
  <c r="BJ453" i="4"/>
  <c r="AR453" i="4" s="1"/>
  <c r="BI453" i="4"/>
  <c r="BG453" i="4"/>
  <c r="BF453" i="4"/>
  <c r="BE453" i="4"/>
  <c r="BD453" i="4"/>
  <c r="BC453" i="4"/>
  <c r="BB453" i="4"/>
  <c r="BA453" i="4"/>
  <c r="AZ453" i="4"/>
  <c r="AY453" i="4"/>
  <c r="AX453" i="4"/>
  <c r="AW453" i="4"/>
  <c r="AV453" i="4"/>
  <c r="AL453" i="4"/>
  <c r="AK453" i="4"/>
  <c r="AJ453" i="4"/>
  <c r="AI453" i="4"/>
  <c r="AH453" i="4"/>
  <c r="AG453" i="4"/>
  <c r="AF453" i="4"/>
  <c r="AE453" i="4"/>
  <c r="AD453" i="4"/>
  <c r="AC453" i="4"/>
  <c r="AB453" i="4"/>
  <c r="AA453" i="4"/>
  <c r="R453" i="4"/>
  <c r="BT452" i="4"/>
  <c r="BG452" i="4" s="1"/>
  <c r="BS452" i="4"/>
  <c r="BR452" i="4"/>
  <c r="BP452" i="4"/>
  <c r="BC452" i="4" s="1"/>
  <c r="BO452" i="4"/>
  <c r="BN452" i="4"/>
  <c r="BL452" i="4"/>
  <c r="BK452" i="4"/>
  <c r="BJ452" i="4"/>
  <c r="BF452" i="4"/>
  <c r="BE452" i="4"/>
  <c r="BB452" i="4"/>
  <c r="BA452" i="4"/>
  <c r="AY452" i="4"/>
  <c r="AX452" i="4"/>
  <c r="AL452" i="4"/>
  <c r="AK452" i="4"/>
  <c r="AJ452" i="4"/>
  <c r="AI452" i="4"/>
  <c r="AH452" i="4"/>
  <c r="AG452" i="4"/>
  <c r="AF452" i="4"/>
  <c r="AE452" i="4"/>
  <c r="AD452" i="4"/>
  <c r="AC452" i="4"/>
  <c r="AB452" i="4"/>
  <c r="AA452" i="4"/>
  <c r="R452" i="4"/>
  <c r="BT451" i="4"/>
  <c r="BG451" i="4" s="1"/>
  <c r="BS451" i="4"/>
  <c r="BR451" i="4"/>
  <c r="BP451" i="4"/>
  <c r="BC451" i="4" s="1"/>
  <c r="BO451" i="4"/>
  <c r="BN451" i="4"/>
  <c r="BL451" i="4"/>
  <c r="BK451" i="4"/>
  <c r="BJ451" i="4"/>
  <c r="AW451" i="4" s="1"/>
  <c r="BF451" i="4"/>
  <c r="BE451" i="4"/>
  <c r="BB451" i="4"/>
  <c r="BA451" i="4"/>
  <c r="AY451" i="4"/>
  <c r="AX451" i="4"/>
  <c r="AL451" i="4"/>
  <c r="AK451" i="4"/>
  <c r="AJ451" i="4"/>
  <c r="AI451" i="4"/>
  <c r="AH451" i="4"/>
  <c r="AG451" i="4"/>
  <c r="AF451" i="4"/>
  <c r="AE451" i="4"/>
  <c r="AD451" i="4"/>
  <c r="AC451" i="4"/>
  <c r="AB451" i="4"/>
  <c r="AA451" i="4"/>
  <c r="R451" i="4"/>
  <c r="S451" i="4" s="1"/>
  <c r="AN450" i="4"/>
  <c r="AL450" i="4"/>
  <c r="AK450" i="4"/>
  <c r="AJ450" i="4"/>
  <c r="AI450" i="4"/>
  <c r="AH450" i="4"/>
  <c r="AG450" i="4"/>
  <c r="AF450" i="4"/>
  <c r="AE450" i="4"/>
  <c r="AD450" i="4"/>
  <c r="AC450" i="4"/>
  <c r="AB450" i="4"/>
  <c r="AA450" i="4"/>
  <c r="Y450" i="4"/>
  <c r="D450" i="4"/>
  <c r="BT450" i="4" s="1"/>
  <c r="BG450" i="4" s="1"/>
  <c r="BT449" i="4"/>
  <c r="BG449" i="4" s="1"/>
  <c r="BS449" i="4"/>
  <c r="BR449" i="4"/>
  <c r="BP449" i="4"/>
  <c r="BO449" i="4"/>
  <c r="BN449" i="4"/>
  <c r="BA449" i="4" s="1"/>
  <c r="BL449" i="4"/>
  <c r="BK449" i="4"/>
  <c r="BJ449" i="4"/>
  <c r="AW449" i="4" s="1"/>
  <c r="BF449" i="4"/>
  <c r="BE449" i="4"/>
  <c r="BC449" i="4"/>
  <c r="BB449" i="4"/>
  <c r="AY449" i="4"/>
  <c r="AX449" i="4"/>
  <c r="AL449" i="4"/>
  <c r="AK449" i="4"/>
  <c r="AJ449" i="4"/>
  <c r="AI449" i="4"/>
  <c r="AH449" i="4"/>
  <c r="AG449" i="4"/>
  <c r="AF449" i="4"/>
  <c r="AE449" i="4"/>
  <c r="AD449" i="4"/>
  <c r="AC449" i="4"/>
  <c r="AB449" i="4"/>
  <c r="AA449" i="4"/>
  <c r="R449" i="4"/>
  <c r="S449" i="4" s="1"/>
  <c r="BT448" i="4"/>
  <c r="BS448" i="4"/>
  <c r="BR448" i="4"/>
  <c r="BQ448" i="4"/>
  <c r="BP448" i="4"/>
  <c r="BO448" i="4"/>
  <c r="BN448" i="4"/>
  <c r="BM448" i="4"/>
  <c r="BL448" i="4"/>
  <c r="BK448" i="4"/>
  <c r="AR448" i="4" s="1"/>
  <c r="BJ448" i="4"/>
  <c r="BI448" i="4"/>
  <c r="BG448" i="4"/>
  <c r="BF448" i="4"/>
  <c r="BE448" i="4"/>
  <c r="BD448" i="4"/>
  <c r="BC448" i="4"/>
  <c r="BB448" i="4"/>
  <c r="BA448" i="4"/>
  <c r="AZ448" i="4"/>
  <c r="AY448" i="4"/>
  <c r="AX448" i="4"/>
  <c r="AW448" i="4"/>
  <c r="AV448" i="4"/>
  <c r="AL448" i="4"/>
  <c r="AK448" i="4"/>
  <c r="AJ448" i="4"/>
  <c r="AI448" i="4"/>
  <c r="AH448" i="4"/>
  <c r="AG448" i="4"/>
  <c r="AF448" i="4"/>
  <c r="AE448" i="4"/>
  <c r="AD448" i="4"/>
  <c r="AC448" i="4"/>
  <c r="AB448" i="4"/>
  <c r="AA448" i="4"/>
  <c r="R448" i="4"/>
  <c r="S448" i="4" s="1"/>
  <c r="BT447" i="4"/>
  <c r="BS447" i="4"/>
  <c r="BR447" i="4"/>
  <c r="BQ447" i="4"/>
  <c r="BP447" i="4"/>
  <c r="BO447" i="4"/>
  <c r="BN447" i="4"/>
  <c r="BM447" i="4"/>
  <c r="BL447" i="4"/>
  <c r="BK447" i="4"/>
  <c r="BJ447" i="4"/>
  <c r="BI447" i="4"/>
  <c r="AO447" i="4" s="1"/>
  <c r="BG447" i="4"/>
  <c r="BF447" i="4"/>
  <c r="BE447" i="4"/>
  <c r="BD447" i="4"/>
  <c r="BC447" i="4"/>
  <c r="BB447" i="4"/>
  <c r="BA447" i="4"/>
  <c r="AZ447" i="4"/>
  <c r="AY447" i="4"/>
  <c r="AX447" i="4"/>
  <c r="AW447" i="4"/>
  <c r="AV447" i="4"/>
  <c r="AL447" i="4"/>
  <c r="AK447" i="4"/>
  <c r="AJ447" i="4"/>
  <c r="AI447" i="4"/>
  <c r="AH447" i="4"/>
  <c r="AG447" i="4"/>
  <c r="AF447" i="4"/>
  <c r="AE447" i="4"/>
  <c r="AD447" i="4"/>
  <c r="AC447" i="4"/>
  <c r="AB447" i="4"/>
  <c r="AA447" i="4"/>
  <c r="R447" i="4"/>
  <c r="BT446" i="4"/>
  <c r="BS446" i="4"/>
  <c r="BR446" i="4"/>
  <c r="BQ446" i="4"/>
  <c r="BP446" i="4"/>
  <c r="BO446" i="4"/>
  <c r="BN446" i="4"/>
  <c r="BM446" i="4"/>
  <c r="BL446" i="4"/>
  <c r="BK446" i="4"/>
  <c r="BJ446" i="4"/>
  <c r="BI446" i="4"/>
  <c r="BG446" i="4"/>
  <c r="BF446" i="4"/>
  <c r="BE446" i="4"/>
  <c r="BD446" i="4"/>
  <c r="BC446" i="4"/>
  <c r="BB446" i="4"/>
  <c r="BA446" i="4"/>
  <c r="AZ446" i="4"/>
  <c r="AY446" i="4"/>
  <c r="AX446" i="4"/>
  <c r="AW446" i="4"/>
  <c r="AV446" i="4"/>
  <c r="AL446" i="4"/>
  <c r="AK446" i="4"/>
  <c r="AJ446" i="4"/>
  <c r="AI446" i="4"/>
  <c r="AH446" i="4"/>
  <c r="AG446" i="4"/>
  <c r="AF446" i="4"/>
  <c r="AE446" i="4"/>
  <c r="AD446" i="4"/>
  <c r="AC446" i="4"/>
  <c r="AB446" i="4"/>
  <c r="AA446" i="4"/>
  <c r="S446" i="4"/>
  <c r="U446" i="4" s="1"/>
  <c r="R446" i="4"/>
  <c r="T446" i="4" s="1"/>
  <c r="BT445" i="4"/>
  <c r="BS445" i="4"/>
  <c r="BR445" i="4"/>
  <c r="BQ445" i="4"/>
  <c r="BP445" i="4"/>
  <c r="BO445" i="4"/>
  <c r="BN445" i="4"/>
  <c r="BM445" i="4"/>
  <c r="BL445" i="4"/>
  <c r="BK445" i="4"/>
  <c r="BJ445" i="4"/>
  <c r="BI445" i="4"/>
  <c r="BG445" i="4"/>
  <c r="BF445" i="4"/>
  <c r="BE445" i="4"/>
  <c r="BD445" i="4"/>
  <c r="BC445" i="4"/>
  <c r="BB445" i="4"/>
  <c r="BA445" i="4"/>
  <c r="AZ445" i="4"/>
  <c r="AY445" i="4"/>
  <c r="AX445" i="4"/>
  <c r="AW445" i="4"/>
  <c r="AV445" i="4"/>
  <c r="AL445" i="4"/>
  <c r="AK445" i="4"/>
  <c r="AJ445" i="4"/>
  <c r="AI445" i="4"/>
  <c r="AH445" i="4"/>
  <c r="AG445" i="4"/>
  <c r="AF445" i="4"/>
  <c r="AE445" i="4"/>
  <c r="AD445" i="4"/>
  <c r="AC445" i="4"/>
  <c r="AB445" i="4"/>
  <c r="AA445" i="4"/>
  <c r="T445" i="4"/>
  <c r="R445" i="4"/>
  <c r="S445" i="4" s="1"/>
  <c r="BG444" i="4"/>
  <c r="BF444" i="4"/>
  <c r="BE444" i="4"/>
  <c r="BD444" i="4"/>
  <c r="BC444" i="4"/>
  <c r="BB444" i="4"/>
  <c r="BA444" i="4"/>
  <c r="AZ444" i="4"/>
  <c r="AY444" i="4"/>
  <c r="AX444" i="4"/>
  <c r="AW444" i="4"/>
  <c r="AV444" i="4"/>
  <c r="AR444" i="4"/>
  <c r="AO444" i="4"/>
  <c r="AS444" i="4" s="1"/>
  <c r="AT444" i="4" s="1"/>
  <c r="AL444" i="4"/>
  <c r="AK444" i="4"/>
  <c r="AJ444" i="4"/>
  <c r="AI444" i="4"/>
  <c r="AH444" i="4"/>
  <c r="AG444" i="4"/>
  <c r="AF444" i="4"/>
  <c r="AE444" i="4"/>
  <c r="AD444" i="4"/>
  <c r="AC444" i="4"/>
  <c r="AB444" i="4"/>
  <c r="AA444" i="4"/>
  <c r="R444" i="4"/>
  <c r="S444" i="4" s="1"/>
  <c r="AL443" i="4"/>
  <c r="AK443" i="4"/>
  <c r="AJ443" i="4"/>
  <c r="AI443" i="4"/>
  <c r="AH443" i="4"/>
  <c r="AG443" i="4"/>
  <c r="AF443" i="4"/>
  <c r="AE443" i="4"/>
  <c r="AD443" i="4"/>
  <c r="AC443" i="4"/>
  <c r="AB443" i="4"/>
  <c r="AA443" i="4"/>
  <c r="R443" i="4"/>
  <c r="BG442" i="4"/>
  <c r="BF442" i="4"/>
  <c r="BE442" i="4"/>
  <c r="BD442" i="4"/>
  <c r="BC442" i="4"/>
  <c r="BB442" i="4"/>
  <c r="BA442" i="4"/>
  <c r="AZ442" i="4"/>
  <c r="AY442" i="4"/>
  <c r="AX442" i="4"/>
  <c r="AW442" i="4"/>
  <c r="AV442" i="4"/>
  <c r="AR442" i="4"/>
  <c r="AO442" i="4"/>
  <c r="AL442" i="4"/>
  <c r="AK442" i="4"/>
  <c r="AJ442" i="4"/>
  <c r="AI442" i="4"/>
  <c r="AH442" i="4"/>
  <c r="AG442" i="4"/>
  <c r="AF442" i="4"/>
  <c r="AE442" i="4"/>
  <c r="AD442" i="4"/>
  <c r="AC442" i="4"/>
  <c r="AB442" i="4"/>
  <c r="AA442" i="4"/>
  <c r="R442" i="4"/>
  <c r="AL441" i="4"/>
  <c r="AK441" i="4"/>
  <c r="AJ441" i="4"/>
  <c r="AI441" i="4"/>
  <c r="AH441" i="4"/>
  <c r="AG441" i="4"/>
  <c r="AF441" i="4"/>
  <c r="AE441" i="4"/>
  <c r="AD441" i="4"/>
  <c r="AC441" i="4"/>
  <c r="AB441" i="4"/>
  <c r="AA441" i="4"/>
  <c r="R441" i="4"/>
  <c r="S441" i="4" s="1"/>
  <c r="AL440" i="4"/>
  <c r="AK440" i="4"/>
  <c r="AJ440" i="4"/>
  <c r="AI440" i="4"/>
  <c r="AH440" i="4"/>
  <c r="AG440" i="4"/>
  <c r="AF440" i="4"/>
  <c r="AE440" i="4"/>
  <c r="AD440" i="4"/>
  <c r="AC440" i="4"/>
  <c r="AB440" i="4"/>
  <c r="AA440" i="4"/>
  <c r="R440" i="4"/>
  <c r="S440" i="4" s="1"/>
  <c r="AL439" i="4"/>
  <c r="AK439" i="4"/>
  <c r="AJ439" i="4"/>
  <c r="AI439" i="4"/>
  <c r="AH439" i="4"/>
  <c r="AG439" i="4"/>
  <c r="AF439" i="4"/>
  <c r="AE439" i="4"/>
  <c r="AD439" i="4"/>
  <c r="AC439" i="4"/>
  <c r="AB439" i="4"/>
  <c r="AA439" i="4"/>
  <c r="R439" i="4"/>
  <c r="AL438" i="4"/>
  <c r="AK438" i="4"/>
  <c r="AJ438" i="4"/>
  <c r="AI438" i="4"/>
  <c r="AH438" i="4"/>
  <c r="AG438" i="4"/>
  <c r="AF438" i="4"/>
  <c r="AE438" i="4"/>
  <c r="AD438" i="4"/>
  <c r="AC438" i="4"/>
  <c r="AB438" i="4"/>
  <c r="AA438" i="4"/>
  <c r="S438" i="4"/>
  <c r="U438" i="4" s="1"/>
  <c r="R438" i="4"/>
  <c r="T438" i="4" s="1"/>
  <c r="BG437" i="4"/>
  <c r="BF437" i="4"/>
  <c r="BE437" i="4"/>
  <c r="BD437" i="4"/>
  <c r="BC437" i="4"/>
  <c r="BB437" i="4"/>
  <c r="BA437" i="4"/>
  <c r="AZ437" i="4"/>
  <c r="AY437" i="4"/>
  <c r="AX437" i="4"/>
  <c r="AW437" i="4"/>
  <c r="AV437" i="4"/>
  <c r="AR437" i="4"/>
  <c r="AO437" i="4"/>
  <c r="AL437" i="4"/>
  <c r="AK437" i="4"/>
  <c r="AJ437" i="4"/>
  <c r="AI437" i="4"/>
  <c r="AH437" i="4"/>
  <c r="AG437" i="4"/>
  <c r="AF437" i="4"/>
  <c r="AE437" i="4"/>
  <c r="AD437" i="4"/>
  <c r="AC437" i="4"/>
  <c r="AB437" i="4"/>
  <c r="AA437" i="4"/>
  <c r="R437" i="4"/>
  <c r="S437" i="4" s="1"/>
  <c r="BG436" i="4"/>
  <c r="BF436" i="4"/>
  <c r="BE436" i="4"/>
  <c r="BD436" i="4"/>
  <c r="BC436" i="4"/>
  <c r="BB436" i="4"/>
  <c r="BA436" i="4"/>
  <c r="AZ436" i="4"/>
  <c r="AY436" i="4"/>
  <c r="AX436" i="4"/>
  <c r="AW436" i="4"/>
  <c r="AV436" i="4"/>
  <c r="AR436" i="4"/>
  <c r="AO436" i="4"/>
  <c r="AS436" i="4" s="1"/>
  <c r="AT436" i="4" s="1"/>
  <c r="AL436" i="4"/>
  <c r="AK436" i="4"/>
  <c r="AJ436" i="4"/>
  <c r="AI436" i="4"/>
  <c r="AH436" i="4"/>
  <c r="AG436" i="4"/>
  <c r="AF436" i="4"/>
  <c r="AE436" i="4"/>
  <c r="AD436" i="4"/>
  <c r="AC436" i="4"/>
  <c r="AB436" i="4"/>
  <c r="AA436" i="4"/>
  <c r="R436" i="4"/>
  <c r="S436" i="4" s="1"/>
  <c r="BG435" i="4"/>
  <c r="BF435" i="4"/>
  <c r="BE435" i="4"/>
  <c r="BD435" i="4"/>
  <c r="BC435" i="4"/>
  <c r="BB435" i="4"/>
  <c r="BA435" i="4"/>
  <c r="AZ435" i="4"/>
  <c r="AY435" i="4"/>
  <c r="AX435" i="4"/>
  <c r="AW435" i="4"/>
  <c r="AV435" i="4"/>
  <c r="AR435" i="4"/>
  <c r="AO435" i="4"/>
  <c r="AS435" i="4" s="1"/>
  <c r="AT435" i="4" s="1"/>
  <c r="AL435" i="4"/>
  <c r="AK435" i="4"/>
  <c r="AJ435" i="4"/>
  <c r="AI435" i="4"/>
  <c r="AH435" i="4"/>
  <c r="AG435" i="4"/>
  <c r="AF435" i="4"/>
  <c r="AE435" i="4"/>
  <c r="AD435" i="4"/>
  <c r="AC435" i="4"/>
  <c r="AB435" i="4"/>
  <c r="AA435" i="4"/>
  <c r="R435" i="4"/>
  <c r="BG434" i="4"/>
  <c r="BF434" i="4"/>
  <c r="BE434" i="4"/>
  <c r="BD434" i="4"/>
  <c r="BC434" i="4"/>
  <c r="BB434" i="4"/>
  <c r="BA434" i="4"/>
  <c r="AZ434" i="4"/>
  <c r="AY434" i="4"/>
  <c r="AX434" i="4"/>
  <c r="AW434" i="4"/>
  <c r="AV434" i="4"/>
  <c r="AR434" i="4"/>
  <c r="AO434" i="4"/>
  <c r="AL434" i="4"/>
  <c r="AK434" i="4"/>
  <c r="AJ434" i="4"/>
  <c r="AI434" i="4"/>
  <c r="AH434" i="4"/>
  <c r="AG434" i="4"/>
  <c r="AF434" i="4"/>
  <c r="AE434" i="4"/>
  <c r="AD434" i="4"/>
  <c r="AC434" i="4"/>
  <c r="AB434" i="4"/>
  <c r="AA434" i="4"/>
  <c r="S434" i="4"/>
  <c r="R434" i="4"/>
  <c r="BG433" i="4"/>
  <c r="BF433" i="4"/>
  <c r="BE433" i="4"/>
  <c r="BD433" i="4"/>
  <c r="BC433" i="4"/>
  <c r="BB433" i="4"/>
  <c r="BA433" i="4"/>
  <c r="AZ433" i="4"/>
  <c r="AY433" i="4"/>
  <c r="AX433" i="4"/>
  <c r="AW433" i="4"/>
  <c r="AV433" i="4"/>
  <c r="AR433" i="4"/>
  <c r="AO433" i="4"/>
  <c r="AL433" i="4"/>
  <c r="AK433" i="4"/>
  <c r="AJ433" i="4"/>
  <c r="AI433" i="4"/>
  <c r="AH433" i="4"/>
  <c r="AG433" i="4"/>
  <c r="AF433" i="4"/>
  <c r="AE433" i="4"/>
  <c r="AD433" i="4"/>
  <c r="AC433" i="4"/>
  <c r="AB433" i="4"/>
  <c r="AA433" i="4"/>
  <c r="R433" i="4"/>
  <c r="S433" i="4" s="1"/>
  <c r="BG432" i="4"/>
  <c r="BF432" i="4"/>
  <c r="BE432" i="4"/>
  <c r="BD432" i="4"/>
  <c r="BC432" i="4"/>
  <c r="BB432" i="4"/>
  <c r="BA432" i="4"/>
  <c r="AZ432" i="4"/>
  <c r="AY432" i="4"/>
  <c r="AX432" i="4"/>
  <c r="AW432" i="4"/>
  <c r="AV432" i="4"/>
  <c r="AR432" i="4"/>
  <c r="AO432" i="4"/>
  <c r="AS432" i="4" s="1"/>
  <c r="AT432" i="4" s="1"/>
  <c r="AL432" i="4"/>
  <c r="AK432" i="4"/>
  <c r="AJ432" i="4"/>
  <c r="AI432" i="4"/>
  <c r="AH432" i="4"/>
  <c r="AG432" i="4"/>
  <c r="AF432" i="4"/>
  <c r="AE432" i="4"/>
  <c r="AD432" i="4"/>
  <c r="AC432" i="4"/>
  <c r="AB432" i="4"/>
  <c r="AA432" i="4"/>
  <c r="R432" i="4"/>
  <c r="S432" i="4" s="1"/>
  <c r="BG431" i="4"/>
  <c r="BF431" i="4"/>
  <c r="BE431" i="4"/>
  <c r="BD431" i="4"/>
  <c r="BC431" i="4"/>
  <c r="BB431" i="4"/>
  <c r="BA431" i="4"/>
  <c r="AZ431" i="4"/>
  <c r="AY431" i="4"/>
  <c r="AX431" i="4"/>
  <c r="AW431" i="4"/>
  <c r="AV431" i="4"/>
  <c r="AR431" i="4"/>
  <c r="AO431" i="4"/>
  <c r="AS431" i="4" s="1"/>
  <c r="AT431" i="4" s="1"/>
  <c r="AL431" i="4"/>
  <c r="AK431" i="4"/>
  <c r="AJ431" i="4"/>
  <c r="AI431" i="4"/>
  <c r="AH431" i="4"/>
  <c r="AG431" i="4"/>
  <c r="AF431" i="4"/>
  <c r="AE431" i="4"/>
  <c r="AD431" i="4"/>
  <c r="AC431" i="4"/>
  <c r="AB431" i="4"/>
  <c r="AA431" i="4"/>
  <c r="R431" i="4"/>
  <c r="AL430" i="4"/>
  <c r="AK430" i="4"/>
  <c r="AJ430" i="4"/>
  <c r="AI430" i="4"/>
  <c r="AH430" i="4"/>
  <c r="AG430" i="4"/>
  <c r="AF430" i="4"/>
  <c r="AE430" i="4"/>
  <c r="AD430" i="4"/>
  <c r="AC430" i="4"/>
  <c r="AB430" i="4"/>
  <c r="AA430" i="4"/>
  <c r="R430" i="4"/>
  <c r="BG429" i="4"/>
  <c r="BF429" i="4"/>
  <c r="BE429" i="4"/>
  <c r="BD429" i="4"/>
  <c r="BC429" i="4"/>
  <c r="BB429" i="4"/>
  <c r="BA429" i="4"/>
  <c r="AZ429" i="4"/>
  <c r="AY429" i="4"/>
  <c r="AX429" i="4"/>
  <c r="AW429" i="4"/>
  <c r="AV429" i="4"/>
  <c r="AR429" i="4"/>
  <c r="AO429" i="4"/>
  <c r="AS429" i="4" s="1"/>
  <c r="AT429" i="4" s="1"/>
  <c r="AL429" i="4"/>
  <c r="AK429" i="4"/>
  <c r="AJ429" i="4"/>
  <c r="AI429" i="4"/>
  <c r="AH429" i="4"/>
  <c r="AG429" i="4"/>
  <c r="AF429" i="4"/>
  <c r="AE429" i="4"/>
  <c r="AD429" i="4"/>
  <c r="AC429" i="4"/>
  <c r="AB429" i="4"/>
  <c r="AA429" i="4"/>
  <c r="S429" i="4"/>
  <c r="T429" i="4" s="1"/>
  <c r="R429" i="4"/>
  <c r="AL428" i="4"/>
  <c r="AK428" i="4"/>
  <c r="AJ428" i="4"/>
  <c r="AI428" i="4"/>
  <c r="AH428" i="4"/>
  <c r="AG428" i="4"/>
  <c r="AF428" i="4"/>
  <c r="AE428" i="4"/>
  <c r="AD428" i="4"/>
  <c r="AC428" i="4"/>
  <c r="AB428" i="4"/>
  <c r="AA428" i="4"/>
  <c r="S428" i="4"/>
  <c r="R428" i="4"/>
  <c r="AL427" i="4"/>
  <c r="AK427" i="4"/>
  <c r="AJ427" i="4"/>
  <c r="AI427" i="4"/>
  <c r="AH427" i="4"/>
  <c r="AG427" i="4"/>
  <c r="AF427" i="4"/>
  <c r="AE427" i="4"/>
  <c r="AD427" i="4"/>
  <c r="AC427" i="4"/>
  <c r="AB427" i="4"/>
  <c r="AA427" i="4"/>
  <c r="R427" i="4"/>
  <c r="AL426" i="4"/>
  <c r="AK426" i="4"/>
  <c r="AJ426" i="4"/>
  <c r="AI426" i="4"/>
  <c r="AH426" i="4"/>
  <c r="AG426" i="4"/>
  <c r="AF426" i="4"/>
  <c r="AE426" i="4"/>
  <c r="AD426" i="4"/>
  <c r="AC426" i="4"/>
  <c r="AB426" i="4"/>
  <c r="AA426" i="4"/>
  <c r="R426" i="4"/>
  <c r="AL425" i="4"/>
  <c r="AK425" i="4"/>
  <c r="AJ425" i="4"/>
  <c r="AI425" i="4"/>
  <c r="AH425" i="4"/>
  <c r="AG425" i="4"/>
  <c r="AF425" i="4"/>
  <c r="AE425" i="4"/>
  <c r="AD425" i="4"/>
  <c r="AC425" i="4"/>
  <c r="AB425" i="4"/>
  <c r="AA425" i="4"/>
  <c r="S425" i="4"/>
  <c r="T425" i="4" s="1"/>
  <c r="R425" i="4"/>
  <c r="AL424" i="4"/>
  <c r="AK424" i="4"/>
  <c r="AJ424" i="4"/>
  <c r="AI424" i="4"/>
  <c r="AH424" i="4"/>
  <c r="AG424" i="4"/>
  <c r="AF424" i="4"/>
  <c r="AE424" i="4"/>
  <c r="AD424" i="4"/>
  <c r="AC424" i="4"/>
  <c r="AB424" i="4"/>
  <c r="AA424" i="4"/>
  <c r="S424" i="4"/>
  <c r="R424" i="4"/>
  <c r="AL423" i="4"/>
  <c r="AK423" i="4"/>
  <c r="AJ423" i="4"/>
  <c r="AI423" i="4"/>
  <c r="AH423" i="4"/>
  <c r="AG423" i="4"/>
  <c r="AF423" i="4"/>
  <c r="AE423" i="4"/>
  <c r="AD423" i="4"/>
  <c r="AC423" i="4"/>
  <c r="AB423" i="4"/>
  <c r="AA423" i="4"/>
  <c r="R423" i="4"/>
  <c r="AN422" i="4"/>
  <c r="AL422" i="4"/>
  <c r="AK422" i="4"/>
  <c r="AJ422" i="4"/>
  <c r="AI422" i="4"/>
  <c r="AH422" i="4"/>
  <c r="AG422" i="4"/>
  <c r="AF422" i="4"/>
  <c r="AE422" i="4"/>
  <c r="AD422" i="4"/>
  <c r="AC422" i="4"/>
  <c r="AB422" i="4"/>
  <c r="AA422" i="4"/>
  <c r="Y422" i="4"/>
  <c r="D422" i="4"/>
  <c r="I422" i="4" s="1"/>
  <c r="J422" i="4" s="1"/>
  <c r="BG421" i="4"/>
  <c r="BF421" i="4"/>
  <c r="BE421" i="4"/>
  <c r="BD421" i="4"/>
  <c r="BC421" i="4"/>
  <c r="BB421" i="4"/>
  <c r="BA421" i="4"/>
  <c r="AZ421" i="4"/>
  <c r="AY421" i="4"/>
  <c r="AX421" i="4"/>
  <c r="AW421" i="4"/>
  <c r="AV421" i="4"/>
  <c r="AR421" i="4"/>
  <c r="AO421" i="4"/>
  <c r="AS421" i="4" s="1"/>
  <c r="AT421" i="4" s="1"/>
  <c r="AL421" i="4"/>
  <c r="AK421" i="4"/>
  <c r="AJ421" i="4"/>
  <c r="AI421" i="4"/>
  <c r="AH421" i="4"/>
  <c r="AG421" i="4"/>
  <c r="AF421" i="4"/>
  <c r="AE421" i="4"/>
  <c r="AD421" i="4"/>
  <c r="AC421" i="4"/>
  <c r="AB421" i="4"/>
  <c r="AA421" i="4"/>
  <c r="R421" i="4"/>
  <c r="AL420" i="4"/>
  <c r="AK420" i="4"/>
  <c r="AJ420" i="4"/>
  <c r="AI420" i="4"/>
  <c r="AH420" i="4"/>
  <c r="AG420" i="4"/>
  <c r="AF420" i="4"/>
  <c r="AE420" i="4"/>
  <c r="AD420" i="4"/>
  <c r="AC420" i="4"/>
  <c r="AB420" i="4"/>
  <c r="AA420" i="4"/>
  <c r="R420" i="4"/>
  <c r="AL419" i="4"/>
  <c r="AK419" i="4"/>
  <c r="AJ419" i="4"/>
  <c r="AI419" i="4"/>
  <c r="AH419" i="4"/>
  <c r="AG419" i="4"/>
  <c r="AF419" i="4"/>
  <c r="AE419" i="4"/>
  <c r="AD419" i="4"/>
  <c r="AC419" i="4"/>
  <c r="AB419" i="4"/>
  <c r="AA419" i="4"/>
  <c r="S419" i="4"/>
  <c r="T419" i="4" s="1"/>
  <c r="R419" i="4"/>
  <c r="AL418" i="4"/>
  <c r="AK418" i="4"/>
  <c r="AJ418" i="4"/>
  <c r="AI418" i="4"/>
  <c r="AH418" i="4"/>
  <c r="AG418" i="4"/>
  <c r="AF418" i="4"/>
  <c r="AE418" i="4"/>
  <c r="AD418" i="4"/>
  <c r="AC418" i="4"/>
  <c r="AB418" i="4"/>
  <c r="AA418" i="4"/>
  <c r="R418" i="4"/>
  <c r="S418" i="4" s="1"/>
  <c r="BT417" i="4"/>
  <c r="BS417" i="4"/>
  <c r="BR417" i="4"/>
  <c r="BQ417" i="4"/>
  <c r="BP417" i="4"/>
  <c r="BO417" i="4"/>
  <c r="BN417" i="4"/>
  <c r="BM417" i="4"/>
  <c r="BL417" i="4"/>
  <c r="BK417" i="4"/>
  <c r="BJ417" i="4"/>
  <c r="BI417" i="4"/>
  <c r="BG417" i="4"/>
  <c r="BF417" i="4"/>
  <c r="BE417" i="4"/>
  <c r="BD417" i="4"/>
  <c r="BC417" i="4"/>
  <c r="BB417" i="4"/>
  <c r="BA417" i="4"/>
  <c r="AZ417" i="4"/>
  <c r="AY417" i="4"/>
  <c r="AX417" i="4"/>
  <c r="AW417" i="4"/>
  <c r="AV417" i="4"/>
  <c r="AO417" i="4"/>
  <c r="AL417" i="4"/>
  <c r="AK417" i="4"/>
  <c r="AJ417" i="4"/>
  <c r="AI417" i="4"/>
  <c r="AH417" i="4"/>
  <c r="AG417" i="4"/>
  <c r="AF417" i="4"/>
  <c r="AE417" i="4"/>
  <c r="AD417" i="4"/>
  <c r="AC417" i="4"/>
  <c r="AB417" i="4"/>
  <c r="AA417" i="4"/>
  <c r="R417" i="4"/>
  <c r="BG416" i="4"/>
  <c r="BF416" i="4"/>
  <c r="BE416" i="4"/>
  <c r="BD416" i="4"/>
  <c r="BC416" i="4"/>
  <c r="BB416" i="4"/>
  <c r="BA416" i="4"/>
  <c r="AZ416" i="4"/>
  <c r="AY416" i="4"/>
  <c r="AX416" i="4"/>
  <c r="AW416" i="4"/>
  <c r="AV416" i="4"/>
  <c r="AR416" i="4"/>
  <c r="AO416" i="4"/>
  <c r="AS416" i="4" s="1"/>
  <c r="AT416" i="4" s="1"/>
  <c r="AL416" i="4"/>
  <c r="AK416" i="4"/>
  <c r="AJ416" i="4"/>
  <c r="AI416" i="4"/>
  <c r="AH416" i="4"/>
  <c r="AG416" i="4"/>
  <c r="AF416" i="4"/>
  <c r="AE416" i="4"/>
  <c r="AD416" i="4"/>
  <c r="AC416" i="4"/>
  <c r="AB416" i="4"/>
  <c r="AA416" i="4"/>
  <c r="R416" i="4"/>
  <c r="BG415" i="4"/>
  <c r="BF415" i="4"/>
  <c r="BE415" i="4"/>
  <c r="BD415" i="4"/>
  <c r="BC415" i="4"/>
  <c r="BB415" i="4"/>
  <c r="BA415" i="4"/>
  <c r="AZ415" i="4"/>
  <c r="AY415" i="4"/>
  <c r="AX415" i="4"/>
  <c r="AW415" i="4"/>
  <c r="AV415" i="4"/>
  <c r="AR415" i="4"/>
  <c r="AO415" i="4"/>
  <c r="AL415" i="4"/>
  <c r="AK415" i="4"/>
  <c r="AJ415" i="4"/>
  <c r="AI415" i="4"/>
  <c r="AH415" i="4"/>
  <c r="AG415" i="4"/>
  <c r="AF415" i="4"/>
  <c r="AE415" i="4"/>
  <c r="AD415" i="4"/>
  <c r="AC415" i="4"/>
  <c r="AB415" i="4"/>
  <c r="AA415" i="4"/>
  <c r="R415" i="4"/>
  <c r="BG414" i="4"/>
  <c r="BF414" i="4"/>
  <c r="BE414" i="4"/>
  <c r="BD414" i="4"/>
  <c r="BC414" i="4"/>
  <c r="BB414" i="4"/>
  <c r="BA414" i="4"/>
  <c r="AZ414" i="4"/>
  <c r="AY414" i="4"/>
  <c r="AX414" i="4"/>
  <c r="AW414" i="4"/>
  <c r="AV414" i="4"/>
  <c r="AR414" i="4"/>
  <c r="AO414" i="4"/>
  <c r="AS414" i="4" s="1"/>
  <c r="AT414" i="4" s="1"/>
  <c r="AL414" i="4"/>
  <c r="AK414" i="4"/>
  <c r="AJ414" i="4"/>
  <c r="AI414" i="4"/>
  <c r="AH414" i="4"/>
  <c r="AG414" i="4"/>
  <c r="AF414" i="4"/>
  <c r="AE414" i="4"/>
  <c r="AD414" i="4"/>
  <c r="AC414" i="4"/>
  <c r="AB414" i="4"/>
  <c r="AA414" i="4"/>
  <c r="R414" i="4"/>
  <c r="S414" i="4" s="1"/>
  <c r="BG413" i="4"/>
  <c r="BF413" i="4"/>
  <c r="BE413" i="4"/>
  <c r="BD413" i="4"/>
  <c r="BC413" i="4"/>
  <c r="BB413" i="4"/>
  <c r="BA413" i="4"/>
  <c r="AZ413" i="4"/>
  <c r="AX413" i="4"/>
  <c r="AW413" i="4"/>
  <c r="AV413" i="4"/>
  <c r="AL413" i="4"/>
  <c r="AK413" i="4"/>
  <c r="AJ413" i="4"/>
  <c r="AI413" i="4"/>
  <c r="AH413" i="4"/>
  <c r="AG413" i="4"/>
  <c r="AF413" i="4"/>
  <c r="AE413" i="4"/>
  <c r="AD413" i="4"/>
  <c r="AC413" i="4"/>
  <c r="AB413" i="4"/>
  <c r="AA413" i="4"/>
  <c r="S413" i="4"/>
  <c r="R413" i="4"/>
  <c r="BG412" i="4"/>
  <c r="BF412" i="4"/>
  <c r="BE412" i="4"/>
  <c r="BD412" i="4"/>
  <c r="BC412" i="4"/>
  <c r="BB412" i="4"/>
  <c r="BA412" i="4"/>
  <c r="AZ412" i="4"/>
  <c r="AY412" i="4"/>
  <c r="AX412" i="4"/>
  <c r="AW412" i="4"/>
  <c r="AV412" i="4"/>
  <c r="AR412" i="4"/>
  <c r="AO412" i="4"/>
  <c r="AS412" i="4" s="1"/>
  <c r="AT412" i="4" s="1"/>
  <c r="AL412" i="4"/>
  <c r="AK412" i="4"/>
  <c r="AJ412" i="4"/>
  <c r="AI412" i="4"/>
  <c r="AH412" i="4"/>
  <c r="AG412" i="4"/>
  <c r="AF412" i="4"/>
  <c r="AE412" i="4"/>
  <c r="AD412" i="4"/>
  <c r="AC412" i="4"/>
  <c r="AB412" i="4"/>
  <c r="AA412" i="4"/>
  <c r="R412" i="4"/>
  <c r="BG411" i="4"/>
  <c r="BF411" i="4"/>
  <c r="BE411" i="4"/>
  <c r="BD411" i="4"/>
  <c r="BC411" i="4"/>
  <c r="BB411" i="4"/>
  <c r="BA411" i="4"/>
  <c r="AZ411" i="4"/>
  <c r="AX411" i="4"/>
  <c r="AW411" i="4"/>
  <c r="AV411" i="4"/>
  <c r="AL411" i="4"/>
  <c r="AK411" i="4"/>
  <c r="AJ411" i="4"/>
  <c r="AI411" i="4"/>
  <c r="AH411" i="4"/>
  <c r="AG411" i="4"/>
  <c r="AF411" i="4"/>
  <c r="AE411" i="4"/>
  <c r="AD411" i="4"/>
  <c r="AC411" i="4"/>
  <c r="AB411" i="4"/>
  <c r="AA411" i="4"/>
  <c r="R411" i="4"/>
  <c r="BG410" i="4"/>
  <c r="BF410" i="4"/>
  <c r="BE410" i="4"/>
  <c r="BD410" i="4"/>
  <c r="BC410" i="4"/>
  <c r="BB410" i="4"/>
  <c r="BA410" i="4"/>
  <c r="AZ410" i="4"/>
  <c r="AX410" i="4"/>
  <c r="AW410" i="4"/>
  <c r="AV410" i="4"/>
  <c r="AN410" i="4"/>
  <c r="AL410" i="4"/>
  <c r="AK410" i="4"/>
  <c r="AJ410" i="4"/>
  <c r="AI410" i="4"/>
  <c r="AH410" i="4"/>
  <c r="AG410" i="4"/>
  <c r="AF410" i="4"/>
  <c r="AE410" i="4"/>
  <c r="AD410" i="4"/>
  <c r="AC410" i="4"/>
  <c r="AB410" i="4"/>
  <c r="AA410" i="4"/>
  <c r="Y410" i="4"/>
  <c r="D410" i="4"/>
  <c r="F410" i="4" s="1"/>
  <c r="G410" i="4" s="1"/>
  <c r="BG409" i="4"/>
  <c r="BF409" i="4"/>
  <c r="BE409" i="4"/>
  <c r="BD409" i="4"/>
  <c r="BC409" i="4"/>
  <c r="BB409" i="4"/>
  <c r="BA409" i="4"/>
  <c r="AZ409" i="4"/>
  <c r="AX409" i="4"/>
  <c r="AW409" i="4"/>
  <c r="AV409" i="4"/>
  <c r="AL409" i="4"/>
  <c r="AK409" i="4"/>
  <c r="AJ409" i="4"/>
  <c r="AI409" i="4"/>
  <c r="AH409" i="4"/>
  <c r="AG409" i="4"/>
  <c r="AF409" i="4"/>
  <c r="AE409" i="4"/>
  <c r="AD409" i="4"/>
  <c r="AC409" i="4"/>
  <c r="AB409" i="4"/>
  <c r="AA409" i="4"/>
  <c r="T409" i="4"/>
  <c r="R409" i="4"/>
  <c r="S409" i="4" s="1"/>
  <c r="BG408" i="4"/>
  <c r="BF408" i="4"/>
  <c r="BE408" i="4"/>
  <c r="BD408" i="4"/>
  <c r="BC408" i="4"/>
  <c r="BB408" i="4"/>
  <c r="BA408" i="4"/>
  <c r="AZ408" i="4"/>
  <c r="AX408" i="4"/>
  <c r="AW408" i="4"/>
  <c r="AV408" i="4"/>
  <c r="AL408" i="4"/>
  <c r="AK408" i="4"/>
  <c r="AJ408" i="4"/>
  <c r="AI408" i="4"/>
  <c r="AH408" i="4"/>
  <c r="AG408" i="4"/>
  <c r="AF408" i="4"/>
  <c r="AE408" i="4"/>
  <c r="AD408" i="4"/>
  <c r="AC408" i="4"/>
  <c r="AB408" i="4"/>
  <c r="AA408" i="4"/>
  <c r="S408" i="4"/>
  <c r="T408" i="4" s="1"/>
  <c r="R408" i="4"/>
  <c r="BG407" i="4"/>
  <c r="BF407" i="4"/>
  <c r="BE407" i="4"/>
  <c r="BD407" i="4"/>
  <c r="BC407" i="4"/>
  <c r="BB407" i="4"/>
  <c r="BA407" i="4"/>
  <c r="AZ407" i="4"/>
  <c r="AY407" i="4"/>
  <c r="AX407" i="4"/>
  <c r="AW407" i="4"/>
  <c r="AV407" i="4"/>
  <c r="AR407" i="4"/>
  <c r="AO407" i="4"/>
  <c r="AS407" i="4" s="1"/>
  <c r="AT407" i="4" s="1"/>
  <c r="AL407" i="4"/>
  <c r="AK407" i="4"/>
  <c r="AJ407" i="4"/>
  <c r="AI407" i="4"/>
  <c r="AH407" i="4"/>
  <c r="AG407" i="4"/>
  <c r="AF407" i="4"/>
  <c r="AE407" i="4"/>
  <c r="AD407" i="4"/>
  <c r="AC407" i="4"/>
  <c r="AB407" i="4"/>
  <c r="AA407" i="4"/>
  <c r="S407" i="4"/>
  <c r="R407" i="4"/>
  <c r="AL406" i="4"/>
  <c r="AK406" i="4"/>
  <c r="AJ406" i="4"/>
  <c r="AI406" i="4"/>
  <c r="AH406" i="4"/>
  <c r="AG406" i="4"/>
  <c r="AF406" i="4"/>
  <c r="AE406" i="4"/>
  <c r="AD406" i="4"/>
  <c r="AC406" i="4"/>
  <c r="AB406" i="4"/>
  <c r="AA406" i="4"/>
  <c r="R406" i="4"/>
  <c r="BG405" i="4"/>
  <c r="BF405" i="4"/>
  <c r="BE405" i="4"/>
  <c r="BD405" i="4"/>
  <c r="BC405" i="4"/>
  <c r="BB405" i="4"/>
  <c r="BA405" i="4"/>
  <c r="AZ405" i="4"/>
  <c r="AY405" i="4"/>
  <c r="AX405" i="4"/>
  <c r="AW405" i="4"/>
  <c r="AV405" i="4"/>
  <c r="AR405" i="4"/>
  <c r="AO405" i="4"/>
  <c r="AS405" i="4" s="1"/>
  <c r="AT405" i="4" s="1"/>
  <c r="AL405" i="4"/>
  <c r="AK405" i="4"/>
  <c r="AJ405" i="4"/>
  <c r="AI405" i="4"/>
  <c r="AH405" i="4"/>
  <c r="AG405" i="4"/>
  <c r="AF405" i="4"/>
  <c r="AE405" i="4"/>
  <c r="AD405" i="4"/>
  <c r="AC405" i="4"/>
  <c r="AB405" i="4"/>
  <c r="AA405" i="4"/>
  <c r="R405" i="4"/>
  <c r="AL404" i="4"/>
  <c r="AK404" i="4"/>
  <c r="AJ404" i="4"/>
  <c r="AI404" i="4"/>
  <c r="AH404" i="4"/>
  <c r="AG404" i="4"/>
  <c r="AF404" i="4"/>
  <c r="AE404" i="4"/>
  <c r="AD404" i="4"/>
  <c r="AC404" i="4"/>
  <c r="AB404" i="4"/>
  <c r="AA404" i="4"/>
  <c r="T404" i="4"/>
  <c r="S404" i="4"/>
  <c r="R404" i="4"/>
  <c r="AL403" i="4"/>
  <c r="AK403" i="4"/>
  <c r="AJ403" i="4"/>
  <c r="AI403" i="4"/>
  <c r="AH403" i="4"/>
  <c r="AG403" i="4"/>
  <c r="AF403" i="4"/>
  <c r="AE403" i="4"/>
  <c r="AD403" i="4"/>
  <c r="AC403" i="4"/>
  <c r="AB403" i="4"/>
  <c r="AA403" i="4"/>
  <c r="R403" i="4"/>
  <c r="S403" i="4" s="1"/>
  <c r="AN402" i="4"/>
  <c r="AL402" i="4"/>
  <c r="AK402" i="4"/>
  <c r="AJ402" i="4"/>
  <c r="AI402" i="4"/>
  <c r="AH402" i="4"/>
  <c r="AG402" i="4"/>
  <c r="AF402" i="4"/>
  <c r="AE402" i="4"/>
  <c r="AD402" i="4"/>
  <c r="AC402" i="4"/>
  <c r="AB402" i="4"/>
  <c r="AA402" i="4"/>
  <c r="Y402" i="4"/>
  <c r="I402" i="4"/>
  <c r="J402" i="4" s="1"/>
  <c r="D402" i="4"/>
  <c r="F402" i="4" s="1"/>
  <c r="G402" i="4" s="1"/>
  <c r="AL401" i="4"/>
  <c r="AK401" i="4"/>
  <c r="AJ401" i="4"/>
  <c r="AI401" i="4"/>
  <c r="AH401" i="4"/>
  <c r="AG401" i="4"/>
  <c r="AF401" i="4"/>
  <c r="AE401" i="4"/>
  <c r="AD401" i="4"/>
  <c r="AC401" i="4"/>
  <c r="AB401" i="4"/>
  <c r="AA401" i="4"/>
  <c r="S401" i="4"/>
  <c r="R401" i="4"/>
  <c r="AL400" i="4"/>
  <c r="AK400" i="4"/>
  <c r="AJ400" i="4"/>
  <c r="AI400" i="4"/>
  <c r="AH400" i="4"/>
  <c r="AG400" i="4"/>
  <c r="AF400" i="4"/>
  <c r="AE400" i="4"/>
  <c r="AD400" i="4"/>
  <c r="AC400" i="4"/>
  <c r="AB400" i="4"/>
  <c r="AA400" i="4"/>
  <c r="R400" i="4"/>
  <c r="AL399" i="4"/>
  <c r="AK399" i="4"/>
  <c r="AJ399" i="4"/>
  <c r="AI399" i="4"/>
  <c r="AH399" i="4"/>
  <c r="AG399" i="4"/>
  <c r="AF399" i="4"/>
  <c r="AE399" i="4"/>
  <c r="AD399" i="4"/>
  <c r="AC399" i="4"/>
  <c r="AB399" i="4"/>
  <c r="AA399" i="4"/>
  <c r="R399" i="4"/>
  <c r="AL398" i="4"/>
  <c r="AK398" i="4"/>
  <c r="AJ398" i="4"/>
  <c r="AI398" i="4"/>
  <c r="AH398" i="4"/>
  <c r="AG398" i="4"/>
  <c r="AF398" i="4"/>
  <c r="AE398" i="4"/>
  <c r="AD398" i="4"/>
  <c r="AC398" i="4"/>
  <c r="AB398" i="4"/>
  <c r="AA398" i="4"/>
  <c r="R398" i="4"/>
  <c r="S398" i="4" s="1"/>
  <c r="AL397" i="4"/>
  <c r="AK397" i="4"/>
  <c r="AJ397" i="4"/>
  <c r="AI397" i="4"/>
  <c r="AH397" i="4"/>
  <c r="AG397" i="4"/>
  <c r="AF397" i="4"/>
  <c r="AE397" i="4"/>
  <c r="AD397" i="4"/>
  <c r="AC397" i="4"/>
  <c r="AB397" i="4"/>
  <c r="AA397" i="4"/>
  <c r="S397" i="4"/>
  <c r="R397" i="4"/>
  <c r="AL396" i="4"/>
  <c r="AK396" i="4"/>
  <c r="AJ396" i="4"/>
  <c r="AI396" i="4"/>
  <c r="AH396" i="4"/>
  <c r="AG396" i="4"/>
  <c r="AF396" i="4"/>
  <c r="AE396" i="4"/>
  <c r="AD396" i="4"/>
  <c r="AC396" i="4"/>
  <c r="AB396" i="4"/>
  <c r="AA396" i="4"/>
  <c r="R396" i="4"/>
  <c r="AL395" i="4"/>
  <c r="AK395" i="4"/>
  <c r="AJ395" i="4"/>
  <c r="AI395" i="4"/>
  <c r="AH395" i="4"/>
  <c r="AG395" i="4"/>
  <c r="AF395" i="4"/>
  <c r="AE395" i="4"/>
  <c r="AD395" i="4"/>
  <c r="AC395" i="4"/>
  <c r="AB395" i="4"/>
  <c r="AA395" i="4"/>
  <c r="R395" i="4"/>
  <c r="BG394" i="4"/>
  <c r="BF394" i="4"/>
  <c r="BE394" i="4"/>
  <c r="BD394" i="4"/>
  <c r="BC394" i="4"/>
  <c r="BB394" i="4"/>
  <c r="BA394" i="4"/>
  <c r="AZ394" i="4"/>
  <c r="AX394" i="4"/>
  <c r="AW394" i="4"/>
  <c r="AV394" i="4"/>
  <c r="AL394" i="4"/>
  <c r="AK394" i="4"/>
  <c r="AJ394" i="4"/>
  <c r="AI394" i="4"/>
  <c r="AH394" i="4"/>
  <c r="AG394" i="4"/>
  <c r="AF394" i="4"/>
  <c r="AE394" i="4"/>
  <c r="AD394" i="4"/>
  <c r="AC394" i="4"/>
  <c r="AB394" i="4"/>
  <c r="AA394" i="4"/>
  <c r="R394" i="4"/>
  <c r="BG393" i="4"/>
  <c r="BF393" i="4"/>
  <c r="BE393" i="4"/>
  <c r="BD393" i="4"/>
  <c r="BC393" i="4"/>
  <c r="BB393" i="4"/>
  <c r="BA393" i="4"/>
  <c r="AZ393" i="4"/>
  <c r="AX393" i="4"/>
  <c r="AW393" i="4"/>
  <c r="AV393" i="4"/>
  <c r="AL393" i="4"/>
  <c r="AK393" i="4"/>
  <c r="AJ393" i="4"/>
  <c r="AI393" i="4"/>
  <c r="AH393" i="4"/>
  <c r="AG393" i="4"/>
  <c r="AF393" i="4"/>
  <c r="AE393" i="4"/>
  <c r="AD393" i="4"/>
  <c r="AC393" i="4"/>
  <c r="AB393" i="4"/>
  <c r="AA393" i="4"/>
  <c r="R393" i="4"/>
  <c r="AL392" i="4"/>
  <c r="AK392" i="4"/>
  <c r="AJ392" i="4"/>
  <c r="AI392" i="4"/>
  <c r="AH392" i="4"/>
  <c r="AG392" i="4"/>
  <c r="AF392" i="4"/>
  <c r="AE392" i="4"/>
  <c r="AD392" i="4"/>
  <c r="AC392" i="4"/>
  <c r="AB392" i="4"/>
  <c r="AA392" i="4"/>
  <c r="R392" i="4"/>
  <c r="AL391" i="4"/>
  <c r="AK391" i="4"/>
  <c r="AJ391" i="4"/>
  <c r="AI391" i="4"/>
  <c r="AH391" i="4"/>
  <c r="AG391" i="4"/>
  <c r="AF391" i="4"/>
  <c r="AE391" i="4"/>
  <c r="AD391" i="4"/>
  <c r="AC391" i="4"/>
  <c r="AB391" i="4"/>
  <c r="AA391" i="4"/>
  <c r="R391" i="4"/>
  <c r="S391" i="4" s="1"/>
  <c r="AL390" i="4"/>
  <c r="AK390" i="4"/>
  <c r="AJ390" i="4"/>
  <c r="AI390" i="4"/>
  <c r="AH390" i="4"/>
  <c r="AG390" i="4"/>
  <c r="AF390" i="4"/>
  <c r="AE390" i="4"/>
  <c r="AD390" i="4"/>
  <c r="AC390" i="4"/>
  <c r="AB390" i="4"/>
  <c r="AA390" i="4"/>
  <c r="R390" i="4"/>
  <c r="H389" i="4"/>
  <c r="H457" i="4" s="1"/>
  <c r="AL388" i="4"/>
  <c r="AK388" i="4"/>
  <c r="AJ388" i="4"/>
  <c r="AI388" i="4"/>
  <c r="AH388" i="4"/>
  <c r="AG388" i="4"/>
  <c r="AF388" i="4"/>
  <c r="AE388" i="4"/>
  <c r="AD388" i="4"/>
  <c r="AC388" i="4"/>
  <c r="AB388" i="4"/>
  <c r="AA388" i="4"/>
  <c r="R388" i="4"/>
  <c r="BG387" i="4"/>
  <c r="BF387" i="4"/>
  <c r="BE387" i="4"/>
  <c r="BD387" i="4"/>
  <c r="BC387" i="4"/>
  <c r="BB387" i="4"/>
  <c r="BA387" i="4"/>
  <c r="AZ387" i="4"/>
  <c r="AX387" i="4"/>
  <c r="AW387" i="4"/>
  <c r="AV387" i="4"/>
  <c r="AL387" i="4"/>
  <c r="AK387" i="4"/>
  <c r="AJ387" i="4"/>
  <c r="AI387" i="4"/>
  <c r="AH387" i="4"/>
  <c r="AG387" i="4"/>
  <c r="AF387" i="4"/>
  <c r="AE387" i="4"/>
  <c r="AD387" i="4"/>
  <c r="AC387" i="4"/>
  <c r="AB387" i="4"/>
  <c r="AA387" i="4"/>
  <c r="R387" i="4"/>
  <c r="AL386" i="4"/>
  <c r="AK386" i="4"/>
  <c r="AJ386" i="4"/>
  <c r="AI386" i="4"/>
  <c r="AH386" i="4"/>
  <c r="AG386" i="4"/>
  <c r="AF386" i="4"/>
  <c r="AE386" i="4"/>
  <c r="AD386" i="4"/>
  <c r="AC386" i="4"/>
  <c r="AB386" i="4"/>
  <c r="AA386" i="4"/>
  <c r="S386" i="4"/>
  <c r="R386" i="4"/>
  <c r="Q382" i="4"/>
  <c r="P382" i="4"/>
  <c r="O382" i="4"/>
  <c r="N382" i="4"/>
  <c r="M382" i="4"/>
  <c r="L382" i="4"/>
  <c r="H382" i="4"/>
  <c r="E382" i="4"/>
  <c r="AL380" i="4"/>
  <c r="AK380" i="4"/>
  <c r="AJ380" i="4"/>
  <c r="AI380" i="4"/>
  <c r="AH380" i="4"/>
  <c r="AG380" i="4"/>
  <c r="AF380" i="4"/>
  <c r="AE380" i="4"/>
  <c r="AD380" i="4"/>
  <c r="AC380" i="4"/>
  <c r="AB380" i="4"/>
  <c r="AA380" i="4"/>
  <c r="R380" i="4"/>
  <c r="BT379" i="4"/>
  <c r="BS379" i="4"/>
  <c r="BR379" i="4"/>
  <c r="BQ379" i="4"/>
  <c r="BP379" i="4"/>
  <c r="BO379" i="4"/>
  <c r="BN379" i="4"/>
  <c r="BM379" i="4"/>
  <c r="BL379" i="4"/>
  <c r="BK379" i="4"/>
  <c r="BJ379" i="4"/>
  <c r="BI379" i="4"/>
  <c r="BG379" i="4"/>
  <c r="BF379" i="4"/>
  <c r="BE379" i="4"/>
  <c r="BD379" i="4"/>
  <c r="BC379" i="4"/>
  <c r="BB379" i="4"/>
  <c r="BA379" i="4"/>
  <c r="AZ379" i="4"/>
  <c r="AY379" i="4"/>
  <c r="AX379" i="4"/>
  <c r="AW379" i="4"/>
  <c r="AV379" i="4"/>
  <c r="AL379" i="4"/>
  <c r="AK379" i="4"/>
  <c r="AJ379" i="4"/>
  <c r="AI379" i="4"/>
  <c r="AH379" i="4"/>
  <c r="AG379" i="4"/>
  <c r="AF379" i="4"/>
  <c r="AE379" i="4"/>
  <c r="AD379" i="4"/>
  <c r="AC379" i="4"/>
  <c r="AB379" i="4"/>
  <c r="AA379" i="4"/>
  <c r="R379" i="4"/>
  <c r="S379" i="4" s="1"/>
  <c r="BT378" i="4"/>
  <c r="BS378" i="4"/>
  <c r="BR378" i="4"/>
  <c r="BQ378" i="4"/>
  <c r="BP378" i="4"/>
  <c r="BO378" i="4"/>
  <c r="BN378" i="4"/>
  <c r="BM378" i="4"/>
  <c r="BL378" i="4"/>
  <c r="BK378" i="4"/>
  <c r="BJ378" i="4"/>
  <c r="BI378" i="4"/>
  <c r="BG378" i="4"/>
  <c r="BF378" i="4"/>
  <c r="BE378" i="4"/>
  <c r="BD378" i="4"/>
  <c r="BC378" i="4"/>
  <c r="BB378" i="4"/>
  <c r="BA378" i="4"/>
  <c r="AZ378" i="4"/>
  <c r="AY378" i="4"/>
  <c r="AX378" i="4"/>
  <c r="AW378" i="4"/>
  <c r="AV378" i="4"/>
  <c r="AO378" i="4"/>
  <c r="AL378" i="4"/>
  <c r="AL382" i="4" s="1"/>
  <c r="AK378" i="4"/>
  <c r="AK382" i="4" s="1"/>
  <c r="AJ378" i="4"/>
  <c r="AJ382" i="4" s="1"/>
  <c r="AI378" i="4"/>
  <c r="AI382" i="4" s="1"/>
  <c r="AH378" i="4"/>
  <c r="AH382" i="4" s="1"/>
  <c r="AG378" i="4"/>
  <c r="AG382" i="4" s="1"/>
  <c r="AF378" i="4"/>
  <c r="AF382" i="4" s="1"/>
  <c r="AE378" i="4"/>
  <c r="AE382" i="4" s="1"/>
  <c r="AD378" i="4"/>
  <c r="AD382" i="4" s="1"/>
  <c r="AC378" i="4"/>
  <c r="AC382" i="4" s="1"/>
  <c r="AB378" i="4"/>
  <c r="AB382" i="4" s="1"/>
  <c r="AA378" i="4"/>
  <c r="AA382" i="4" s="1"/>
  <c r="R378" i="4"/>
  <c r="R382" i="4" s="1"/>
  <c r="Q374" i="4"/>
  <c r="P374" i="4"/>
  <c r="O374" i="4"/>
  <c r="N374" i="4"/>
  <c r="M374" i="4"/>
  <c r="L374" i="4"/>
  <c r="H374" i="4"/>
  <c r="E374" i="4"/>
  <c r="BT372" i="4"/>
  <c r="BS372" i="4"/>
  <c r="BR372" i="4"/>
  <c r="BQ372" i="4"/>
  <c r="BP372" i="4"/>
  <c r="BO372" i="4"/>
  <c r="BN372" i="4"/>
  <c r="BM372" i="4"/>
  <c r="BL372" i="4"/>
  <c r="BK372" i="4"/>
  <c r="BJ372" i="4"/>
  <c r="BI372" i="4"/>
  <c r="AR372" i="4" s="1"/>
  <c r="BG372" i="4"/>
  <c r="BF372" i="4"/>
  <c r="BE372" i="4"/>
  <c r="BD372" i="4"/>
  <c r="BC372" i="4"/>
  <c r="BB372" i="4"/>
  <c r="BA372" i="4"/>
  <c r="AZ372" i="4"/>
  <c r="AY372" i="4"/>
  <c r="AX372" i="4"/>
  <c r="AW372" i="4"/>
  <c r="AV372" i="4"/>
  <c r="AL372" i="4"/>
  <c r="AK372" i="4"/>
  <c r="AJ372" i="4"/>
  <c r="AI372" i="4"/>
  <c r="AH372" i="4"/>
  <c r="AG372" i="4"/>
  <c r="AF372" i="4"/>
  <c r="AE372" i="4"/>
  <c r="AD372" i="4"/>
  <c r="AC372" i="4"/>
  <c r="AB372" i="4"/>
  <c r="AA372" i="4"/>
  <c r="R372" i="4"/>
  <c r="BT371" i="4"/>
  <c r="BS371" i="4"/>
  <c r="BR371" i="4"/>
  <c r="BQ371" i="4"/>
  <c r="BP371" i="4"/>
  <c r="BO371" i="4"/>
  <c r="BN371" i="4"/>
  <c r="BM371" i="4"/>
  <c r="BL371" i="4"/>
  <c r="BK371" i="4"/>
  <c r="BJ371" i="4"/>
  <c r="BI371" i="4"/>
  <c r="BG371" i="4"/>
  <c r="BF371" i="4"/>
  <c r="BE371" i="4"/>
  <c r="BD371" i="4"/>
  <c r="BC371" i="4"/>
  <c r="BB371" i="4"/>
  <c r="BA371" i="4"/>
  <c r="AZ371" i="4"/>
  <c r="AY371" i="4"/>
  <c r="AX371" i="4"/>
  <c r="AW371" i="4"/>
  <c r="AV371" i="4"/>
  <c r="AL371" i="4"/>
  <c r="AK371" i="4"/>
  <c r="AJ371" i="4"/>
  <c r="AI371" i="4"/>
  <c r="AH371" i="4"/>
  <c r="AG371" i="4"/>
  <c r="AF371" i="4"/>
  <c r="AE371" i="4"/>
  <c r="AD371" i="4"/>
  <c r="AC371" i="4"/>
  <c r="AB371" i="4"/>
  <c r="AA371" i="4"/>
  <c r="R371" i="4"/>
  <c r="S371" i="4" s="1"/>
  <c r="BT370" i="4"/>
  <c r="BT374" i="4" s="1"/>
  <c r="BS370" i="4"/>
  <c r="BS374" i="4" s="1"/>
  <c r="BR370" i="4"/>
  <c r="BR374" i="4" s="1"/>
  <c r="BQ370" i="4"/>
  <c r="BQ374" i="4" s="1"/>
  <c r="BP370" i="4"/>
  <c r="BP374" i="4" s="1"/>
  <c r="BO370" i="4"/>
  <c r="BO374" i="4" s="1"/>
  <c r="BN370" i="4"/>
  <c r="BN374" i="4" s="1"/>
  <c r="BM370" i="4"/>
  <c r="BM374" i="4" s="1"/>
  <c r="BL370" i="4"/>
  <c r="BL374" i="4" s="1"/>
  <c r="BK370" i="4"/>
  <c r="BK374" i="4" s="1"/>
  <c r="BJ370" i="4"/>
  <c r="BJ374" i="4" s="1"/>
  <c r="BI370" i="4"/>
  <c r="BI374" i="4" s="1"/>
  <c r="BG370" i="4"/>
  <c r="BG374" i="4" s="1"/>
  <c r="BF370" i="4"/>
  <c r="BF374" i="4" s="1"/>
  <c r="BE370" i="4"/>
  <c r="BE374" i="4" s="1"/>
  <c r="BD370" i="4"/>
  <c r="BD374" i="4" s="1"/>
  <c r="BC370" i="4"/>
  <c r="BC374" i="4" s="1"/>
  <c r="BB370" i="4"/>
  <c r="BB374" i="4" s="1"/>
  <c r="BA370" i="4"/>
  <c r="BA374" i="4" s="1"/>
  <c r="AZ370" i="4"/>
  <c r="AZ374" i="4" s="1"/>
  <c r="AY370" i="4"/>
  <c r="AY374" i="4" s="1"/>
  <c r="AX370" i="4"/>
  <c r="AX374" i="4" s="1"/>
  <c r="AW370" i="4"/>
  <c r="AW374" i="4" s="1"/>
  <c r="AV370" i="4"/>
  <c r="AV374" i="4" s="1"/>
  <c r="AO370" i="4"/>
  <c r="AL370" i="4"/>
  <c r="AL374" i="4" s="1"/>
  <c r="AK370" i="4"/>
  <c r="AK374" i="4" s="1"/>
  <c r="AJ370" i="4"/>
  <c r="AJ374" i="4" s="1"/>
  <c r="AI370" i="4"/>
  <c r="AI374" i="4" s="1"/>
  <c r="AH370" i="4"/>
  <c r="AH374" i="4" s="1"/>
  <c r="AG370" i="4"/>
  <c r="AG374" i="4" s="1"/>
  <c r="AF370" i="4"/>
  <c r="AF374" i="4" s="1"/>
  <c r="AE370" i="4"/>
  <c r="AE374" i="4" s="1"/>
  <c r="AD370" i="4"/>
  <c r="AD374" i="4" s="1"/>
  <c r="AC370" i="4"/>
  <c r="AC374" i="4" s="1"/>
  <c r="AB370" i="4"/>
  <c r="AB374" i="4" s="1"/>
  <c r="AA370" i="4"/>
  <c r="AA374" i="4" s="1"/>
  <c r="R370" i="4"/>
  <c r="R374" i="4" s="1"/>
  <c r="Q366" i="4"/>
  <c r="P366" i="4"/>
  <c r="O366" i="4"/>
  <c r="N366" i="4"/>
  <c r="M366" i="4"/>
  <c r="L366" i="4"/>
  <c r="H366" i="4"/>
  <c r="E366" i="4"/>
  <c r="BT364" i="4"/>
  <c r="BT366" i="4" s="1"/>
  <c r="BS364" i="4"/>
  <c r="BS366" i="4" s="1"/>
  <c r="BR364" i="4"/>
  <c r="BR366" i="4" s="1"/>
  <c r="BQ364" i="4"/>
  <c r="BQ366" i="4" s="1"/>
  <c r="BP364" i="4"/>
  <c r="BP366" i="4" s="1"/>
  <c r="BO364" i="4"/>
  <c r="BO366" i="4" s="1"/>
  <c r="BN364" i="4"/>
  <c r="BN366" i="4" s="1"/>
  <c r="BM364" i="4"/>
  <c r="BM366" i="4" s="1"/>
  <c r="BL364" i="4"/>
  <c r="BL366" i="4" s="1"/>
  <c r="BK364" i="4"/>
  <c r="BK366" i="4" s="1"/>
  <c r="BJ364" i="4"/>
  <c r="BJ366" i="4" s="1"/>
  <c r="BI364" i="4"/>
  <c r="AR364" i="4" s="1"/>
  <c r="AR366" i="4" s="1"/>
  <c r="BG364" i="4"/>
  <c r="BG366" i="4" s="1"/>
  <c r="BF364" i="4"/>
  <c r="BF366" i="4" s="1"/>
  <c r="BE364" i="4"/>
  <c r="BE366" i="4" s="1"/>
  <c r="BD364" i="4"/>
  <c r="BD366" i="4" s="1"/>
  <c r="BC364" i="4"/>
  <c r="BC366" i="4" s="1"/>
  <c r="BB364" i="4"/>
  <c r="BB366" i="4" s="1"/>
  <c r="BA364" i="4"/>
  <c r="BA366" i="4" s="1"/>
  <c r="AZ364" i="4"/>
  <c r="AZ366" i="4" s="1"/>
  <c r="AY364" i="4"/>
  <c r="AY366" i="4" s="1"/>
  <c r="AX364" i="4"/>
  <c r="AX366" i="4" s="1"/>
  <c r="AW364" i="4"/>
  <c r="AW366" i="4" s="1"/>
  <c r="AV364" i="4"/>
  <c r="AV366" i="4" s="1"/>
  <c r="AL364" i="4"/>
  <c r="AL366" i="4" s="1"/>
  <c r="AK364" i="4"/>
  <c r="AK366" i="4" s="1"/>
  <c r="AJ364" i="4"/>
  <c r="AJ366" i="4" s="1"/>
  <c r="AI364" i="4"/>
  <c r="AI366" i="4" s="1"/>
  <c r="AH364" i="4"/>
  <c r="AH366" i="4" s="1"/>
  <c r="AG364" i="4"/>
  <c r="AG366" i="4" s="1"/>
  <c r="AF364" i="4"/>
  <c r="AF366" i="4" s="1"/>
  <c r="AE364" i="4"/>
  <c r="AE366" i="4" s="1"/>
  <c r="AD364" i="4"/>
  <c r="AD366" i="4" s="1"/>
  <c r="AC364" i="4"/>
  <c r="AC366" i="4" s="1"/>
  <c r="AB364" i="4"/>
  <c r="AB366" i="4" s="1"/>
  <c r="AA364" i="4"/>
  <c r="AA366" i="4" s="1"/>
  <c r="R364" i="4"/>
  <c r="S364" i="4" s="1"/>
  <c r="Q360" i="4"/>
  <c r="P360" i="4"/>
  <c r="O360" i="4"/>
  <c r="N360" i="4"/>
  <c r="M360" i="4"/>
  <c r="L360" i="4"/>
  <c r="H360" i="4"/>
  <c r="E360" i="4"/>
  <c r="BT358" i="4"/>
  <c r="BS358" i="4"/>
  <c r="BR358" i="4"/>
  <c r="BQ358" i="4"/>
  <c r="BP358" i="4"/>
  <c r="BO358" i="4"/>
  <c r="BN358" i="4"/>
  <c r="BM358" i="4"/>
  <c r="BL358" i="4"/>
  <c r="BK358" i="4"/>
  <c r="BJ358" i="4"/>
  <c r="BI358" i="4"/>
  <c r="BG358" i="4"/>
  <c r="BF358" i="4"/>
  <c r="BE358" i="4"/>
  <c r="BD358" i="4"/>
  <c r="BC358" i="4"/>
  <c r="BB358" i="4"/>
  <c r="BA358" i="4"/>
  <c r="AZ358" i="4"/>
  <c r="AY358" i="4"/>
  <c r="AX358" i="4"/>
  <c r="AW358" i="4"/>
  <c r="AV358" i="4"/>
  <c r="AO358" i="4"/>
  <c r="AL358" i="4"/>
  <c r="AK358" i="4"/>
  <c r="AJ358" i="4"/>
  <c r="AI358" i="4"/>
  <c r="AH358" i="4"/>
  <c r="AG358" i="4"/>
  <c r="AF358" i="4"/>
  <c r="AE358" i="4"/>
  <c r="AD358" i="4"/>
  <c r="AC358" i="4"/>
  <c r="AB358" i="4"/>
  <c r="AA358" i="4"/>
  <c r="R358" i="4"/>
  <c r="AN357" i="4"/>
  <c r="AL357" i="4"/>
  <c r="AK357" i="4"/>
  <c r="AJ357" i="4"/>
  <c r="AI357" i="4"/>
  <c r="AH357" i="4"/>
  <c r="AG357" i="4"/>
  <c r="AF357" i="4"/>
  <c r="AE357" i="4"/>
  <c r="AD357" i="4"/>
  <c r="AC357" i="4"/>
  <c r="AB357" i="4"/>
  <c r="AA357" i="4"/>
  <c r="Y357" i="4"/>
  <c r="D357" i="4"/>
  <c r="F357" i="4" s="1"/>
  <c r="G357" i="4" s="1"/>
  <c r="BT356" i="4"/>
  <c r="BS356" i="4"/>
  <c r="BR356" i="4"/>
  <c r="BQ356" i="4"/>
  <c r="BP356" i="4"/>
  <c r="BO356" i="4"/>
  <c r="BN356" i="4"/>
  <c r="BM356" i="4"/>
  <c r="BL356" i="4"/>
  <c r="BK356" i="4"/>
  <c r="BJ356" i="4"/>
  <c r="BI356" i="4"/>
  <c r="BG356" i="4"/>
  <c r="BF356" i="4"/>
  <c r="BE356" i="4"/>
  <c r="BD356" i="4"/>
  <c r="BC356" i="4"/>
  <c r="BB356" i="4"/>
  <c r="BA356" i="4"/>
  <c r="AZ356" i="4"/>
  <c r="AY356" i="4"/>
  <c r="AX356" i="4"/>
  <c r="AW356" i="4"/>
  <c r="AV356" i="4"/>
  <c r="AO356" i="4"/>
  <c r="AL356" i="4"/>
  <c r="AK356" i="4"/>
  <c r="AJ356" i="4"/>
  <c r="AI356" i="4"/>
  <c r="AH356" i="4"/>
  <c r="AG356" i="4"/>
  <c r="AF356" i="4"/>
  <c r="AE356" i="4"/>
  <c r="AD356" i="4"/>
  <c r="AC356" i="4"/>
  <c r="AB356" i="4"/>
  <c r="AA356" i="4"/>
  <c r="R356" i="4"/>
  <c r="BT355" i="4"/>
  <c r="BS355" i="4"/>
  <c r="BR355" i="4"/>
  <c r="BQ355" i="4"/>
  <c r="BP355" i="4"/>
  <c r="BO355" i="4"/>
  <c r="BN355" i="4"/>
  <c r="BM355" i="4"/>
  <c r="BL355" i="4"/>
  <c r="BK355" i="4"/>
  <c r="BJ355" i="4"/>
  <c r="BI355" i="4"/>
  <c r="BG355" i="4"/>
  <c r="BF355" i="4"/>
  <c r="BE355" i="4"/>
  <c r="BD355" i="4"/>
  <c r="BC355" i="4"/>
  <c r="BB355" i="4"/>
  <c r="BA355" i="4"/>
  <c r="AZ355" i="4"/>
  <c r="AY355" i="4"/>
  <c r="AX355" i="4"/>
  <c r="AW355" i="4"/>
  <c r="AV355" i="4"/>
  <c r="AR355" i="4"/>
  <c r="AO355" i="4"/>
  <c r="AS355" i="4" s="1"/>
  <c r="AT355" i="4" s="1"/>
  <c r="AL355" i="4"/>
  <c r="AK355" i="4"/>
  <c r="AJ355" i="4"/>
  <c r="AI355" i="4"/>
  <c r="AH355" i="4"/>
  <c r="AG355" i="4"/>
  <c r="AF355" i="4"/>
  <c r="AE355" i="4"/>
  <c r="AD355" i="4"/>
  <c r="AC355" i="4"/>
  <c r="AB355" i="4"/>
  <c r="AA355" i="4"/>
  <c r="R355" i="4"/>
  <c r="AV354" i="4"/>
  <c r="AL354" i="4"/>
  <c r="AK354" i="4"/>
  <c r="AJ354" i="4"/>
  <c r="AI354" i="4"/>
  <c r="AH354" i="4"/>
  <c r="AG354" i="4"/>
  <c r="AF354" i="4"/>
  <c r="AE354" i="4"/>
  <c r="AD354" i="4"/>
  <c r="AC354" i="4"/>
  <c r="AB354" i="4"/>
  <c r="AA354" i="4"/>
  <c r="R354" i="4"/>
  <c r="BG353" i="4"/>
  <c r="BF353" i="4"/>
  <c r="BE353" i="4"/>
  <c r="BD353" i="4"/>
  <c r="BC353" i="4"/>
  <c r="BB353" i="4"/>
  <c r="BA353" i="4"/>
  <c r="AZ353" i="4"/>
  <c r="AY353" i="4"/>
  <c r="AX353" i="4"/>
  <c r="AW353" i="4"/>
  <c r="AV353" i="4"/>
  <c r="AR353" i="4"/>
  <c r="AO353" i="4"/>
  <c r="AS353" i="4" s="1"/>
  <c r="AT353" i="4" s="1"/>
  <c r="AL353" i="4"/>
  <c r="AK353" i="4"/>
  <c r="AJ353" i="4"/>
  <c r="AI353" i="4"/>
  <c r="AH353" i="4"/>
  <c r="AG353" i="4"/>
  <c r="AF353" i="4"/>
  <c r="AE353" i="4"/>
  <c r="AD353" i="4"/>
  <c r="AC353" i="4"/>
  <c r="AB353" i="4"/>
  <c r="AA353" i="4"/>
  <c r="R353" i="4"/>
  <c r="S353" i="4" s="1"/>
  <c r="BG352" i="4"/>
  <c r="BF352" i="4"/>
  <c r="BE352" i="4"/>
  <c r="BD352" i="4"/>
  <c r="BC352" i="4"/>
  <c r="BB352" i="4"/>
  <c r="BA352" i="4"/>
  <c r="AZ352" i="4"/>
  <c r="AY352" i="4"/>
  <c r="AX352" i="4"/>
  <c r="AW352" i="4"/>
  <c r="AV352" i="4"/>
  <c r="AR352" i="4"/>
  <c r="AO352" i="4"/>
  <c r="AS352" i="4" s="1"/>
  <c r="AT352" i="4" s="1"/>
  <c r="AL352" i="4"/>
  <c r="AK352" i="4"/>
  <c r="AJ352" i="4"/>
  <c r="AI352" i="4"/>
  <c r="AH352" i="4"/>
  <c r="AG352" i="4"/>
  <c r="AF352" i="4"/>
  <c r="AE352" i="4"/>
  <c r="AD352" i="4"/>
  <c r="AC352" i="4"/>
  <c r="AB352" i="4"/>
  <c r="AA352" i="4"/>
  <c r="R352" i="4"/>
  <c r="BG351" i="4"/>
  <c r="BF351" i="4"/>
  <c r="BE351" i="4"/>
  <c r="BD351" i="4"/>
  <c r="BC351" i="4"/>
  <c r="BB351" i="4"/>
  <c r="BA351" i="4"/>
  <c r="AZ351" i="4"/>
  <c r="AY351" i="4"/>
  <c r="AX351" i="4"/>
  <c r="AW351" i="4"/>
  <c r="AV351" i="4"/>
  <c r="AR351" i="4"/>
  <c r="AO351" i="4"/>
  <c r="AL351" i="4"/>
  <c r="AK351" i="4"/>
  <c r="AJ351" i="4"/>
  <c r="AI351" i="4"/>
  <c r="AH351" i="4"/>
  <c r="AG351" i="4"/>
  <c r="AF351" i="4"/>
  <c r="AE351" i="4"/>
  <c r="AD351" i="4"/>
  <c r="AC351" i="4"/>
  <c r="AB351" i="4"/>
  <c r="AA351" i="4"/>
  <c r="S351" i="4"/>
  <c r="R351" i="4"/>
  <c r="BG350" i="4"/>
  <c r="BF350" i="4"/>
  <c r="BE350" i="4"/>
  <c r="BD350" i="4"/>
  <c r="BC350" i="4"/>
  <c r="BB350" i="4"/>
  <c r="BA350" i="4"/>
  <c r="AZ350" i="4"/>
  <c r="AY350" i="4"/>
  <c r="AX350" i="4"/>
  <c r="AW350" i="4"/>
  <c r="AV350" i="4"/>
  <c r="AR350" i="4"/>
  <c r="AO350" i="4"/>
  <c r="AL350" i="4"/>
  <c r="AK350" i="4"/>
  <c r="AJ350" i="4"/>
  <c r="AI350" i="4"/>
  <c r="AH350" i="4"/>
  <c r="AG350" i="4"/>
  <c r="AF350" i="4"/>
  <c r="AE350" i="4"/>
  <c r="AD350" i="4"/>
  <c r="AC350" i="4"/>
  <c r="AB350" i="4"/>
  <c r="AA350" i="4"/>
  <c r="R350" i="4"/>
  <c r="S350" i="4" s="1"/>
  <c r="T350" i="4" s="1"/>
  <c r="BG349" i="4"/>
  <c r="BF349" i="4"/>
  <c r="BE349" i="4"/>
  <c r="BD349" i="4"/>
  <c r="BC349" i="4"/>
  <c r="BB349" i="4"/>
  <c r="BA349" i="4"/>
  <c r="AZ349" i="4"/>
  <c r="AY349" i="4"/>
  <c r="AX349" i="4"/>
  <c r="AW349" i="4"/>
  <c r="AV349" i="4"/>
  <c r="AR349" i="4"/>
  <c r="AO349" i="4"/>
  <c r="AS349" i="4" s="1"/>
  <c r="AT349" i="4" s="1"/>
  <c r="AL349" i="4"/>
  <c r="AK349" i="4"/>
  <c r="AJ349" i="4"/>
  <c r="AI349" i="4"/>
  <c r="AH349" i="4"/>
  <c r="AG349" i="4"/>
  <c r="AF349" i="4"/>
  <c r="AE349" i="4"/>
  <c r="AD349" i="4"/>
  <c r="AC349" i="4"/>
  <c r="AB349" i="4"/>
  <c r="AA349" i="4"/>
  <c r="S349" i="4"/>
  <c r="R349" i="4"/>
  <c r="AV348" i="4"/>
  <c r="AL348" i="4"/>
  <c r="AK348" i="4"/>
  <c r="AJ348" i="4"/>
  <c r="AI348" i="4"/>
  <c r="AH348" i="4"/>
  <c r="AG348" i="4"/>
  <c r="AF348" i="4"/>
  <c r="AE348" i="4"/>
  <c r="AD348" i="4"/>
  <c r="AC348" i="4"/>
  <c r="AB348" i="4"/>
  <c r="AA348" i="4"/>
  <c r="U348" i="4"/>
  <c r="T348" i="4"/>
  <c r="S348" i="4"/>
  <c r="R348" i="4"/>
  <c r="BG347" i="4"/>
  <c r="BF347" i="4"/>
  <c r="BE347" i="4"/>
  <c r="BD347" i="4"/>
  <c r="BC347" i="4"/>
  <c r="BB347" i="4"/>
  <c r="BA347" i="4"/>
  <c r="AZ347" i="4"/>
  <c r="AY347" i="4"/>
  <c r="AX347" i="4"/>
  <c r="AW347" i="4"/>
  <c r="AV347" i="4"/>
  <c r="AR347" i="4"/>
  <c r="AO347" i="4"/>
  <c r="AL347" i="4"/>
  <c r="AK347" i="4"/>
  <c r="AJ347" i="4"/>
  <c r="AI347" i="4"/>
  <c r="AH347" i="4"/>
  <c r="AG347" i="4"/>
  <c r="AF347" i="4"/>
  <c r="AE347" i="4"/>
  <c r="AD347" i="4"/>
  <c r="AC347" i="4"/>
  <c r="AB347" i="4"/>
  <c r="AA347" i="4"/>
  <c r="R347" i="4"/>
  <c r="BG346" i="4"/>
  <c r="BF346" i="4"/>
  <c r="BE346" i="4"/>
  <c r="BD346" i="4"/>
  <c r="BC346" i="4"/>
  <c r="BB346" i="4"/>
  <c r="BA346" i="4"/>
  <c r="AZ346" i="4"/>
  <c r="AY346" i="4"/>
  <c r="AX346" i="4"/>
  <c r="AW346" i="4"/>
  <c r="AV346" i="4"/>
  <c r="AR346" i="4"/>
  <c r="AO346" i="4"/>
  <c r="AL346" i="4"/>
  <c r="AK346" i="4"/>
  <c r="AJ346" i="4"/>
  <c r="AI346" i="4"/>
  <c r="AH346" i="4"/>
  <c r="AG346" i="4"/>
  <c r="AF346" i="4"/>
  <c r="AE346" i="4"/>
  <c r="AD346" i="4"/>
  <c r="AC346" i="4"/>
  <c r="AB346" i="4"/>
  <c r="AA346" i="4"/>
  <c r="R346" i="4"/>
  <c r="S346" i="4" s="1"/>
  <c r="AV345" i="4"/>
  <c r="AL345" i="4"/>
  <c r="AK345" i="4"/>
  <c r="AJ345" i="4"/>
  <c r="AI345" i="4"/>
  <c r="AH345" i="4"/>
  <c r="AG345" i="4"/>
  <c r="AF345" i="4"/>
  <c r="AE345" i="4"/>
  <c r="AD345" i="4"/>
  <c r="AC345" i="4"/>
  <c r="AB345" i="4"/>
  <c r="AA345" i="4"/>
  <c r="S345" i="4"/>
  <c r="R345" i="4"/>
  <c r="BG344" i="4"/>
  <c r="BF344" i="4"/>
  <c r="BE344" i="4"/>
  <c r="BD344" i="4"/>
  <c r="BC344" i="4"/>
  <c r="BB344" i="4"/>
  <c r="BA344" i="4"/>
  <c r="AZ344" i="4"/>
  <c r="AY344" i="4"/>
  <c r="AX344" i="4"/>
  <c r="AW344" i="4"/>
  <c r="AV344" i="4"/>
  <c r="AR344" i="4"/>
  <c r="AO344" i="4"/>
  <c r="AS344" i="4" s="1"/>
  <c r="AT344" i="4" s="1"/>
  <c r="AL344" i="4"/>
  <c r="AK344" i="4"/>
  <c r="AJ344" i="4"/>
  <c r="AI344" i="4"/>
  <c r="AH344" i="4"/>
  <c r="AG344" i="4"/>
  <c r="AF344" i="4"/>
  <c r="AE344" i="4"/>
  <c r="AD344" i="4"/>
  <c r="AC344" i="4"/>
  <c r="AB344" i="4"/>
  <c r="AA344" i="4"/>
  <c r="S344" i="4"/>
  <c r="T344" i="4" s="1"/>
  <c r="R344" i="4"/>
  <c r="BG343" i="4"/>
  <c r="BF343" i="4"/>
  <c r="BE343" i="4"/>
  <c r="BD343" i="4"/>
  <c r="BC343" i="4"/>
  <c r="BB343" i="4"/>
  <c r="BA343" i="4"/>
  <c r="AZ343" i="4"/>
  <c r="AY343" i="4"/>
  <c r="AX343" i="4"/>
  <c r="AW343" i="4"/>
  <c r="AV343" i="4"/>
  <c r="AR343" i="4"/>
  <c r="AO343" i="4"/>
  <c r="AS343" i="4" s="1"/>
  <c r="AT343" i="4" s="1"/>
  <c r="AL343" i="4"/>
  <c r="AK343" i="4"/>
  <c r="AJ343" i="4"/>
  <c r="AI343" i="4"/>
  <c r="AH343" i="4"/>
  <c r="AG343" i="4"/>
  <c r="AF343" i="4"/>
  <c r="AE343" i="4"/>
  <c r="AD343" i="4"/>
  <c r="AC343" i="4"/>
  <c r="AB343" i="4"/>
  <c r="AA343" i="4"/>
  <c r="S343" i="4"/>
  <c r="R343" i="4"/>
  <c r="BG342" i="4"/>
  <c r="BF342" i="4"/>
  <c r="BE342" i="4"/>
  <c r="BD342" i="4"/>
  <c r="BC342" i="4"/>
  <c r="BB342" i="4"/>
  <c r="BA342" i="4"/>
  <c r="AZ342" i="4"/>
  <c r="AY342" i="4"/>
  <c r="AX342" i="4"/>
  <c r="AW342" i="4"/>
  <c r="AV342" i="4"/>
  <c r="AR342" i="4"/>
  <c r="AO342" i="4"/>
  <c r="AS342" i="4" s="1"/>
  <c r="AT342" i="4" s="1"/>
  <c r="AL342" i="4"/>
  <c r="AK342" i="4"/>
  <c r="AJ342" i="4"/>
  <c r="AI342" i="4"/>
  <c r="AH342" i="4"/>
  <c r="AG342" i="4"/>
  <c r="AF342" i="4"/>
  <c r="AE342" i="4"/>
  <c r="AD342" i="4"/>
  <c r="AC342" i="4"/>
  <c r="AB342" i="4"/>
  <c r="AA342" i="4"/>
  <c r="R342" i="4"/>
  <c r="BG341" i="4"/>
  <c r="BF341" i="4"/>
  <c r="BE341" i="4"/>
  <c r="BD341" i="4"/>
  <c r="BC341" i="4"/>
  <c r="BB341" i="4"/>
  <c r="BA341" i="4"/>
  <c r="AZ341" i="4"/>
  <c r="AY341" i="4"/>
  <c r="AX341" i="4"/>
  <c r="AW341" i="4"/>
  <c r="AV341" i="4"/>
  <c r="AR341" i="4"/>
  <c r="AO341" i="4"/>
  <c r="AS341" i="4" s="1"/>
  <c r="AT341" i="4" s="1"/>
  <c r="AL341" i="4"/>
  <c r="AK341" i="4"/>
  <c r="AJ341" i="4"/>
  <c r="AI341" i="4"/>
  <c r="AH341" i="4"/>
  <c r="AG341" i="4"/>
  <c r="AF341" i="4"/>
  <c r="AE341" i="4"/>
  <c r="AD341" i="4"/>
  <c r="AC341" i="4"/>
  <c r="AB341" i="4"/>
  <c r="AA341" i="4"/>
  <c r="R341" i="4"/>
  <c r="BL340" i="4"/>
  <c r="AY340" i="4" s="1"/>
  <c r="BG340" i="4"/>
  <c r="BF340" i="4"/>
  <c r="BE340" i="4"/>
  <c r="BD340" i="4"/>
  <c r="BC340" i="4"/>
  <c r="BB340" i="4"/>
  <c r="BA340" i="4"/>
  <c r="AZ340" i="4"/>
  <c r="AX340" i="4"/>
  <c r="AW340" i="4"/>
  <c r="AV340" i="4"/>
  <c r="AR340" i="4"/>
  <c r="AL340" i="4"/>
  <c r="AK340" i="4"/>
  <c r="AJ340" i="4"/>
  <c r="AI340" i="4"/>
  <c r="AH340" i="4"/>
  <c r="AG340" i="4"/>
  <c r="AF340" i="4"/>
  <c r="AE340" i="4"/>
  <c r="AD340" i="4"/>
  <c r="AC340" i="4"/>
  <c r="AB340" i="4"/>
  <c r="AA340" i="4"/>
  <c r="R340" i="4"/>
  <c r="BG339" i="4"/>
  <c r="BF339" i="4"/>
  <c r="BE339" i="4"/>
  <c r="BD339" i="4"/>
  <c r="BC339" i="4"/>
  <c r="BB339" i="4"/>
  <c r="BA339" i="4"/>
  <c r="AZ339" i="4"/>
  <c r="AY339" i="4"/>
  <c r="AX339" i="4"/>
  <c r="AW339" i="4"/>
  <c r="AV339" i="4"/>
  <c r="AR339" i="4"/>
  <c r="AO339" i="4"/>
  <c r="AL339" i="4"/>
  <c r="AK339" i="4"/>
  <c r="AJ339" i="4"/>
  <c r="AI339" i="4"/>
  <c r="AH339" i="4"/>
  <c r="AG339" i="4"/>
  <c r="AF339" i="4"/>
  <c r="AE339" i="4"/>
  <c r="AD339" i="4"/>
  <c r="AC339" i="4"/>
  <c r="AB339" i="4"/>
  <c r="AA339" i="4"/>
  <c r="S339" i="4"/>
  <c r="R339" i="4"/>
  <c r="T339" i="4" s="1"/>
  <c r="BT338" i="4"/>
  <c r="BS338" i="4"/>
  <c r="BR338" i="4"/>
  <c r="BQ338" i="4"/>
  <c r="BP338" i="4"/>
  <c r="BO338" i="4"/>
  <c r="BN338" i="4"/>
  <c r="BM338" i="4"/>
  <c r="BL338" i="4"/>
  <c r="BK338" i="4"/>
  <c r="BJ338" i="4"/>
  <c r="BI338" i="4"/>
  <c r="BG338" i="4"/>
  <c r="BF338" i="4"/>
  <c r="BE338" i="4"/>
  <c r="BD338" i="4"/>
  <c r="BC338" i="4"/>
  <c r="BB338" i="4"/>
  <c r="BA338" i="4"/>
  <c r="AZ338" i="4"/>
  <c r="AY338" i="4"/>
  <c r="AX338" i="4"/>
  <c r="AW338" i="4"/>
  <c r="AV338" i="4"/>
  <c r="AL338" i="4"/>
  <c r="AK338" i="4"/>
  <c r="AJ338" i="4"/>
  <c r="AI338" i="4"/>
  <c r="AH338" i="4"/>
  <c r="AG338" i="4"/>
  <c r="AF338" i="4"/>
  <c r="AE338" i="4"/>
  <c r="AD338" i="4"/>
  <c r="AC338" i="4"/>
  <c r="AB338" i="4"/>
  <c r="AA338" i="4"/>
  <c r="R338" i="4"/>
  <c r="S338" i="4" s="1"/>
  <c r="AV337" i="4"/>
  <c r="AL337" i="4"/>
  <c r="AK337" i="4"/>
  <c r="AJ337" i="4"/>
  <c r="AI337" i="4"/>
  <c r="AH337" i="4"/>
  <c r="AG337" i="4"/>
  <c r="AF337" i="4"/>
  <c r="AE337" i="4"/>
  <c r="AD337" i="4"/>
  <c r="AC337" i="4"/>
  <c r="AB337" i="4"/>
  <c r="AA337" i="4"/>
  <c r="R337" i="4"/>
  <c r="BG336" i="4"/>
  <c r="BF336" i="4"/>
  <c r="BE336" i="4"/>
  <c r="BD336" i="4"/>
  <c r="BC336" i="4"/>
  <c r="BB336" i="4"/>
  <c r="BA336" i="4"/>
  <c r="AZ336" i="4"/>
  <c r="AY336" i="4"/>
  <c r="AX336" i="4"/>
  <c r="AW336" i="4"/>
  <c r="AV336" i="4"/>
  <c r="AR336" i="4"/>
  <c r="AO336" i="4"/>
  <c r="AL336" i="4"/>
  <c r="AK336" i="4"/>
  <c r="AJ336" i="4"/>
  <c r="AI336" i="4"/>
  <c r="AH336" i="4"/>
  <c r="AG336" i="4"/>
  <c r="AF336" i="4"/>
  <c r="AE336" i="4"/>
  <c r="AD336" i="4"/>
  <c r="AC336" i="4"/>
  <c r="AB336" i="4"/>
  <c r="AA336" i="4"/>
  <c r="S336" i="4"/>
  <c r="R336" i="4"/>
  <c r="T336" i="4" s="1"/>
  <c r="AL335" i="4"/>
  <c r="AL360" i="4" s="1"/>
  <c r="AK335" i="4"/>
  <c r="AJ335" i="4"/>
  <c r="AJ360" i="4" s="1"/>
  <c r="AI335" i="4"/>
  <c r="AI360" i="4" s="1"/>
  <c r="AH335" i="4"/>
  <c r="AH360" i="4" s="1"/>
  <c r="AG335" i="4"/>
  <c r="AF335" i="4"/>
  <c r="AF360" i="4" s="1"/>
  <c r="AE335" i="4"/>
  <c r="AE360" i="4" s="1"/>
  <c r="AD335" i="4"/>
  <c r="AD360" i="4" s="1"/>
  <c r="AC335" i="4"/>
  <c r="AB335" i="4"/>
  <c r="AB360" i="4" s="1"/>
  <c r="AA335" i="4"/>
  <c r="AA360" i="4" s="1"/>
  <c r="S335" i="4"/>
  <c r="R335" i="4"/>
  <c r="Q331" i="4"/>
  <c r="P331" i="4"/>
  <c r="O331" i="4"/>
  <c r="N331" i="4"/>
  <c r="M331" i="4"/>
  <c r="L331" i="4"/>
  <c r="E331" i="4"/>
  <c r="BT329" i="4"/>
  <c r="BS329" i="4"/>
  <c r="BR329" i="4"/>
  <c r="BQ329" i="4"/>
  <c r="BP329" i="4"/>
  <c r="BO329" i="4"/>
  <c r="BN329" i="4"/>
  <c r="BM329" i="4"/>
  <c r="BL329" i="4"/>
  <c r="BK329" i="4"/>
  <c r="BJ329" i="4"/>
  <c r="BI329" i="4"/>
  <c r="AR329" i="4" s="1"/>
  <c r="BG329" i="4"/>
  <c r="BF329" i="4"/>
  <c r="BE329" i="4"/>
  <c r="BD329" i="4"/>
  <c r="BC329" i="4"/>
  <c r="BB329" i="4"/>
  <c r="BA329" i="4"/>
  <c r="AZ329" i="4"/>
  <c r="AY329" i="4"/>
  <c r="AX329" i="4"/>
  <c r="AW329" i="4"/>
  <c r="AV329" i="4"/>
  <c r="AL329" i="4"/>
  <c r="AK329" i="4"/>
  <c r="AJ329" i="4"/>
  <c r="AI329" i="4"/>
  <c r="AH329" i="4"/>
  <c r="AG329" i="4"/>
  <c r="AF329" i="4"/>
  <c r="AE329" i="4"/>
  <c r="AD329" i="4"/>
  <c r="AC329" i="4"/>
  <c r="AB329" i="4"/>
  <c r="AA329" i="4"/>
  <c r="R329" i="4"/>
  <c r="BT328" i="4"/>
  <c r="BS328" i="4"/>
  <c r="BR328" i="4"/>
  <c r="BQ328" i="4"/>
  <c r="BP328" i="4"/>
  <c r="BO328" i="4"/>
  <c r="BN328" i="4"/>
  <c r="BM328" i="4"/>
  <c r="BL328" i="4"/>
  <c r="BK328" i="4"/>
  <c r="BJ328" i="4"/>
  <c r="BI328" i="4"/>
  <c r="BG328" i="4"/>
  <c r="BF328" i="4"/>
  <c r="BE328" i="4"/>
  <c r="BD328" i="4"/>
  <c r="BC328" i="4"/>
  <c r="BB328" i="4"/>
  <c r="BA328" i="4"/>
  <c r="AZ328" i="4"/>
  <c r="AY328" i="4"/>
  <c r="AX328" i="4"/>
  <c r="AW328" i="4"/>
  <c r="AV328" i="4"/>
  <c r="AL328" i="4"/>
  <c r="AK328" i="4"/>
  <c r="AJ328" i="4"/>
  <c r="AI328" i="4"/>
  <c r="AH328" i="4"/>
  <c r="AG328" i="4"/>
  <c r="AF328" i="4"/>
  <c r="AE328" i="4"/>
  <c r="AD328" i="4"/>
  <c r="AC328" i="4"/>
  <c r="AB328" i="4"/>
  <c r="AA328" i="4"/>
  <c r="S328" i="4"/>
  <c r="R328" i="4"/>
  <c r="BG327" i="4"/>
  <c r="BF327" i="4"/>
  <c r="BE327" i="4"/>
  <c r="BD327" i="4"/>
  <c r="BC327" i="4"/>
  <c r="BB327" i="4"/>
  <c r="BA327" i="4"/>
  <c r="AZ327" i="4"/>
  <c r="AY327" i="4"/>
  <c r="AX327" i="4"/>
  <c r="AW327" i="4"/>
  <c r="AV327" i="4"/>
  <c r="AR327" i="4"/>
  <c r="AO327" i="4"/>
  <c r="AS327" i="4" s="1"/>
  <c r="AT327" i="4" s="1"/>
  <c r="AL327" i="4"/>
  <c r="AK327" i="4"/>
  <c r="AJ327" i="4"/>
  <c r="AI327" i="4"/>
  <c r="AH327" i="4"/>
  <c r="AG327" i="4"/>
  <c r="AF327" i="4"/>
  <c r="AE327" i="4"/>
  <c r="AD327" i="4"/>
  <c r="AC327" i="4"/>
  <c r="AB327" i="4"/>
  <c r="AA327" i="4"/>
  <c r="R327" i="4"/>
  <c r="BG326" i="4"/>
  <c r="BF326" i="4"/>
  <c r="BE326" i="4"/>
  <c r="BD326" i="4"/>
  <c r="BC326" i="4"/>
  <c r="BB326" i="4"/>
  <c r="BA326" i="4"/>
  <c r="AZ326" i="4"/>
  <c r="AY326" i="4"/>
  <c r="AX326" i="4"/>
  <c r="AW326" i="4"/>
  <c r="AV326" i="4"/>
  <c r="AR326" i="4"/>
  <c r="AO326" i="4"/>
  <c r="AS326" i="4" s="1"/>
  <c r="AT326" i="4" s="1"/>
  <c r="AL326" i="4"/>
  <c r="AK326" i="4"/>
  <c r="AJ326" i="4"/>
  <c r="AI326" i="4"/>
  <c r="AH326" i="4"/>
  <c r="AG326" i="4"/>
  <c r="AF326" i="4"/>
  <c r="AE326" i="4"/>
  <c r="AD326" i="4"/>
  <c r="AC326" i="4"/>
  <c r="AB326" i="4"/>
  <c r="AA326" i="4"/>
  <c r="R326" i="4"/>
  <c r="BG325" i="4"/>
  <c r="BF325" i="4"/>
  <c r="BE325" i="4"/>
  <c r="BD325" i="4"/>
  <c r="BC325" i="4"/>
  <c r="BB325" i="4"/>
  <c r="BA325" i="4"/>
  <c r="AZ325" i="4"/>
  <c r="AY325" i="4"/>
  <c r="AX325" i="4"/>
  <c r="AW325" i="4"/>
  <c r="AV325" i="4"/>
  <c r="AR325" i="4"/>
  <c r="AO325" i="4"/>
  <c r="AL325" i="4"/>
  <c r="AK325" i="4"/>
  <c r="AJ325" i="4"/>
  <c r="AI325" i="4"/>
  <c r="AH325" i="4"/>
  <c r="AG325" i="4"/>
  <c r="AF325" i="4"/>
  <c r="AE325" i="4"/>
  <c r="AD325" i="4"/>
  <c r="AC325" i="4"/>
  <c r="AB325" i="4"/>
  <c r="AA325" i="4"/>
  <c r="R325" i="4"/>
  <c r="BG324" i="4"/>
  <c r="BF324" i="4"/>
  <c r="BE324" i="4"/>
  <c r="BD324" i="4"/>
  <c r="BC324" i="4"/>
  <c r="BB324" i="4"/>
  <c r="BA324" i="4"/>
  <c r="AZ324" i="4"/>
  <c r="AY324" i="4"/>
  <c r="AX324" i="4"/>
  <c r="AW324" i="4"/>
  <c r="AV324" i="4"/>
  <c r="AR324" i="4"/>
  <c r="AO324" i="4"/>
  <c r="AL324" i="4"/>
  <c r="AK324" i="4"/>
  <c r="AJ324" i="4"/>
  <c r="AI324" i="4"/>
  <c r="AH324" i="4"/>
  <c r="AG324" i="4"/>
  <c r="AF324" i="4"/>
  <c r="AE324" i="4"/>
  <c r="AD324" i="4"/>
  <c r="AC324" i="4"/>
  <c r="AB324" i="4"/>
  <c r="AA324" i="4"/>
  <c r="R324" i="4"/>
  <c r="S324" i="4" s="1"/>
  <c r="BG323" i="4"/>
  <c r="BF323" i="4"/>
  <c r="BE323" i="4"/>
  <c r="BD323" i="4"/>
  <c r="BC323" i="4"/>
  <c r="BB323" i="4"/>
  <c r="BA323" i="4"/>
  <c r="AZ323" i="4"/>
  <c r="AY323" i="4"/>
  <c r="AX323" i="4"/>
  <c r="AW323" i="4"/>
  <c r="AV323" i="4"/>
  <c r="AR323" i="4"/>
  <c r="AO323" i="4"/>
  <c r="AS323" i="4" s="1"/>
  <c r="AT323" i="4" s="1"/>
  <c r="AL323" i="4"/>
  <c r="AK323" i="4"/>
  <c r="AJ323" i="4"/>
  <c r="AI323" i="4"/>
  <c r="AH323" i="4"/>
  <c r="AG323" i="4"/>
  <c r="AF323" i="4"/>
  <c r="AE323" i="4"/>
  <c r="AD323" i="4"/>
  <c r="AC323" i="4"/>
  <c r="AB323" i="4"/>
  <c r="AA323" i="4"/>
  <c r="R323" i="4"/>
  <c r="BG322" i="4"/>
  <c r="BF322" i="4"/>
  <c r="BE322" i="4"/>
  <c r="BD322" i="4"/>
  <c r="BC322" i="4"/>
  <c r="BB322" i="4"/>
  <c r="BA322" i="4"/>
  <c r="AZ322" i="4"/>
  <c r="AY322" i="4"/>
  <c r="AX322" i="4"/>
  <c r="AW322" i="4"/>
  <c r="AV322" i="4"/>
  <c r="AR322" i="4"/>
  <c r="AO322" i="4"/>
  <c r="AL322" i="4"/>
  <c r="AK322" i="4"/>
  <c r="AJ322" i="4"/>
  <c r="AI322" i="4"/>
  <c r="AH322" i="4"/>
  <c r="AG322" i="4"/>
  <c r="AF322" i="4"/>
  <c r="AE322" i="4"/>
  <c r="AD322" i="4"/>
  <c r="AC322" i="4"/>
  <c r="AB322" i="4"/>
  <c r="AA322" i="4"/>
  <c r="R322" i="4"/>
  <c r="BG321" i="4"/>
  <c r="BF321" i="4"/>
  <c r="BE321" i="4"/>
  <c r="BD321" i="4"/>
  <c r="BC321" i="4"/>
  <c r="BB321" i="4"/>
  <c r="BA321" i="4"/>
  <c r="AZ321" i="4"/>
  <c r="AY321" i="4"/>
  <c r="AX321" i="4"/>
  <c r="AW321" i="4"/>
  <c r="AV321" i="4"/>
  <c r="AR321" i="4"/>
  <c r="AO321" i="4"/>
  <c r="AL321" i="4"/>
  <c r="AK321" i="4"/>
  <c r="AJ321" i="4"/>
  <c r="AI321" i="4"/>
  <c r="AH321" i="4"/>
  <c r="AG321" i="4"/>
  <c r="AF321" i="4"/>
  <c r="AE321" i="4"/>
  <c r="AD321" i="4"/>
  <c r="AC321" i="4"/>
  <c r="AB321" i="4"/>
  <c r="AA321" i="4"/>
  <c r="S321" i="4"/>
  <c r="T321" i="4" s="1"/>
  <c r="R321" i="4"/>
  <c r="U321" i="4" s="1"/>
  <c r="AL320" i="4"/>
  <c r="AK320" i="4"/>
  <c r="AJ320" i="4"/>
  <c r="AI320" i="4"/>
  <c r="AH320" i="4"/>
  <c r="AG320" i="4"/>
  <c r="AF320" i="4"/>
  <c r="AE320" i="4"/>
  <c r="AD320" i="4"/>
  <c r="AC320" i="4"/>
  <c r="AB320" i="4"/>
  <c r="AA320" i="4"/>
  <c r="R320" i="4"/>
  <c r="BG319" i="4"/>
  <c r="BF319" i="4"/>
  <c r="BE319" i="4"/>
  <c r="BD319" i="4"/>
  <c r="BC319" i="4"/>
  <c r="BB319" i="4"/>
  <c r="BA319" i="4"/>
  <c r="AZ319" i="4"/>
  <c r="AY319" i="4"/>
  <c r="AX319" i="4"/>
  <c r="AW319" i="4"/>
  <c r="AV319" i="4"/>
  <c r="AR319" i="4"/>
  <c r="AO319" i="4"/>
  <c r="AL319" i="4"/>
  <c r="AK319" i="4"/>
  <c r="AJ319" i="4"/>
  <c r="AI319" i="4"/>
  <c r="AH319" i="4"/>
  <c r="AG319" i="4"/>
  <c r="AF319" i="4"/>
  <c r="AE319" i="4"/>
  <c r="AD319" i="4"/>
  <c r="AC319" i="4"/>
  <c r="AB319" i="4"/>
  <c r="AA319" i="4"/>
  <c r="R319" i="4"/>
  <c r="BG318" i="4"/>
  <c r="BF318" i="4"/>
  <c r="BE318" i="4"/>
  <c r="BD318" i="4"/>
  <c r="BC318" i="4"/>
  <c r="BB318" i="4"/>
  <c r="BA318" i="4"/>
  <c r="AZ318" i="4"/>
  <c r="AY318" i="4"/>
  <c r="AX318" i="4"/>
  <c r="AW318" i="4"/>
  <c r="AV318" i="4"/>
  <c r="AR318" i="4"/>
  <c r="AO318" i="4"/>
  <c r="AL318" i="4"/>
  <c r="AK318" i="4"/>
  <c r="AJ318" i="4"/>
  <c r="AI318" i="4"/>
  <c r="AH318" i="4"/>
  <c r="AG318" i="4"/>
  <c r="AF318" i="4"/>
  <c r="AE318" i="4"/>
  <c r="AD318" i="4"/>
  <c r="AC318" i="4"/>
  <c r="AB318" i="4"/>
  <c r="AA318" i="4"/>
  <c r="S318" i="4"/>
  <c r="R318" i="4"/>
  <c r="BG317" i="4"/>
  <c r="BF317" i="4"/>
  <c r="BE317" i="4"/>
  <c r="BD317" i="4"/>
  <c r="BC317" i="4"/>
  <c r="BB317" i="4"/>
  <c r="BA317" i="4"/>
  <c r="AZ317" i="4"/>
  <c r="AY317" i="4"/>
  <c r="AX317" i="4"/>
  <c r="AW317" i="4"/>
  <c r="AV317" i="4"/>
  <c r="AR317" i="4"/>
  <c r="AO317" i="4"/>
  <c r="AL317" i="4"/>
  <c r="AK317" i="4"/>
  <c r="AJ317" i="4"/>
  <c r="AI317" i="4"/>
  <c r="AH317" i="4"/>
  <c r="AG317" i="4"/>
  <c r="AF317" i="4"/>
  <c r="AE317" i="4"/>
  <c r="AD317" i="4"/>
  <c r="AC317" i="4"/>
  <c r="AB317" i="4"/>
  <c r="AA317" i="4"/>
  <c r="T317" i="4"/>
  <c r="S317" i="4"/>
  <c r="R317" i="4"/>
  <c r="BG316" i="4"/>
  <c r="BF316" i="4"/>
  <c r="BE316" i="4"/>
  <c r="BD316" i="4"/>
  <c r="BC316" i="4"/>
  <c r="BB316" i="4"/>
  <c r="BA316" i="4"/>
  <c r="AZ316" i="4"/>
  <c r="AY316" i="4"/>
  <c r="AX316" i="4"/>
  <c r="AW316" i="4"/>
  <c r="AV316" i="4"/>
  <c r="AR316" i="4"/>
  <c r="AO316" i="4"/>
  <c r="AS316" i="4" s="1"/>
  <c r="AT316" i="4" s="1"/>
  <c r="AL316" i="4"/>
  <c r="AK316" i="4"/>
  <c r="AJ316" i="4"/>
  <c r="AI316" i="4"/>
  <c r="AH316" i="4"/>
  <c r="AG316" i="4"/>
  <c r="AF316" i="4"/>
  <c r="AE316" i="4"/>
  <c r="AD316" i="4"/>
  <c r="AC316" i="4"/>
  <c r="AB316" i="4"/>
  <c r="AA316" i="4"/>
  <c r="S316" i="4"/>
  <c r="R316" i="4"/>
  <c r="BG315" i="4"/>
  <c r="BF315" i="4"/>
  <c r="BE315" i="4"/>
  <c r="BD315" i="4"/>
  <c r="BC315" i="4"/>
  <c r="BB315" i="4"/>
  <c r="BA315" i="4"/>
  <c r="AZ315" i="4"/>
  <c r="AY315" i="4"/>
  <c r="AX315" i="4"/>
  <c r="AW315" i="4"/>
  <c r="AV315" i="4"/>
  <c r="AR315" i="4"/>
  <c r="AO315" i="4"/>
  <c r="AS315" i="4" s="1"/>
  <c r="AT315" i="4" s="1"/>
  <c r="AL315" i="4"/>
  <c r="AK315" i="4"/>
  <c r="AJ315" i="4"/>
  <c r="AI315" i="4"/>
  <c r="AH315" i="4"/>
  <c r="AG315" i="4"/>
  <c r="AF315" i="4"/>
  <c r="AE315" i="4"/>
  <c r="AD315" i="4"/>
  <c r="AC315" i="4"/>
  <c r="AB315" i="4"/>
  <c r="AA315" i="4"/>
  <c r="R315" i="4"/>
  <c r="H314" i="4"/>
  <c r="AI314" i="4" s="1"/>
  <c r="BG313" i="4"/>
  <c r="BF313" i="4"/>
  <c r="BE313" i="4"/>
  <c r="BD313" i="4"/>
  <c r="BC313" i="4"/>
  <c r="BB313" i="4"/>
  <c r="BA313" i="4"/>
  <c r="AZ313" i="4"/>
  <c r="AY313" i="4"/>
  <c r="AX313" i="4"/>
  <c r="AW313" i="4"/>
  <c r="AV313" i="4"/>
  <c r="AR313" i="4"/>
  <c r="AO313" i="4"/>
  <c r="H313" i="4"/>
  <c r="AE313" i="4" s="1"/>
  <c r="AL312" i="4"/>
  <c r="AK312" i="4"/>
  <c r="AJ312" i="4"/>
  <c r="AI312" i="4"/>
  <c r="AH312" i="4"/>
  <c r="AG312" i="4"/>
  <c r="AF312" i="4"/>
  <c r="AE312" i="4"/>
  <c r="AD312" i="4"/>
  <c r="AC312" i="4"/>
  <c r="AB312" i="4"/>
  <c r="AA312" i="4"/>
  <c r="R312" i="4"/>
  <c r="BG311" i="4"/>
  <c r="BF311" i="4"/>
  <c r="BE311" i="4"/>
  <c r="BD311" i="4"/>
  <c r="BC311" i="4"/>
  <c r="BB311" i="4"/>
  <c r="BA311" i="4"/>
  <c r="AZ311" i="4"/>
  <c r="AY311" i="4"/>
  <c r="AX311" i="4"/>
  <c r="AW311" i="4"/>
  <c r="AV311" i="4"/>
  <c r="AR311" i="4"/>
  <c r="AO311" i="4"/>
  <c r="AS311" i="4" s="1"/>
  <c r="AT311" i="4" s="1"/>
  <c r="AL311" i="4"/>
  <c r="AK311" i="4"/>
  <c r="AJ311" i="4"/>
  <c r="AI311" i="4"/>
  <c r="AH311" i="4"/>
  <c r="AG311" i="4"/>
  <c r="AF311" i="4"/>
  <c r="AE311" i="4"/>
  <c r="AD311" i="4"/>
  <c r="AC311" i="4"/>
  <c r="AB311" i="4"/>
  <c r="AA311" i="4"/>
  <c r="T311" i="4"/>
  <c r="S311" i="4"/>
  <c r="R311" i="4"/>
  <c r="BG310" i="4"/>
  <c r="BF310" i="4"/>
  <c r="BE310" i="4"/>
  <c r="BD310" i="4"/>
  <c r="BC310" i="4"/>
  <c r="BB310" i="4"/>
  <c r="BA310" i="4"/>
  <c r="AZ310" i="4"/>
  <c r="AY310" i="4"/>
  <c r="AX310" i="4"/>
  <c r="AW310" i="4"/>
  <c r="AV310" i="4"/>
  <c r="AR310" i="4"/>
  <c r="AO310" i="4"/>
  <c r="AS310" i="4" s="1"/>
  <c r="AT310" i="4" s="1"/>
  <c r="AL310" i="4"/>
  <c r="AK310" i="4"/>
  <c r="AJ310" i="4"/>
  <c r="AI310" i="4"/>
  <c r="AH310" i="4"/>
  <c r="AG310" i="4"/>
  <c r="AF310" i="4"/>
  <c r="AE310" i="4"/>
  <c r="AD310" i="4"/>
  <c r="AC310" i="4"/>
  <c r="AB310" i="4"/>
  <c r="AA310" i="4"/>
  <c r="S310" i="4"/>
  <c r="R310" i="4"/>
  <c r="BL309" i="4"/>
  <c r="AO309" i="4" s="1"/>
  <c r="AS309" i="4" s="1"/>
  <c r="AT309" i="4" s="1"/>
  <c r="BG309" i="4"/>
  <c r="BF309" i="4"/>
  <c r="BE309" i="4"/>
  <c r="BD309" i="4"/>
  <c r="BC309" i="4"/>
  <c r="BB309" i="4"/>
  <c r="BA309" i="4"/>
  <c r="AZ309" i="4"/>
  <c r="AY309" i="4"/>
  <c r="AX309" i="4"/>
  <c r="AW309" i="4"/>
  <c r="AV309" i="4"/>
  <c r="AR309" i="4"/>
  <c r="AL309" i="4"/>
  <c r="AK309" i="4"/>
  <c r="AJ309" i="4"/>
  <c r="AI309" i="4"/>
  <c r="AH309" i="4"/>
  <c r="AG309" i="4"/>
  <c r="AF309" i="4"/>
  <c r="AE309" i="4"/>
  <c r="AD309" i="4"/>
  <c r="AC309" i="4"/>
  <c r="AB309" i="4"/>
  <c r="AA309" i="4"/>
  <c r="R309" i="4"/>
  <c r="S309" i="4" s="1"/>
  <c r="BG308" i="4"/>
  <c r="BF308" i="4"/>
  <c r="BE308" i="4"/>
  <c r="BD308" i="4"/>
  <c r="BC308" i="4"/>
  <c r="BB308" i="4"/>
  <c r="BA308" i="4"/>
  <c r="AZ308" i="4"/>
  <c r="AY308" i="4"/>
  <c r="AX308" i="4"/>
  <c r="AW308" i="4"/>
  <c r="AV308" i="4"/>
  <c r="AR308" i="4"/>
  <c r="AO308" i="4"/>
  <c r="AN308" i="4"/>
  <c r="AL308" i="4"/>
  <c r="AK308" i="4"/>
  <c r="AJ308" i="4"/>
  <c r="AI308" i="4"/>
  <c r="AH308" i="4"/>
  <c r="AG308" i="4"/>
  <c r="AF308" i="4"/>
  <c r="AE308" i="4"/>
  <c r="AD308" i="4"/>
  <c r="AC308" i="4"/>
  <c r="AB308" i="4"/>
  <c r="AA308" i="4"/>
  <c r="Y308" i="4"/>
  <c r="D308" i="4"/>
  <c r="F308" i="4" s="1"/>
  <c r="G308" i="4" s="1"/>
  <c r="BG307" i="4"/>
  <c r="BF307" i="4"/>
  <c r="BE307" i="4"/>
  <c r="BD307" i="4"/>
  <c r="BC307" i="4"/>
  <c r="BB307" i="4"/>
  <c r="BA307" i="4"/>
  <c r="AZ307" i="4"/>
  <c r="AY307" i="4"/>
  <c r="AX307" i="4"/>
  <c r="AW307" i="4"/>
  <c r="AV307" i="4"/>
  <c r="AR307" i="4"/>
  <c r="AO307" i="4"/>
  <c r="AL307" i="4"/>
  <c r="AK307" i="4"/>
  <c r="AJ307" i="4"/>
  <c r="AI307" i="4"/>
  <c r="AH307" i="4"/>
  <c r="AG307" i="4"/>
  <c r="AF307" i="4"/>
  <c r="AE307" i="4"/>
  <c r="AD307" i="4"/>
  <c r="AC307" i="4"/>
  <c r="AB307" i="4"/>
  <c r="AA307" i="4"/>
  <c r="R307" i="4"/>
  <c r="S307" i="4" s="1"/>
  <c r="AL306" i="4"/>
  <c r="AK306" i="4"/>
  <c r="AJ306" i="4"/>
  <c r="AI306" i="4"/>
  <c r="AH306" i="4"/>
  <c r="AG306" i="4"/>
  <c r="AF306" i="4"/>
  <c r="AE306" i="4"/>
  <c r="AD306" i="4"/>
  <c r="AC306" i="4"/>
  <c r="AB306" i="4"/>
  <c r="AA306" i="4"/>
  <c r="R306" i="4"/>
  <c r="BG305" i="4"/>
  <c r="BF305" i="4"/>
  <c r="BE305" i="4"/>
  <c r="BD305" i="4"/>
  <c r="BC305" i="4"/>
  <c r="BB305" i="4"/>
  <c r="BA305" i="4"/>
  <c r="AZ305" i="4"/>
  <c r="AY305" i="4"/>
  <c r="AX305" i="4"/>
  <c r="AW305" i="4"/>
  <c r="AV305" i="4"/>
  <c r="AR305" i="4"/>
  <c r="AO305" i="4"/>
  <c r="AS305" i="4" s="1"/>
  <c r="AT305" i="4" s="1"/>
  <c r="AL305" i="4"/>
  <c r="AK305" i="4"/>
  <c r="AJ305" i="4"/>
  <c r="AI305" i="4"/>
  <c r="AH305" i="4"/>
  <c r="AG305" i="4"/>
  <c r="AF305" i="4"/>
  <c r="AE305" i="4"/>
  <c r="AD305" i="4"/>
  <c r="AC305" i="4"/>
  <c r="AB305" i="4"/>
  <c r="AA305" i="4"/>
  <c r="R305" i="4"/>
  <c r="BG304" i="4"/>
  <c r="BF304" i="4"/>
  <c r="BE304" i="4"/>
  <c r="BD304" i="4"/>
  <c r="BC304" i="4"/>
  <c r="BB304" i="4"/>
  <c r="BA304" i="4"/>
  <c r="AZ304" i="4"/>
  <c r="AY304" i="4"/>
  <c r="AX304" i="4"/>
  <c r="AW304" i="4"/>
  <c r="AV304" i="4"/>
  <c r="AR304" i="4"/>
  <c r="AO304" i="4"/>
  <c r="AL304" i="4"/>
  <c r="AK304" i="4"/>
  <c r="AJ304" i="4"/>
  <c r="AI304" i="4"/>
  <c r="AH304" i="4"/>
  <c r="AG304" i="4"/>
  <c r="AF304" i="4"/>
  <c r="AE304" i="4"/>
  <c r="AD304" i="4"/>
  <c r="AC304" i="4"/>
  <c r="AB304" i="4"/>
  <c r="AA304" i="4"/>
  <c r="R304" i="4"/>
  <c r="AL303" i="4"/>
  <c r="AK303" i="4"/>
  <c r="AJ303" i="4"/>
  <c r="AI303" i="4"/>
  <c r="AH303" i="4"/>
  <c r="AG303" i="4"/>
  <c r="AF303" i="4"/>
  <c r="AE303" i="4"/>
  <c r="AD303" i="4"/>
  <c r="AC303" i="4"/>
  <c r="AB303" i="4"/>
  <c r="AA303" i="4"/>
  <c r="S303" i="4"/>
  <c r="R303" i="4"/>
  <c r="BG302" i="4"/>
  <c r="BF302" i="4"/>
  <c r="BE302" i="4"/>
  <c r="BD302" i="4"/>
  <c r="BC302" i="4"/>
  <c r="BB302" i="4"/>
  <c r="BA302" i="4"/>
  <c r="AZ302" i="4"/>
  <c r="AY302" i="4"/>
  <c r="AX302" i="4"/>
  <c r="AW302" i="4"/>
  <c r="AV302" i="4"/>
  <c r="AR302" i="4"/>
  <c r="AO302" i="4"/>
  <c r="AS302" i="4" s="1"/>
  <c r="AT302" i="4" s="1"/>
  <c r="AL302" i="4"/>
  <c r="AK302" i="4"/>
  <c r="AJ302" i="4"/>
  <c r="AI302" i="4"/>
  <c r="AH302" i="4"/>
  <c r="AG302" i="4"/>
  <c r="AF302" i="4"/>
  <c r="AE302" i="4"/>
  <c r="AD302" i="4"/>
  <c r="AC302" i="4"/>
  <c r="AB302" i="4"/>
  <c r="AA302" i="4"/>
  <c r="R302" i="4"/>
  <c r="AL301" i="4"/>
  <c r="AK301" i="4"/>
  <c r="AJ301" i="4"/>
  <c r="AI301" i="4"/>
  <c r="AH301" i="4"/>
  <c r="AG301" i="4"/>
  <c r="AF301" i="4"/>
  <c r="AE301" i="4"/>
  <c r="AD301" i="4"/>
  <c r="AC301" i="4"/>
  <c r="AB301" i="4"/>
  <c r="AA301" i="4"/>
  <c r="R301" i="4"/>
  <c r="AL300" i="4"/>
  <c r="H300" i="4"/>
  <c r="AK300" i="4" s="1"/>
  <c r="H299" i="4"/>
  <c r="H331" i="4" s="1"/>
  <c r="BG298" i="4"/>
  <c r="BF298" i="4"/>
  <c r="BE298" i="4"/>
  <c r="BD298" i="4"/>
  <c r="BC298" i="4"/>
  <c r="BB298" i="4"/>
  <c r="BA298" i="4"/>
  <c r="AZ298" i="4"/>
  <c r="AY298" i="4"/>
  <c r="AX298" i="4"/>
  <c r="AW298" i="4"/>
  <c r="AV298" i="4"/>
  <c r="AR298" i="4"/>
  <c r="AO298" i="4"/>
  <c r="AS298" i="4" s="1"/>
  <c r="AT298" i="4" s="1"/>
  <c r="AL298" i="4"/>
  <c r="AK298" i="4"/>
  <c r="AJ298" i="4"/>
  <c r="AI298" i="4"/>
  <c r="AH298" i="4"/>
  <c r="AG298" i="4"/>
  <c r="AF298" i="4"/>
  <c r="AE298" i="4"/>
  <c r="AD298" i="4"/>
  <c r="AC298" i="4"/>
  <c r="AB298" i="4"/>
  <c r="AA298" i="4"/>
  <c r="S298" i="4"/>
  <c r="T298" i="4" s="1"/>
  <c r="R298" i="4"/>
  <c r="BG297" i="4"/>
  <c r="BF297" i="4"/>
  <c r="BE297" i="4"/>
  <c r="BD297" i="4"/>
  <c r="BC297" i="4"/>
  <c r="BB297" i="4"/>
  <c r="BA297" i="4"/>
  <c r="AZ297" i="4"/>
  <c r="AY297" i="4"/>
  <c r="AX297" i="4"/>
  <c r="AW297" i="4"/>
  <c r="AV297" i="4"/>
  <c r="AR297" i="4"/>
  <c r="AO297" i="4"/>
  <c r="AL297" i="4"/>
  <c r="AK297" i="4"/>
  <c r="AJ297" i="4"/>
  <c r="AI297" i="4"/>
  <c r="AH297" i="4"/>
  <c r="AG297" i="4"/>
  <c r="AF297" i="4"/>
  <c r="AE297" i="4"/>
  <c r="AD297" i="4"/>
  <c r="AC297" i="4"/>
  <c r="AB297" i="4"/>
  <c r="AA297" i="4"/>
  <c r="S297" i="4"/>
  <c r="R297" i="4"/>
  <c r="BG296" i="4"/>
  <c r="BF296" i="4"/>
  <c r="BE296" i="4"/>
  <c r="BD296" i="4"/>
  <c r="BC296" i="4"/>
  <c r="BB296" i="4"/>
  <c r="BA296" i="4"/>
  <c r="AZ296" i="4"/>
  <c r="AY296" i="4"/>
  <c r="AX296" i="4"/>
  <c r="AW296" i="4"/>
  <c r="AV296" i="4"/>
  <c r="AR296" i="4"/>
  <c r="AO296" i="4"/>
  <c r="AL296" i="4"/>
  <c r="AK296" i="4"/>
  <c r="AJ296" i="4"/>
  <c r="AI296" i="4"/>
  <c r="AH296" i="4"/>
  <c r="AG296" i="4"/>
  <c r="AF296" i="4"/>
  <c r="AE296" i="4"/>
  <c r="AD296" i="4"/>
  <c r="AC296" i="4"/>
  <c r="AB296" i="4"/>
  <c r="AA296" i="4"/>
  <c r="R296" i="4"/>
  <c r="BG295" i="4"/>
  <c r="BF295" i="4"/>
  <c r="BE295" i="4"/>
  <c r="BD295" i="4"/>
  <c r="BC295" i="4"/>
  <c r="BB295" i="4"/>
  <c r="BA295" i="4"/>
  <c r="AZ295" i="4"/>
  <c r="AY295" i="4"/>
  <c r="AX295" i="4"/>
  <c r="AW295" i="4"/>
  <c r="AV295" i="4"/>
  <c r="AR295" i="4"/>
  <c r="AO295" i="4"/>
  <c r="AL295" i="4"/>
  <c r="AK295" i="4"/>
  <c r="AJ295" i="4"/>
  <c r="AI295" i="4"/>
  <c r="AH295" i="4"/>
  <c r="AG295" i="4"/>
  <c r="AF295" i="4"/>
  <c r="AE295" i="4"/>
  <c r="AD295" i="4"/>
  <c r="AC295" i="4"/>
  <c r="AB295" i="4"/>
  <c r="AA295" i="4"/>
  <c r="R295" i="4"/>
  <c r="BG294" i="4"/>
  <c r="BF294" i="4"/>
  <c r="BE294" i="4"/>
  <c r="BD294" i="4"/>
  <c r="BC294" i="4"/>
  <c r="BB294" i="4"/>
  <c r="BA294" i="4"/>
  <c r="AZ294" i="4"/>
  <c r="AY294" i="4"/>
  <c r="AX294" i="4"/>
  <c r="AW294" i="4"/>
  <c r="AV294" i="4"/>
  <c r="AR294" i="4"/>
  <c r="AO294" i="4"/>
  <c r="AS294" i="4" s="1"/>
  <c r="AT294" i="4" s="1"/>
  <c r="AL294" i="4"/>
  <c r="AK294" i="4"/>
  <c r="AJ294" i="4"/>
  <c r="AI294" i="4"/>
  <c r="AH294" i="4"/>
  <c r="AG294" i="4"/>
  <c r="AF294" i="4"/>
  <c r="AE294" i="4"/>
  <c r="AD294" i="4"/>
  <c r="AC294" i="4"/>
  <c r="AB294" i="4"/>
  <c r="AA294" i="4"/>
  <c r="S294" i="4"/>
  <c r="T294" i="4" s="1"/>
  <c r="R294" i="4"/>
  <c r="BG293" i="4"/>
  <c r="BF293" i="4"/>
  <c r="BE293" i="4"/>
  <c r="BD293" i="4"/>
  <c r="BC293" i="4"/>
  <c r="BB293" i="4"/>
  <c r="BA293" i="4"/>
  <c r="AZ293" i="4"/>
  <c r="AY293" i="4"/>
  <c r="AX293" i="4"/>
  <c r="AW293" i="4"/>
  <c r="AV293" i="4"/>
  <c r="AR293" i="4"/>
  <c r="AO293" i="4"/>
  <c r="AL293" i="4"/>
  <c r="AK293" i="4"/>
  <c r="AJ293" i="4"/>
  <c r="AI293" i="4"/>
  <c r="AH293" i="4"/>
  <c r="AG293" i="4"/>
  <c r="AF293" i="4"/>
  <c r="AE293" i="4"/>
  <c r="AD293" i="4"/>
  <c r="AC293" i="4"/>
  <c r="AB293" i="4"/>
  <c r="AA293" i="4"/>
  <c r="S293" i="4"/>
  <c r="R293" i="4"/>
  <c r="AL292" i="4"/>
  <c r="AK292" i="4"/>
  <c r="AJ292" i="4"/>
  <c r="AI292" i="4"/>
  <c r="AH292" i="4"/>
  <c r="AG292" i="4"/>
  <c r="AF292" i="4"/>
  <c r="AE292" i="4"/>
  <c r="AD292" i="4"/>
  <c r="AC292" i="4"/>
  <c r="AB292" i="4"/>
  <c r="AA292" i="4"/>
  <c r="R292" i="4"/>
  <c r="BG291" i="4"/>
  <c r="BF291" i="4"/>
  <c r="BE291" i="4"/>
  <c r="BD291" i="4"/>
  <c r="BC291" i="4"/>
  <c r="BB291" i="4"/>
  <c r="BA291" i="4"/>
  <c r="AZ291" i="4"/>
  <c r="AY291" i="4"/>
  <c r="AX291" i="4"/>
  <c r="AW291" i="4"/>
  <c r="AV291" i="4"/>
  <c r="AR291" i="4"/>
  <c r="AO291" i="4"/>
  <c r="AN291" i="4"/>
  <c r="AP291" i="4" s="1"/>
  <c r="AQ291" i="4" s="1"/>
  <c r="AL291" i="4"/>
  <c r="AK291" i="4"/>
  <c r="AJ291" i="4"/>
  <c r="AI291" i="4"/>
  <c r="AH291" i="4"/>
  <c r="AG291" i="4"/>
  <c r="AF291" i="4"/>
  <c r="AE291" i="4"/>
  <c r="AD291" i="4"/>
  <c r="AC291" i="4"/>
  <c r="AB291" i="4"/>
  <c r="AA291" i="4"/>
  <c r="Y291" i="4"/>
  <c r="D291" i="4"/>
  <c r="I291" i="4" s="1"/>
  <c r="J291" i="4" s="1"/>
  <c r="AN290" i="4"/>
  <c r="AL290" i="4"/>
  <c r="AK290" i="4"/>
  <c r="AJ290" i="4"/>
  <c r="AI290" i="4"/>
  <c r="AH290" i="4"/>
  <c r="AG290" i="4"/>
  <c r="AF290" i="4"/>
  <c r="AE290" i="4"/>
  <c r="AD290" i="4"/>
  <c r="AC290" i="4"/>
  <c r="AB290" i="4"/>
  <c r="AA290" i="4"/>
  <c r="Y290" i="4"/>
  <c r="I290" i="4"/>
  <c r="J290" i="4" s="1"/>
  <c r="F290" i="4"/>
  <c r="G290" i="4" s="1"/>
  <c r="D290" i="4"/>
  <c r="AL289" i="4"/>
  <c r="AK289" i="4"/>
  <c r="AJ289" i="4"/>
  <c r="AI289" i="4"/>
  <c r="AH289" i="4"/>
  <c r="AG289" i="4"/>
  <c r="AF289" i="4"/>
  <c r="AE289" i="4"/>
  <c r="AD289" i="4"/>
  <c r="AC289" i="4"/>
  <c r="AB289" i="4"/>
  <c r="AA289" i="4"/>
  <c r="S289" i="4"/>
  <c r="R289" i="4"/>
  <c r="AL288" i="4"/>
  <c r="AK288" i="4"/>
  <c r="AJ288" i="4"/>
  <c r="AI288" i="4"/>
  <c r="AH288" i="4"/>
  <c r="AG288" i="4"/>
  <c r="AF288" i="4"/>
  <c r="AE288" i="4"/>
  <c r="AD288" i="4"/>
  <c r="AC288" i="4"/>
  <c r="AB288" i="4"/>
  <c r="AA288" i="4"/>
  <c r="R288" i="4"/>
  <c r="BG287" i="4"/>
  <c r="BF287" i="4"/>
  <c r="BE287" i="4"/>
  <c r="BD287" i="4"/>
  <c r="BC287" i="4"/>
  <c r="BB287" i="4"/>
  <c r="BA287" i="4"/>
  <c r="AZ287" i="4"/>
  <c r="AY287" i="4"/>
  <c r="AX287" i="4"/>
  <c r="AW287" i="4"/>
  <c r="AV287" i="4"/>
  <c r="AR287" i="4"/>
  <c r="AO287" i="4"/>
  <c r="AL287" i="4"/>
  <c r="AK287" i="4"/>
  <c r="AJ287" i="4"/>
  <c r="AI287" i="4"/>
  <c r="AH287" i="4"/>
  <c r="AG287" i="4"/>
  <c r="AF287" i="4"/>
  <c r="AE287" i="4"/>
  <c r="AD287" i="4"/>
  <c r="AC287" i="4"/>
  <c r="AB287" i="4"/>
  <c r="AA287" i="4"/>
  <c r="R287" i="4"/>
  <c r="AL286" i="4"/>
  <c r="AK286" i="4"/>
  <c r="AJ286" i="4"/>
  <c r="AI286" i="4"/>
  <c r="AH286" i="4"/>
  <c r="AG286" i="4"/>
  <c r="AF286" i="4"/>
  <c r="AE286" i="4"/>
  <c r="AD286" i="4"/>
  <c r="AC286" i="4"/>
  <c r="AB286" i="4"/>
  <c r="AA286" i="4"/>
  <c r="R286" i="4"/>
  <c r="BG285" i="4"/>
  <c r="BF285" i="4"/>
  <c r="BE285" i="4"/>
  <c r="BD285" i="4"/>
  <c r="BC285" i="4"/>
  <c r="BB285" i="4"/>
  <c r="BA285" i="4"/>
  <c r="AZ285" i="4"/>
  <c r="AY285" i="4"/>
  <c r="AX285" i="4"/>
  <c r="AW285" i="4"/>
  <c r="AV285" i="4"/>
  <c r="AR285" i="4"/>
  <c r="AO285" i="4"/>
  <c r="AN285" i="4"/>
  <c r="AL285" i="4"/>
  <c r="AK285" i="4"/>
  <c r="AJ285" i="4"/>
  <c r="AI285" i="4"/>
  <c r="AH285" i="4"/>
  <c r="AG285" i="4"/>
  <c r="AF285" i="4"/>
  <c r="AE285" i="4"/>
  <c r="AD285" i="4"/>
  <c r="AC285" i="4"/>
  <c r="AB285" i="4"/>
  <c r="AA285" i="4"/>
  <c r="Y285" i="4"/>
  <c r="D285" i="4"/>
  <c r="I285" i="4" s="1"/>
  <c r="J285" i="4" s="1"/>
  <c r="AL284" i="4"/>
  <c r="AK284" i="4"/>
  <c r="AJ284" i="4"/>
  <c r="AI284" i="4"/>
  <c r="AH284" i="4"/>
  <c r="AG284" i="4"/>
  <c r="AF284" i="4"/>
  <c r="AE284" i="4"/>
  <c r="AD284" i="4"/>
  <c r="AC284" i="4"/>
  <c r="AB284" i="4"/>
  <c r="AA284" i="4"/>
  <c r="R284" i="4"/>
  <c r="AL283" i="4"/>
  <c r="AK283" i="4"/>
  <c r="AJ283" i="4"/>
  <c r="AI283" i="4"/>
  <c r="AH283" i="4"/>
  <c r="AG283" i="4"/>
  <c r="AF283" i="4"/>
  <c r="AE283" i="4"/>
  <c r="AD283" i="4"/>
  <c r="AC283" i="4"/>
  <c r="AB283" i="4"/>
  <c r="AA283" i="4"/>
  <c r="R283" i="4"/>
  <c r="S283" i="4" s="1"/>
  <c r="AL282" i="4"/>
  <c r="AK282" i="4"/>
  <c r="AJ282" i="4"/>
  <c r="AI282" i="4"/>
  <c r="AH282" i="4"/>
  <c r="AG282" i="4"/>
  <c r="AF282" i="4"/>
  <c r="AE282" i="4"/>
  <c r="AD282" i="4"/>
  <c r="AC282" i="4"/>
  <c r="AB282" i="4"/>
  <c r="AA282" i="4"/>
  <c r="R282" i="4"/>
  <c r="BG281" i="4"/>
  <c r="BF281" i="4"/>
  <c r="BE281" i="4"/>
  <c r="BD281" i="4"/>
  <c r="BC281" i="4"/>
  <c r="BB281" i="4"/>
  <c r="BA281" i="4"/>
  <c r="AZ281" i="4"/>
  <c r="AY281" i="4"/>
  <c r="AX281" i="4"/>
  <c r="AW281" i="4"/>
  <c r="AV281" i="4"/>
  <c r="AR281" i="4"/>
  <c r="AO281" i="4"/>
  <c r="AL281" i="4"/>
  <c r="AK281" i="4"/>
  <c r="AJ281" i="4"/>
  <c r="AI281" i="4"/>
  <c r="AH281" i="4"/>
  <c r="AG281" i="4"/>
  <c r="AF281" i="4"/>
  <c r="AE281" i="4"/>
  <c r="AD281" i="4"/>
  <c r="AC281" i="4"/>
  <c r="AB281" i="4"/>
  <c r="AA281" i="4"/>
  <c r="R281" i="4"/>
  <c r="S281" i="4" s="1"/>
  <c r="BG280" i="4"/>
  <c r="BF280" i="4"/>
  <c r="BE280" i="4"/>
  <c r="BD280" i="4"/>
  <c r="BC280" i="4"/>
  <c r="BB280" i="4"/>
  <c r="BA280" i="4"/>
  <c r="AZ280" i="4"/>
  <c r="AX280" i="4"/>
  <c r="AW280" i="4"/>
  <c r="AV280" i="4"/>
  <c r="AL280" i="4"/>
  <c r="AK280" i="4"/>
  <c r="AJ280" i="4"/>
  <c r="AI280" i="4"/>
  <c r="AH280" i="4"/>
  <c r="AG280" i="4"/>
  <c r="AF280" i="4"/>
  <c r="AE280" i="4"/>
  <c r="AD280" i="4"/>
  <c r="AC280" i="4"/>
  <c r="AB280" i="4"/>
  <c r="AA280" i="4"/>
  <c r="R280" i="4"/>
  <c r="BG279" i="4"/>
  <c r="BF279" i="4"/>
  <c r="BE279" i="4"/>
  <c r="BD279" i="4"/>
  <c r="BC279" i="4"/>
  <c r="BB279" i="4"/>
  <c r="BA279" i="4"/>
  <c r="AZ279" i="4"/>
  <c r="AY279" i="4"/>
  <c r="AX279" i="4"/>
  <c r="AW279" i="4"/>
  <c r="AV279" i="4"/>
  <c r="AR279" i="4"/>
  <c r="AO279" i="4"/>
  <c r="AL279" i="4"/>
  <c r="AK279" i="4"/>
  <c r="AJ279" i="4"/>
  <c r="AI279" i="4"/>
  <c r="AH279" i="4"/>
  <c r="AG279" i="4"/>
  <c r="AF279" i="4"/>
  <c r="AE279" i="4"/>
  <c r="AD279" i="4"/>
  <c r="AC279" i="4"/>
  <c r="AB279" i="4"/>
  <c r="AA279" i="4"/>
  <c r="R279" i="4"/>
  <c r="BG278" i="4"/>
  <c r="BF278" i="4"/>
  <c r="BE278" i="4"/>
  <c r="BD278" i="4"/>
  <c r="BC278" i="4"/>
  <c r="BB278" i="4"/>
  <c r="BA278" i="4"/>
  <c r="AZ278" i="4"/>
  <c r="AX278" i="4"/>
  <c r="AW278" i="4"/>
  <c r="AV278" i="4"/>
  <c r="AL278" i="4"/>
  <c r="AK278" i="4"/>
  <c r="AJ278" i="4"/>
  <c r="AI278" i="4"/>
  <c r="AH278" i="4"/>
  <c r="AG278" i="4"/>
  <c r="AF278" i="4"/>
  <c r="AE278" i="4"/>
  <c r="AD278" i="4"/>
  <c r="AC278" i="4"/>
  <c r="AB278" i="4"/>
  <c r="AA278" i="4"/>
  <c r="R278" i="4"/>
  <c r="BG277" i="4"/>
  <c r="BF277" i="4"/>
  <c r="BE277" i="4"/>
  <c r="BD277" i="4"/>
  <c r="BC277" i="4"/>
  <c r="BB277" i="4"/>
  <c r="BA277" i="4"/>
  <c r="AZ277" i="4"/>
  <c r="AX277" i="4"/>
  <c r="AW277" i="4"/>
  <c r="AV277" i="4"/>
  <c r="AL277" i="4"/>
  <c r="AK277" i="4"/>
  <c r="AJ277" i="4"/>
  <c r="AI277" i="4"/>
  <c r="AH277" i="4"/>
  <c r="AG277" i="4"/>
  <c r="AF277" i="4"/>
  <c r="AE277" i="4"/>
  <c r="AD277" i="4"/>
  <c r="AC277" i="4"/>
  <c r="AB277" i="4"/>
  <c r="AA277" i="4"/>
  <c r="T277" i="4"/>
  <c r="S277" i="4"/>
  <c r="R277" i="4"/>
  <c r="BG276" i="4"/>
  <c r="BF276" i="4"/>
  <c r="BE276" i="4"/>
  <c r="BD276" i="4"/>
  <c r="BC276" i="4"/>
  <c r="BB276" i="4"/>
  <c r="BA276" i="4"/>
  <c r="AZ276" i="4"/>
  <c r="AX276" i="4"/>
  <c r="AW276" i="4"/>
  <c r="AV276" i="4"/>
  <c r="AL276" i="4"/>
  <c r="AK276" i="4"/>
  <c r="AJ276" i="4"/>
  <c r="AI276" i="4"/>
  <c r="AH276" i="4"/>
  <c r="AG276" i="4"/>
  <c r="AF276" i="4"/>
  <c r="AE276" i="4"/>
  <c r="AD276" i="4"/>
  <c r="AC276" i="4"/>
  <c r="AB276" i="4"/>
  <c r="AA276" i="4"/>
  <c r="S276" i="4"/>
  <c r="T276" i="4" s="1"/>
  <c r="R276" i="4"/>
  <c r="BG275" i="4"/>
  <c r="BF275" i="4"/>
  <c r="BE275" i="4"/>
  <c r="BD275" i="4"/>
  <c r="BC275" i="4"/>
  <c r="BB275" i="4"/>
  <c r="BA275" i="4"/>
  <c r="AZ275" i="4"/>
  <c r="AY275" i="4"/>
  <c r="AX275" i="4"/>
  <c r="AW275" i="4"/>
  <c r="AV275" i="4"/>
  <c r="AR275" i="4"/>
  <c r="AO275" i="4"/>
  <c r="AS275" i="4" s="1"/>
  <c r="AT275" i="4" s="1"/>
  <c r="AL275" i="4"/>
  <c r="AK275" i="4"/>
  <c r="AJ275" i="4"/>
  <c r="AI275" i="4"/>
  <c r="AH275" i="4"/>
  <c r="AG275" i="4"/>
  <c r="AF275" i="4"/>
  <c r="AE275" i="4"/>
  <c r="AD275" i="4"/>
  <c r="AC275" i="4"/>
  <c r="AB275" i="4"/>
  <c r="AA275" i="4"/>
  <c r="S275" i="4"/>
  <c r="R275" i="4"/>
  <c r="BG274" i="4"/>
  <c r="BF274" i="4"/>
  <c r="BE274" i="4"/>
  <c r="BD274" i="4"/>
  <c r="BC274" i="4"/>
  <c r="BB274" i="4"/>
  <c r="BA274" i="4"/>
  <c r="AZ274" i="4"/>
  <c r="AY274" i="4"/>
  <c r="AX274" i="4"/>
  <c r="AW274" i="4"/>
  <c r="AV274" i="4"/>
  <c r="AR274" i="4"/>
  <c r="AO274" i="4"/>
  <c r="AS274" i="4" s="1"/>
  <c r="AT274" i="4" s="1"/>
  <c r="AL274" i="4"/>
  <c r="AK274" i="4"/>
  <c r="AJ274" i="4"/>
  <c r="AI274" i="4"/>
  <c r="AH274" i="4"/>
  <c r="AG274" i="4"/>
  <c r="AF274" i="4"/>
  <c r="AE274" i="4"/>
  <c r="AD274" i="4"/>
  <c r="AC274" i="4"/>
  <c r="AB274" i="4"/>
  <c r="AA274" i="4"/>
  <c r="R274" i="4"/>
  <c r="BG273" i="4"/>
  <c r="BF273" i="4"/>
  <c r="BE273" i="4"/>
  <c r="BD273" i="4"/>
  <c r="BC273" i="4"/>
  <c r="BB273" i="4"/>
  <c r="BA273" i="4"/>
  <c r="AZ273" i="4"/>
  <c r="AY273" i="4"/>
  <c r="AX273" i="4"/>
  <c r="AW273" i="4"/>
  <c r="AV273" i="4"/>
  <c r="AR273" i="4"/>
  <c r="AO273" i="4"/>
  <c r="AS273" i="4" s="1"/>
  <c r="AT273" i="4" s="1"/>
  <c r="AL273" i="4"/>
  <c r="AK273" i="4"/>
  <c r="AJ273" i="4"/>
  <c r="AI273" i="4"/>
  <c r="AH273" i="4"/>
  <c r="AG273" i="4"/>
  <c r="AF273" i="4"/>
  <c r="AE273" i="4"/>
  <c r="AD273" i="4"/>
  <c r="AC273" i="4"/>
  <c r="AB273" i="4"/>
  <c r="AA273" i="4"/>
  <c r="R273" i="4"/>
  <c r="AL272" i="4"/>
  <c r="AK272" i="4"/>
  <c r="AJ272" i="4"/>
  <c r="AI272" i="4"/>
  <c r="AH272" i="4"/>
  <c r="AG272" i="4"/>
  <c r="AF272" i="4"/>
  <c r="AE272" i="4"/>
  <c r="AD272" i="4"/>
  <c r="AC272" i="4"/>
  <c r="AB272" i="4"/>
  <c r="AA272" i="4"/>
  <c r="S272" i="4"/>
  <c r="T272" i="4" s="1"/>
  <c r="R272" i="4"/>
  <c r="BG271" i="4"/>
  <c r="BF271" i="4"/>
  <c r="BE271" i="4"/>
  <c r="BD271" i="4"/>
  <c r="BC271" i="4"/>
  <c r="BB271" i="4"/>
  <c r="BA271" i="4"/>
  <c r="AZ271" i="4"/>
  <c r="AY271" i="4"/>
  <c r="AX271" i="4"/>
  <c r="AW271" i="4"/>
  <c r="AV271" i="4"/>
  <c r="AR271" i="4"/>
  <c r="AO271" i="4"/>
  <c r="AS271" i="4" s="1"/>
  <c r="AT271" i="4" s="1"/>
  <c r="AL271" i="4"/>
  <c r="AK271" i="4"/>
  <c r="AJ271" i="4"/>
  <c r="AI271" i="4"/>
  <c r="AH271" i="4"/>
  <c r="AG271" i="4"/>
  <c r="AF271" i="4"/>
  <c r="AE271" i="4"/>
  <c r="AD271" i="4"/>
  <c r="AC271" i="4"/>
  <c r="AB271" i="4"/>
  <c r="AA271" i="4"/>
  <c r="S271" i="4"/>
  <c r="R271" i="4"/>
  <c r="AL270" i="4"/>
  <c r="AK270" i="4"/>
  <c r="AJ270" i="4"/>
  <c r="AI270" i="4"/>
  <c r="AH270" i="4"/>
  <c r="AG270" i="4"/>
  <c r="AF270" i="4"/>
  <c r="AE270" i="4"/>
  <c r="AD270" i="4"/>
  <c r="AC270" i="4"/>
  <c r="AB270" i="4"/>
  <c r="AA270" i="4"/>
  <c r="R270" i="4"/>
  <c r="AL269" i="4"/>
  <c r="AK269" i="4"/>
  <c r="AJ269" i="4"/>
  <c r="AI269" i="4"/>
  <c r="AH269" i="4"/>
  <c r="AG269" i="4"/>
  <c r="AF269" i="4"/>
  <c r="AE269" i="4"/>
  <c r="AD269" i="4"/>
  <c r="AC269" i="4"/>
  <c r="AB269" i="4"/>
  <c r="AA269" i="4"/>
  <c r="R269" i="4"/>
  <c r="AL268" i="4"/>
  <c r="AK268" i="4"/>
  <c r="AJ268" i="4"/>
  <c r="AI268" i="4"/>
  <c r="AH268" i="4"/>
  <c r="AG268" i="4"/>
  <c r="AF268" i="4"/>
  <c r="AE268" i="4"/>
  <c r="AD268" i="4"/>
  <c r="AC268" i="4"/>
  <c r="AB268" i="4"/>
  <c r="AA268" i="4"/>
  <c r="R268" i="4"/>
  <c r="Q264" i="4"/>
  <c r="P264" i="4"/>
  <c r="O264" i="4"/>
  <c r="N264" i="4"/>
  <c r="M264" i="4"/>
  <c r="L264" i="4"/>
  <c r="H264" i="4"/>
  <c r="E264" i="4"/>
  <c r="BT262" i="4"/>
  <c r="BS262" i="4"/>
  <c r="BR262" i="4"/>
  <c r="BQ262" i="4"/>
  <c r="BP262" i="4"/>
  <c r="BO262" i="4"/>
  <c r="BN262" i="4"/>
  <c r="BM262" i="4"/>
  <c r="BL262" i="4"/>
  <c r="BK262" i="4"/>
  <c r="BJ262" i="4"/>
  <c r="BI262" i="4"/>
  <c r="BG262" i="4"/>
  <c r="BF262" i="4"/>
  <c r="BE262" i="4"/>
  <c r="BD262" i="4"/>
  <c r="BC262" i="4"/>
  <c r="BB262" i="4"/>
  <c r="BA262" i="4"/>
  <c r="AZ262" i="4"/>
  <c r="AY262" i="4"/>
  <c r="AX262" i="4"/>
  <c r="AW262" i="4"/>
  <c r="AV262" i="4"/>
  <c r="AO262" i="4"/>
  <c r="AL262" i="4"/>
  <c r="AK262" i="4"/>
  <c r="AJ262" i="4"/>
  <c r="AI262" i="4"/>
  <c r="AH262" i="4"/>
  <c r="AG262" i="4"/>
  <c r="AF262" i="4"/>
  <c r="AE262" i="4"/>
  <c r="AD262" i="4"/>
  <c r="AC262" i="4"/>
  <c r="AB262" i="4"/>
  <c r="AA262" i="4"/>
  <c r="R262" i="4"/>
  <c r="BT261" i="4"/>
  <c r="BS261" i="4"/>
  <c r="BR261" i="4"/>
  <c r="BQ261" i="4"/>
  <c r="BP261" i="4"/>
  <c r="BO261" i="4"/>
  <c r="BN261" i="4"/>
  <c r="BM261" i="4"/>
  <c r="BL261" i="4"/>
  <c r="BK261" i="4"/>
  <c r="BJ261" i="4"/>
  <c r="BI261" i="4"/>
  <c r="AO261" i="4" s="1"/>
  <c r="BG261" i="4"/>
  <c r="BF261" i="4"/>
  <c r="BE261" i="4"/>
  <c r="BD261" i="4"/>
  <c r="BC261" i="4"/>
  <c r="BB261" i="4"/>
  <c r="BA261" i="4"/>
  <c r="AZ261" i="4"/>
  <c r="AY261" i="4"/>
  <c r="AX261" i="4"/>
  <c r="AW261" i="4"/>
  <c r="AV261" i="4"/>
  <c r="AL261" i="4"/>
  <c r="AK261" i="4"/>
  <c r="AJ261" i="4"/>
  <c r="AI261" i="4"/>
  <c r="AH261" i="4"/>
  <c r="AG261" i="4"/>
  <c r="AF261" i="4"/>
  <c r="AE261" i="4"/>
  <c r="AD261" i="4"/>
  <c r="AC261" i="4"/>
  <c r="AB261" i="4"/>
  <c r="AA261" i="4"/>
  <c r="R261" i="4"/>
  <c r="BT260" i="4"/>
  <c r="BT264" i="4" s="1"/>
  <c r="BS260" i="4"/>
  <c r="BR260" i="4"/>
  <c r="BQ260" i="4"/>
  <c r="BQ264" i="4" s="1"/>
  <c r="BP260" i="4"/>
  <c r="BP264" i="4" s="1"/>
  <c r="BO260" i="4"/>
  <c r="BN260" i="4"/>
  <c r="BN264" i="4" s="1"/>
  <c r="BM260" i="4"/>
  <c r="BM264" i="4" s="1"/>
  <c r="BL260" i="4"/>
  <c r="BL264" i="4" s="1"/>
  <c r="BK260" i="4"/>
  <c r="BJ260" i="4"/>
  <c r="BJ264" i="4" s="1"/>
  <c r="BI260" i="4"/>
  <c r="AO260" i="4" s="1"/>
  <c r="BG260" i="4"/>
  <c r="BG264" i="4" s="1"/>
  <c r="BF260" i="4"/>
  <c r="BE260" i="4"/>
  <c r="BE264" i="4" s="1"/>
  <c r="BD260" i="4"/>
  <c r="BD264" i="4" s="1"/>
  <c r="BC260" i="4"/>
  <c r="BC264" i="4" s="1"/>
  <c r="BB260" i="4"/>
  <c r="BA260" i="4"/>
  <c r="BA264" i="4" s="1"/>
  <c r="AZ260" i="4"/>
  <c r="AZ264" i="4" s="1"/>
  <c r="AY260" i="4"/>
  <c r="AY264" i="4" s="1"/>
  <c r="AX260" i="4"/>
  <c r="AW260" i="4"/>
  <c r="AW264" i="4" s="1"/>
  <c r="AV260" i="4"/>
  <c r="AV264" i="4" s="1"/>
  <c r="AL260" i="4"/>
  <c r="AL264" i="4" s="1"/>
  <c r="AK260" i="4"/>
  <c r="AK264" i="4" s="1"/>
  <c r="AJ260" i="4"/>
  <c r="AI260" i="4"/>
  <c r="AI264" i="4" s="1"/>
  <c r="AH260" i="4"/>
  <c r="AH264" i="4" s="1"/>
  <c r="AG260" i="4"/>
  <c r="AG264" i="4" s="1"/>
  <c r="AF260" i="4"/>
  <c r="AE260" i="4"/>
  <c r="AE264" i="4" s="1"/>
  <c r="AD260" i="4"/>
  <c r="AD264" i="4" s="1"/>
  <c r="AC260" i="4"/>
  <c r="AC264" i="4" s="1"/>
  <c r="AB260" i="4"/>
  <c r="AA260" i="4"/>
  <c r="AA264" i="4" s="1"/>
  <c r="T260" i="4"/>
  <c r="S260" i="4"/>
  <c r="R260" i="4"/>
  <c r="Q242" i="4"/>
  <c r="P242" i="4"/>
  <c r="O242" i="4"/>
  <c r="N242" i="4"/>
  <c r="M242" i="4"/>
  <c r="L242" i="4"/>
  <c r="E242" i="4"/>
  <c r="H240" i="4"/>
  <c r="BT240" i="4" s="1"/>
  <c r="BG240" i="4" s="1"/>
  <c r="BT239" i="4"/>
  <c r="BS239" i="4"/>
  <c r="BR239" i="4"/>
  <c r="BQ239" i="4"/>
  <c r="BP239" i="4"/>
  <c r="BO239" i="4"/>
  <c r="BN239" i="4"/>
  <c r="BM239" i="4"/>
  <c r="BL239" i="4"/>
  <c r="BK239" i="4"/>
  <c r="BJ239" i="4"/>
  <c r="BI239" i="4"/>
  <c r="BG239" i="4"/>
  <c r="BF239" i="4"/>
  <c r="BE239" i="4"/>
  <c r="BD239" i="4"/>
  <c r="BC239" i="4"/>
  <c r="BB239" i="4"/>
  <c r="BA239" i="4"/>
  <c r="AZ239" i="4"/>
  <c r="AY239" i="4"/>
  <c r="AX239" i="4"/>
  <c r="AW239" i="4"/>
  <c r="AV239" i="4"/>
  <c r="H239" i="4"/>
  <c r="AK239" i="4" s="1"/>
  <c r="BT238" i="4"/>
  <c r="BS238" i="4"/>
  <c r="BR238" i="4"/>
  <c r="BQ238" i="4"/>
  <c r="BP238" i="4"/>
  <c r="BO238" i="4"/>
  <c r="BN238" i="4"/>
  <c r="BM238" i="4"/>
  <c r="BL238" i="4"/>
  <c r="BK238" i="4"/>
  <c r="AR238" i="4" s="1"/>
  <c r="BJ238" i="4"/>
  <c r="BI238" i="4"/>
  <c r="BG238" i="4"/>
  <c r="BF238" i="4"/>
  <c r="BE238" i="4"/>
  <c r="BD238" i="4"/>
  <c r="BC238" i="4"/>
  <c r="BB238" i="4"/>
  <c r="BA238" i="4"/>
  <c r="AZ238" i="4"/>
  <c r="AY238" i="4"/>
  <c r="AX238" i="4"/>
  <c r="AW238" i="4"/>
  <c r="AV238" i="4"/>
  <c r="AL238" i="4"/>
  <c r="AK238" i="4"/>
  <c r="AJ238" i="4"/>
  <c r="AI238" i="4"/>
  <c r="AH238" i="4"/>
  <c r="AG238" i="4"/>
  <c r="AF238" i="4"/>
  <c r="AE238" i="4"/>
  <c r="AD238" i="4"/>
  <c r="AC238" i="4"/>
  <c r="AB238" i="4"/>
  <c r="AA238" i="4"/>
  <c r="R238" i="4"/>
  <c r="S238" i="4" s="1"/>
  <c r="BT237" i="4"/>
  <c r="BS237" i="4"/>
  <c r="BR237" i="4"/>
  <c r="BQ237" i="4"/>
  <c r="BP237" i="4"/>
  <c r="BO237" i="4"/>
  <c r="BN237" i="4"/>
  <c r="BM237" i="4"/>
  <c r="BL237" i="4"/>
  <c r="BK237" i="4"/>
  <c r="BJ237" i="4"/>
  <c r="BI237" i="4"/>
  <c r="AO237" i="4" s="1"/>
  <c r="BG237" i="4"/>
  <c r="BF237" i="4"/>
  <c r="BE237" i="4"/>
  <c r="BD237" i="4"/>
  <c r="BC237" i="4"/>
  <c r="BB237" i="4"/>
  <c r="BA237" i="4"/>
  <c r="AZ237" i="4"/>
  <c r="AY237" i="4"/>
  <c r="AX237" i="4"/>
  <c r="AW237" i="4"/>
  <c r="AV237" i="4"/>
  <c r="AL237" i="4"/>
  <c r="AK237" i="4"/>
  <c r="AJ237" i="4"/>
  <c r="AI237" i="4"/>
  <c r="AH237" i="4"/>
  <c r="AG237" i="4"/>
  <c r="AF237" i="4"/>
  <c r="AE237" i="4"/>
  <c r="AD237" i="4"/>
  <c r="AC237" i="4"/>
  <c r="AB237" i="4"/>
  <c r="AA237" i="4"/>
  <c r="R237" i="4"/>
  <c r="BT236" i="4"/>
  <c r="BS236" i="4"/>
  <c r="BR236" i="4"/>
  <c r="BQ236" i="4"/>
  <c r="BP236" i="4"/>
  <c r="BO236" i="4"/>
  <c r="BN236" i="4"/>
  <c r="BM236" i="4"/>
  <c r="BL236" i="4"/>
  <c r="BK236" i="4"/>
  <c r="BJ236" i="4"/>
  <c r="BI236" i="4"/>
  <c r="AO236" i="4" s="1"/>
  <c r="BG236" i="4"/>
  <c r="BF236" i="4"/>
  <c r="BE236" i="4"/>
  <c r="BD236" i="4"/>
  <c r="BC236" i="4"/>
  <c r="BB236" i="4"/>
  <c r="BA236" i="4"/>
  <c r="AZ236" i="4"/>
  <c r="AY236" i="4"/>
  <c r="AX236" i="4"/>
  <c r="AW236" i="4"/>
  <c r="AV236" i="4"/>
  <c r="AR236" i="4"/>
  <c r="AL236" i="4"/>
  <c r="AK236" i="4"/>
  <c r="AJ236" i="4"/>
  <c r="AI236" i="4"/>
  <c r="AH236" i="4"/>
  <c r="AG236" i="4"/>
  <c r="AF236" i="4"/>
  <c r="AE236" i="4"/>
  <c r="AD236" i="4"/>
  <c r="AC236" i="4"/>
  <c r="AB236" i="4"/>
  <c r="AA236" i="4"/>
  <c r="R236" i="4"/>
  <c r="BT235" i="4"/>
  <c r="BS235" i="4"/>
  <c r="BR235" i="4"/>
  <c r="BQ235" i="4"/>
  <c r="BP235" i="4"/>
  <c r="BO235" i="4"/>
  <c r="BN235" i="4"/>
  <c r="BM235" i="4"/>
  <c r="BL235" i="4"/>
  <c r="BK235" i="4"/>
  <c r="BJ235" i="4"/>
  <c r="BI235" i="4"/>
  <c r="BG235" i="4"/>
  <c r="BF235" i="4"/>
  <c r="BE235" i="4"/>
  <c r="BD235" i="4"/>
  <c r="BC235" i="4"/>
  <c r="BB235" i="4"/>
  <c r="BA235" i="4"/>
  <c r="AZ235" i="4"/>
  <c r="AY235" i="4"/>
  <c r="AX235" i="4"/>
  <c r="AW235" i="4"/>
  <c r="AV235" i="4"/>
  <c r="AL235" i="4"/>
  <c r="AK235" i="4"/>
  <c r="AJ235" i="4"/>
  <c r="AI235" i="4"/>
  <c r="AH235" i="4"/>
  <c r="AG235" i="4"/>
  <c r="AF235" i="4"/>
  <c r="AE235" i="4"/>
  <c r="AD235" i="4"/>
  <c r="AC235" i="4"/>
  <c r="AB235" i="4"/>
  <c r="AA235" i="4"/>
  <c r="S235" i="4"/>
  <c r="R235" i="4"/>
  <c r="T235" i="4" s="1"/>
  <c r="BT234" i="4"/>
  <c r="BS234" i="4"/>
  <c r="BR234" i="4"/>
  <c r="BQ234" i="4"/>
  <c r="BP234" i="4"/>
  <c r="BO234" i="4"/>
  <c r="BN234" i="4"/>
  <c r="BM234" i="4"/>
  <c r="BL234" i="4"/>
  <c r="BK234" i="4"/>
  <c r="BJ234" i="4"/>
  <c r="BI234" i="4"/>
  <c r="BG234" i="4"/>
  <c r="BF234" i="4"/>
  <c r="BE234" i="4"/>
  <c r="BD234" i="4"/>
  <c r="BC234" i="4"/>
  <c r="BB234" i="4"/>
  <c r="BA234" i="4"/>
  <c r="AZ234" i="4"/>
  <c r="AY234" i="4"/>
  <c r="AX234" i="4"/>
  <c r="AW234" i="4"/>
  <c r="AV234" i="4"/>
  <c r="AL234" i="4"/>
  <c r="AK234" i="4"/>
  <c r="AJ234" i="4"/>
  <c r="AI234" i="4"/>
  <c r="AH234" i="4"/>
  <c r="AG234" i="4"/>
  <c r="AF234" i="4"/>
  <c r="AE234" i="4"/>
  <c r="AD234" i="4"/>
  <c r="AC234" i="4"/>
  <c r="AB234" i="4"/>
  <c r="AA234" i="4"/>
  <c r="S234" i="4"/>
  <c r="R234" i="4"/>
  <c r="BT233" i="4"/>
  <c r="BS233" i="4"/>
  <c r="BR233" i="4"/>
  <c r="BQ233" i="4"/>
  <c r="BP233" i="4"/>
  <c r="BO233" i="4"/>
  <c r="BN233" i="4"/>
  <c r="BM233" i="4"/>
  <c r="BL233" i="4"/>
  <c r="BK233" i="4"/>
  <c r="BJ233" i="4"/>
  <c r="BI233" i="4"/>
  <c r="BG233" i="4"/>
  <c r="BF233" i="4"/>
  <c r="BE233" i="4"/>
  <c r="BD233" i="4"/>
  <c r="BC233" i="4"/>
  <c r="BB233" i="4"/>
  <c r="BA233" i="4"/>
  <c r="AZ233" i="4"/>
  <c r="AY233" i="4"/>
  <c r="AX233" i="4"/>
  <c r="AW233" i="4"/>
  <c r="AV233" i="4"/>
  <c r="AO233" i="4"/>
  <c r="AL233" i="4"/>
  <c r="AK233" i="4"/>
  <c r="AJ233" i="4"/>
  <c r="AI233" i="4"/>
  <c r="AH233" i="4"/>
  <c r="AG233" i="4"/>
  <c r="AF233" i="4"/>
  <c r="AE233" i="4"/>
  <c r="AD233" i="4"/>
  <c r="AC233" i="4"/>
  <c r="AB233" i="4"/>
  <c r="AA233" i="4"/>
  <c r="R233" i="4"/>
  <c r="AV232" i="4"/>
  <c r="AL232" i="4"/>
  <c r="AK232" i="4"/>
  <c r="AJ232" i="4"/>
  <c r="AI232" i="4"/>
  <c r="AH232" i="4"/>
  <c r="AG232" i="4"/>
  <c r="AF232" i="4"/>
  <c r="AE232" i="4"/>
  <c r="AD232" i="4"/>
  <c r="AC232" i="4"/>
  <c r="AB232" i="4"/>
  <c r="AA232" i="4"/>
  <c r="S232" i="4"/>
  <c r="R232" i="4"/>
  <c r="T232" i="4" s="1"/>
  <c r="AV231" i="4"/>
  <c r="AL231" i="4"/>
  <c r="AK231" i="4"/>
  <c r="AJ231" i="4"/>
  <c r="AI231" i="4"/>
  <c r="AH231" i="4"/>
  <c r="AG231" i="4"/>
  <c r="AF231" i="4"/>
  <c r="AE231" i="4"/>
  <c r="AD231" i="4"/>
  <c r="AC231" i="4"/>
  <c r="AB231" i="4"/>
  <c r="AA231" i="4"/>
  <c r="R231" i="4"/>
  <c r="AV230" i="4"/>
  <c r="AL230" i="4"/>
  <c r="AK230" i="4"/>
  <c r="AJ230" i="4"/>
  <c r="AI230" i="4"/>
  <c r="AH230" i="4"/>
  <c r="AG230" i="4"/>
  <c r="AF230" i="4"/>
  <c r="AE230" i="4"/>
  <c r="AD230" i="4"/>
  <c r="AC230" i="4"/>
  <c r="AB230" i="4"/>
  <c r="AA230" i="4"/>
  <c r="S230" i="4"/>
  <c r="R230" i="4"/>
  <c r="T230" i="4" s="1"/>
  <c r="BG229" i="4"/>
  <c r="BF229" i="4"/>
  <c r="BE229" i="4"/>
  <c r="BD229" i="4"/>
  <c r="BC229" i="4"/>
  <c r="BB229" i="4"/>
  <c r="BA229" i="4"/>
  <c r="AZ229" i="4"/>
  <c r="AY229" i="4"/>
  <c r="AX229" i="4"/>
  <c r="AW229" i="4"/>
  <c r="AV229" i="4"/>
  <c r="AR229" i="4"/>
  <c r="AO229" i="4"/>
  <c r="AS229" i="4" s="1"/>
  <c r="AT229" i="4" s="1"/>
  <c r="AL229" i="4"/>
  <c r="AK229" i="4"/>
  <c r="AJ229" i="4"/>
  <c r="AI229" i="4"/>
  <c r="AH229" i="4"/>
  <c r="AG229" i="4"/>
  <c r="AF229" i="4"/>
  <c r="AE229" i="4"/>
  <c r="AD229" i="4"/>
  <c r="AC229" i="4"/>
  <c r="AB229" i="4"/>
  <c r="AA229" i="4"/>
  <c r="S229" i="4"/>
  <c r="R229" i="4"/>
  <c r="BG228" i="4"/>
  <c r="BF228" i="4"/>
  <c r="BE228" i="4"/>
  <c r="BD228" i="4"/>
  <c r="BC228" i="4"/>
  <c r="BB228" i="4"/>
  <c r="BA228" i="4"/>
  <c r="AZ228" i="4"/>
  <c r="AY228" i="4"/>
  <c r="AX228" i="4"/>
  <c r="AW228" i="4"/>
  <c r="AV228" i="4"/>
  <c r="AR228" i="4"/>
  <c r="AO228" i="4"/>
  <c r="AS228" i="4" s="1"/>
  <c r="AT228" i="4" s="1"/>
  <c r="AL228" i="4"/>
  <c r="AK228" i="4"/>
  <c r="AJ228" i="4"/>
  <c r="AI228" i="4"/>
  <c r="AH228" i="4"/>
  <c r="AG228" i="4"/>
  <c r="AF228" i="4"/>
  <c r="AE228" i="4"/>
  <c r="AD228" i="4"/>
  <c r="AC228" i="4"/>
  <c r="AB228" i="4"/>
  <c r="AA228" i="4"/>
  <c r="R228" i="4"/>
  <c r="AV227" i="4"/>
  <c r="AL227" i="4"/>
  <c r="AK227" i="4"/>
  <c r="AJ227" i="4"/>
  <c r="AI227" i="4"/>
  <c r="AH227" i="4"/>
  <c r="AG227" i="4"/>
  <c r="AF227" i="4"/>
  <c r="AE227" i="4"/>
  <c r="AD227" i="4"/>
  <c r="AC227" i="4"/>
  <c r="AB227" i="4"/>
  <c r="AA227" i="4"/>
  <c r="S227" i="4"/>
  <c r="T227" i="4" s="1"/>
  <c r="R227" i="4"/>
  <c r="AV226" i="4"/>
  <c r="AL226" i="4"/>
  <c r="AK226" i="4"/>
  <c r="AJ226" i="4"/>
  <c r="AI226" i="4"/>
  <c r="AH226" i="4"/>
  <c r="AG226" i="4"/>
  <c r="AF226" i="4"/>
  <c r="AE226" i="4"/>
  <c r="AD226" i="4"/>
  <c r="AC226" i="4"/>
  <c r="AB226" i="4"/>
  <c r="AA226" i="4"/>
  <c r="R226" i="4"/>
  <c r="AV225" i="4"/>
  <c r="AL225" i="4"/>
  <c r="AK225" i="4"/>
  <c r="AJ225" i="4"/>
  <c r="AI225" i="4"/>
  <c r="AH225" i="4"/>
  <c r="AG225" i="4"/>
  <c r="AF225" i="4"/>
  <c r="AE225" i="4"/>
  <c r="AD225" i="4"/>
  <c r="AC225" i="4"/>
  <c r="AB225" i="4"/>
  <c r="AA225" i="4"/>
  <c r="R225" i="4"/>
  <c r="S225" i="4" s="1"/>
  <c r="T225" i="4" s="1"/>
  <c r="BG224" i="4"/>
  <c r="BF224" i="4"/>
  <c r="BE224" i="4"/>
  <c r="BD224" i="4"/>
  <c r="BC224" i="4"/>
  <c r="BB224" i="4"/>
  <c r="BA224" i="4"/>
  <c r="AZ224" i="4"/>
  <c r="AX224" i="4"/>
  <c r="AW224" i="4"/>
  <c r="AV224" i="4"/>
  <c r="AL224" i="4"/>
  <c r="AK224" i="4"/>
  <c r="AJ224" i="4"/>
  <c r="AI224" i="4"/>
  <c r="AH224" i="4"/>
  <c r="AG224" i="4"/>
  <c r="AF224" i="4"/>
  <c r="AE224" i="4"/>
  <c r="AD224" i="4"/>
  <c r="AC224" i="4"/>
  <c r="AB224" i="4"/>
  <c r="AA224" i="4"/>
  <c r="R224" i="4"/>
  <c r="S224" i="4" s="1"/>
  <c r="BG223" i="4"/>
  <c r="BF223" i="4"/>
  <c r="BE223" i="4"/>
  <c r="BD223" i="4"/>
  <c r="BC223" i="4"/>
  <c r="BB223" i="4"/>
  <c r="BA223" i="4"/>
  <c r="AZ223" i="4"/>
  <c r="AX223" i="4"/>
  <c r="AW223" i="4"/>
  <c r="AV223" i="4"/>
  <c r="AL223" i="4"/>
  <c r="AK223" i="4"/>
  <c r="AJ223" i="4"/>
  <c r="AI223" i="4"/>
  <c r="AH223" i="4"/>
  <c r="AG223" i="4"/>
  <c r="AF223" i="4"/>
  <c r="AE223" i="4"/>
  <c r="AD223" i="4"/>
  <c r="AC223" i="4"/>
  <c r="AB223" i="4"/>
  <c r="AA223" i="4"/>
  <c r="R223" i="4"/>
  <c r="AV222" i="4"/>
  <c r="AL222" i="4"/>
  <c r="AK222" i="4"/>
  <c r="AJ222" i="4"/>
  <c r="AI222" i="4"/>
  <c r="AH222" i="4"/>
  <c r="AG222" i="4"/>
  <c r="AF222" i="4"/>
  <c r="AE222" i="4"/>
  <c r="AD222" i="4"/>
  <c r="AC222" i="4"/>
  <c r="AB222" i="4"/>
  <c r="AA222" i="4"/>
  <c r="R222" i="4"/>
  <c r="AV221" i="4"/>
  <c r="AL221" i="4"/>
  <c r="AK221" i="4"/>
  <c r="AJ221" i="4"/>
  <c r="AI221" i="4"/>
  <c r="AH221" i="4"/>
  <c r="AG221" i="4"/>
  <c r="AF221" i="4"/>
  <c r="AE221" i="4"/>
  <c r="AD221" i="4"/>
  <c r="AC221" i="4"/>
  <c r="AB221" i="4"/>
  <c r="AA221" i="4"/>
  <c r="R221" i="4"/>
  <c r="BG220" i="4"/>
  <c r="BF220" i="4"/>
  <c r="BE220" i="4"/>
  <c r="BD220" i="4"/>
  <c r="BC220" i="4"/>
  <c r="BB220" i="4"/>
  <c r="BA220" i="4"/>
  <c r="AZ220" i="4"/>
  <c r="AY220" i="4"/>
  <c r="AX220" i="4"/>
  <c r="AW220" i="4"/>
  <c r="AV220" i="4"/>
  <c r="AR220" i="4"/>
  <c r="AO220" i="4"/>
  <c r="AS220" i="4" s="1"/>
  <c r="AT220" i="4" s="1"/>
  <c r="AL220" i="4"/>
  <c r="AK220" i="4"/>
  <c r="AJ220" i="4"/>
  <c r="AI220" i="4"/>
  <c r="AH220" i="4"/>
  <c r="AG220" i="4"/>
  <c r="AF220" i="4"/>
  <c r="AE220" i="4"/>
  <c r="AD220" i="4"/>
  <c r="AC220" i="4"/>
  <c r="AB220" i="4"/>
  <c r="AA220" i="4"/>
  <c r="S220" i="4"/>
  <c r="R220" i="4"/>
  <c r="AV219" i="4"/>
  <c r="AL219" i="4"/>
  <c r="AK219" i="4"/>
  <c r="AJ219" i="4"/>
  <c r="AI219" i="4"/>
  <c r="AH219" i="4"/>
  <c r="AG219" i="4"/>
  <c r="AF219" i="4"/>
  <c r="AE219" i="4"/>
  <c r="AD219" i="4"/>
  <c r="AC219" i="4"/>
  <c r="AB219" i="4"/>
  <c r="AA219" i="4"/>
  <c r="R219" i="4"/>
  <c r="AV218" i="4"/>
  <c r="AN218" i="4"/>
  <c r="AL218" i="4"/>
  <c r="AK218" i="4"/>
  <c r="AJ218" i="4"/>
  <c r="AI218" i="4"/>
  <c r="AH218" i="4"/>
  <c r="AG218" i="4"/>
  <c r="AF218" i="4"/>
  <c r="AE218" i="4"/>
  <c r="AD218" i="4"/>
  <c r="AC218" i="4"/>
  <c r="AB218" i="4"/>
  <c r="AA218" i="4"/>
  <c r="Y218" i="4"/>
  <c r="D218" i="4"/>
  <c r="I218" i="4" s="1"/>
  <c r="J218" i="4" s="1"/>
  <c r="AV217" i="4"/>
  <c r="AL217" i="4"/>
  <c r="AK217" i="4"/>
  <c r="AJ217" i="4"/>
  <c r="AI217" i="4"/>
  <c r="AH217" i="4"/>
  <c r="AG217" i="4"/>
  <c r="AF217" i="4"/>
  <c r="AE217" i="4"/>
  <c r="AD217" i="4"/>
  <c r="AC217" i="4"/>
  <c r="AB217" i="4"/>
  <c r="AA217" i="4"/>
  <c r="R217" i="4"/>
  <c r="AV216" i="4"/>
  <c r="AL216" i="4"/>
  <c r="AK216" i="4"/>
  <c r="AJ216" i="4"/>
  <c r="AI216" i="4"/>
  <c r="AH216" i="4"/>
  <c r="AG216" i="4"/>
  <c r="AF216" i="4"/>
  <c r="AE216" i="4"/>
  <c r="AD216" i="4"/>
  <c r="AC216" i="4"/>
  <c r="AB216" i="4"/>
  <c r="AA216" i="4"/>
  <c r="T216" i="4"/>
  <c r="S216" i="4"/>
  <c r="R216" i="4"/>
  <c r="AV215" i="4"/>
  <c r="AL215" i="4"/>
  <c r="AK215" i="4"/>
  <c r="AJ215" i="4"/>
  <c r="AI215" i="4"/>
  <c r="AH215" i="4"/>
  <c r="AG215" i="4"/>
  <c r="AF215" i="4"/>
  <c r="AE215" i="4"/>
  <c r="AD215" i="4"/>
  <c r="AC215" i="4"/>
  <c r="AB215" i="4"/>
  <c r="AA215" i="4"/>
  <c r="R215" i="4"/>
  <c r="AV214" i="4"/>
  <c r="AN214" i="4"/>
  <c r="AL214" i="4"/>
  <c r="AK214" i="4"/>
  <c r="AJ214" i="4"/>
  <c r="AI214" i="4"/>
  <c r="AH214" i="4"/>
  <c r="AG214" i="4"/>
  <c r="AF214" i="4"/>
  <c r="AE214" i="4"/>
  <c r="AD214" i="4"/>
  <c r="AC214" i="4"/>
  <c r="AB214" i="4"/>
  <c r="AA214" i="4"/>
  <c r="Y214" i="4"/>
  <c r="D214" i="4"/>
  <c r="I214" i="4" s="1"/>
  <c r="J214" i="4" s="1"/>
  <c r="BG213" i="4"/>
  <c r="BF213" i="4"/>
  <c r="BE213" i="4"/>
  <c r="BD213" i="4"/>
  <c r="BC213" i="4"/>
  <c r="BB213" i="4"/>
  <c r="BA213" i="4"/>
  <c r="AZ213" i="4"/>
  <c r="AX213" i="4"/>
  <c r="AW213" i="4"/>
  <c r="AV213" i="4"/>
  <c r="AL213" i="4"/>
  <c r="AK213" i="4"/>
  <c r="AJ213" i="4"/>
  <c r="AI213" i="4"/>
  <c r="AH213" i="4"/>
  <c r="AG213" i="4"/>
  <c r="AF213" i="4"/>
  <c r="AE213" i="4"/>
  <c r="AD213" i="4"/>
  <c r="AC213" i="4"/>
  <c r="AB213" i="4"/>
  <c r="AA213" i="4"/>
  <c r="R213" i="4"/>
  <c r="BG212" i="4"/>
  <c r="BF212" i="4"/>
  <c r="BE212" i="4"/>
  <c r="BD212" i="4"/>
  <c r="BC212" i="4"/>
  <c r="BB212" i="4"/>
  <c r="BA212" i="4"/>
  <c r="AZ212" i="4"/>
  <c r="AX212" i="4"/>
  <c r="AW212" i="4"/>
  <c r="AV212" i="4"/>
  <c r="AL212" i="4"/>
  <c r="AK212" i="4"/>
  <c r="AJ212" i="4"/>
  <c r="AI212" i="4"/>
  <c r="AH212" i="4"/>
  <c r="AG212" i="4"/>
  <c r="AF212" i="4"/>
  <c r="AE212" i="4"/>
  <c r="AD212" i="4"/>
  <c r="AC212" i="4"/>
  <c r="AB212" i="4"/>
  <c r="AA212" i="4"/>
  <c r="R212" i="4"/>
  <c r="AV211" i="4"/>
  <c r="AL211" i="4"/>
  <c r="AK211" i="4"/>
  <c r="AJ211" i="4"/>
  <c r="AI211" i="4"/>
  <c r="AH211" i="4"/>
  <c r="AG211" i="4"/>
  <c r="AF211" i="4"/>
  <c r="AE211" i="4"/>
  <c r="AD211" i="4"/>
  <c r="AC211" i="4"/>
  <c r="AB211" i="4"/>
  <c r="AA211" i="4"/>
  <c r="S211" i="4"/>
  <c r="R211" i="4"/>
  <c r="T211" i="4" s="1"/>
  <c r="AV210" i="4"/>
  <c r="AN210" i="4"/>
  <c r="AL210" i="4"/>
  <c r="AK210" i="4"/>
  <c r="AJ210" i="4"/>
  <c r="AI210" i="4"/>
  <c r="AH210" i="4"/>
  <c r="AG210" i="4"/>
  <c r="AF210" i="4"/>
  <c r="AE210" i="4"/>
  <c r="AD210" i="4"/>
  <c r="AC210" i="4"/>
  <c r="AB210" i="4"/>
  <c r="AA210" i="4"/>
  <c r="Y210" i="4"/>
  <c r="D210" i="4"/>
  <c r="F210" i="4" s="1"/>
  <c r="G210" i="4" s="1"/>
  <c r="AN209" i="4"/>
  <c r="AL209" i="4"/>
  <c r="AK209" i="4"/>
  <c r="AJ209" i="4"/>
  <c r="AI209" i="4"/>
  <c r="AH209" i="4"/>
  <c r="AG209" i="4"/>
  <c r="AF209" i="4"/>
  <c r="AE209" i="4"/>
  <c r="AD209" i="4"/>
  <c r="AC209" i="4"/>
  <c r="AB209" i="4"/>
  <c r="AA209" i="4"/>
  <c r="Y209" i="4"/>
  <c r="D209" i="4"/>
  <c r="BT209" i="4" s="1"/>
  <c r="BG209" i="4" s="1"/>
  <c r="BG208" i="4"/>
  <c r="BF208" i="4"/>
  <c r="BE208" i="4"/>
  <c r="BD208" i="4"/>
  <c r="BC208" i="4"/>
  <c r="BB208" i="4"/>
  <c r="BA208" i="4"/>
  <c r="AZ208" i="4"/>
  <c r="AY208" i="4"/>
  <c r="AX208" i="4"/>
  <c r="AW208" i="4"/>
  <c r="AV208" i="4"/>
  <c r="AR208" i="4"/>
  <c r="AO208" i="4"/>
  <c r="AL208" i="4"/>
  <c r="AK208" i="4"/>
  <c r="AJ208" i="4"/>
  <c r="AI208" i="4"/>
  <c r="AH208" i="4"/>
  <c r="AG208" i="4"/>
  <c r="AF208" i="4"/>
  <c r="AE208" i="4"/>
  <c r="AD208" i="4"/>
  <c r="AC208" i="4"/>
  <c r="AB208" i="4"/>
  <c r="AA208" i="4"/>
  <c r="R208" i="4"/>
  <c r="BG207" i="4"/>
  <c r="BF207" i="4"/>
  <c r="BE207" i="4"/>
  <c r="BD207" i="4"/>
  <c r="BC207" i="4"/>
  <c r="BB207" i="4"/>
  <c r="BA207" i="4"/>
  <c r="AZ207" i="4"/>
  <c r="AY207" i="4"/>
  <c r="AX207" i="4"/>
  <c r="AW207" i="4"/>
  <c r="AV207" i="4"/>
  <c r="AR207" i="4"/>
  <c r="AO207" i="4"/>
  <c r="AL207" i="4"/>
  <c r="AK207" i="4"/>
  <c r="AJ207" i="4"/>
  <c r="AI207" i="4"/>
  <c r="AH207" i="4"/>
  <c r="AG207" i="4"/>
  <c r="AF207" i="4"/>
  <c r="AE207" i="4"/>
  <c r="AD207" i="4"/>
  <c r="AC207" i="4"/>
  <c r="AB207" i="4"/>
  <c r="AA207" i="4"/>
  <c r="R207" i="4"/>
  <c r="S207" i="4" s="1"/>
  <c r="BG206" i="4"/>
  <c r="BF206" i="4"/>
  <c r="BE206" i="4"/>
  <c r="BD206" i="4"/>
  <c r="BC206" i="4"/>
  <c r="BB206" i="4"/>
  <c r="BA206" i="4"/>
  <c r="AZ206" i="4"/>
  <c r="AY206" i="4"/>
  <c r="AX206" i="4"/>
  <c r="AW206" i="4"/>
  <c r="AV206" i="4"/>
  <c r="AR206" i="4"/>
  <c r="AO206" i="4"/>
  <c r="AN206" i="4"/>
  <c r="AL206" i="4"/>
  <c r="AK206" i="4"/>
  <c r="AJ206" i="4"/>
  <c r="AI206" i="4"/>
  <c r="AH206" i="4"/>
  <c r="AG206" i="4"/>
  <c r="AF206" i="4"/>
  <c r="AE206" i="4"/>
  <c r="AD206" i="4"/>
  <c r="AC206" i="4"/>
  <c r="AB206" i="4"/>
  <c r="AA206" i="4"/>
  <c r="Y206" i="4"/>
  <c r="D206" i="4"/>
  <c r="F206" i="4" s="1"/>
  <c r="G206" i="4" s="1"/>
  <c r="BG205" i="4"/>
  <c r="BF205" i="4"/>
  <c r="BE205" i="4"/>
  <c r="BD205" i="4"/>
  <c r="BC205" i="4"/>
  <c r="BB205" i="4"/>
  <c r="BA205" i="4"/>
  <c r="AZ205" i="4"/>
  <c r="AY205" i="4"/>
  <c r="AX205" i="4"/>
  <c r="AW205" i="4"/>
  <c r="AV205" i="4"/>
  <c r="AR205" i="4"/>
  <c r="AO205" i="4"/>
  <c r="AL205" i="4"/>
  <c r="AK205" i="4"/>
  <c r="AJ205" i="4"/>
  <c r="AI205" i="4"/>
  <c r="AH205" i="4"/>
  <c r="AG205" i="4"/>
  <c r="AF205" i="4"/>
  <c r="AE205" i="4"/>
  <c r="AD205" i="4"/>
  <c r="AC205" i="4"/>
  <c r="AB205" i="4"/>
  <c r="AA205" i="4"/>
  <c r="R205" i="4"/>
  <c r="S205" i="4" s="1"/>
  <c r="BG204" i="4"/>
  <c r="BF204" i="4"/>
  <c r="BE204" i="4"/>
  <c r="BD204" i="4"/>
  <c r="BC204" i="4"/>
  <c r="BB204" i="4"/>
  <c r="BA204" i="4"/>
  <c r="AZ204" i="4"/>
  <c r="AY204" i="4"/>
  <c r="AX204" i="4"/>
  <c r="AW204" i="4"/>
  <c r="AV204" i="4"/>
  <c r="AR204" i="4"/>
  <c r="AO204" i="4"/>
  <c r="AL204" i="4"/>
  <c r="AK204" i="4"/>
  <c r="AJ204" i="4"/>
  <c r="AI204" i="4"/>
  <c r="AH204" i="4"/>
  <c r="AG204" i="4"/>
  <c r="AF204" i="4"/>
  <c r="AE204" i="4"/>
  <c r="AD204" i="4"/>
  <c r="AC204" i="4"/>
  <c r="AB204" i="4"/>
  <c r="AA204" i="4"/>
  <c r="R204" i="4"/>
  <c r="BG203" i="4"/>
  <c r="BF203" i="4"/>
  <c r="BE203" i="4"/>
  <c r="BD203" i="4"/>
  <c r="BC203" i="4"/>
  <c r="BB203" i="4"/>
  <c r="BA203" i="4"/>
  <c r="AZ203" i="4"/>
  <c r="AY203" i="4"/>
  <c r="AX203" i="4"/>
  <c r="AW203" i="4"/>
  <c r="AV203" i="4"/>
  <c r="AR203" i="4"/>
  <c r="AO203" i="4"/>
  <c r="AL203" i="4"/>
  <c r="AK203" i="4"/>
  <c r="AJ203" i="4"/>
  <c r="AI203" i="4"/>
  <c r="AH203" i="4"/>
  <c r="AG203" i="4"/>
  <c r="AF203" i="4"/>
  <c r="AE203" i="4"/>
  <c r="AD203" i="4"/>
  <c r="AC203" i="4"/>
  <c r="AB203" i="4"/>
  <c r="AA203" i="4"/>
  <c r="S203" i="4"/>
  <c r="R203" i="4"/>
  <c r="BG202" i="4"/>
  <c r="BF202" i="4"/>
  <c r="BE202" i="4"/>
  <c r="BD202" i="4"/>
  <c r="BC202" i="4"/>
  <c r="BB202" i="4"/>
  <c r="BA202" i="4"/>
  <c r="AZ202" i="4"/>
  <c r="AY202" i="4"/>
  <c r="AX202" i="4"/>
  <c r="AW202" i="4"/>
  <c r="AV202" i="4"/>
  <c r="AR202" i="4"/>
  <c r="AO202" i="4"/>
  <c r="AS202" i="4" s="1"/>
  <c r="AT202" i="4" s="1"/>
  <c r="AL202" i="4"/>
  <c r="AK202" i="4"/>
  <c r="AJ202" i="4"/>
  <c r="AI202" i="4"/>
  <c r="AH202" i="4"/>
  <c r="AG202" i="4"/>
  <c r="AF202" i="4"/>
  <c r="AE202" i="4"/>
  <c r="AD202" i="4"/>
  <c r="AC202" i="4"/>
  <c r="AB202" i="4"/>
  <c r="AA202" i="4"/>
  <c r="T202" i="4"/>
  <c r="S202" i="4"/>
  <c r="R202" i="4"/>
  <c r="AV201" i="4"/>
  <c r="AL201" i="4"/>
  <c r="AK201" i="4"/>
  <c r="AJ201" i="4"/>
  <c r="AI201" i="4"/>
  <c r="AH201" i="4"/>
  <c r="AG201" i="4"/>
  <c r="AF201" i="4"/>
  <c r="AE201" i="4"/>
  <c r="AD201" i="4"/>
  <c r="AC201" i="4"/>
  <c r="AB201" i="4"/>
  <c r="AA201" i="4"/>
  <c r="R201" i="4"/>
  <c r="AV200" i="4"/>
  <c r="AL200" i="4"/>
  <c r="AK200" i="4"/>
  <c r="AJ200" i="4"/>
  <c r="AI200" i="4"/>
  <c r="AH200" i="4"/>
  <c r="AG200" i="4"/>
  <c r="AF200" i="4"/>
  <c r="AE200" i="4"/>
  <c r="AD200" i="4"/>
  <c r="AC200" i="4"/>
  <c r="AB200" i="4"/>
  <c r="AA200" i="4"/>
  <c r="R200" i="4"/>
  <c r="S200" i="4" s="1"/>
  <c r="T200" i="4" s="1"/>
  <c r="AV199" i="4"/>
  <c r="AL199" i="4"/>
  <c r="AK199" i="4"/>
  <c r="AJ199" i="4"/>
  <c r="AI199" i="4"/>
  <c r="AH199" i="4"/>
  <c r="AG199" i="4"/>
  <c r="AF199" i="4"/>
  <c r="AE199" i="4"/>
  <c r="AD199" i="4"/>
  <c r="AC199" i="4"/>
  <c r="AB199" i="4"/>
  <c r="AA199" i="4"/>
  <c r="R199" i="4"/>
  <c r="AV198" i="4"/>
  <c r="AL198" i="4"/>
  <c r="AK198" i="4"/>
  <c r="AJ198" i="4"/>
  <c r="AI198" i="4"/>
  <c r="AH198" i="4"/>
  <c r="AG198" i="4"/>
  <c r="AF198" i="4"/>
  <c r="AE198" i="4"/>
  <c r="AD198" i="4"/>
  <c r="AC198" i="4"/>
  <c r="AB198" i="4"/>
  <c r="AA198" i="4"/>
  <c r="R198" i="4"/>
  <c r="AV197" i="4"/>
  <c r="AL197" i="4"/>
  <c r="AK197" i="4"/>
  <c r="AJ197" i="4"/>
  <c r="AI197" i="4"/>
  <c r="AH197" i="4"/>
  <c r="AG197" i="4"/>
  <c r="AF197" i="4"/>
  <c r="AE197" i="4"/>
  <c r="AD197" i="4"/>
  <c r="AC197" i="4"/>
  <c r="AB197" i="4"/>
  <c r="AA197" i="4"/>
  <c r="R197" i="4"/>
  <c r="AV196" i="4"/>
  <c r="AL196" i="4"/>
  <c r="AK196" i="4"/>
  <c r="AJ196" i="4"/>
  <c r="AI196" i="4"/>
  <c r="AH196" i="4"/>
  <c r="AG196" i="4"/>
  <c r="AF196" i="4"/>
  <c r="AE196" i="4"/>
  <c r="AD196" i="4"/>
  <c r="AC196" i="4"/>
  <c r="AB196" i="4"/>
  <c r="AA196" i="4"/>
  <c r="R196" i="4"/>
  <c r="BG195" i="4"/>
  <c r="BF195" i="4"/>
  <c r="BE195" i="4"/>
  <c r="BD195" i="4"/>
  <c r="BC195" i="4"/>
  <c r="BB195" i="4"/>
  <c r="BA195" i="4"/>
  <c r="AZ195" i="4"/>
  <c r="AX195" i="4"/>
  <c r="AW195" i="4"/>
  <c r="AV195" i="4"/>
  <c r="AL195" i="4"/>
  <c r="AK195" i="4"/>
  <c r="AJ195" i="4"/>
  <c r="AI195" i="4"/>
  <c r="AH195" i="4"/>
  <c r="AG195" i="4"/>
  <c r="AF195" i="4"/>
  <c r="AE195" i="4"/>
  <c r="AD195" i="4"/>
  <c r="AC195" i="4"/>
  <c r="AB195" i="4"/>
  <c r="AA195" i="4"/>
  <c r="R195" i="4"/>
  <c r="BG194" i="4"/>
  <c r="BF194" i="4"/>
  <c r="BE194" i="4"/>
  <c r="BD194" i="4"/>
  <c r="BC194" i="4"/>
  <c r="BB194" i="4"/>
  <c r="BA194" i="4"/>
  <c r="AZ194" i="4"/>
  <c r="AX194" i="4"/>
  <c r="AW194" i="4"/>
  <c r="AV194" i="4"/>
  <c r="AL194" i="4"/>
  <c r="AK194" i="4"/>
  <c r="AJ194" i="4"/>
  <c r="AI194" i="4"/>
  <c r="AH194" i="4"/>
  <c r="AG194" i="4"/>
  <c r="AF194" i="4"/>
  <c r="AE194" i="4"/>
  <c r="AD194" i="4"/>
  <c r="AC194" i="4"/>
  <c r="AB194" i="4"/>
  <c r="AA194" i="4"/>
  <c r="R194" i="4"/>
  <c r="S194" i="4" s="1"/>
  <c r="T194" i="4" s="1"/>
  <c r="AV193" i="4"/>
  <c r="AL193" i="4"/>
  <c r="AK193" i="4"/>
  <c r="AJ193" i="4"/>
  <c r="AI193" i="4"/>
  <c r="AH193" i="4"/>
  <c r="AG193" i="4"/>
  <c r="AF193" i="4"/>
  <c r="AE193" i="4"/>
  <c r="AD193" i="4"/>
  <c r="AC193" i="4"/>
  <c r="AB193" i="4"/>
  <c r="AA193" i="4"/>
  <c r="R193" i="4"/>
  <c r="AV192" i="4"/>
  <c r="AL192" i="4"/>
  <c r="AK192" i="4"/>
  <c r="AJ192" i="4"/>
  <c r="AI192" i="4"/>
  <c r="AH192" i="4"/>
  <c r="AG192" i="4"/>
  <c r="AF192" i="4"/>
  <c r="AE192" i="4"/>
  <c r="AD192" i="4"/>
  <c r="AC192" i="4"/>
  <c r="AB192" i="4"/>
  <c r="AA192" i="4"/>
  <c r="R192" i="4"/>
  <c r="BT191" i="4"/>
  <c r="BS191" i="4"/>
  <c r="BR191" i="4"/>
  <c r="BQ191" i="4"/>
  <c r="BP191" i="4"/>
  <c r="BO191" i="4"/>
  <c r="BN191" i="4"/>
  <c r="BM191" i="4"/>
  <c r="BL191" i="4"/>
  <c r="BK191" i="4"/>
  <c r="BJ191" i="4"/>
  <c r="BI191" i="4"/>
  <c r="BG191" i="4"/>
  <c r="BF191" i="4"/>
  <c r="BE191" i="4"/>
  <c r="BD191" i="4"/>
  <c r="BC191" i="4"/>
  <c r="BB191" i="4"/>
  <c r="BA191" i="4"/>
  <c r="AZ191" i="4"/>
  <c r="AY191" i="4"/>
  <c r="AX191" i="4"/>
  <c r="AW191" i="4"/>
  <c r="AV191" i="4"/>
  <c r="AL191" i="4"/>
  <c r="AK191" i="4"/>
  <c r="AJ191" i="4"/>
  <c r="AI191" i="4"/>
  <c r="AH191" i="4"/>
  <c r="AG191" i="4"/>
  <c r="AF191" i="4"/>
  <c r="AE191" i="4"/>
  <c r="AD191" i="4"/>
  <c r="AC191" i="4"/>
  <c r="AB191" i="4"/>
  <c r="AA191" i="4"/>
  <c r="S191" i="4"/>
  <c r="R191" i="4"/>
  <c r="AN190" i="4"/>
  <c r="AL190" i="4"/>
  <c r="AK190" i="4"/>
  <c r="AJ190" i="4"/>
  <c r="AI190" i="4"/>
  <c r="AH190" i="4"/>
  <c r="AG190" i="4"/>
  <c r="AF190" i="4"/>
  <c r="AE190" i="4"/>
  <c r="AD190" i="4"/>
  <c r="AC190" i="4"/>
  <c r="AB190" i="4"/>
  <c r="AA190" i="4"/>
  <c r="Y190" i="4"/>
  <c r="D190" i="4"/>
  <c r="BQ190" i="4" s="1"/>
  <c r="BD190" i="4" s="1"/>
  <c r="AN189" i="4"/>
  <c r="AL189" i="4"/>
  <c r="AK189" i="4"/>
  <c r="AJ189" i="4"/>
  <c r="AI189" i="4"/>
  <c r="AH189" i="4"/>
  <c r="AG189" i="4"/>
  <c r="AF189" i="4"/>
  <c r="AE189" i="4"/>
  <c r="AD189" i="4"/>
  <c r="AC189" i="4"/>
  <c r="AB189" i="4"/>
  <c r="AA189" i="4"/>
  <c r="Y189" i="4"/>
  <c r="D189" i="4"/>
  <c r="BT189" i="4" s="1"/>
  <c r="BG189" i="4" s="1"/>
  <c r="BT188" i="4"/>
  <c r="BS188" i="4"/>
  <c r="BR188" i="4"/>
  <c r="BQ188" i="4"/>
  <c r="BP188" i="4"/>
  <c r="BO188" i="4"/>
  <c r="BN188" i="4"/>
  <c r="BM188" i="4"/>
  <c r="BL188" i="4"/>
  <c r="BK188" i="4"/>
  <c r="BJ188" i="4"/>
  <c r="BI188" i="4"/>
  <c r="BG188" i="4"/>
  <c r="BF188" i="4"/>
  <c r="BE188" i="4"/>
  <c r="BD188" i="4"/>
  <c r="BC188" i="4"/>
  <c r="BB188" i="4"/>
  <c r="BA188" i="4"/>
  <c r="AZ188" i="4"/>
  <c r="AY188" i="4"/>
  <c r="AX188" i="4"/>
  <c r="AW188" i="4"/>
  <c r="AV188" i="4"/>
  <c r="AL188" i="4"/>
  <c r="AK188" i="4"/>
  <c r="AJ188" i="4"/>
  <c r="AI188" i="4"/>
  <c r="AH188" i="4"/>
  <c r="AG188" i="4"/>
  <c r="AF188" i="4"/>
  <c r="AE188" i="4"/>
  <c r="AD188" i="4"/>
  <c r="AC188" i="4"/>
  <c r="AB188" i="4"/>
  <c r="AA188" i="4"/>
  <c r="T188" i="4"/>
  <c r="S188" i="4"/>
  <c r="R188" i="4"/>
  <c r="AN187" i="4"/>
  <c r="AL187" i="4"/>
  <c r="AK187" i="4"/>
  <c r="AJ187" i="4"/>
  <c r="AI187" i="4"/>
  <c r="AH187" i="4"/>
  <c r="AG187" i="4"/>
  <c r="AF187" i="4"/>
  <c r="AE187" i="4"/>
  <c r="AD187" i="4"/>
  <c r="AC187" i="4"/>
  <c r="AB187" i="4"/>
  <c r="AA187" i="4"/>
  <c r="Y187" i="4"/>
  <c r="D187" i="4"/>
  <c r="BT187" i="4" s="1"/>
  <c r="BG187" i="4" s="1"/>
  <c r="BT186" i="4"/>
  <c r="BS186" i="4"/>
  <c r="BR186" i="4"/>
  <c r="BQ186" i="4"/>
  <c r="BP186" i="4"/>
  <c r="BO186" i="4"/>
  <c r="BN186" i="4"/>
  <c r="BM186" i="4"/>
  <c r="BL186" i="4"/>
  <c r="BK186" i="4"/>
  <c r="BJ186" i="4"/>
  <c r="BI186" i="4"/>
  <c r="BG186" i="4"/>
  <c r="BF186" i="4"/>
  <c r="BE186" i="4"/>
  <c r="BD186" i="4"/>
  <c r="BC186" i="4"/>
  <c r="BB186" i="4"/>
  <c r="BA186" i="4"/>
  <c r="AZ186" i="4"/>
  <c r="AY186" i="4"/>
  <c r="AX186" i="4"/>
  <c r="AW186" i="4"/>
  <c r="AV186" i="4"/>
  <c r="AL186" i="4"/>
  <c r="AK186" i="4"/>
  <c r="AJ186" i="4"/>
  <c r="AI186" i="4"/>
  <c r="AH186" i="4"/>
  <c r="AG186" i="4"/>
  <c r="AF186" i="4"/>
  <c r="AE186" i="4"/>
  <c r="AD186" i="4"/>
  <c r="AC186" i="4"/>
  <c r="AB186" i="4"/>
  <c r="AA186" i="4"/>
  <c r="R186" i="4"/>
  <c r="BT185" i="4"/>
  <c r="BS185" i="4"/>
  <c r="BR185" i="4"/>
  <c r="BQ185" i="4"/>
  <c r="BP185" i="4"/>
  <c r="BO185" i="4"/>
  <c r="BN185" i="4"/>
  <c r="BM185" i="4"/>
  <c r="BL185" i="4"/>
  <c r="BK185" i="4"/>
  <c r="BJ185" i="4"/>
  <c r="BI185" i="4"/>
  <c r="BG185" i="4"/>
  <c r="BF185" i="4"/>
  <c r="BE185" i="4"/>
  <c r="BD185" i="4"/>
  <c r="BC185" i="4"/>
  <c r="BB185" i="4"/>
  <c r="BA185" i="4"/>
  <c r="AZ185" i="4"/>
  <c r="AY185" i="4"/>
  <c r="AX185" i="4"/>
  <c r="AW185" i="4"/>
  <c r="AV185" i="4"/>
  <c r="AN185" i="4"/>
  <c r="AL185" i="4"/>
  <c r="AK185" i="4"/>
  <c r="AJ185" i="4"/>
  <c r="AI185" i="4"/>
  <c r="AH185" i="4"/>
  <c r="AG185" i="4"/>
  <c r="AF185" i="4"/>
  <c r="AE185" i="4"/>
  <c r="AD185" i="4"/>
  <c r="AC185" i="4"/>
  <c r="AB185" i="4"/>
  <c r="AA185" i="4"/>
  <c r="Y185" i="4"/>
  <c r="D185" i="4"/>
  <c r="I185" i="4" s="1"/>
  <c r="J185" i="4" s="1"/>
  <c r="BT184" i="4"/>
  <c r="BS184" i="4"/>
  <c r="BR184" i="4"/>
  <c r="BQ184" i="4"/>
  <c r="BP184" i="4"/>
  <c r="BO184" i="4"/>
  <c r="BN184" i="4"/>
  <c r="BM184" i="4"/>
  <c r="BL184" i="4"/>
  <c r="BK184" i="4"/>
  <c r="BJ184" i="4"/>
  <c r="BI184" i="4"/>
  <c r="BG184" i="4"/>
  <c r="BF184" i="4"/>
  <c r="BE184" i="4"/>
  <c r="BD184" i="4"/>
  <c r="BC184" i="4"/>
  <c r="BB184" i="4"/>
  <c r="BA184" i="4"/>
  <c r="AZ184" i="4"/>
  <c r="AY184" i="4"/>
  <c r="AX184" i="4"/>
  <c r="AW184" i="4"/>
  <c r="AV184" i="4"/>
  <c r="AL184" i="4"/>
  <c r="AK184" i="4"/>
  <c r="AJ184" i="4"/>
  <c r="AI184" i="4"/>
  <c r="AH184" i="4"/>
  <c r="AG184" i="4"/>
  <c r="AF184" i="4"/>
  <c r="AE184" i="4"/>
  <c r="AD184" i="4"/>
  <c r="AC184" i="4"/>
  <c r="AB184" i="4"/>
  <c r="AA184" i="4"/>
  <c r="S184" i="4"/>
  <c r="T184" i="4" s="1"/>
  <c r="R184" i="4"/>
  <c r="BT183" i="4"/>
  <c r="BS183" i="4"/>
  <c r="BR183" i="4"/>
  <c r="BQ183" i="4"/>
  <c r="BP183" i="4"/>
  <c r="BO183" i="4"/>
  <c r="BN183" i="4"/>
  <c r="BM183" i="4"/>
  <c r="BL183" i="4"/>
  <c r="BK183" i="4"/>
  <c r="BJ183" i="4"/>
  <c r="BI183" i="4"/>
  <c r="BG183" i="4"/>
  <c r="BF183" i="4"/>
  <c r="BE183" i="4"/>
  <c r="BD183" i="4"/>
  <c r="BC183" i="4"/>
  <c r="BB183" i="4"/>
  <c r="BA183" i="4"/>
  <c r="AZ183" i="4"/>
  <c r="AY183" i="4"/>
  <c r="AX183" i="4"/>
  <c r="AW183" i="4"/>
  <c r="AV183" i="4"/>
  <c r="AL183" i="4"/>
  <c r="AK183" i="4"/>
  <c r="AJ183" i="4"/>
  <c r="AI183" i="4"/>
  <c r="AH183" i="4"/>
  <c r="AG183" i="4"/>
  <c r="AF183" i="4"/>
  <c r="AE183" i="4"/>
  <c r="AD183" i="4"/>
  <c r="AC183" i="4"/>
  <c r="AB183" i="4"/>
  <c r="AA183" i="4"/>
  <c r="R183" i="4"/>
  <c r="S183" i="4" s="1"/>
  <c r="BT182" i="4"/>
  <c r="BS182" i="4"/>
  <c r="BR182" i="4"/>
  <c r="BQ182" i="4"/>
  <c r="BP182" i="4"/>
  <c r="BO182" i="4"/>
  <c r="BN182" i="4"/>
  <c r="BM182" i="4"/>
  <c r="BL182" i="4"/>
  <c r="BK182" i="4"/>
  <c r="BJ182" i="4"/>
  <c r="BI182" i="4"/>
  <c r="BG182" i="4"/>
  <c r="BF182" i="4"/>
  <c r="BE182" i="4"/>
  <c r="BD182" i="4"/>
  <c r="BC182" i="4"/>
  <c r="BB182" i="4"/>
  <c r="BA182" i="4"/>
  <c r="AZ182" i="4"/>
  <c r="AY182" i="4"/>
  <c r="AX182" i="4"/>
  <c r="AW182" i="4"/>
  <c r="AV182" i="4"/>
  <c r="AO182" i="4"/>
  <c r="AL182" i="4"/>
  <c r="AK182" i="4"/>
  <c r="AJ182" i="4"/>
  <c r="AI182" i="4"/>
  <c r="AH182" i="4"/>
  <c r="AG182" i="4"/>
  <c r="AF182" i="4"/>
  <c r="AE182" i="4"/>
  <c r="AD182" i="4"/>
  <c r="AC182" i="4"/>
  <c r="AB182" i="4"/>
  <c r="AA182" i="4"/>
  <c r="R182" i="4"/>
  <c r="BT181" i="4"/>
  <c r="BS181" i="4"/>
  <c r="BR181" i="4"/>
  <c r="BQ181" i="4"/>
  <c r="BP181" i="4"/>
  <c r="BO181" i="4"/>
  <c r="BN181" i="4"/>
  <c r="BM181" i="4"/>
  <c r="BL181" i="4"/>
  <c r="BK181" i="4"/>
  <c r="BJ181" i="4"/>
  <c r="AR181" i="4" s="1"/>
  <c r="BI181" i="4"/>
  <c r="BG181" i="4"/>
  <c r="BF181" i="4"/>
  <c r="BE181" i="4"/>
  <c r="BD181" i="4"/>
  <c r="BC181" i="4"/>
  <c r="BB181" i="4"/>
  <c r="BA181" i="4"/>
  <c r="AZ181" i="4"/>
  <c r="AY181" i="4"/>
  <c r="AX181" i="4"/>
  <c r="AW181" i="4"/>
  <c r="AV181" i="4"/>
  <c r="AL181" i="4"/>
  <c r="AK181" i="4"/>
  <c r="AJ181" i="4"/>
  <c r="AI181" i="4"/>
  <c r="AH181" i="4"/>
  <c r="AG181" i="4"/>
  <c r="AF181" i="4"/>
  <c r="AE181" i="4"/>
  <c r="AD181" i="4"/>
  <c r="AC181" i="4"/>
  <c r="AB181" i="4"/>
  <c r="AA181" i="4"/>
  <c r="R181" i="4"/>
  <c r="S181" i="4" s="1"/>
  <c r="T181" i="4" s="1"/>
  <c r="BT180" i="4"/>
  <c r="BS180" i="4"/>
  <c r="BR180" i="4"/>
  <c r="BQ180" i="4"/>
  <c r="BP180" i="4"/>
  <c r="BO180" i="4"/>
  <c r="BN180" i="4"/>
  <c r="BM180" i="4"/>
  <c r="BL180" i="4"/>
  <c r="BK180" i="4"/>
  <c r="BJ180" i="4"/>
  <c r="BI180" i="4"/>
  <c r="BG180" i="4"/>
  <c r="BF180" i="4"/>
  <c r="BE180" i="4"/>
  <c r="BD180" i="4"/>
  <c r="BC180" i="4"/>
  <c r="BB180" i="4"/>
  <c r="BA180" i="4"/>
  <c r="AZ180" i="4"/>
  <c r="AY180" i="4"/>
  <c r="AX180" i="4"/>
  <c r="AW180" i="4"/>
  <c r="AV180" i="4"/>
  <c r="AL180" i="4"/>
  <c r="AK180" i="4"/>
  <c r="AJ180" i="4"/>
  <c r="AI180" i="4"/>
  <c r="AH180" i="4"/>
  <c r="AG180" i="4"/>
  <c r="AF180" i="4"/>
  <c r="AE180" i="4"/>
  <c r="AD180" i="4"/>
  <c r="AC180" i="4"/>
  <c r="AB180" i="4"/>
  <c r="AA180" i="4"/>
  <c r="S180" i="4"/>
  <c r="T180" i="4" s="1"/>
  <c r="R180" i="4"/>
  <c r="BT179" i="4"/>
  <c r="BS179" i="4"/>
  <c r="BR179" i="4"/>
  <c r="BQ179" i="4"/>
  <c r="BP179" i="4"/>
  <c r="BO179" i="4"/>
  <c r="BN179" i="4"/>
  <c r="BM179" i="4"/>
  <c r="BL179" i="4"/>
  <c r="BK179" i="4"/>
  <c r="BJ179" i="4"/>
  <c r="BI179" i="4"/>
  <c r="BG179" i="4"/>
  <c r="BF179" i="4"/>
  <c r="BE179" i="4"/>
  <c r="BD179" i="4"/>
  <c r="BC179" i="4"/>
  <c r="BB179" i="4"/>
  <c r="BA179" i="4"/>
  <c r="AZ179" i="4"/>
  <c r="AY179" i="4"/>
  <c r="AX179" i="4"/>
  <c r="AW179" i="4"/>
  <c r="AV179" i="4"/>
  <c r="AL179" i="4"/>
  <c r="AK179" i="4"/>
  <c r="AJ179" i="4"/>
  <c r="AI179" i="4"/>
  <c r="AH179" i="4"/>
  <c r="AG179" i="4"/>
  <c r="AF179" i="4"/>
  <c r="AE179" i="4"/>
  <c r="AD179" i="4"/>
  <c r="AC179" i="4"/>
  <c r="AB179" i="4"/>
  <c r="AA179" i="4"/>
  <c r="R179" i="4"/>
  <c r="S179" i="4" s="1"/>
  <c r="BT178" i="4"/>
  <c r="BS178" i="4"/>
  <c r="BR178" i="4"/>
  <c r="BQ178" i="4"/>
  <c r="BP178" i="4"/>
  <c r="BO178" i="4"/>
  <c r="BN178" i="4"/>
  <c r="BM178" i="4"/>
  <c r="BL178" i="4"/>
  <c r="BK178" i="4"/>
  <c r="BJ178" i="4"/>
  <c r="BI178" i="4"/>
  <c r="BG178" i="4"/>
  <c r="BF178" i="4"/>
  <c r="BE178" i="4"/>
  <c r="BD178" i="4"/>
  <c r="BC178" i="4"/>
  <c r="BB178" i="4"/>
  <c r="BA178" i="4"/>
  <c r="AZ178" i="4"/>
  <c r="AY178" i="4"/>
  <c r="AX178" i="4"/>
  <c r="AW178" i="4"/>
  <c r="AV178" i="4"/>
  <c r="AO178" i="4"/>
  <c r="AL178" i="4"/>
  <c r="AK178" i="4"/>
  <c r="AJ178" i="4"/>
  <c r="AI178" i="4"/>
  <c r="AH178" i="4"/>
  <c r="AG178" i="4"/>
  <c r="AF178" i="4"/>
  <c r="AE178" i="4"/>
  <c r="AD178" i="4"/>
  <c r="AC178" i="4"/>
  <c r="AB178" i="4"/>
  <c r="AA178" i="4"/>
  <c r="R178" i="4"/>
  <c r="BT177" i="4"/>
  <c r="BS177" i="4"/>
  <c r="BR177" i="4"/>
  <c r="BQ177" i="4"/>
  <c r="BP177" i="4"/>
  <c r="BO177" i="4"/>
  <c r="BN177" i="4"/>
  <c r="BM177" i="4"/>
  <c r="BL177" i="4"/>
  <c r="BK177" i="4"/>
  <c r="BJ177" i="4"/>
  <c r="AR177" i="4" s="1"/>
  <c r="BI177" i="4"/>
  <c r="BG177" i="4"/>
  <c r="BF177" i="4"/>
  <c r="BE177" i="4"/>
  <c r="BD177" i="4"/>
  <c r="BC177" i="4"/>
  <c r="BB177" i="4"/>
  <c r="BA177" i="4"/>
  <c r="AZ177" i="4"/>
  <c r="AY177" i="4"/>
  <c r="AX177" i="4"/>
  <c r="AW177" i="4"/>
  <c r="AV177" i="4"/>
  <c r="AL177" i="4"/>
  <c r="AK177" i="4"/>
  <c r="AJ177" i="4"/>
  <c r="AI177" i="4"/>
  <c r="AH177" i="4"/>
  <c r="AG177" i="4"/>
  <c r="AF177" i="4"/>
  <c r="AE177" i="4"/>
  <c r="AD177" i="4"/>
  <c r="AC177" i="4"/>
  <c r="AB177" i="4"/>
  <c r="AA177" i="4"/>
  <c r="R177" i="4"/>
  <c r="S177" i="4" s="1"/>
  <c r="T177" i="4" s="1"/>
  <c r="BT176" i="4"/>
  <c r="BS176" i="4"/>
  <c r="BR176" i="4"/>
  <c r="BQ176" i="4"/>
  <c r="BP176" i="4"/>
  <c r="BO176" i="4"/>
  <c r="BN176" i="4"/>
  <c r="BM176" i="4"/>
  <c r="BL176" i="4"/>
  <c r="BK176" i="4"/>
  <c r="BJ176" i="4"/>
  <c r="BI176" i="4"/>
  <c r="BG176" i="4"/>
  <c r="BF176" i="4"/>
  <c r="BE176" i="4"/>
  <c r="BD176" i="4"/>
  <c r="BC176" i="4"/>
  <c r="BB176" i="4"/>
  <c r="BA176" i="4"/>
  <c r="AZ176" i="4"/>
  <c r="AY176" i="4"/>
  <c r="AX176" i="4"/>
  <c r="AW176" i="4"/>
  <c r="AV176" i="4"/>
  <c r="AL176" i="4"/>
  <c r="AK176" i="4"/>
  <c r="AJ176" i="4"/>
  <c r="AI176" i="4"/>
  <c r="AH176" i="4"/>
  <c r="AG176" i="4"/>
  <c r="AF176" i="4"/>
  <c r="AE176" i="4"/>
  <c r="AD176" i="4"/>
  <c r="AC176" i="4"/>
  <c r="AB176" i="4"/>
  <c r="AA176" i="4"/>
  <c r="S176" i="4"/>
  <c r="T176" i="4" s="1"/>
  <c r="R176" i="4"/>
  <c r="BT175" i="4"/>
  <c r="BS175" i="4"/>
  <c r="BR175" i="4"/>
  <c r="BQ175" i="4"/>
  <c r="BP175" i="4"/>
  <c r="BO175" i="4"/>
  <c r="BN175" i="4"/>
  <c r="BM175" i="4"/>
  <c r="BL175" i="4"/>
  <c r="BK175" i="4"/>
  <c r="BJ175" i="4"/>
  <c r="BI175" i="4"/>
  <c r="BG175" i="4"/>
  <c r="BF175" i="4"/>
  <c r="BE175" i="4"/>
  <c r="BD175" i="4"/>
  <c r="BC175" i="4"/>
  <c r="BB175" i="4"/>
  <c r="BA175" i="4"/>
  <c r="AZ175" i="4"/>
  <c r="AY175" i="4"/>
  <c r="AX175" i="4"/>
  <c r="AW175" i="4"/>
  <c r="AV175" i="4"/>
  <c r="AL175" i="4"/>
  <c r="AK175" i="4"/>
  <c r="AJ175" i="4"/>
  <c r="AI175" i="4"/>
  <c r="AH175" i="4"/>
  <c r="AG175" i="4"/>
  <c r="AF175" i="4"/>
  <c r="AE175" i="4"/>
  <c r="AD175" i="4"/>
  <c r="AC175" i="4"/>
  <c r="AB175" i="4"/>
  <c r="AA175" i="4"/>
  <c r="R175" i="4"/>
  <c r="S175" i="4" s="1"/>
  <c r="BT174" i="4"/>
  <c r="BS174" i="4"/>
  <c r="BR174" i="4"/>
  <c r="BQ174" i="4"/>
  <c r="BP174" i="4"/>
  <c r="BO174" i="4"/>
  <c r="BN174" i="4"/>
  <c r="BM174" i="4"/>
  <c r="BL174" i="4"/>
  <c r="BK174" i="4"/>
  <c r="BJ174" i="4"/>
  <c r="BI174" i="4"/>
  <c r="BG174" i="4"/>
  <c r="BF174" i="4"/>
  <c r="BE174" i="4"/>
  <c r="BD174" i="4"/>
  <c r="BC174" i="4"/>
  <c r="BB174" i="4"/>
  <c r="BA174" i="4"/>
  <c r="AZ174" i="4"/>
  <c r="AY174" i="4"/>
  <c r="AX174" i="4"/>
  <c r="AW174" i="4"/>
  <c r="AV174" i="4"/>
  <c r="AO174" i="4"/>
  <c r="AL174" i="4"/>
  <c r="AK174" i="4"/>
  <c r="AJ174" i="4"/>
  <c r="AI174" i="4"/>
  <c r="AH174" i="4"/>
  <c r="AG174" i="4"/>
  <c r="AF174" i="4"/>
  <c r="AE174" i="4"/>
  <c r="AD174" i="4"/>
  <c r="AC174" i="4"/>
  <c r="AB174" i="4"/>
  <c r="AA174" i="4"/>
  <c r="R174" i="4"/>
  <c r="BT173" i="4"/>
  <c r="BS173" i="4"/>
  <c r="BR173" i="4"/>
  <c r="BQ173" i="4"/>
  <c r="BP173" i="4"/>
  <c r="BO173" i="4"/>
  <c r="BN173" i="4"/>
  <c r="BM173" i="4"/>
  <c r="BL173" i="4"/>
  <c r="BK173" i="4"/>
  <c r="BJ173" i="4"/>
  <c r="AR173" i="4" s="1"/>
  <c r="BI173" i="4"/>
  <c r="BG173" i="4"/>
  <c r="BF173" i="4"/>
  <c r="BE173" i="4"/>
  <c r="BD173" i="4"/>
  <c r="BC173" i="4"/>
  <c r="BB173" i="4"/>
  <c r="BA173" i="4"/>
  <c r="AZ173" i="4"/>
  <c r="AY173" i="4"/>
  <c r="AX173" i="4"/>
  <c r="AW173" i="4"/>
  <c r="AV173" i="4"/>
  <c r="AL173" i="4"/>
  <c r="AK173" i="4"/>
  <c r="AJ173" i="4"/>
  <c r="AI173" i="4"/>
  <c r="AH173" i="4"/>
  <c r="AG173" i="4"/>
  <c r="AF173" i="4"/>
  <c r="AE173" i="4"/>
  <c r="AD173" i="4"/>
  <c r="AC173" i="4"/>
  <c r="AB173" i="4"/>
  <c r="AA173" i="4"/>
  <c r="R173" i="4"/>
  <c r="S173" i="4" s="1"/>
  <c r="T173" i="4" s="1"/>
  <c r="BT172" i="4"/>
  <c r="BS172" i="4"/>
  <c r="BR172" i="4"/>
  <c r="BQ172" i="4"/>
  <c r="BP172" i="4"/>
  <c r="BO172" i="4"/>
  <c r="BN172" i="4"/>
  <c r="BM172" i="4"/>
  <c r="BL172" i="4"/>
  <c r="BK172" i="4"/>
  <c r="BJ172" i="4"/>
  <c r="BI172" i="4"/>
  <c r="BG172" i="4"/>
  <c r="BF172" i="4"/>
  <c r="BE172" i="4"/>
  <c r="BD172" i="4"/>
  <c r="BC172" i="4"/>
  <c r="BB172" i="4"/>
  <c r="BA172" i="4"/>
  <c r="AZ172" i="4"/>
  <c r="AY172" i="4"/>
  <c r="AX172" i="4"/>
  <c r="AW172" i="4"/>
  <c r="AV172" i="4"/>
  <c r="AL172" i="4"/>
  <c r="AK172" i="4"/>
  <c r="AJ172" i="4"/>
  <c r="AI172" i="4"/>
  <c r="AH172" i="4"/>
  <c r="AG172" i="4"/>
  <c r="AF172" i="4"/>
  <c r="AE172" i="4"/>
  <c r="AD172" i="4"/>
  <c r="AC172" i="4"/>
  <c r="AB172" i="4"/>
  <c r="AA172" i="4"/>
  <c r="S172" i="4"/>
  <c r="T172" i="4" s="1"/>
  <c r="R172" i="4"/>
  <c r="AN171" i="4"/>
  <c r="AL171" i="4"/>
  <c r="AK171" i="4"/>
  <c r="AJ171" i="4"/>
  <c r="AI171" i="4"/>
  <c r="AH171" i="4"/>
  <c r="AG171" i="4"/>
  <c r="AF171" i="4"/>
  <c r="AE171" i="4"/>
  <c r="AD171" i="4"/>
  <c r="AC171" i="4"/>
  <c r="AB171" i="4"/>
  <c r="AA171" i="4"/>
  <c r="Y171" i="4"/>
  <c r="D171" i="4"/>
  <c r="BT171" i="4" s="1"/>
  <c r="BG171" i="4" s="1"/>
  <c r="BT170" i="4"/>
  <c r="BS170" i="4"/>
  <c r="BR170" i="4"/>
  <c r="BQ170" i="4"/>
  <c r="BP170" i="4"/>
  <c r="BO170" i="4"/>
  <c r="BN170" i="4"/>
  <c r="BM170" i="4"/>
  <c r="BL170" i="4"/>
  <c r="BK170" i="4"/>
  <c r="BJ170" i="4"/>
  <c r="BI170" i="4"/>
  <c r="AO170" i="4" s="1"/>
  <c r="BG170" i="4"/>
  <c r="BF170" i="4"/>
  <c r="BE170" i="4"/>
  <c r="BD170" i="4"/>
  <c r="BC170" i="4"/>
  <c r="BB170" i="4"/>
  <c r="BA170" i="4"/>
  <c r="AZ170" i="4"/>
  <c r="AY170" i="4"/>
  <c r="AX170" i="4"/>
  <c r="AW170" i="4"/>
  <c r="AV170" i="4"/>
  <c r="AN170" i="4"/>
  <c r="AL170" i="4"/>
  <c r="AK170" i="4"/>
  <c r="AJ170" i="4"/>
  <c r="AI170" i="4"/>
  <c r="AH170" i="4"/>
  <c r="AG170" i="4"/>
  <c r="AF170" i="4"/>
  <c r="AE170" i="4"/>
  <c r="AD170" i="4"/>
  <c r="AC170" i="4"/>
  <c r="AB170" i="4"/>
  <c r="AA170" i="4"/>
  <c r="Y170" i="4"/>
  <c r="D170" i="4"/>
  <c r="I170" i="4" s="1"/>
  <c r="J170" i="4" s="1"/>
  <c r="BT169" i="4"/>
  <c r="BS169" i="4"/>
  <c r="BR169" i="4"/>
  <c r="BQ169" i="4"/>
  <c r="BP169" i="4"/>
  <c r="BO169" i="4"/>
  <c r="BN169" i="4"/>
  <c r="BM169" i="4"/>
  <c r="BL169" i="4"/>
  <c r="BK169" i="4"/>
  <c r="BJ169" i="4"/>
  <c r="BI169" i="4"/>
  <c r="AO169" i="4" s="1"/>
  <c r="BG169" i="4"/>
  <c r="BF169" i="4"/>
  <c r="BE169" i="4"/>
  <c r="BD169" i="4"/>
  <c r="BC169" i="4"/>
  <c r="BB169" i="4"/>
  <c r="BA169" i="4"/>
  <c r="AZ169" i="4"/>
  <c r="AY169" i="4"/>
  <c r="AX169" i="4"/>
  <c r="AW169" i="4"/>
  <c r="AV169" i="4"/>
  <c r="AL169" i="4"/>
  <c r="AK169" i="4"/>
  <c r="AJ169" i="4"/>
  <c r="AI169" i="4"/>
  <c r="AH169" i="4"/>
  <c r="AG169" i="4"/>
  <c r="AF169" i="4"/>
  <c r="AE169" i="4"/>
  <c r="AD169" i="4"/>
  <c r="AC169" i="4"/>
  <c r="AB169" i="4"/>
  <c r="AA169" i="4"/>
  <c r="R169" i="4"/>
  <c r="BT168" i="4"/>
  <c r="BS168" i="4"/>
  <c r="BR168" i="4"/>
  <c r="BQ168" i="4"/>
  <c r="BP168" i="4"/>
  <c r="BO168" i="4"/>
  <c r="BN168" i="4"/>
  <c r="BM168" i="4"/>
  <c r="BL168" i="4"/>
  <c r="BK168" i="4"/>
  <c r="BJ168" i="4"/>
  <c r="BI168" i="4"/>
  <c r="BG168" i="4"/>
  <c r="BF168" i="4"/>
  <c r="BE168" i="4"/>
  <c r="BD168" i="4"/>
  <c r="BC168" i="4"/>
  <c r="BB168" i="4"/>
  <c r="BA168" i="4"/>
  <c r="AZ168" i="4"/>
  <c r="AY168" i="4"/>
  <c r="AX168" i="4"/>
  <c r="AW168" i="4"/>
  <c r="AV168" i="4"/>
  <c r="AL168" i="4"/>
  <c r="AK168" i="4"/>
  <c r="AJ168" i="4"/>
  <c r="AI168" i="4"/>
  <c r="AH168" i="4"/>
  <c r="AG168" i="4"/>
  <c r="AF168" i="4"/>
  <c r="AE168" i="4"/>
  <c r="AD168" i="4"/>
  <c r="AC168" i="4"/>
  <c r="AB168" i="4"/>
  <c r="AA168" i="4"/>
  <c r="S168" i="4"/>
  <c r="T168" i="4" s="1"/>
  <c r="R168" i="4"/>
  <c r="BT167" i="4"/>
  <c r="BS167" i="4"/>
  <c r="BR167" i="4"/>
  <c r="BQ167" i="4"/>
  <c r="BP167" i="4"/>
  <c r="BO167" i="4"/>
  <c r="BN167" i="4"/>
  <c r="BM167" i="4"/>
  <c r="BL167" i="4"/>
  <c r="BK167" i="4"/>
  <c r="BJ167" i="4"/>
  <c r="BI167" i="4"/>
  <c r="BG167" i="4"/>
  <c r="BF167" i="4"/>
  <c r="BE167" i="4"/>
  <c r="BD167" i="4"/>
  <c r="BC167" i="4"/>
  <c r="BB167" i="4"/>
  <c r="BA167" i="4"/>
  <c r="AZ167" i="4"/>
  <c r="AY167" i="4"/>
  <c r="AX167" i="4"/>
  <c r="AW167" i="4"/>
  <c r="AV167" i="4"/>
  <c r="AL167" i="4"/>
  <c r="AK167" i="4"/>
  <c r="AJ167" i="4"/>
  <c r="AI167" i="4"/>
  <c r="AH167" i="4"/>
  <c r="AG167" i="4"/>
  <c r="AF167" i="4"/>
  <c r="AE167" i="4"/>
  <c r="AD167" i="4"/>
  <c r="AC167" i="4"/>
  <c r="AB167" i="4"/>
  <c r="AA167" i="4"/>
  <c r="R167" i="4"/>
  <c r="S167" i="4" s="1"/>
  <c r="BG166" i="4"/>
  <c r="BF166" i="4"/>
  <c r="BD166" i="4"/>
  <c r="BC166" i="4"/>
  <c r="BB166" i="4"/>
  <c r="BA166" i="4"/>
  <c r="AZ166" i="4"/>
  <c r="AX166" i="4"/>
  <c r="AW166" i="4"/>
  <c r="AV166" i="4"/>
  <c r="AL166" i="4"/>
  <c r="AK166" i="4"/>
  <c r="AJ166" i="4"/>
  <c r="AI166" i="4"/>
  <c r="AH166" i="4"/>
  <c r="AG166" i="4"/>
  <c r="AF166" i="4"/>
  <c r="AE166" i="4"/>
  <c r="AD166" i="4"/>
  <c r="AC166" i="4"/>
  <c r="AB166" i="4"/>
  <c r="AA166" i="4"/>
  <c r="R166" i="4"/>
  <c r="BG165" i="4"/>
  <c r="BF165" i="4"/>
  <c r="BE165" i="4"/>
  <c r="BD165" i="4"/>
  <c r="BC165" i="4"/>
  <c r="BB165" i="4"/>
  <c r="BA165" i="4"/>
  <c r="AZ165" i="4"/>
  <c r="AY165" i="4"/>
  <c r="AX165" i="4"/>
  <c r="AW165" i="4"/>
  <c r="AV165" i="4"/>
  <c r="AR165" i="4"/>
  <c r="AO165" i="4"/>
  <c r="AL165" i="4"/>
  <c r="AK165" i="4"/>
  <c r="AJ165" i="4"/>
  <c r="AI165" i="4"/>
  <c r="AH165" i="4"/>
  <c r="AG165" i="4"/>
  <c r="AF165" i="4"/>
  <c r="AE165" i="4"/>
  <c r="AD165" i="4"/>
  <c r="AC165" i="4"/>
  <c r="AB165" i="4"/>
  <c r="AA165" i="4"/>
  <c r="R165" i="4"/>
  <c r="S165" i="4" s="1"/>
  <c r="AV164" i="4"/>
  <c r="AL164" i="4"/>
  <c r="AK164" i="4"/>
  <c r="AJ164" i="4"/>
  <c r="AI164" i="4"/>
  <c r="AH164" i="4"/>
  <c r="AG164" i="4"/>
  <c r="AF164" i="4"/>
  <c r="AE164" i="4"/>
  <c r="AD164" i="4"/>
  <c r="AC164" i="4"/>
  <c r="AB164" i="4"/>
  <c r="AA164" i="4"/>
  <c r="R164" i="4"/>
  <c r="AV163" i="4"/>
  <c r="AL163" i="4"/>
  <c r="AK163" i="4"/>
  <c r="AJ163" i="4"/>
  <c r="AI163" i="4"/>
  <c r="AH163" i="4"/>
  <c r="AG163" i="4"/>
  <c r="AF163" i="4"/>
  <c r="AE163" i="4"/>
  <c r="AD163" i="4"/>
  <c r="AC163" i="4"/>
  <c r="AB163" i="4"/>
  <c r="AA163" i="4"/>
  <c r="R163" i="4"/>
  <c r="S163" i="4" s="1"/>
  <c r="BG162" i="4"/>
  <c r="BF162" i="4"/>
  <c r="BE162" i="4"/>
  <c r="BD162" i="4"/>
  <c r="BC162" i="4"/>
  <c r="BB162" i="4"/>
  <c r="BA162" i="4"/>
  <c r="AZ162" i="4"/>
  <c r="AY162" i="4"/>
  <c r="AX162" i="4"/>
  <c r="AW162" i="4"/>
  <c r="AV162" i="4"/>
  <c r="AR162" i="4"/>
  <c r="AO162" i="4"/>
  <c r="AL162" i="4"/>
  <c r="AK162" i="4"/>
  <c r="AJ162" i="4"/>
  <c r="AI162" i="4"/>
  <c r="AH162" i="4"/>
  <c r="AG162" i="4"/>
  <c r="AF162" i="4"/>
  <c r="AE162" i="4"/>
  <c r="AD162" i="4"/>
  <c r="AC162" i="4"/>
  <c r="AB162" i="4"/>
  <c r="AA162" i="4"/>
  <c r="R162" i="4"/>
  <c r="AV161" i="4"/>
  <c r="AH161" i="4"/>
  <c r="H161" i="4"/>
  <c r="AK161" i="4" s="1"/>
  <c r="BG160" i="4"/>
  <c r="BF160" i="4"/>
  <c r="BE160" i="4"/>
  <c r="BD160" i="4"/>
  <c r="BC160" i="4"/>
  <c r="BB160" i="4"/>
  <c r="BA160" i="4"/>
  <c r="AZ160" i="4"/>
  <c r="AY160" i="4"/>
  <c r="AX160" i="4"/>
  <c r="AW160" i="4"/>
  <c r="AV160" i="4"/>
  <c r="AR160" i="4"/>
  <c r="AO160" i="4"/>
  <c r="AS160" i="4" s="1"/>
  <c r="AT160" i="4" s="1"/>
  <c r="AL160" i="4"/>
  <c r="AK160" i="4"/>
  <c r="AJ160" i="4"/>
  <c r="AI160" i="4"/>
  <c r="AH160" i="4"/>
  <c r="AG160" i="4"/>
  <c r="AF160" i="4"/>
  <c r="AE160" i="4"/>
  <c r="AD160" i="4"/>
  <c r="AC160" i="4"/>
  <c r="AB160" i="4"/>
  <c r="AA160" i="4"/>
  <c r="R160" i="4"/>
  <c r="AV159" i="4"/>
  <c r="H159" i="4"/>
  <c r="AL159" i="4" s="1"/>
  <c r="BG158" i="4"/>
  <c r="BF158" i="4"/>
  <c r="BD158" i="4"/>
  <c r="BC158" i="4"/>
  <c r="BB158" i="4"/>
  <c r="BA158" i="4"/>
  <c r="AZ158" i="4"/>
  <c r="AX158" i="4"/>
  <c r="AW158" i="4"/>
  <c r="AV158" i="4"/>
  <c r="AL158" i="4"/>
  <c r="AK158" i="4"/>
  <c r="AJ158" i="4"/>
  <c r="AI158" i="4"/>
  <c r="AH158" i="4"/>
  <c r="AG158" i="4"/>
  <c r="AF158" i="4"/>
  <c r="AE158" i="4"/>
  <c r="AD158" i="4"/>
  <c r="AC158" i="4"/>
  <c r="AB158" i="4"/>
  <c r="AA158" i="4"/>
  <c r="R158" i="4"/>
  <c r="BG157" i="4"/>
  <c r="BF157" i="4"/>
  <c r="BE157" i="4"/>
  <c r="BD157" i="4"/>
  <c r="BC157" i="4"/>
  <c r="BB157" i="4"/>
  <c r="BA157" i="4"/>
  <c r="AZ157" i="4"/>
  <c r="AY157" i="4"/>
  <c r="AX157" i="4"/>
  <c r="AW157" i="4"/>
  <c r="AV157" i="4"/>
  <c r="AR157" i="4"/>
  <c r="AO157" i="4"/>
  <c r="AS157" i="4" s="1"/>
  <c r="AT157" i="4" s="1"/>
  <c r="AL157" i="4"/>
  <c r="AK157" i="4"/>
  <c r="AJ157" i="4"/>
  <c r="AI157" i="4"/>
  <c r="AH157" i="4"/>
  <c r="AG157" i="4"/>
  <c r="AF157" i="4"/>
  <c r="AE157" i="4"/>
  <c r="AD157" i="4"/>
  <c r="AC157" i="4"/>
  <c r="AB157" i="4"/>
  <c r="AA157" i="4"/>
  <c r="R157" i="4"/>
  <c r="S157" i="4" s="1"/>
  <c r="AV156" i="4"/>
  <c r="AJ156" i="4"/>
  <c r="AH156" i="4"/>
  <c r="AE156" i="4"/>
  <c r="AB156" i="4"/>
  <c r="R156" i="4"/>
  <c r="H156" i="4"/>
  <c r="AK156" i="4" s="1"/>
  <c r="AV155" i="4"/>
  <c r="AH155" i="4"/>
  <c r="H155" i="4"/>
  <c r="AL155" i="4" s="1"/>
  <c r="BG154" i="4"/>
  <c r="BF154" i="4"/>
  <c r="BE154" i="4"/>
  <c r="BD154" i="4"/>
  <c r="BC154" i="4"/>
  <c r="BB154" i="4"/>
  <c r="BA154" i="4"/>
  <c r="AZ154" i="4"/>
  <c r="AY154" i="4"/>
  <c r="AX154" i="4"/>
  <c r="AW154" i="4"/>
  <c r="AV154" i="4"/>
  <c r="AR154" i="4"/>
  <c r="AO154" i="4"/>
  <c r="AS154" i="4" s="1"/>
  <c r="AT154" i="4" s="1"/>
  <c r="AL154" i="4"/>
  <c r="AK154" i="4"/>
  <c r="AJ154" i="4"/>
  <c r="AI154" i="4"/>
  <c r="AH154" i="4"/>
  <c r="AG154" i="4"/>
  <c r="AF154" i="4"/>
  <c r="AE154" i="4"/>
  <c r="AD154" i="4"/>
  <c r="AC154" i="4"/>
  <c r="AB154" i="4"/>
  <c r="AA154" i="4"/>
  <c r="S154" i="4"/>
  <c r="R154" i="4"/>
  <c r="T154" i="4" s="1"/>
  <c r="BG153" i="4"/>
  <c r="BF153" i="4"/>
  <c r="BE153" i="4"/>
  <c r="BD153" i="4"/>
  <c r="BC153" i="4"/>
  <c r="BB153" i="4"/>
  <c r="BA153" i="4"/>
  <c r="AZ153" i="4"/>
  <c r="AX153" i="4"/>
  <c r="AW153" i="4"/>
  <c r="AV153" i="4"/>
  <c r="AL153" i="4"/>
  <c r="AK153" i="4"/>
  <c r="AJ153" i="4"/>
  <c r="AI153" i="4"/>
  <c r="AH153" i="4"/>
  <c r="AG153" i="4"/>
  <c r="AF153" i="4"/>
  <c r="AE153" i="4"/>
  <c r="AD153" i="4"/>
  <c r="AC153" i="4"/>
  <c r="AB153" i="4"/>
  <c r="AA153" i="4"/>
  <c r="R153" i="4"/>
  <c r="S153" i="4" s="1"/>
  <c r="T153" i="4" s="1"/>
  <c r="BG152" i="4"/>
  <c r="BF152" i="4"/>
  <c r="BE152" i="4"/>
  <c r="BD152" i="4"/>
  <c r="BC152" i="4"/>
  <c r="BB152" i="4"/>
  <c r="BA152" i="4"/>
  <c r="AZ152" i="4"/>
  <c r="AX152" i="4"/>
  <c r="AW152" i="4"/>
  <c r="AV152" i="4"/>
  <c r="AL152" i="4"/>
  <c r="AK152" i="4"/>
  <c r="AJ152" i="4"/>
  <c r="AI152" i="4"/>
  <c r="AH152" i="4"/>
  <c r="AG152" i="4"/>
  <c r="AF152" i="4"/>
  <c r="AE152" i="4"/>
  <c r="AD152" i="4"/>
  <c r="AC152" i="4"/>
  <c r="AB152" i="4"/>
  <c r="AA152" i="4"/>
  <c r="S152" i="4"/>
  <c r="T152" i="4" s="1"/>
  <c r="R152" i="4"/>
  <c r="BG151" i="4"/>
  <c r="BF151" i="4"/>
  <c r="BD151" i="4"/>
  <c r="BC151" i="4"/>
  <c r="BB151" i="4"/>
  <c r="BA151" i="4"/>
  <c r="AZ151" i="4"/>
  <c r="AX151" i="4"/>
  <c r="AW151" i="4"/>
  <c r="AV151" i="4"/>
  <c r="AL151" i="4"/>
  <c r="AK151" i="4"/>
  <c r="AJ151" i="4"/>
  <c r="AI151" i="4"/>
  <c r="AH151" i="4"/>
  <c r="AG151" i="4"/>
  <c r="AF151" i="4"/>
  <c r="AE151" i="4"/>
  <c r="AD151" i="4"/>
  <c r="AC151" i="4"/>
  <c r="AB151" i="4"/>
  <c r="AA151" i="4"/>
  <c r="S151" i="4"/>
  <c r="R151" i="4"/>
  <c r="T151" i="4" s="1"/>
  <c r="U151" i="4" s="1"/>
  <c r="BG150" i="4"/>
  <c r="BF150" i="4"/>
  <c r="BE150" i="4"/>
  <c r="BD150" i="4"/>
  <c r="BC150" i="4"/>
  <c r="BB150" i="4"/>
  <c r="BA150" i="4"/>
  <c r="AZ150" i="4"/>
  <c r="AY150" i="4"/>
  <c r="AX150" i="4"/>
  <c r="AW150" i="4"/>
  <c r="AV150" i="4"/>
  <c r="AR150" i="4"/>
  <c r="AO150" i="4"/>
  <c r="AL150" i="4"/>
  <c r="AK150" i="4"/>
  <c r="AJ150" i="4"/>
  <c r="AI150" i="4"/>
  <c r="AH150" i="4"/>
  <c r="AG150" i="4"/>
  <c r="AF150" i="4"/>
  <c r="AE150" i="4"/>
  <c r="AD150" i="4"/>
  <c r="AC150" i="4"/>
  <c r="AB150" i="4"/>
  <c r="AA150" i="4"/>
  <c r="R150" i="4"/>
  <c r="BG149" i="4"/>
  <c r="BF149" i="4"/>
  <c r="BE149" i="4"/>
  <c r="BD149" i="4"/>
  <c r="BC149" i="4"/>
  <c r="BB149" i="4"/>
  <c r="BA149" i="4"/>
  <c r="AZ149" i="4"/>
  <c r="AY149" i="4"/>
  <c r="AX149" i="4"/>
  <c r="AW149" i="4"/>
  <c r="AV149" i="4"/>
  <c r="AR149" i="4"/>
  <c r="AO149" i="4"/>
  <c r="AS149" i="4" s="1"/>
  <c r="AT149" i="4" s="1"/>
  <c r="AL149" i="4"/>
  <c r="AK149" i="4"/>
  <c r="AJ149" i="4"/>
  <c r="AI149" i="4"/>
  <c r="AH149" i="4"/>
  <c r="AG149" i="4"/>
  <c r="AF149" i="4"/>
  <c r="AE149" i="4"/>
  <c r="AD149" i="4"/>
  <c r="AC149" i="4"/>
  <c r="AB149" i="4"/>
  <c r="AA149" i="4"/>
  <c r="R149" i="4"/>
  <c r="S149" i="4" s="1"/>
  <c r="AV148" i="4"/>
  <c r="AL148" i="4"/>
  <c r="AK148" i="4"/>
  <c r="AJ148" i="4"/>
  <c r="AI148" i="4"/>
  <c r="AH148" i="4"/>
  <c r="AG148" i="4"/>
  <c r="AF148" i="4"/>
  <c r="AE148" i="4"/>
  <c r="AD148" i="4"/>
  <c r="AC148" i="4"/>
  <c r="AB148" i="4"/>
  <c r="AA148" i="4"/>
  <c r="R148" i="4"/>
  <c r="AV147" i="4"/>
  <c r="AL147" i="4"/>
  <c r="AK147" i="4"/>
  <c r="AJ147" i="4"/>
  <c r="AI147" i="4"/>
  <c r="AH147" i="4"/>
  <c r="AG147" i="4"/>
  <c r="AF147" i="4"/>
  <c r="AE147" i="4"/>
  <c r="AD147" i="4"/>
  <c r="AC147" i="4"/>
  <c r="AB147" i="4"/>
  <c r="AA147" i="4"/>
  <c r="S147" i="4"/>
  <c r="R147" i="4"/>
  <c r="Q143" i="4"/>
  <c r="P143" i="4"/>
  <c r="O143" i="4"/>
  <c r="N143" i="4"/>
  <c r="M143" i="4"/>
  <c r="L143" i="4"/>
  <c r="H143" i="4"/>
  <c r="E143" i="4"/>
  <c r="BT141" i="4"/>
  <c r="BG141" i="4" s="1"/>
  <c r="BS141" i="4"/>
  <c r="BR141" i="4"/>
  <c r="BE141" i="4" s="1"/>
  <c r="BQ141" i="4"/>
  <c r="BP141" i="4"/>
  <c r="BO141" i="4"/>
  <c r="BB141" i="4" s="1"/>
  <c r="BN141" i="4"/>
  <c r="BA141" i="4" s="1"/>
  <c r="BM141" i="4"/>
  <c r="BL141" i="4"/>
  <c r="AY141" i="4" s="1"/>
  <c r="BK141" i="4"/>
  <c r="BJ141" i="4"/>
  <c r="AO141" i="4" s="1"/>
  <c r="BF141" i="4"/>
  <c r="BD141" i="4"/>
  <c r="BC141" i="4"/>
  <c r="AZ141" i="4"/>
  <c r="AX141" i="4"/>
  <c r="AV141" i="4"/>
  <c r="AL141" i="4"/>
  <c r="AK141" i="4"/>
  <c r="AJ141" i="4"/>
  <c r="AI141" i="4"/>
  <c r="AH141" i="4"/>
  <c r="AG141" i="4"/>
  <c r="AF141" i="4"/>
  <c r="AE141" i="4"/>
  <c r="AD141" i="4"/>
  <c r="AC141" i="4"/>
  <c r="AB141" i="4"/>
  <c r="AA141" i="4"/>
  <c r="R141" i="4"/>
  <c r="BT140" i="4"/>
  <c r="BS140" i="4"/>
  <c r="BR140" i="4"/>
  <c r="BQ140" i="4"/>
  <c r="BP140" i="4"/>
  <c r="BO140" i="4"/>
  <c r="BN140" i="4"/>
  <c r="BM140" i="4"/>
  <c r="BL140" i="4"/>
  <c r="BK140" i="4"/>
  <c r="BJ140" i="4"/>
  <c r="BI140" i="4"/>
  <c r="BG140" i="4"/>
  <c r="BF140" i="4"/>
  <c r="BE140" i="4"/>
  <c r="BD140" i="4"/>
  <c r="BC140" i="4"/>
  <c r="BB140" i="4"/>
  <c r="BA140" i="4"/>
  <c r="AZ140" i="4"/>
  <c r="AY140" i="4"/>
  <c r="AX140" i="4"/>
  <c r="AW140" i="4"/>
  <c r="AV140" i="4"/>
  <c r="AL140" i="4"/>
  <c r="AK140" i="4"/>
  <c r="AJ140" i="4"/>
  <c r="AI140" i="4"/>
  <c r="AH140" i="4"/>
  <c r="AG140" i="4"/>
  <c r="AF140" i="4"/>
  <c r="AE140" i="4"/>
  <c r="AD140" i="4"/>
  <c r="AC140" i="4"/>
  <c r="AB140" i="4"/>
  <c r="AA140" i="4"/>
  <c r="R140" i="4"/>
  <c r="S140" i="4" s="1"/>
  <c r="AL139" i="4"/>
  <c r="AK139" i="4"/>
  <c r="AJ139" i="4"/>
  <c r="AI139" i="4"/>
  <c r="AH139" i="4"/>
  <c r="AG139" i="4"/>
  <c r="AF139" i="4"/>
  <c r="AE139" i="4"/>
  <c r="AD139" i="4"/>
  <c r="AC139" i="4"/>
  <c r="AB139" i="4"/>
  <c r="AA139" i="4"/>
  <c r="R139" i="4"/>
  <c r="BT138" i="4"/>
  <c r="BS138" i="4"/>
  <c r="BR138" i="4"/>
  <c r="BQ138" i="4"/>
  <c r="BP138" i="4"/>
  <c r="BO138" i="4"/>
  <c r="BN138" i="4"/>
  <c r="BM138" i="4"/>
  <c r="BL138" i="4"/>
  <c r="BK138" i="4"/>
  <c r="BJ138" i="4"/>
  <c r="BI138" i="4"/>
  <c r="BG138" i="4"/>
  <c r="BF138" i="4"/>
  <c r="BE138" i="4"/>
  <c r="BD138" i="4"/>
  <c r="BC138" i="4"/>
  <c r="BB138" i="4"/>
  <c r="BA138" i="4"/>
  <c r="AZ138" i="4"/>
  <c r="AY138" i="4"/>
  <c r="AX138" i="4"/>
  <c r="AW138" i="4"/>
  <c r="AV138" i="4"/>
  <c r="AL138" i="4"/>
  <c r="AK138" i="4"/>
  <c r="AJ138" i="4"/>
  <c r="AI138" i="4"/>
  <c r="AH138" i="4"/>
  <c r="AG138" i="4"/>
  <c r="AF138" i="4"/>
  <c r="AE138" i="4"/>
  <c r="AD138" i="4"/>
  <c r="AC138" i="4"/>
  <c r="AB138" i="4"/>
  <c r="AA138" i="4"/>
  <c r="R138" i="4"/>
  <c r="AL137" i="4"/>
  <c r="AK137" i="4"/>
  <c r="AJ137" i="4"/>
  <c r="AI137" i="4"/>
  <c r="AH137" i="4"/>
  <c r="AG137" i="4"/>
  <c r="AF137" i="4"/>
  <c r="AE137" i="4"/>
  <c r="AD137" i="4"/>
  <c r="AC137" i="4"/>
  <c r="AB137" i="4"/>
  <c r="AA137" i="4"/>
  <c r="S137" i="4"/>
  <c r="R137" i="4"/>
  <c r="T137" i="4" s="1"/>
  <c r="AV136" i="4"/>
  <c r="AL136" i="4"/>
  <c r="AK136" i="4"/>
  <c r="AJ136" i="4"/>
  <c r="AI136" i="4"/>
  <c r="AH136" i="4"/>
  <c r="AG136" i="4"/>
  <c r="AF136" i="4"/>
  <c r="AE136" i="4"/>
  <c r="AD136" i="4"/>
  <c r="AC136" i="4"/>
  <c r="AB136" i="4"/>
  <c r="AA136" i="4"/>
  <c r="R136" i="4"/>
  <c r="BG135" i="4"/>
  <c r="BF135" i="4"/>
  <c r="BE135" i="4"/>
  <c r="BD135" i="4"/>
  <c r="BC135" i="4"/>
  <c r="BB135" i="4"/>
  <c r="BA135" i="4"/>
  <c r="AZ135" i="4"/>
  <c r="AY135" i="4"/>
  <c r="AX135" i="4"/>
  <c r="AW135" i="4"/>
  <c r="AV135" i="4"/>
  <c r="AR135" i="4"/>
  <c r="AO135" i="4"/>
  <c r="AL135" i="4"/>
  <c r="AK135" i="4"/>
  <c r="AJ135" i="4"/>
  <c r="AI135" i="4"/>
  <c r="AH135" i="4"/>
  <c r="AG135" i="4"/>
  <c r="AF135" i="4"/>
  <c r="AE135" i="4"/>
  <c r="AD135" i="4"/>
  <c r="AC135" i="4"/>
  <c r="AB135" i="4"/>
  <c r="AA135" i="4"/>
  <c r="R135" i="4"/>
  <c r="BG134" i="4"/>
  <c r="BF134" i="4"/>
  <c r="BE134" i="4"/>
  <c r="BD134" i="4"/>
  <c r="BC134" i="4"/>
  <c r="BB134" i="4"/>
  <c r="BA134" i="4"/>
  <c r="AZ134" i="4"/>
  <c r="AY134" i="4"/>
  <c r="AX134" i="4"/>
  <c r="AW134" i="4"/>
  <c r="AV134" i="4"/>
  <c r="AR134" i="4"/>
  <c r="AO134" i="4"/>
  <c r="AL134" i="4"/>
  <c r="AK134" i="4"/>
  <c r="AJ134" i="4"/>
  <c r="AI134" i="4"/>
  <c r="AH134" i="4"/>
  <c r="AG134" i="4"/>
  <c r="AF134" i="4"/>
  <c r="AE134" i="4"/>
  <c r="AD134" i="4"/>
  <c r="AC134" i="4"/>
  <c r="AB134" i="4"/>
  <c r="AA134" i="4"/>
  <c r="R134" i="4"/>
  <c r="BG133" i="4"/>
  <c r="BF133" i="4"/>
  <c r="BE133" i="4"/>
  <c r="BD133" i="4"/>
  <c r="BC133" i="4"/>
  <c r="BB133" i="4"/>
  <c r="BA133" i="4"/>
  <c r="AZ133" i="4"/>
  <c r="AY133" i="4"/>
  <c r="AX133" i="4"/>
  <c r="AW133" i="4"/>
  <c r="AV133" i="4"/>
  <c r="AR133" i="4"/>
  <c r="AO133" i="4"/>
  <c r="AS133" i="4" s="1"/>
  <c r="AT133" i="4" s="1"/>
  <c r="AL133" i="4"/>
  <c r="AK133" i="4"/>
  <c r="AJ133" i="4"/>
  <c r="AI133" i="4"/>
  <c r="AH133" i="4"/>
  <c r="AG133" i="4"/>
  <c r="AF133" i="4"/>
  <c r="AE133" i="4"/>
  <c r="AD133" i="4"/>
  <c r="AC133" i="4"/>
  <c r="AB133" i="4"/>
  <c r="AA133" i="4"/>
  <c r="R133" i="4"/>
  <c r="S133" i="4" s="1"/>
  <c r="BG132" i="4"/>
  <c r="BF132" i="4"/>
  <c r="BE132" i="4"/>
  <c r="BD132" i="4"/>
  <c r="BC132" i="4"/>
  <c r="BB132" i="4"/>
  <c r="BA132" i="4"/>
  <c r="AZ132" i="4"/>
  <c r="AY132" i="4"/>
  <c r="AX132" i="4"/>
  <c r="AW132" i="4"/>
  <c r="AV132" i="4"/>
  <c r="AR132" i="4"/>
  <c r="AO132" i="4"/>
  <c r="AS132" i="4" s="1"/>
  <c r="AT132" i="4" s="1"/>
  <c r="AL132" i="4"/>
  <c r="AK132" i="4"/>
  <c r="AJ132" i="4"/>
  <c r="AI132" i="4"/>
  <c r="AH132" i="4"/>
  <c r="AG132" i="4"/>
  <c r="AF132" i="4"/>
  <c r="AE132" i="4"/>
  <c r="AD132" i="4"/>
  <c r="AC132" i="4"/>
  <c r="AB132" i="4"/>
  <c r="AA132" i="4"/>
  <c r="R132" i="4"/>
  <c r="AV131" i="4"/>
  <c r="AL131" i="4"/>
  <c r="AK131" i="4"/>
  <c r="AJ131" i="4"/>
  <c r="AI131" i="4"/>
  <c r="AH131" i="4"/>
  <c r="AG131" i="4"/>
  <c r="AF131" i="4"/>
  <c r="AE131" i="4"/>
  <c r="AD131" i="4"/>
  <c r="AC131" i="4"/>
  <c r="AB131" i="4"/>
  <c r="AA131" i="4"/>
  <c r="S131" i="4"/>
  <c r="T131" i="4" s="1"/>
  <c r="R131" i="4"/>
  <c r="AW130" i="4"/>
  <c r="AV130" i="4"/>
  <c r="AL130" i="4"/>
  <c r="AK130" i="4"/>
  <c r="AJ130" i="4"/>
  <c r="AI130" i="4"/>
  <c r="AH130" i="4"/>
  <c r="AG130" i="4"/>
  <c r="AF130" i="4"/>
  <c r="AE130" i="4"/>
  <c r="AD130" i="4"/>
  <c r="AC130" i="4"/>
  <c r="AB130" i="4"/>
  <c r="AA130" i="4"/>
  <c r="R130" i="4"/>
  <c r="AV129" i="4"/>
  <c r="AL129" i="4"/>
  <c r="AK129" i="4"/>
  <c r="AJ129" i="4"/>
  <c r="AI129" i="4"/>
  <c r="AH129" i="4"/>
  <c r="AG129" i="4"/>
  <c r="AF129" i="4"/>
  <c r="AE129" i="4"/>
  <c r="AD129" i="4"/>
  <c r="AC129" i="4"/>
  <c r="AB129" i="4"/>
  <c r="AA129" i="4"/>
  <c r="R129" i="4"/>
  <c r="S129" i="4" s="1"/>
  <c r="BG128" i="4"/>
  <c r="BF128" i="4"/>
  <c r="BE128" i="4"/>
  <c r="BD128" i="4"/>
  <c r="BC128" i="4"/>
  <c r="BB128" i="4"/>
  <c r="BA128" i="4"/>
  <c r="AZ128" i="4"/>
  <c r="AY128" i="4"/>
  <c r="AX128" i="4"/>
  <c r="AW128" i="4"/>
  <c r="AV128" i="4"/>
  <c r="AR128" i="4"/>
  <c r="AO128" i="4"/>
  <c r="AS128" i="4" s="1"/>
  <c r="AT128" i="4" s="1"/>
  <c r="AL128" i="4"/>
  <c r="AK128" i="4"/>
  <c r="AJ128" i="4"/>
  <c r="AI128" i="4"/>
  <c r="AH128" i="4"/>
  <c r="AG128" i="4"/>
  <c r="AF128" i="4"/>
  <c r="AE128" i="4"/>
  <c r="AD128" i="4"/>
  <c r="AC128" i="4"/>
  <c r="AB128" i="4"/>
  <c r="AA128" i="4"/>
  <c r="R128" i="4"/>
  <c r="BG127" i="4"/>
  <c r="BF127" i="4"/>
  <c r="BE127" i="4"/>
  <c r="BD127" i="4"/>
  <c r="BC127" i="4"/>
  <c r="BB127" i="4"/>
  <c r="BA127" i="4"/>
  <c r="AZ127" i="4"/>
  <c r="AX127" i="4"/>
  <c r="AW127" i="4"/>
  <c r="AV127" i="4"/>
  <c r="AL127" i="4"/>
  <c r="AK127" i="4"/>
  <c r="AJ127" i="4"/>
  <c r="AI127" i="4"/>
  <c r="AH127" i="4"/>
  <c r="AG127" i="4"/>
  <c r="AF127" i="4"/>
  <c r="AE127" i="4"/>
  <c r="AD127" i="4"/>
  <c r="AC127" i="4"/>
  <c r="AB127" i="4"/>
  <c r="AA127" i="4"/>
  <c r="R127" i="4"/>
  <c r="S127" i="4" s="1"/>
  <c r="T127" i="4" s="1"/>
  <c r="BT126" i="4"/>
  <c r="BG126" i="4" s="1"/>
  <c r="BS126" i="4"/>
  <c r="BF126" i="4" s="1"/>
  <c r="BR126" i="4"/>
  <c r="BQ126" i="4"/>
  <c r="BD126" i="4" s="1"/>
  <c r="BP126" i="4"/>
  <c r="BC126" i="4" s="1"/>
  <c r="BO126" i="4"/>
  <c r="BN126" i="4"/>
  <c r="BM126" i="4"/>
  <c r="AZ126" i="4" s="1"/>
  <c r="BL126" i="4"/>
  <c r="AY126" i="4" s="1"/>
  <c r="BK126" i="4"/>
  <c r="AO126" i="4" s="1"/>
  <c r="BJ126" i="4"/>
  <c r="BE126" i="4"/>
  <c r="BB126" i="4"/>
  <c r="BA126" i="4"/>
  <c r="AW126" i="4"/>
  <c r="AV126" i="4"/>
  <c r="AL126" i="4"/>
  <c r="AK126" i="4"/>
  <c r="AJ126" i="4"/>
  <c r="AI126" i="4"/>
  <c r="AH126" i="4"/>
  <c r="AG126" i="4"/>
  <c r="AF126" i="4"/>
  <c r="AE126" i="4"/>
  <c r="AD126" i="4"/>
  <c r="AC126" i="4"/>
  <c r="AB126" i="4"/>
  <c r="AA126" i="4"/>
  <c r="R126" i="4"/>
  <c r="AW125" i="4"/>
  <c r="AV125" i="4"/>
  <c r="AL125" i="4"/>
  <c r="AK125" i="4"/>
  <c r="AJ125" i="4"/>
  <c r="AI125" i="4"/>
  <c r="AH125" i="4"/>
  <c r="AG125" i="4"/>
  <c r="AF125" i="4"/>
  <c r="AE125" i="4"/>
  <c r="AD125" i="4"/>
  <c r="AC125" i="4"/>
  <c r="AB125" i="4"/>
  <c r="AA125" i="4"/>
  <c r="S125" i="4"/>
  <c r="R125" i="4"/>
  <c r="AV124" i="4"/>
  <c r="AL124" i="4"/>
  <c r="AK124" i="4"/>
  <c r="AJ124" i="4"/>
  <c r="AI124" i="4"/>
  <c r="AH124" i="4"/>
  <c r="AG124" i="4"/>
  <c r="AF124" i="4"/>
  <c r="AE124" i="4"/>
  <c r="AD124" i="4"/>
  <c r="AC124" i="4"/>
  <c r="AB124" i="4"/>
  <c r="AA124" i="4"/>
  <c r="R124" i="4"/>
  <c r="R143" i="4" s="1"/>
  <c r="Q120" i="4"/>
  <c r="P120" i="4"/>
  <c r="O120" i="4"/>
  <c r="N120" i="4"/>
  <c r="M120" i="4"/>
  <c r="L120" i="4"/>
  <c r="H120" i="4"/>
  <c r="E120" i="4"/>
  <c r="AN118" i="4"/>
  <c r="AL118" i="4"/>
  <c r="AK118" i="4"/>
  <c r="AJ118" i="4"/>
  <c r="AI118" i="4"/>
  <c r="AH118" i="4"/>
  <c r="AG118" i="4"/>
  <c r="AF118" i="4"/>
  <c r="AE118" i="4"/>
  <c r="AD118" i="4"/>
  <c r="AC118" i="4"/>
  <c r="AB118" i="4"/>
  <c r="AA118" i="4"/>
  <c r="Y118" i="4"/>
  <c r="D118" i="4"/>
  <c r="BQ118" i="4" s="1"/>
  <c r="BD118" i="4" s="1"/>
  <c r="BT117" i="4"/>
  <c r="BS117" i="4"/>
  <c r="BR117" i="4"/>
  <c r="BQ117" i="4"/>
  <c r="BP117" i="4"/>
  <c r="BO117" i="4"/>
  <c r="BN117" i="4"/>
  <c r="BM117" i="4"/>
  <c r="BL117" i="4"/>
  <c r="BK117" i="4"/>
  <c r="BJ117" i="4"/>
  <c r="BI117" i="4"/>
  <c r="BG117" i="4"/>
  <c r="BF117" i="4"/>
  <c r="BE117" i="4"/>
  <c r="BD117" i="4"/>
  <c r="BC117" i="4"/>
  <c r="BB117" i="4"/>
  <c r="BA117" i="4"/>
  <c r="AZ117" i="4"/>
  <c r="AY117" i="4"/>
  <c r="AX117" i="4"/>
  <c r="AW117" i="4"/>
  <c r="AV117" i="4"/>
  <c r="AR117" i="4"/>
  <c r="AL117" i="4"/>
  <c r="AK117" i="4"/>
  <c r="AJ117" i="4"/>
  <c r="AI117" i="4"/>
  <c r="AH117" i="4"/>
  <c r="AG117" i="4"/>
  <c r="AF117" i="4"/>
  <c r="AE117" i="4"/>
  <c r="AD117" i="4"/>
  <c r="AC117" i="4"/>
  <c r="AB117" i="4"/>
  <c r="AA117" i="4"/>
  <c r="R117" i="4"/>
  <c r="BT116" i="4"/>
  <c r="BS116" i="4"/>
  <c r="BR116" i="4"/>
  <c r="BQ116" i="4"/>
  <c r="BP116" i="4"/>
  <c r="BO116" i="4"/>
  <c r="BN116" i="4"/>
  <c r="BM116" i="4"/>
  <c r="BL116" i="4"/>
  <c r="BK116" i="4"/>
  <c r="BJ116" i="4"/>
  <c r="BI116" i="4"/>
  <c r="BG116" i="4"/>
  <c r="BF116" i="4"/>
  <c r="BE116" i="4"/>
  <c r="BD116" i="4"/>
  <c r="BC116" i="4"/>
  <c r="BB116" i="4"/>
  <c r="BA116" i="4"/>
  <c r="AZ116" i="4"/>
  <c r="AY116" i="4"/>
  <c r="AX116" i="4"/>
  <c r="AW116" i="4"/>
  <c r="AV116" i="4"/>
  <c r="AL116" i="4"/>
  <c r="AK116" i="4"/>
  <c r="AJ116" i="4"/>
  <c r="AI116" i="4"/>
  <c r="AH116" i="4"/>
  <c r="AG116" i="4"/>
  <c r="AF116" i="4"/>
  <c r="AE116" i="4"/>
  <c r="AD116" i="4"/>
  <c r="AC116" i="4"/>
  <c r="AB116" i="4"/>
  <c r="AA116" i="4"/>
  <c r="R116" i="4"/>
  <c r="AL115" i="4"/>
  <c r="AK115" i="4"/>
  <c r="AJ115" i="4"/>
  <c r="AI115" i="4"/>
  <c r="AH115" i="4"/>
  <c r="AG115" i="4"/>
  <c r="AF115" i="4"/>
  <c r="AE115" i="4"/>
  <c r="AD115" i="4"/>
  <c r="AC115" i="4"/>
  <c r="AB115" i="4"/>
  <c r="AA115" i="4"/>
  <c r="R115" i="4"/>
  <c r="AL114" i="4"/>
  <c r="AK114" i="4"/>
  <c r="AJ114" i="4"/>
  <c r="AI114" i="4"/>
  <c r="AH114" i="4"/>
  <c r="AG114" i="4"/>
  <c r="AF114" i="4"/>
  <c r="AE114" i="4"/>
  <c r="AD114" i="4"/>
  <c r="AC114" i="4"/>
  <c r="AB114" i="4"/>
  <c r="AA114" i="4"/>
  <c r="R114" i="4"/>
  <c r="BT113" i="4"/>
  <c r="BS113" i="4"/>
  <c r="BR113" i="4"/>
  <c r="BQ113" i="4"/>
  <c r="BP113" i="4"/>
  <c r="BO113" i="4"/>
  <c r="BN113" i="4"/>
  <c r="BM113" i="4"/>
  <c r="BL113" i="4"/>
  <c r="BK113" i="4"/>
  <c r="AR113" i="4" s="1"/>
  <c r="BJ113" i="4"/>
  <c r="BI113" i="4"/>
  <c r="BG113" i="4"/>
  <c r="BF113" i="4"/>
  <c r="BE113" i="4"/>
  <c r="BD113" i="4"/>
  <c r="BC113" i="4"/>
  <c r="BB113" i="4"/>
  <c r="BA113" i="4"/>
  <c r="AZ113" i="4"/>
  <c r="AY113" i="4"/>
  <c r="AX113" i="4"/>
  <c r="AW113" i="4"/>
  <c r="AV113" i="4"/>
  <c r="AL113" i="4"/>
  <c r="AK113" i="4"/>
  <c r="AJ113" i="4"/>
  <c r="AI113" i="4"/>
  <c r="AH113" i="4"/>
  <c r="AG113" i="4"/>
  <c r="AF113" i="4"/>
  <c r="AE113" i="4"/>
  <c r="AD113" i="4"/>
  <c r="AC113" i="4"/>
  <c r="AB113" i="4"/>
  <c r="AA113" i="4"/>
  <c r="R113" i="4"/>
  <c r="AN112" i="4"/>
  <c r="AL112" i="4"/>
  <c r="AK112" i="4"/>
  <c r="AJ112" i="4"/>
  <c r="AI112" i="4"/>
  <c r="AH112" i="4"/>
  <c r="AG112" i="4"/>
  <c r="AF112" i="4"/>
  <c r="AE112" i="4"/>
  <c r="AD112" i="4"/>
  <c r="AC112" i="4"/>
  <c r="AB112" i="4"/>
  <c r="AA112" i="4"/>
  <c r="Y112" i="4"/>
  <c r="D112" i="4"/>
  <c r="AV111" i="4"/>
  <c r="AL111" i="4"/>
  <c r="AK111" i="4"/>
  <c r="AJ111" i="4"/>
  <c r="AI111" i="4"/>
  <c r="AH111" i="4"/>
  <c r="AG111" i="4"/>
  <c r="AF111" i="4"/>
  <c r="AE111" i="4"/>
  <c r="AD111" i="4"/>
  <c r="AC111" i="4"/>
  <c r="AB111" i="4"/>
  <c r="AA111" i="4"/>
  <c r="R111" i="4"/>
  <c r="S111" i="4" s="1"/>
  <c r="AV110" i="4"/>
  <c r="AL110" i="4"/>
  <c r="AK110" i="4"/>
  <c r="AJ110" i="4"/>
  <c r="AI110" i="4"/>
  <c r="AH110" i="4"/>
  <c r="AG110" i="4"/>
  <c r="AF110" i="4"/>
  <c r="AE110" i="4"/>
  <c r="AD110" i="4"/>
  <c r="AC110" i="4"/>
  <c r="AB110" i="4"/>
  <c r="AA110" i="4"/>
  <c r="R110" i="4"/>
  <c r="BG109" i="4"/>
  <c r="BF109" i="4"/>
  <c r="BE109" i="4"/>
  <c r="BD109" i="4"/>
  <c r="BC109" i="4"/>
  <c r="BB109" i="4"/>
  <c r="BA109" i="4"/>
  <c r="AZ109" i="4"/>
  <c r="AY109" i="4"/>
  <c r="AX109" i="4"/>
  <c r="AW109" i="4"/>
  <c r="AV109" i="4"/>
  <c r="AR109" i="4"/>
  <c r="AO109" i="4"/>
  <c r="AS109" i="4" s="1"/>
  <c r="AT109" i="4" s="1"/>
  <c r="AL109" i="4"/>
  <c r="AK109" i="4"/>
  <c r="AJ109" i="4"/>
  <c r="AI109" i="4"/>
  <c r="AH109" i="4"/>
  <c r="AG109" i="4"/>
  <c r="AF109" i="4"/>
  <c r="AE109" i="4"/>
  <c r="AD109" i="4"/>
  <c r="AC109" i="4"/>
  <c r="AB109" i="4"/>
  <c r="AA109" i="4"/>
  <c r="R109" i="4"/>
  <c r="BG108" i="4"/>
  <c r="BF108" i="4"/>
  <c r="BE108" i="4"/>
  <c r="BD108" i="4"/>
  <c r="BC108" i="4"/>
  <c r="BB108" i="4"/>
  <c r="BA108" i="4"/>
  <c r="AZ108" i="4"/>
  <c r="AY108" i="4"/>
  <c r="AX108" i="4"/>
  <c r="AW108" i="4"/>
  <c r="AV108" i="4"/>
  <c r="AR108" i="4"/>
  <c r="AO108" i="4"/>
  <c r="AS108" i="4" s="1"/>
  <c r="AT108" i="4" s="1"/>
  <c r="AL108" i="4"/>
  <c r="AK108" i="4"/>
  <c r="AJ108" i="4"/>
  <c r="AI108" i="4"/>
  <c r="AH108" i="4"/>
  <c r="AG108" i="4"/>
  <c r="AF108" i="4"/>
  <c r="AE108" i="4"/>
  <c r="AD108" i="4"/>
  <c r="AC108" i="4"/>
  <c r="AB108" i="4"/>
  <c r="AA108" i="4"/>
  <c r="S108" i="4"/>
  <c r="T108" i="4" s="1"/>
  <c r="R108" i="4"/>
  <c r="BG107" i="4"/>
  <c r="BF107" i="4"/>
  <c r="BE107" i="4"/>
  <c r="BD107" i="4"/>
  <c r="BC107" i="4"/>
  <c r="BB107" i="4"/>
  <c r="BA107" i="4"/>
  <c r="AZ107" i="4"/>
  <c r="AY107" i="4"/>
  <c r="AX107" i="4"/>
  <c r="AW107" i="4"/>
  <c r="AV107" i="4"/>
  <c r="AR107" i="4"/>
  <c r="AO107" i="4"/>
  <c r="AS107" i="4" s="1"/>
  <c r="AT107" i="4" s="1"/>
  <c r="AL107" i="4"/>
  <c r="AK107" i="4"/>
  <c r="AJ107" i="4"/>
  <c r="AI107" i="4"/>
  <c r="AH107" i="4"/>
  <c r="AG107" i="4"/>
  <c r="AF107" i="4"/>
  <c r="AE107" i="4"/>
  <c r="AD107" i="4"/>
  <c r="AC107" i="4"/>
  <c r="AB107" i="4"/>
  <c r="AA107" i="4"/>
  <c r="S107" i="4"/>
  <c r="R107" i="4"/>
  <c r="BG106" i="4"/>
  <c r="BF106" i="4"/>
  <c r="BE106" i="4"/>
  <c r="BD106" i="4"/>
  <c r="BC106" i="4"/>
  <c r="BB106" i="4"/>
  <c r="BA106" i="4"/>
  <c r="AZ106" i="4"/>
  <c r="AY106" i="4"/>
  <c r="AX106" i="4"/>
  <c r="AW106" i="4"/>
  <c r="AV106" i="4"/>
  <c r="AR106" i="4"/>
  <c r="AO106" i="4"/>
  <c r="AS106" i="4" s="1"/>
  <c r="AT106" i="4" s="1"/>
  <c r="AL106" i="4"/>
  <c r="AK106" i="4"/>
  <c r="AJ106" i="4"/>
  <c r="AI106" i="4"/>
  <c r="AH106" i="4"/>
  <c r="AG106" i="4"/>
  <c r="AF106" i="4"/>
  <c r="AE106" i="4"/>
  <c r="AD106" i="4"/>
  <c r="AC106" i="4"/>
  <c r="AB106" i="4"/>
  <c r="AA106" i="4"/>
  <c r="R106" i="4"/>
  <c r="AV105" i="4"/>
  <c r="AL105" i="4"/>
  <c r="AK105" i="4"/>
  <c r="AJ105" i="4"/>
  <c r="AI105" i="4"/>
  <c r="AH105" i="4"/>
  <c r="AG105" i="4"/>
  <c r="AF105" i="4"/>
  <c r="AE105" i="4"/>
  <c r="AD105" i="4"/>
  <c r="AC105" i="4"/>
  <c r="AB105" i="4"/>
  <c r="AA105" i="4"/>
  <c r="R105" i="4"/>
  <c r="AV104" i="4"/>
  <c r="AL104" i="4"/>
  <c r="AK104" i="4"/>
  <c r="AJ104" i="4"/>
  <c r="AI104" i="4"/>
  <c r="AH104" i="4"/>
  <c r="AG104" i="4"/>
  <c r="AF104" i="4"/>
  <c r="AE104" i="4"/>
  <c r="AD104" i="4"/>
  <c r="AC104" i="4"/>
  <c r="AB104" i="4"/>
  <c r="AA104" i="4"/>
  <c r="R104" i="4"/>
  <c r="AV103" i="4"/>
  <c r="AL103" i="4"/>
  <c r="AK103" i="4"/>
  <c r="AJ103" i="4"/>
  <c r="AI103" i="4"/>
  <c r="AH103" i="4"/>
  <c r="AG103" i="4"/>
  <c r="AF103" i="4"/>
  <c r="AE103" i="4"/>
  <c r="AD103" i="4"/>
  <c r="AC103" i="4"/>
  <c r="AB103" i="4"/>
  <c r="AA103" i="4"/>
  <c r="R103" i="4"/>
  <c r="AW102" i="4"/>
  <c r="AV102" i="4"/>
  <c r="AL102" i="4"/>
  <c r="AK102" i="4"/>
  <c r="AJ102" i="4"/>
  <c r="AI102" i="4"/>
  <c r="AH102" i="4"/>
  <c r="AG102" i="4"/>
  <c r="AF102" i="4"/>
  <c r="AE102" i="4"/>
  <c r="AD102" i="4"/>
  <c r="AC102" i="4"/>
  <c r="AB102" i="4"/>
  <c r="AA102" i="4"/>
  <c r="S102" i="4"/>
  <c r="R102" i="4"/>
  <c r="AV101" i="4"/>
  <c r="AL101" i="4"/>
  <c r="AK101" i="4"/>
  <c r="AJ101" i="4"/>
  <c r="AI101" i="4"/>
  <c r="AH101" i="4"/>
  <c r="AG101" i="4"/>
  <c r="AF101" i="4"/>
  <c r="AE101" i="4"/>
  <c r="AD101" i="4"/>
  <c r="AC101" i="4"/>
  <c r="AB101" i="4"/>
  <c r="AA101" i="4"/>
  <c r="S101" i="4"/>
  <c r="R101" i="4"/>
  <c r="BG100" i="4"/>
  <c r="BF100" i="4"/>
  <c r="BE100" i="4"/>
  <c r="BD100" i="4"/>
  <c r="BC100" i="4"/>
  <c r="BB100" i="4"/>
  <c r="BA100" i="4"/>
  <c r="AZ100" i="4"/>
  <c r="AY100" i="4"/>
  <c r="AX100" i="4"/>
  <c r="AW100" i="4"/>
  <c r="AV100" i="4"/>
  <c r="AR100" i="4"/>
  <c r="AO100" i="4"/>
  <c r="AS100" i="4" s="1"/>
  <c r="AT100" i="4" s="1"/>
  <c r="AL100" i="4"/>
  <c r="AK100" i="4"/>
  <c r="AJ100" i="4"/>
  <c r="AI100" i="4"/>
  <c r="AH100" i="4"/>
  <c r="AG100" i="4"/>
  <c r="AF100" i="4"/>
  <c r="AE100" i="4"/>
  <c r="AD100" i="4"/>
  <c r="AC100" i="4"/>
  <c r="AB100" i="4"/>
  <c r="AA100" i="4"/>
  <c r="R100" i="4"/>
  <c r="BG99" i="4"/>
  <c r="BF99" i="4"/>
  <c r="BE99" i="4"/>
  <c r="BD99" i="4"/>
  <c r="BC99" i="4"/>
  <c r="BB99" i="4"/>
  <c r="BA99" i="4"/>
  <c r="AZ99" i="4"/>
  <c r="AY99" i="4"/>
  <c r="AX99" i="4"/>
  <c r="AW99" i="4"/>
  <c r="AV99" i="4"/>
  <c r="AR99" i="4"/>
  <c r="AO99" i="4"/>
  <c r="AS99" i="4" s="1"/>
  <c r="AT99" i="4" s="1"/>
  <c r="AL99" i="4"/>
  <c r="AK99" i="4"/>
  <c r="AJ99" i="4"/>
  <c r="AI99" i="4"/>
  <c r="AH99" i="4"/>
  <c r="AG99" i="4"/>
  <c r="AF99" i="4"/>
  <c r="AE99" i="4"/>
  <c r="AD99" i="4"/>
  <c r="AC99" i="4"/>
  <c r="AB99" i="4"/>
  <c r="AA99" i="4"/>
  <c r="R99" i="4"/>
  <c r="BG98" i="4"/>
  <c r="BF98" i="4"/>
  <c r="BE98" i="4"/>
  <c r="BD98" i="4"/>
  <c r="BC98" i="4"/>
  <c r="BB98" i="4"/>
  <c r="BA98" i="4"/>
  <c r="AZ98" i="4"/>
  <c r="AX98" i="4"/>
  <c r="AW98" i="4"/>
  <c r="AV98" i="4"/>
  <c r="AL98" i="4"/>
  <c r="AK98" i="4"/>
  <c r="AJ98" i="4"/>
  <c r="AI98" i="4"/>
  <c r="AH98" i="4"/>
  <c r="AG98" i="4"/>
  <c r="AF98" i="4"/>
  <c r="AE98" i="4"/>
  <c r="AD98" i="4"/>
  <c r="AC98" i="4"/>
  <c r="AB98" i="4"/>
  <c r="AA98" i="4"/>
  <c r="R98" i="4"/>
  <c r="BT97" i="4"/>
  <c r="BG97" i="4" s="1"/>
  <c r="BS97" i="4"/>
  <c r="BR97" i="4"/>
  <c r="BE97" i="4" s="1"/>
  <c r="BQ97" i="4"/>
  <c r="BD97" i="4" s="1"/>
  <c r="BP97" i="4"/>
  <c r="BC97" i="4" s="1"/>
  <c r="BO97" i="4"/>
  <c r="BN97" i="4"/>
  <c r="BM97" i="4"/>
  <c r="BL97" i="4"/>
  <c r="BK97" i="4"/>
  <c r="BJ97" i="4"/>
  <c r="BF97" i="4"/>
  <c r="BB97" i="4"/>
  <c r="BA97" i="4"/>
  <c r="AX97" i="4"/>
  <c r="AW97" i="4"/>
  <c r="AV97" i="4"/>
  <c r="AL97" i="4"/>
  <c r="AK97" i="4"/>
  <c r="AJ97" i="4"/>
  <c r="AI97" i="4"/>
  <c r="AH97" i="4"/>
  <c r="AG97" i="4"/>
  <c r="AF97" i="4"/>
  <c r="AE97" i="4"/>
  <c r="AD97" i="4"/>
  <c r="AC97" i="4"/>
  <c r="AB97" i="4"/>
  <c r="AA97" i="4"/>
  <c r="R97" i="4"/>
  <c r="S97" i="4" s="1"/>
  <c r="AV96" i="4"/>
  <c r="AL96" i="4"/>
  <c r="AK96" i="4"/>
  <c r="AJ96" i="4"/>
  <c r="AI96" i="4"/>
  <c r="AH96" i="4"/>
  <c r="AG96" i="4"/>
  <c r="AF96" i="4"/>
  <c r="AE96" i="4"/>
  <c r="AD96" i="4"/>
  <c r="AC96" i="4"/>
  <c r="AB96" i="4"/>
  <c r="AA96" i="4"/>
  <c r="R96" i="4"/>
  <c r="AW95" i="4"/>
  <c r="AV95" i="4"/>
  <c r="AL95" i="4"/>
  <c r="AK95" i="4"/>
  <c r="AJ95" i="4"/>
  <c r="AI95" i="4"/>
  <c r="AH95" i="4"/>
  <c r="AG95" i="4"/>
  <c r="AF95" i="4"/>
  <c r="AE95" i="4"/>
  <c r="AD95" i="4"/>
  <c r="AC95" i="4"/>
  <c r="AB95" i="4"/>
  <c r="AA95" i="4"/>
  <c r="R95" i="4"/>
  <c r="AV94" i="4"/>
  <c r="AL94" i="4"/>
  <c r="AK94" i="4"/>
  <c r="AK120" i="4" s="1"/>
  <c r="AJ94" i="4"/>
  <c r="AI94" i="4"/>
  <c r="AH94" i="4"/>
  <c r="AG94" i="4"/>
  <c r="AG120" i="4" s="1"/>
  <c r="AF94" i="4"/>
  <c r="AE94" i="4"/>
  <c r="AD94" i="4"/>
  <c r="AC94" i="4"/>
  <c r="AC120" i="4" s="1"/>
  <c r="AB94" i="4"/>
  <c r="AA94" i="4"/>
  <c r="S94" i="4"/>
  <c r="T94" i="4" s="1"/>
  <c r="R94" i="4"/>
  <c r="Q90" i="4"/>
  <c r="Q566" i="4" s="1"/>
  <c r="Q690" i="4" s="1"/>
  <c r="P90" i="4"/>
  <c r="P566" i="4" s="1"/>
  <c r="P690" i="4" s="1"/>
  <c r="O90" i="4"/>
  <c r="O566" i="4" s="1"/>
  <c r="O690" i="4" s="1"/>
  <c r="N90" i="4"/>
  <c r="M90" i="4"/>
  <c r="M566" i="4" s="1"/>
  <c r="M690" i="4" s="1"/>
  <c r="L90" i="4"/>
  <c r="L566" i="4" s="1"/>
  <c r="L690" i="4" s="1"/>
  <c r="H90" i="4"/>
  <c r="E90" i="4"/>
  <c r="BO88" i="4"/>
  <c r="BB88" i="4" s="1"/>
  <c r="AN88" i="4"/>
  <c r="AL88" i="4"/>
  <c r="AK88" i="4"/>
  <c r="AJ88" i="4"/>
  <c r="AI88" i="4"/>
  <c r="AH88" i="4"/>
  <c r="AG88" i="4"/>
  <c r="AF88" i="4"/>
  <c r="AE88" i="4"/>
  <c r="AD88" i="4"/>
  <c r="AC88" i="4"/>
  <c r="AB88" i="4"/>
  <c r="AA88" i="4"/>
  <c r="Y88" i="4"/>
  <c r="I88" i="4"/>
  <c r="J88" i="4" s="1"/>
  <c r="D88" i="4"/>
  <c r="BQ88" i="4" s="1"/>
  <c r="BD88" i="4" s="1"/>
  <c r="BT87" i="4"/>
  <c r="BS87" i="4"/>
  <c r="BR87" i="4"/>
  <c r="BQ87" i="4"/>
  <c r="BP87" i="4"/>
  <c r="BO87" i="4"/>
  <c r="BN87" i="4"/>
  <c r="BM87" i="4"/>
  <c r="BL87" i="4"/>
  <c r="BK87" i="4"/>
  <c r="BJ87" i="4"/>
  <c r="BI87" i="4"/>
  <c r="BG87" i="4"/>
  <c r="BF87" i="4"/>
  <c r="BE87" i="4"/>
  <c r="BD87" i="4"/>
  <c r="BC87" i="4"/>
  <c r="BB87" i="4"/>
  <c r="BA87" i="4"/>
  <c r="AZ87" i="4"/>
  <c r="AY87" i="4"/>
  <c r="AX87" i="4"/>
  <c r="AW87" i="4"/>
  <c r="AV87" i="4"/>
  <c r="AO87" i="4"/>
  <c r="AL87" i="4"/>
  <c r="AK87" i="4"/>
  <c r="AJ87" i="4"/>
  <c r="AI87" i="4"/>
  <c r="AH87" i="4"/>
  <c r="AG87" i="4"/>
  <c r="AF87" i="4"/>
  <c r="AE87" i="4"/>
  <c r="AD87" i="4"/>
  <c r="AC87" i="4"/>
  <c r="AB87" i="4"/>
  <c r="AA87" i="4"/>
  <c r="R87" i="4"/>
  <c r="BT86" i="4"/>
  <c r="BS86" i="4"/>
  <c r="BR86" i="4"/>
  <c r="BQ86" i="4"/>
  <c r="BP86" i="4"/>
  <c r="BO86" i="4"/>
  <c r="BN86" i="4"/>
  <c r="BM86" i="4"/>
  <c r="BL86" i="4"/>
  <c r="BK86" i="4"/>
  <c r="BJ86" i="4"/>
  <c r="BI86" i="4"/>
  <c r="BG86" i="4"/>
  <c r="BF86" i="4"/>
  <c r="BE86" i="4"/>
  <c r="BD86" i="4"/>
  <c r="BC86" i="4"/>
  <c r="BB86" i="4"/>
  <c r="BA86" i="4"/>
  <c r="AZ86" i="4"/>
  <c r="AY86" i="4"/>
  <c r="AX86" i="4"/>
  <c r="AW86" i="4"/>
  <c r="AV86" i="4"/>
  <c r="AL86" i="4"/>
  <c r="AK86" i="4"/>
  <c r="AJ86" i="4"/>
  <c r="AI86" i="4"/>
  <c r="AH86" i="4"/>
  <c r="AG86" i="4"/>
  <c r="AF86" i="4"/>
  <c r="AE86" i="4"/>
  <c r="AD86" i="4"/>
  <c r="AC86" i="4"/>
  <c r="AB86" i="4"/>
  <c r="AA86" i="4"/>
  <c r="R86" i="4"/>
  <c r="BT85" i="4"/>
  <c r="BS85" i="4"/>
  <c r="BR85" i="4"/>
  <c r="BQ85" i="4"/>
  <c r="BP85" i="4"/>
  <c r="BO85" i="4"/>
  <c r="BN85" i="4"/>
  <c r="BM85" i="4"/>
  <c r="BL85" i="4"/>
  <c r="BK85" i="4"/>
  <c r="BJ85" i="4"/>
  <c r="BI85" i="4"/>
  <c r="BG85" i="4"/>
  <c r="BF85" i="4"/>
  <c r="BE85" i="4"/>
  <c r="BD85" i="4"/>
  <c r="BC85" i="4"/>
  <c r="BB85" i="4"/>
  <c r="BA85" i="4"/>
  <c r="AZ85" i="4"/>
  <c r="AY85" i="4"/>
  <c r="AX85" i="4"/>
  <c r="AW85" i="4"/>
  <c r="AV85" i="4"/>
  <c r="AR85" i="4"/>
  <c r="AL85" i="4"/>
  <c r="AK85" i="4"/>
  <c r="AJ85" i="4"/>
  <c r="AI85" i="4"/>
  <c r="AH85" i="4"/>
  <c r="AG85" i="4"/>
  <c r="AF85" i="4"/>
  <c r="AE85" i="4"/>
  <c r="AD85" i="4"/>
  <c r="AC85" i="4"/>
  <c r="AB85" i="4"/>
  <c r="AA85" i="4"/>
  <c r="R85" i="4"/>
  <c r="AL84" i="4"/>
  <c r="AK84" i="4"/>
  <c r="AJ84" i="4"/>
  <c r="AI84" i="4"/>
  <c r="AH84" i="4"/>
  <c r="AG84" i="4"/>
  <c r="AF84" i="4"/>
  <c r="AE84" i="4"/>
  <c r="AD84" i="4"/>
  <c r="AC84" i="4"/>
  <c r="AB84" i="4"/>
  <c r="AA84" i="4"/>
  <c r="R84" i="4"/>
  <c r="S84" i="4" s="1"/>
  <c r="BT83" i="4"/>
  <c r="BS83" i="4"/>
  <c r="BR83" i="4"/>
  <c r="BQ83" i="4"/>
  <c r="BP83" i="4"/>
  <c r="BO83" i="4"/>
  <c r="BN83" i="4"/>
  <c r="BM83" i="4"/>
  <c r="BL83" i="4"/>
  <c r="BK83" i="4"/>
  <c r="AR83" i="4" s="1"/>
  <c r="BJ83" i="4"/>
  <c r="BI83" i="4"/>
  <c r="BG83" i="4"/>
  <c r="BF83" i="4"/>
  <c r="BE83" i="4"/>
  <c r="BD83" i="4"/>
  <c r="BC83" i="4"/>
  <c r="BB83" i="4"/>
  <c r="BA83" i="4"/>
  <c r="AZ83" i="4"/>
  <c r="AY83" i="4"/>
  <c r="AX83" i="4"/>
  <c r="AW83" i="4"/>
  <c r="AV83" i="4"/>
  <c r="AL83" i="4"/>
  <c r="AK83" i="4"/>
  <c r="AJ83" i="4"/>
  <c r="AI83" i="4"/>
  <c r="AH83" i="4"/>
  <c r="AG83" i="4"/>
  <c r="AF83" i="4"/>
  <c r="AE83" i="4"/>
  <c r="AD83" i="4"/>
  <c r="AC83" i="4"/>
  <c r="AB83" i="4"/>
  <c r="AA83" i="4"/>
  <c r="S83" i="4"/>
  <c r="R83" i="4"/>
  <c r="BT82" i="4"/>
  <c r="BS82" i="4"/>
  <c r="BR82" i="4"/>
  <c r="BQ82" i="4"/>
  <c r="BP82" i="4"/>
  <c r="BO82" i="4"/>
  <c r="BN82" i="4"/>
  <c r="BM82" i="4"/>
  <c r="BL82" i="4"/>
  <c r="BK82" i="4"/>
  <c r="BJ82" i="4"/>
  <c r="BI82" i="4"/>
  <c r="AO82" i="4" s="1"/>
  <c r="BG82" i="4"/>
  <c r="BF82" i="4"/>
  <c r="BE82" i="4"/>
  <c r="BD82" i="4"/>
  <c r="BC82" i="4"/>
  <c r="BB82" i="4"/>
  <c r="BA82" i="4"/>
  <c r="AZ82" i="4"/>
  <c r="AY82" i="4"/>
  <c r="AX82" i="4"/>
  <c r="AW82" i="4"/>
  <c r="AV82" i="4"/>
  <c r="AL82" i="4"/>
  <c r="AK82" i="4"/>
  <c r="AJ82" i="4"/>
  <c r="AI82" i="4"/>
  <c r="AH82" i="4"/>
  <c r="AG82" i="4"/>
  <c r="AF82" i="4"/>
  <c r="AE82" i="4"/>
  <c r="AD82" i="4"/>
  <c r="AC82" i="4"/>
  <c r="AB82" i="4"/>
  <c r="AA82" i="4"/>
  <c r="R82" i="4"/>
  <c r="AV81" i="4"/>
  <c r="AL81" i="4"/>
  <c r="AK81" i="4"/>
  <c r="AJ81" i="4"/>
  <c r="AI81" i="4"/>
  <c r="AH81" i="4"/>
  <c r="AG81" i="4"/>
  <c r="AF81" i="4"/>
  <c r="AE81" i="4"/>
  <c r="AD81" i="4"/>
  <c r="AC81" i="4"/>
  <c r="AB81" i="4"/>
  <c r="AA81" i="4"/>
  <c r="T81" i="4"/>
  <c r="S81" i="4"/>
  <c r="R81" i="4"/>
  <c r="BT80" i="4"/>
  <c r="BS80" i="4"/>
  <c r="BR80" i="4"/>
  <c r="BQ80" i="4"/>
  <c r="BP80" i="4"/>
  <c r="BO80" i="4"/>
  <c r="BN80" i="4"/>
  <c r="BM80" i="4"/>
  <c r="BL80" i="4"/>
  <c r="BK80" i="4"/>
  <c r="AR80" i="4" s="1"/>
  <c r="BJ80" i="4"/>
  <c r="AO80" i="4" s="1"/>
  <c r="BI80" i="4"/>
  <c r="BG80" i="4"/>
  <c r="BF80" i="4"/>
  <c r="BE80" i="4"/>
  <c r="BD80" i="4"/>
  <c r="BC80" i="4"/>
  <c r="BB80" i="4"/>
  <c r="BA80" i="4"/>
  <c r="AZ80" i="4"/>
  <c r="AY80" i="4"/>
  <c r="AX80" i="4"/>
  <c r="AW80" i="4"/>
  <c r="AV80" i="4"/>
  <c r="AL80" i="4"/>
  <c r="AK80" i="4"/>
  <c r="AJ80" i="4"/>
  <c r="AI80" i="4"/>
  <c r="AH80" i="4"/>
  <c r="AG80" i="4"/>
  <c r="AF80" i="4"/>
  <c r="AE80" i="4"/>
  <c r="AD80" i="4"/>
  <c r="AC80" i="4"/>
  <c r="AB80" i="4"/>
  <c r="AA80" i="4"/>
  <c r="R80" i="4"/>
  <c r="AV79" i="4"/>
  <c r="AL79" i="4"/>
  <c r="AK79" i="4"/>
  <c r="AJ79" i="4"/>
  <c r="AI79" i="4"/>
  <c r="AH79" i="4"/>
  <c r="AG79" i="4"/>
  <c r="AF79" i="4"/>
  <c r="AE79" i="4"/>
  <c r="AD79" i="4"/>
  <c r="AC79" i="4"/>
  <c r="AB79" i="4"/>
  <c r="AA79" i="4"/>
  <c r="R79" i="4"/>
  <c r="BG78" i="4"/>
  <c r="BF78" i="4"/>
  <c r="BE78" i="4"/>
  <c r="BD78" i="4"/>
  <c r="BC78" i="4"/>
  <c r="BB78" i="4"/>
  <c r="BA78" i="4"/>
  <c r="AZ78" i="4"/>
  <c r="AY78" i="4"/>
  <c r="AX78" i="4"/>
  <c r="AW78" i="4"/>
  <c r="AV78" i="4"/>
  <c r="AR78" i="4"/>
  <c r="AO78" i="4"/>
  <c r="AS78" i="4" s="1"/>
  <c r="AT78" i="4" s="1"/>
  <c r="AL78" i="4"/>
  <c r="AK78" i="4"/>
  <c r="AJ78" i="4"/>
  <c r="AI78" i="4"/>
  <c r="AH78" i="4"/>
  <c r="AG78" i="4"/>
  <c r="AF78" i="4"/>
  <c r="AE78" i="4"/>
  <c r="AD78" i="4"/>
  <c r="AC78" i="4"/>
  <c r="AB78" i="4"/>
  <c r="AA78" i="4"/>
  <c r="T78" i="4"/>
  <c r="S78" i="4"/>
  <c r="R78" i="4"/>
  <c r="BG77" i="4"/>
  <c r="BF77" i="4"/>
  <c r="BE77" i="4"/>
  <c r="BD77" i="4"/>
  <c r="BC77" i="4"/>
  <c r="BB77" i="4"/>
  <c r="BA77" i="4"/>
  <c r="AZ77" i="4"/>
  <c r="AY77" i="4"/>
  <c r="AX77" i="4"/>
  <c r="AW77" i="4"/>
  <c r="AV77" i="4"/>
  <c r="AR77" i="4"/>
  <c r="AO77" i="4"/>
  <c r="AS77" i="4" s="1"/>
  <c r="AT77" i="4" s="1"/>
  <c r="AL77" i="4"/>
  <c r="AK77" i="4"/>
  <c r="AJ77" i="4"/>
  <c r="AI77" i="4"/>
  <c r="AH77" i="4"/>
  <c r="AG77" i="4"/>
  <c r="AF77" i="4"/>
  <c r="AE77" i="4"/>
  <c r="AD77" i="4"/>
  <c r="AC77" i="4"/>
  <c r="AB77" i="4"/>
  <c r="AA77" i="4"/>
  <c r="S77" i="4"/>
  <c r="R77" i="4"/>
  <c r="BG76" i="4"/>
  <c r="BF76" i="4"/>
  <c r="BE76" i="4"/>
  <c r="BD76" i="4"/>
  <c r="BC76" i="4"/>
  <c r="BB76" i="4"/>
  <c r="BA76" i="4"/>
  <c r="AZ76" i="4"/>
  <c r="AY76" i="4"/>
  <c r="AX76" i="4"/>
  <c r="AW76" i="4"/>
  <c r="AV76" i="4"/>
  <c r="AR76" i="4"/>
  <c r="AO76" i="4"/>
  <c r="AS76" i="4" s="1"/>
  <c r="AT76" i="4" s="1"/>
  <c r="AL76" i="4"/>
  <c r="AK76" i="4"/>
  <c r="AJ76" i="4"/>
  <c r="AI76" i="4"/>
  <c r="AH76" i="4"/>
  <c r="AG76" i="4"/>
  <c r="AF76" i="4"/>
  <c r="AE76" i="4"/>
  <c r="AD76" i="4"/>
  <c r="AC76" i="4"/>
  <c r="AB76" i="4"/>
  <c r="AA76" i="4"/>
  <c r="R76" i="4"/>
  <c r="BG75" i="4"/>
  <c r="BF75" i="4"/>
  <c r="BE75" i="4"/>
  <c r="BD75" i="4"/>
  <c r="BC75" i="4"/>
  <c r="BB75" i="4"/>
  <c r="BA75" i="4"/>
  <c r="AZ75" i="4"/>
  <c r="AY75" i="4"/>
  <c r="AX75" i="4"/>
  <c r="AW75" i="4"/>
  <c r="AV75" i="4"/>
  <c r="AR75" i="4"/>
  <c r="AO75" i="4"/>
  <c r="AS75" i="4" s="1"/>
  <c r="AT75" i="4" s="1"/>
  <c r="AL75" i="4"/>
  <c r="AK75" i="4"/>
  <c r="AJ75" i="4"/>
  <c r="AI75" i="4"/>
  <c r="AH75" i="4"/>
  <c r="AG75" i="4"/>
  <c r="AF75" i="4"/>
  <c r="AE75" i="4"/>
  <c r="AD75" i="4"/>
  <c r="AC75" i="4"/>
  <c r="AB75" i="4"/>
  <c r="AA75" i="4"/>
  <c r="R75" i="4"/>
  <c r="S75" i="4" s="1"/>
  <c r="AV74" i="4"/>
  <c r="AN74" i="4"/>
  <c r="AL74" i="4"/>
  <c r="AK74" i="4"/>
  <c r="AJ74" i="4"/>
  <c r="AI74" i="4"/>
  <c r="AH74" i="4"/>
  <c r="AG74" i="4"/>
  <c r="AF74" i="4"/>
  <c r="AE74" i="4"/>
  <c r="AD74" i="4"/>
  <c r="AC74" i="4"/>
  <c r="AB74" i="4"/>
  <c r="AA74" i="4"/>
  <c r="Y74" i="4"/>
  <c r="D74" i="4"/>
  <c r="I74" i="4" s="1"/>
  <c r="J74" i="4" s="1"/>
  <c r="AV73" i="4"/>
  <c r="AL73" i="4"/>
  <c r="AK73" i="4"/>
  <c r="AJ73" i="4"/>
  <c r="AI73" i="4"/>
  <c r="AH73" i="4"/>
  <c r="AG73" i="4"/>
  <c r="AF73" i="4"/>
  <c r="AE73" i="4"/>
  <c r="AD73" i="4"/>
  <c r="AC73" i="4"/>
  <c r="AB73" i="4"/>
  <c r="AA73" i="4"/>
  <c r="R73" i="4"/>
  <c r="S73" i="4" s="1"/>
  <c r="AV72" i="4"/>
  <c r="AL72" i="4"/>
  <c r="AK72" i="4"/>
  <c r="AJ72" i="4"/>
  <c r="AI72" i="4"/>
  <c r="AH72" i="4"/>
  <c r="AG72" i="4"/>
  <c r="AF72" i="4"/>
  <c r="AE72" i="4"/>
  <c r="AD72" i="4"/>
  <c r="AC72" i="4"/>
  <c r="AB72" i="4"/>
  <c r="AA72" i="4"/>
  <c r="R72" i="4"/>
  <c r="AW71" i="4"/>
  <c r="AV71" i="4"/>
  <c r="AL71" i="4"/>
  <c r="AK71" i="4"/>
  <c r="AJ71" i="4"/>
  <c r="AI71" i="4"/>
  <c r="AH71" i="4"/>
  <c r="AG71" i="4"/>
  <c r="AF71" i="4"/>
  <c r="AE71" i="4"/>
  <c r="AD71" i="4"/>
  <c r="AC71" i="4"/>
  <c r="AB71" i="4"/>
  <c r="AA71" i="4"/>
  <c r="R71" i="4"/>
  <c r="AV70" i="4"/>
  <c r="AL70" i="4"/>
  <c r="AK70" i="4"/>
  <c r="AJ70" i="4"/>
  <c r="AI70" i="4"/>
  <c r="AH70" i="4"/>
  <c r="AG70" i="4"/>
  <c r="AF70" i="4"/>
  <c r="AE70" i="4"/>
  <c r="AD70" i="4"/>
  <c r="AC70" i="4"/>
  <c r="AB70" i="4"/>
  <c r="AA70" i="4"/>
  <c r="R70" i="4"/>
  <c r="S70" i="4" s="1"/>
  <c r="BG69" i="4"/>
  <c r="BF69" i="4"/>
  <c r="BE69" i="4"/>
  <c r="BD69" i="4"/>
  <c r="BC69" i="4"/>
  <c r="BB69" i="4"/>
  <c r="BA69" i="4"/>
  <c r="AZ69" i="4"/>
  <c r="AY69" i="4"/>
  <c r="AX69" i="4"/>
  <c r="AW69" i="4"/>
  <c r="AV69" i="4"/>
  <c r="AR69" i="4"/>
  <c r="AO69" i="4"/>
  <c r="AL69" i="4"/>
  <c r="AK69" i="4"/>
  <c r="AJ69" i="4"/>
  <c r="AI69" i="4"/>
  <c r="AH69" i="4"/>
  <c r="AG69" i="4"/>
  <c r="AF69" i="4"/>
  <c r="AE69" i="4"/>
  <c r="AD69" i="4"/>
  <c r="AC69" i="4"/>
  <c r="AB69" i="4"/>
  <c r="AA69" i="4"/>
  <c r="R69" i="4"/>
  <c r="S69" i="4" s="1"/>
  <c r="BG68" i="4"/>
  <c r="BF68" i="4"/>
  <c r="BE68" i="4"/>
  <c r="BD68" i="4"/>
  <c r="BC68" i="4"/>
  <c r="BB68" i="4"/>
  <c r="BA68" i="4"/>
  <c r="AZ68" i="4"/>
  <c r="AY68" i="4"/>
  <c r="AX68" i="4"/>
  <c r="AW68" i="4"/>
  <c r="AV68" i="4"/>
  <c r="AR68" i="4"/>
  <c r="AO68" i="4"/>
  <c r="AL68" i="4"/>
  <c r="AK68" i="4"/>
  <c r="AJ68" i="4"/>
  <c r="AI68" i="4"/>
  <c r="AH68" i="4"/>
  <c r="AG68" i="4"/>
  <c r="AF68" i="4"/>
  <c r="AE68" i="4"/>
  <c r="AD68" i="4"/>
  <c r="AC68" i="4"/>
  <c r="AB68" i="4"/>
  <c r="AA68" i="4"/>
  <c r="R68" i="4"/>
  <c r="BG67" i="4"/>
  <c r="BF67" i="4"/>
  <c r="BE67" i="4"/>
  <c r="BD67" i="4"/>
  <c r="BC67" i="4"/>
  <c r="BB67" i="4"/>
  <c r="BA67" i="4"/>
  <c r="AZ67" i="4"/>
  <c r="AY67" i="4"/>
  <c r="AX67" i="4"/>
  <c r="AW67" i="4"/>
  <c r="AV67" i="4"/>
  <c r="AR67" i="4"/>
  <c r="AO67" i="4"/>
  <c r="AN67" i="4"/>
  <c r="AL67" i="4"/>
  <c r="AK67" i="4"/>
  <c r="AJ67" i="4"/>
  <c r="AI67" i="4"/>
  <c r="AH67" i="4"/>
  <c r="AG67" i="4"/>
  <c r="AF67" i="4"/>
  <c r="AE67" i="4"/>
  <c r="AD67" i="4"/>
  <c r="AC67" i="4"/>
  <c r="AB67" i="4"/>
  <c r="AA67" i="4"/>
  <c r="Y67" i="4"/>
  <c r="G67" i="4"/>
  <c r="F67" i="4"/>
  <c r="D67" i="4"/>
  <c r="I67" i="4" s="1"/>
  <c r="J67" i="4" s="1"/>
  <c r="BG66" i="4"/>
  <c r="BF66" i="4"/>
  <c r="BE66" i="4"/>
  <c r="BD66" i="4"/>
  <c r="BC66" i="4"/>
  <c r="BB66" i="4"/>
  <c r="BA66" i="4"/>
  <c r="AZ66" i="4"/>
  <c r="AX66" i="4"/>
  <c r="AW66" i="4"/>
  <c r="AV66" i="4"/>
  <c r="AL66" i="4"/>
  <c r="AK66" i="4"/>
  <c r="AJ66" i="4"/>
  <c r="AI66" i="4"/>
  <c r="AH66" i="4"/>
  <c r="AG66" i="4"/>
  <c r="AF66" i="4"/>
  <c r="AE66" i="4"/>
  <c r="AD66" i="4"/>
  <c r="AC66" i="4"/>
  <c r="AB66" i="4"/>
  <c r="AA66" i="4"/>
  <c r="S66" i="4"/>
  <c r="R66" i="4"/>
  <c r="BT65" i="4"/>
  <c r="BG65" i="4" s="1"/>
  <c r="BS65" i="4"/>
  <c r="BF65" i="4" s="1"/>
  <c r="BR65" i="4"/>
  <c r="BE65" i="4" s="1"/>
  <c r="BQ65" i="4"/>
  <c r="BP65" i="4"/>
  <c r="BO65" i="4"/>
  <c r="BB65" i="4" s="1"/>
  <c r="BN65" i="4"/>
  <c r="BA65" i="4" s="1"/>
  <c r="BM65" i="4"/>
  <c r="BL65" i="4"/>
  <c r="BK65" i="4"/>
  <c r="AX65" i="4" s="1"/>
  <c r="BJ65" i="4"/>
  <c r="BD65" i="4"/>
  <c r="BC65" i="4"/>
  <c r="AZ65" i="4"/>
  <c r="AY65" i="4"/>
  <c r="AW65" i="4"/>
  <c r="AV65" i="4"/>
  <c r="AL65" i="4"/>
  <c r="AK65" i="4"/>
  <c r="AJ65" i="4"/>
  <c r="AI65" i="4"/>
  <c r="AH65" i="4"/>
  <c r="AG65" i="4"/>
  <c r="AF65" i="4"/>
  <c r="AE65" i="4"/>
  <c r="AD65" i="4"/>
  <c r="AC65" i="4"/>
  <c r="AB65" i="4"/>
  <c r="AA65" i="4"/>
  <c r="R65" i="4"/>
  <c r="BG64" i="4"/>
  <c r="BF64" i="4"/>
  <c r="BE64" i="4"/>
  <c r="BD64" i="4"/>
  <c r="BC64" i="4"/>
  <c r="BB64" i="4"/>
  <c r="BA64" i="4"/>
  <c r="AZ64" i="4"/>
  <c r="AY64" i="4"/>
  <c r="AX64" i="4"/>
  <c r="AW64" i="4"/>
  <c r="AV64" i="4"/>
  <c r="AR64" i="4"/>
  <c r="AO64" i="4"/>
  <c r="AL64" i="4"/>
  <c r="AK64" i="4"/>
  <c r="AJ64" i="4"/>
  <c r="AI64" i="4"/>
  <c r="AH64" i="4"/>
  <c r="AG64" i="4"/>
  <c r="AF64" i="4"/>
  <c r="AE64" i="4"/>
  <c r="AD64" i="4"/>
  <c r="AC64" i="4"/>
  <c r="AB64" i="4"/>
  <c r="AA64" i="4"/>
  <c r="S64" i="4"/>
  <c r="R64" i="4"/>
  <c r="T64" i="4" s="1"/>
  <c r="AW63" i="4"/>
  <c r="AV63" i="4"/>
  <c r="AL63" i="4"/>
  <c r="AK63" i="4"/>
  <c r="AJ63" i="4"/>
  <c r="AI63" i="4"/>
  <c r="AH63" i="4"/>
  <c r="AG63" i="4"/>
  <c r="AF63" i="4"/>
  <c r="AE63" i="4"/>
  <c r="AD63" i="4"/>
  <c r="AC63" i="4"/>
  <c r="AB63" i="4"/>
  <c r="AA63" i="4"/>
  <c r="R63" i="4"/>
  <c r="AV62" i="4"/>
  <c r="AL62" i="4"/>
  <c r="AK62" i="4"/>
  <c r="AJ62" i="4"/>
  <c r="AI62" i="4"/>
  <c r="AH62" i="4"/>
  <c r="AG62" i="4"/>
  <c r="AF62" i="4"/>
  <c r="AE62" i="4"/>
  <c r="AD62" i="4"/>
  <c r="AC62" i="4"/>
  <c r="AB62" i="4"/>
  <c r="AA62" i="4"/>
  <c r="S62" i="4"/>
  <c r="R62" i="4"/>
  <c r="AV61" i="4"/>
  <c r="AL61" i="4"/>
  <c r="AK61" i="4"/>
  <c r="AK90" i="4" s="1"/>
  <c r="AJ61" i="4"/>
  <c r="AJ90" i="4" s="1"/>
  <c r="AI61" i="4"/>
  <c r="AH61" i="4"/>
  <c r="AG61" i="4"/>
  <c r="AG90" i="4" s="1"/>
  <c r="AF61" i="4"/>
  <c r="AF90" i="4" s="1"/>
  <c r="AE61" i="4"/>
  <c r="AD61" i="4"/>
  <c r="AC61" i="4"/>
  <c r="AC90" i="4" s="1"/>
  <c r="AB61" i="4"/>
  <c r="AB90" i="4" s="1"/>
  <c r="AA61" i="4"/>
  <c r="R61" i="4"/>
  <c r="Q53" i="4"/>
  <c r="P53" i="4"/>
  <c r="O53" i="4"/>
  <c r="N53" i="4"/>
  <c r="M53" i="4"/>
  <c r="L53" i="4"/>
  <c r="E53" i="4"/>
  <c r="BT52" i="4"/>
  <c r="BT53" i="4" s="1"/>
  <c r="BS52" i="4"/>
  <c r="BS53" i="4" s="1"/>
  <c r="BR52" i="4"/>
  <c r="BR53" i="4" s="1"/>
  <c r="BQ52" i="4"/>
  <c r="BQ53" i="4" s="1"/>
  <c r="BP52" i="4"/>
  <c r="BP53" i="4" s="1"/>
  <c r="BO52" i="4"/>
  <c r="BO53" i="4" s="1"/>
  <c r="BN52" i="4"/>
  <c r="BN53" i="4" s="1"/>
  <c r="BM52" i="4"/>
  <c r="BM53" i="4" s="1"/>
  <c r="BL52" i="4"/>
  <c r="BL53" i="4" s="1"/>
  <c r="BK52" i="4"/>
  <c r="BK53" i="4" s="1"/>
  <c r="BJ52" i="4"/>
  <c r="BJ53" i="4" s="1"/>
  <c r="BI52" i="4"/>
  <c r="BI53" i="4" s="1"/>
  <c r="BG52" i="4"/>
  <c r="BG53" i="4" s="1"/>
  <c r="BF52" i="4"/>
  <c r="BF53" i="4" s="1"/>
  <c r="BE52" i="4"/>
  <c r="BE53" i="4" s="1"/>
  <c r="BD52" i="4"/>
  <c r="BD53" i="4" s="1"/>
  <c r="BC52" i="4"/>
  <c r="BC53" i="4" s="1"/>
  <c r="BB52" i="4"/>
  <c r="BB53" i="4" s="1"/>
  <c r="BA52" i="4"/>
  <c r="BA53" i="4" s="1"/>
  <c r="AZ52" i="4"/>
  <c r="AZ53" i="4" s="1"/>
  <c r="AY52" i="4"/>
  <c r="AY53" i="4" s="1"/>
  <c r="AX52" i="4"/>
  <c r="AX53" i="4" s="1"/>
  <c r="AW52" i="4"/>
  <c r="AW53" i="4" s="1"/>
  <c r="AV52" i="4"/>
  <c r="AV53" i="4" s="1"/>
  <c r="AO52" i="4"/>
  <c r="AO53" i="4" s="1"/>
  <c r="AL52" i="4"/>
  <c r="AL53" i="4" s="1"/>
  <c r="AK52" i="4"/>
  <c r="AK53" i="4" s="1"/>
  <c r="AJ52" i="4"/>
  <c r="AJ53" i="4" s="1"/>
  <c r="AI52" i="4"/>
  <c r="AI53" i="4" s="1"/>
  <c r="AH52" i="4"/>
  <c r="AH53" i="4" s="1"/>
  <c r="AG52" i="4"/>
  <c r="AG53" i="4" s="1"/>
  <c r="AF52" i="4"/>
  <c r="AF53" i="4" s="1"/>
  <c r="AE52" i="4"/>
  <c r="AE53" i="4" s="1"/>
  <c r="AD52" i="4"/>
  <c r="AD53" i="4" s="1"/>
  <c r="AC52" i="4"/>
  <c r="AC53" i="4" s="1"/>
  <c r="AB52" i="4"/>
  <c r="AB53" i="4" s="1"/>
  <c r="AA52" i="4"/>
  <c r="AA53" i="4" s="1"/>
  <c r="R52" i="4"/>
  <c r="R53" i="4" s="1"/>
  <c r="Q50" i="4"/>
  <c r="P50" i="4"/>
  <c r="O50" i="4"/>
  <c r="N50" i="4"/>
  <c r="M50" i="4"/>
  <c r="L50" i="4"/>
  <c r="H50" i="4"/>
  <c r="E50" i="4"/>
  <c r="BT49" i="4"/>
  <c r="BS49" i="4"/>
  <c r="BR49" i="4"/>
  <c r="BQ49" i="4"/>
  <c r="BP49" i="4"/>
  <c r="BO49" i="4"/>
  <c r="BN49" i="4"/>
  <c r="BM49" i="4"/>
  <c r="BL49" i="4"/>
  <c r="BK49" i="4"/>
  <c r="BJ49" i="4"/>
  <c r="BI49" i="4"/>
  <c r="AO49" i="4" s="1"/>
  <c r="BG49" i="4"/>
  <c r="BF49" i="4"/>
  <c r="BE49" i="4"/>
  <c r="BD49" i="4"/>
  <c r="BC49" i="4"/>
  <c r="BB49" i="4"/>
  <c r="BA49" i="4"/>
  <c r="AZ49" i="4"/>
  <c r="AY49" i="4"/>
  <c r="AX49" i="4"/>
  <c r="AW49" i="4"/>
  <c r="AV49" i="4"/>
  <c r="AL49" i="4"/>
  <c r="AK49" i="4"/>
  <c r="AJ49" i="4"/>
  <c r="AI49" i="4"/>
  <c r="AH49" i="4"/>
  <c r="AG49" i="4"/>
  <c r="AF49" i="4"/>
  <c r="AE49" i="4"/>
  <c r="AD49" i="4"/>
  <c r="AC49" i="4"/>
  <c r="AB49" i="4"/>
  <c r="AA49" i="4"/>
  <c r="R49" i="4"/>
  <c r="BT48" i="4"/>
  <c r="BS48" i="4"/>
  <c r="BR48" i="4"/>
  <c r="BQ48" i="4"/>
  <c r="BP48" i="4"/>
  <c r="BO48" i="4"/>
  <c r="BN48" i="4"/>
  <c r="BM48" i="4"/>
  <c r="BL48" i="4"/>
  <c r="BK48" i="4"/>
  <c r="BJ48" i="4"/>
  <c r="BI48" i="4"/>
  <c r="AR48" i="4" s="1"/>
  <c r="BG48" i="4"/>
  <c r="BF48" i="4"/>
  <c r="BE48" i="4"/>
  <c r="BD48" i="4"/>
  <c r="BC48" i="4"/>
  <c r="BB48" i="4"/>
  <c r="BA48" i="4"/>
  <c r="AZ48" i="4"/>
  <c r="AY48" i="4"/>
  <c r="AX48" i="4"/>
  <c r="AW48" i="4"/>
  <c r="AV48" i="4"/>
  <c r="AL48" i="4"/>
  <c r="AK48" i="4"/>
  <c r="AJ48" i="4"/>
  <c r="AI48" i="4"/>
  <c r="AH48" i="4"/>
  <c r="AG48" i="4"/>
  <c r="AF48" i="4"/>
  <c r="AE48" i="4"/>
  <c r="AD48" i="4"/>
  <c r="AC48" i="4"/>
  <c r="AB48" i="4"/>
  <c r="AA48" i="4"/>
  <c r="R48" i="4"/>
  <c r="BT47" i="4"/>
  <c r="BS47" i="4"/>
  <c r="BR47" i="4"/>
  <c r="BQ47" i="4"/>
  <c r="BP47" i="4"/>
  <c r="BO47" i="4"/>
  <c r="BN47" i="4"/>
  <c r="BM47" i="4"/>
  <c r="BL47" i="4"/>
  <c r="AO47" i="4" s="1"/>
  <c r="BT114" i="4" s="1"/>
  <c r="BG114" i="4" s="1"/>
  <c r="BK47" i="4"/>
  <c r="BJ47" i="4"/>
  <c r="BI47" i="4"/>
  <c r="BG47" i="4"/>
  <c r="BF47" i="4"/>
  <c r="BE47" i="4"/>
  <c r="BD47" i="4"/>
  <c r="BC47" i="4"/>
  <c r="BB47" i="4"/>
  <c r="BA47" i="4"/>
  <c r="AZ47" i="4"/>
  <c r="AY47" i="4"/>
  <c r="AX47" i="4"/>
  <c r="AW47" i="4"/>
  <c r="AV47" i="4"/>
  <c r="AR47" i="4"/>
  <c r="AL47" i="4"/>
  <c r="AK47" i="4"/>
  <c r="AJ47" i="4"/>
  <c r="AI47" i="4"/>
  <c r="AH47" i="4"/>
  <c r="AG47" i="4"/>
  <c r="AF47" i="4"/>
  <c r="AE47" i="4"/>
  <c r="AD47" i="4"/>
  <c r="AC47" i="4"/>
  <c r="AB47" i="4"/>
  <c r="AA47" i="4"/>
  <c r="R47" i="4"/>
  <c r="BT46" i="4"/>
  <c r="BS46" i="4"/>
  <c r="BR46" i="4"/>
  <c r="BQ46" i="4"/>
  <c r="BP46" i="4"/>
  <c r="BO46" i="4"/>
  <c r="BN46" i="4"/>
  <c r="BM46" i="4"/>
  <c r="BL46" i="4"/>
  <c r="BK46" i="4"/>
  <c r="BJ46" i="4"/>
  <c r="AR46" i="4" s="1"/>
  <c r="BI46" i="4"/>
  <c r="BG46" i="4"/>
  <c r="BF46" i="4"/>
  <c r="BE46" i="4"/>
  <c r="BD46" i="4"/>
  <c r="BC46" i="4"/>
  <c r="BB46" i="4"/>
  <c r="BA46" i="4"/>
  <c r="AZ46" i="4"/>
  <c r="AY46" i="4"/>
  <c r="AX46" i="4"/>
  <c r="AW46" i="4"/>
  <c r="AV46" i="4"/>
  <c r="AO46" i="4"/>
  <c r="AL46" i="4"/>
  <c r="AK46" i="4"/>
  <c r="AJ46" i="4"/>
  <c r="AI46" i="4"/>
  <c r="AH46" i="4"/>
  <c r="AG46" i="4"/>
  <c r="AF46" i="4"/>
  <c r="AE46" i="4"/>
  <c r="AD46" i="4"/>
  <c r="AC46" i="4"/>
  <c r="AB46" i="4"/>
  <c r="AA46" i="4"/>
  <c r="R46" i="4"/>
  <c r="BT45" i="4"/>
  <c r="BS45" i="4"/>
  <c r="BR45" i="4"/>
  <c r="BQ45" i="4"/>
  <c r="BP45" i="4"/>
  <c r="BO45" i="4"/>
  <c r="BN45" i="4"/>
  <c r="BM45" i="4"/>
  <c r="BL45" i="4"/>
  <c r="BK45" i="4"/>
  <c r="BJ45" i="4"/>
  <c r="BI45" i="4"/>
  <c r="AO45" i="4" s="1"/>
  <c r="BG45" i="4"/>
  <c r="BF45" i="4"/>
  <c r="BE45" i="4"/>
  <c r="BD45" i="4"/>
  <c r="BC45" i="4"/>
  <c r="BB45" i="4"/>
  <c r="BA45" i="4"/>
  <c r="AZ45" i="4"/>
  <c r="AY45" i="4"/>
  <c r="AX45" i="4"/>
  <c r="AW45" i="4"/>
  <c r="AV45" i="4"/>
  <c r="AL45" i="4"/>
  <c r="AK45" i="4"/>
  <c r="AJ45" i="4"/>
  <c r="AI45" i="4"/>
  <c r="AH45" i="4"/>
  <c r="AG45" i="4"/>
  <c r="AF45" i="4"/>
  <c r="AE45" i="4"/>
  <c r="AD45" i="4"/>
  <c r="AC45" i="4"/>
  <c r="AB45" i="4"/>
  <c r="AA45" i="4"/>
  <c r="R45" i="4"/>
  <c r="BT44" i="4"/>
  <c r="BS44" i="4"/>
  <c r="BR44" i="4"/>
  <c r="BQ44" i="4"/>
  <c r="BP44" i="4"/>
  <c r="BO44" i="4"/>
  <c r="BN44" i="4"/>
  <c r="BM44" i="4"/>
  <c r="BL44" i="4"/>
  <c r="BK44" i="4"/>
  <c r="BJ44" i="4"/>
  <c r="BI44" i="4"/>
  <c r="AR44" i="4" s="1"/>
  <c r="BG44" i="4"/>
  <c r="BF44" i="4"/>
  <c r="BE44" i="4"/>
  <c r="BD44" i="4"/>
  <c r="BC44" i="4"/>
  <c r="BB44" i="4"/>
  <c r="BA44" i="4"/>
  <c r="AZ44" i="4"/>
  <c r="AY44" i="4"/>
  <c r="AX44" i="4"/>
  <c r="AW44" i="4"/>
  <c r="AV44" i="4"/>
  <c r="AL44" i="4"/>
  <c r="AK44" i="4"/>
  <c r="AJ44" i="4"/>
  <c r="AI44" i="4"/>
  <c r="AH44" i="4"/>
  <c r="AG44" i="4"/>
  <c r="AF44" i="4"/>
  <c r="AE44" i="4"/>
  <c r="AD44" i="4"/>
  <c r="AC44" i="4"/>
  <c r="AB44" i="4"/>
  <c r="AA44" i="4"/>
  <c r="R44" i="4"/>
  <c r="BT43" i="4"/>
  <c r="BT50" i="4" s="1"/>
  <c r="BS43" i="4"/>
  <c r="BS50" i="4" s="1"/>
  <c r="BR43" i="4"/>
  <c r="BQ43" i="4"/>
  <c r="BP43" i="4"/>
  <c r="BP50" i="4" s="1"/>
  <c r="BO43" i="4"/>
  <c r="BO50" i="4" s="1"/>
  <c r="BN43" i="4"/>
  <c r="BM43" i="4"/>
  <c r="BL43" i="4"/>
  <c r="BL50" i="4" s="1"/>
  <c r="BK43" i="4"/>
  <c r="BK50" i="4" s="1"/>
  <c r="BJ43" i="4"/>
  <c r="BI43" i="4"/>
  <c r="BG43" i="4"/>
  <c r="BG50" i="4" s="1"/>
  <c r="BF43" i="4"/>
  <c r="BF50" i="4" s="1"/>
  <c r="BE43" i="4"/>
  <c r="BD43" i="4"/>
  <c r="BC43" i="4"/>
  <c r="BC50" i="4" s="1"/>
  <c r="BB43" i="4"/>
  <c r="BB50" i="4" s="1"/>
  <c r="BA43" i="4"/>
  <c r="AZ43" i="4"/>
  <c r="AY43" i="4"/>
  <c r="AY50" i="4" s="1"/>
  <c r="AX43" i="4"/>
  <c r="AX50" i="4" s="1"/>
  <c r="AW43" i="4"/>
  <c r="AV43" i="4"/>
  <c r="AR43" i="4"/>
  <c r="AL43" i="4"/>
  <c r="AK43" i="4"/>
  <c r="AJ43" i="4"/>
  <c r="AJ50" i="4" s="1"/>
  <c r="AI43" i="4"/>
  <c r="AI50" i="4" s="1"/>
  <c r="AH43" i="4"/>
  <c r="AG43" i="4"/>
  <c r="AF43" i="4"/>
  <c r="AF50" i="4" s="1"/>
  <c r="AE43" i="4"/>
  <c r="AE50" i="4" s="1"/>
  <c r="AD43" i="4"/>
  <c r="AC43" i="4"/>
  <c r="AB43" i="4"/>
  <c r="AB50" i="4" s="1"/>
  <c r="AA43" i="4"/>
  <c r="AA50" i="4" s="1"/>
  <c r="R43" i="4"/>
  <c r="Q41" i="4"/>
  <c r="P41" i="4"/>
  <c r="O41" i="4"/>
  <c r="N41" i="4"/>
  <c r="M41" i="4"/>
  <c r="L41" i="4"/>
  <c r="H41" i="4"/>
  <c r="E41" i="4"/>
  <c r="BT40" i="4"/>
  <c r="BS40" i="4"/>
  <c r="BR40" i="4"/>
  <c r="BQ40" i="4"/>
  <c r="BP40" i="4"/>
  <c r="BO40" i="4"/>
  <c r="BN40" i="4"/>
  <c r="BM40" i="4"/>
  <c r="BL40" i="4"/>
  <c r="BK40" i="4"/>
  <c r="BJ40" i="4"/>
  <c r="AR40" i="4" s="1"/>
  <c r="BI40" i="4"/>
  <c r="BG40" i="4"/>
  <c r="BF40" i="4"/>
  <c r="BE40" i="4"/>
  <c r="BD40" i="4"/>
  <c r="BC40" i="4"/>
  <c r="BB40" i="4"/>
  <c r="BA40" i="4"/>
  <c r="AZ40" i="4"/>
  <c r="AY40" i="4"/>
  <c r="AX40" i="4"/>
  <c r="AW40" i="4"/>
  <c r="AV40" i="4"/>
  <c r="AO40" i="4"/>
  <c r="AL40" i="4"/>
  <c r="AK40" i="4"/>
  <c r="AJ40" i="4"/>
  <c r="AI40" i="4"/>
  <c r="AH40" i="4"/>
  <c r="AG40" i="4"/>
  <c r="AF40" i="4"/>
  <c r="AE40" i="4"/>
  <c r="AD40" i="4"/>
  <c r="AC40" i="4"/>
  <c r="AB40" i="4"/>
  <c r="AA40" i="4"/>
  <c r="R40" i="4"/>
  <c r="BT39" i="4"/>
  <c r="BS39" i="4"/>
  <c r="BR39" i="4"/>
  <c r="BQ39" i="4"/>
  <c r="BP39" i="4"/>
  <c r="BO39" i="4"/>
  <c r="BN39" i="4"/>
  <c r="BM39" i="4"/>
  <c r="BL39" i="4"/>
  <c r="BK39" i="4"/>
  <c r="BJ39" i="4"/>
  <c r="BI39" i="4"/>
  <c r="AO39" i="4" s="1"/>
  <c r="BG39" i="4"/>
  <c r="BF39" i="4"/>
  <c r="BE39" i="4"/>
  <c r="BD39" i="4"/>
  <c r="BC39" i="4"/>
  <c r="BB39" i="4"/>
  <c r="BA39" i="4"/>
  <c r="AZ39" i="4"/>
  <c r="AY39" i="4"/>
  <c r="AX39" i="4"/>
  <c r="AW39" i="4"/>
  <c r="AV39" i="4"/>
  <c r="AL39" i="4"/>
  <c r="AK39" i="4"/>
  <c r="AJ39" i="4"/>
  <c r="AI39" i="4"/>
  <c r="AH39" i="4"/>
  <c r="AG39" i="4"/>
  <c r="AF39" i="4"/>
  <c r="AE39" i="4"/>
  <c r="AD39" i="4"/>
  <c r="AC39" i="4"/>
  <c r="AB39" i="4"/>
  <c r="AA39" i="4"/>
  <c r="R39" i="4"/>
  <c r="BT38" i="4"/>
  <c r="BS38" i="4"/>
  <c r="BR38" i="4"/>
  <c r="BQ38" i="4"/>
  <c r="BP38" i="4"/>
  <c r="BO38" i="4"/>
  <c r="BN38" i="4"/>
  <c r="BM38" i="4"/>
  <c r="BL38" i="4"/>
  <c r="BK38" i="4"/>
  <c r="BJ38" i="4"/>
  <c r="BI38" i="4"/>
  <c r="AR38" i="4" s="1"/>
  <c r="BG38" i="4"/>
  <c r="BF38" i="4"/>
  <c r="BE38" i="4"/>
  <c r="BD38" i="4"/>
  <c r="BC38" i="4"/>
  <c r="BB38" i="4"/>
  <c r="BA38" i="4"/>
  <c r="AZ38" i="4"/>
  <c r="AY38" i="4"/>
  <c r="AX38" i="4"/>
  <c r="AW38" i="4"/>
  <c r="AV38" i="4"/>
  <c r="AL38" i="4"/>
  <c r="AK38" i="4"/>
  <c r="AJ38" i="4"/>
  <c r="AI38" i="4"/>
  <c r="AH38" i="4"/>
  <c r="AG38" i="4"/>
  <c r="AF38" i="4"/>
  <c r="AE38" i="4"/>
  <c r="AD38" i="4"/>
  <c r="AC38" i="4"/>
  <c r="AB38" i="4"/>
  <c r="AA38" i="4"/>
  <c r="R38" i="4"/>
  <c r="BT37" i="4"/>
  <c r="BS37" i="4"/>
  <c r="BR37" i="4"/>
  <c r="BQ37" i="4"/>
  <c r="BP37" i="4"/>
  <c r="BO37" i="4"/>
  <c r="BN37" i="4"/>
  <c r="BM37" i="4"/>
  <c r="BL37" i="4"/>
  <c r="AO37" i="4" s="1"/>
  <c r="BK37" i="4"/>
  <c r="BJ37" i="4"/>
  <c r="BI37" i="4"/>
  <c r="BG37" i="4"/>
  <c r="BF37" i="4"/>
  <c r="BE37" i="4"/>
  <c r="BD37" i="4"/>
  <c r="BC37" i="4"/>
  <c r="BB37" i="4"/>
  <c r="BA37" i="4"/>
  <c r="AZ37" i="4"/>
  <c r="AY37" i="4"/>
  <c r="AX37" i="4"/>
  <c r="AW37" i="4"/>
  <c r="AV37" i="4"/>
  <c r="AR37" i="4"/>
  <c r="AL37" i="4"/>
  <c r="AK37" i="4"/>
  <c r="AJ37" i="4"/>
  <c r="AI37" i="4"/>
  <c r="AH37" i="4"/>
  <c r="AG37" i="4"/>
  <c r="AF37" i="4"/>
  <c r="AE37" i="4"/>
  <c r="AD37" i="4"/>
  <c r="AC37" i="4"/>
  <c r="AB37" i="4"/>
  <c r="AA37" i="4"/>
  <c r="R37" i="4"/>
  <c r="AL36" i="4"/>
  <c r="AK36" i="4"/>
  <c r="AK41" i="4" s="1"/>
  <c r="AJ36" i="4"/>
  <c r="AI36" i="4"/>
  <c r="AH36" i="4"/>
  <c r="AG36" i="4"/>
  <c r="AG41" i="4" s="1"/>
  <c r="AF36" i="4"/>
  <c r="AE36" i="4"/>
  <c r="AD36" i="4"/>
  <c r="AC36" i="4"/>
  <c r="AC41" i="4" s="1"/>
  <c r="AB36" i="4"/>
  <c r="AA36" i="4"/>
  <c r="R36" i="4"/>
  <c r="Q34" i="4"/>
  <c r="Q55" i="4" s="1"/>
  <c r="P34" i="4"/>
  <c r="P55" i="4" s="1"/>
  <c r="O34" i="4"/>
  <c r="O55" i="4" s="1"/>
  <c r="N34" i="4"/>
  <c r="N55" i="4" s="1"/>
  <c r="M34" i="4"/>
  <c r="M55" i="4" s="1"/>
  <c r="L34" i="4"/>
  <c r="L55" i="4" s="1"/>
  <c r="H34" i="4"/>
  <c r="H55" i="4" s="1"/>
  <c r="E34" i="4"/>
  <c r="E55" i="4" s="1"/>
  <c r="AN33" i="4"/>
  <c r="AL33" i="4"/>
  <c r="AK33" i="4"/>
  <c r="AJ33" i="4"/>
  <c r="AI33" i="4"/>
  <c r="AH33" i="4"/>
  <c r="AG33" i="4"/>
  <c r="AF33" i="4"/>
  <c r="AE33" i="4"/>
  <c r="AD33" i="4"/>
  <c r="AC33" i="4"/>
  <c r="AB33" i="4"/>
  <c r="AA33" i="4"/>
  <c r="Y33" i="4"/>
  <c r="D33" i="4"/>
  <c r="BQ33" i="4" s="1"/>
  <c r="BD33" i="4" s="1"/>
  <c r="BG32" i="4"/>
  <c r="BF32" i="4"/>
  <c r="BE32" i="4"/>
  <c r="BD32" i="4"/>
  <c r="BC32" i="4"/>
  <c r="BB32" i="4"/>
  <c r="BA32" i="4"/>
  <c r="AZ32" i="4"/>
  <c r="AY32" i="4"/>
  <c r="AX32" i="4"/>
  <c r="AW32" i="4"/>
  <c r="AV32" i="4"/>
  <c r="AR32" i="4"/>
  <c r="AO32" i="4"/>
  <c r="AP32" i="4" s="1"/>
  <c r="AQ32" i="4" s="1"/>
  <c r="AN32" i="4"/>
  <c r="AL32" i="4"/>
  <c r="AK32" i="4"/>
  <c r="AJ32" i="4"/>
  <c r="AI32" i="4"/>
  <c r="AH32" i="4"/>
  <c r="AG32" i="4"/>
  <c r="AF32" i="4"/>
  <c r="AE32" i="4"/>
  <c r="AD32" i="4"/>
  <c r="AC32" i="4"/>
  <c r="AB32" i="4"/>
  <c r="AA32" i="4"/>
  <c r="Y32" i="4"/>
  <c r="D32" i="4"/>
  <c r="F32" i="4" s="1"/>
  <c r="G32" i="4" s="1"/>
  <c r="BT31" i="4"/>
  <c r="BS31" i="4"/>
  <c r="BR31" i="4"/>
  <c r="BQ31" i="4"/>
  <c r="BP31" i="4"/>
  <c r="BO31" i="4"/>
  <c r="BN31" i="4"/>
  <c r="BM31" i="4"/>
  <c r="BL31" i="4"/>
  <c r="BK31" i="4"/>
  <c r="BJ31" i="4"/>
  <c r="BI31" i="4"/>
  <c r="AR31" i="4" s="1"/>
  <c r="BG31" i="4"/>
  <c r="BF31" i="4"/>
  <c r="BE31" i="4"/>
  <c r="BD31" i="4"/>
  <c r="BC31" i="4"/>
  <c r="BB31" i="4"/>
  <c r="BA31" i="4"/>
  <c r="AZ31" i="4"/>
  <c r="AY31" i="4"/>
  <c r="AX31" i="4"/>
  <c r="AW31" i="4"/>
  <c r="AV31" i="4"/>
  <c r="AL31" i="4"/>
  <c r="AK31" i="4"/>
  <c r="AJ31" i="4"/>
  <c r="AI31" i="4"/>
  <c r="AH31" i="4"/>
  <c r="AG31" i="4"/>
  <c r="AF31" i="4"/>
  <c r="AE31" i="4"/>
  <c r="AD31" i="4"/>
  <c r="AC31" i="4"/>
  <c r="AB31" i="4"/>
  <c r="AA31" i="4"/>
  <c r="R31" i="4"/>
  <c r="AL30" i="4"/>
  <c r="AK30" i="4"/>
  <c r="AJ30" i="4"/>
  <c r="AI30" i="4"/>
  <c r="AH30" i="4"/>
  <c r="AG30" i="4"/>
  <c r="AF30" i="4"/>
  <c r="AE30" i="4"/>
  <c r="AD30" i="4"/>
  <c r="AC30" i="4"/>
  <c r="AB30" i="4"/>
  <c r="AA30" i="4"/>
  <c r="R30" i="4"/>
  <c r="BG29" i="4"/>
  <c r="BF29" i="4"/>
  <c r="BE29" i="4"/>
  <c r="BD29" i="4"/>
  <c r="BC29" i="4"/>
  <c r="BB29" i="4"/>
  <c r="BA29" i="4"/>
  <c r="AZ29" i="4"/>
  <c r="AY29" i="4"/>
  <c r="AX29" i="4"/>
  <c r="AW29" i="4"/>
  <c r="AV29" i="4"/>
  <c r="AR29" i="4"/>
  <c r="AO29" i="4"/>
  <c r="AN29" i="4"/>
  <c r="AL29" i="4"/>
  <c r="AK29" i="4"/>
  <c r="AJ29" i="4"/>
  <c r="AI29" i="4"/>
  <c r="AH29" i="4"/>
  <c r="AG29" i="4"/>
  <c r="AF29" i="4"/>
  <c r="AE29" i="4"/>
  <c r="AD29" i="4"/>
  <c r="AC29" i="4"/>
  <c r="AB29" i="4"/>
  <c r="AA29" i="4"/>
  <c r="Y29" i="4"/>
  <c r="I29" i="4"/>
  <c r="J29" i="4" s="1"/>
  <c r="D29" i="4"/>
  <c r="F29" i="4" s="1"/>
  <c r="G29" i="4" s="1"/>
  <c r="BT28" i="4"/>
  <c r="BS28" i="4"/>
  <c r="BR28" i="4"/>
  <c r="BQ28" i="4"/>
  <c r="BP28" i="4"/>
  <c r="BO28" i="4"/>
  <c r="BN28" i="4"/>
  <c r="BM28" i="4"/>
  <c r="BL28" i="4"/>
  <c r="AO28" i="4" s="1"/>
  <c r="BK28" i="4"/>
  <c r="BJ28" i="4"/>
  <c r="BI28" i="4"/>
  <c r="BG28" i="4"/>
  <c r="BF28" i="4"/>
  <c r="BE28" i="4"/>
  <c r="BD28" i="4"/>
  <c r="BC28" i="4"/>
  <c r="BB28" i="4"/>
  <c r="BA28" i="4"/>
  <c r="AZ28" i="4"/>
  <c r="AY28" i="4"/>
  <c r="AX28" i="4"/>
  <c r="AW28" i="4"/>
  <c r="AV28" i="4"/>
  <c r="AR28" i="4"/>
  <c r="AL28" i="4"/>
  <c r="AK28" i="4"/>
  <c r="AJ28" i="4"/>
  <c r="AI28" i="4"/>
  <c r="AH28" i="4"/>
  <c r="AG28" i="4"/>
  <c r="AF28" i="4"/>
  <c r="AE28" i="4"/>
  <c r="AD28" i="4"/>
  <c r="AC28" i="4"/>
  <c r="AB28" i="4"/>
  <c r="AA28" i="4"/>
  <c r="R28" i="4"/>
  <c r="BT27" i="4"/>
  <c r="BS27" i="4"/>
  <c r="BF27" i="4" s="1"/>
  <c r="BR27" i="4"/>
  <c r="BQ27" i="4"/>
  <c r="BP27" i="4"/>
  <c r="BO27" i="4"/>
  <c r="BB27" i="4" s="1"/>
  <c r="BN27" i="4"/>
  <c r="BM27" i="4"/>
  <c r="BL27" i="4"/>
  <c r="AY27" i="4" s="1"/>
  <c r="BK27" i="4"/>
  <c r="AX27" i="4" s="1"/>
  <c r="BJ27" i="4"/>
  <c r="AW27" i="4" s="1"/>
  <c r="BG27" i="4"/>
  <c r="BE27" i="4"/>
  <c r="BD27" i="4"/>
  <c r="BC27" i="4"/>
  <c r="BA27" i="4"/>
  <c r="AZ27" i="4"/>
  <c r="AV27" i="4"/>
  <c r="AL27" i="4"/>
  <c r="AK27" i="4"/>
  <c r="AJ27" i="4"/>
  <c r="AI27" i="4"/>
  <c r="AH27" i="4"/>
  <c r="AG27" i="4"/>
  <c r="AF27" i="4"/>
  <c r="AE27" i="4"/>
  <c r="AD27" i="4"/>
  <c r="AC27" i="4"/>
  <c r="AB27" i="4"/>
  <c r="AA27" i="4"/>
  <c r="R27" i="4"/>
  <c r="BT26" i="4"/>
  <c r="BG26" i="4" s="1"/>
  <c r="BS26" i="4"/>
  <c r="BR26" i="4"/>
  <c r="BQ26" i="4"/>
  <c r="BP26" i="4"/>
  <c r="BC26" i="4" s="1"/>
  <c r="BO26" i="4"/>
  <c r="BN26" i="4"/>
  <c r="BM26" i="4"/>
  <c r="AZ26" i="4" s="1"/>
  <c r="BL26" i="4"/>
  <c r="AY26" i="4" s="1"/>
  <c r="BK26" i="4"/>
  <c r="AR26" i="4" s="1"/>
  <c r="BJ26" i="4"/>
  <c r="BF26" i="4"/>
  <c r="BE26" i="4"/>
  <c r="BD26" i="4"/>
  <c r="BB26" i="4"/>
  <c r="BA26" i="4"/>
  <c r="AX26" i="4"/>
  <c r="AW26" i="4"/>
  <c r="AV26" i="4"/>
  <c r="AO26" i="4"/>
  <c r="AL26" i="4"/>
  <c r="AK26" i="4"/>
  <c r="AJ26" i="4"/>
  <c r="AI26" i="4"/>
  <c r="AH26" i="4"/>
  <c r="AG26" i="4"/>
  <c r="AF26" i="4"/>
  <c r="AE26" i="4"/>
  <c r="AD26" i="4"/>
  <c r="AC26" i="4"/>
  <c r="AB26" i="4"/>
  <c r="AA26" i="4"/>
  <c r="R26" i="4"/>
  <c r="AW25" i="4"/>
  <c r="AV25" i="4"/>
  <c r="AN25" i="4"/>
  <c r="AL25" i="4"/>
  <c r="AK25" i="4"/>
  <c r="AJ25" i="4"/>
  <c r="AI25" i="4"/>
  <c r="AH25" i="4"/>
  <c r="AG25" i="4"/>
  <c r="AF25" i="4"/>
  <c r="AE25" i="4"/>
  <c r="AD25" i="4"/>
  <c r="AC25" i="4"/>
  <c r="AB25" i="4"/>
  <c r="AA25" i="4"/>
  <c r="Y25" i="4"/>
  <c r="D25" i="4"/>
  <c r="BQ25" i="4" s="1"/>
  <c r="BD25" i="4" s="1"/>
  <c r="BT24" i="4"/>
  <c r="BS24" i="4"/>
  <c r="BR24" i="4"/>
  <c r="BQ24" i="4"/>
  <c r="BP24" i="4"/>
  <c r="BO24" i="4"/>
  <c r="BN24" i="4"/>
  <c r="BM24" i="4"/>
  <c r="BL24" i="4"/>
  <c r="BK24" i="4"/>
  <c r="BJ24" i="4"/>
  <c r="BI24" i="4"/>
  <c r="AR24" i="4" s="1"/>
  <c r="BG24" i="4"/>
  <c r="BF24" i="4"/>
  <c r="BE24" i="4"/>
  <c r="BD24" i="4"/>
  <c r="BC24" i="4"/>
  <c r="BB24" i="4"/>
  <c r="BA24" i="4"/>
  <c r="AZ24" i="4"/>
  <c r="AY24" i="4"/>
  <c r="AX24" i="4"/>
  <c r="AW24" i="4"/>
  <c r="AV24" i="4"/>
  <c r="AO24" i="4"/>
  <c r="AL24" i="4"/>
  <c r="AL34" i="4" s="1"/>
  <c r="AK24" i="4"/>
  <c r="AJ24" i="4"/>
  <c r="AJ34" i="4" s="1"/>
  <c r="AI24" i="4"/>
  <c r="AI34" i="4" s="1"/>
  <c r="AH24" i="4"/>
  <c r="AH34" i="4" s="1"/>
  <c r="AG24" i="4"/>
  <c r="AG34" i="4" s="1"/>
  <c r="AF24" i="4"/>
  <c r="AF34" i="4" s="1"/>
  <c r="AE24" i="4"/>
  <c r="AE34" i="4" s="1"/>
  <c r="AD24" i="4"/>
  <c r="AD34" i="4" s="1"/>
  <c r="AC24" i="4"/>
  <c r="AC34" i="4" s="1"/>
  <c r="AB24" i="4"/>
  <c r="AB34" i="4" s="1"/>
  <c r="AA24" i="4"/>
  <c r="AA34" i="4" s="1"/>
  <c r="R24" i="4"/>
  <c r="Q15" i="4"/>
  <c r="P15" i="4"/>
  <c r="O15" i="4"/>
  <c r="N15" i="4"/>
  <c r="M15" i="4"/>
  <c r="L15" i="4"/>
  <c r="H15" i="4"/>
  <c r="E15" i="4"/>
  <c r="Q14" i="4"/>
  <c r="P14" i="4"/>
  <c r="O14" i="4"/>
  <c r="N14" i="4"/>
  <c r="M14" i="4"/>
  <c r="L14" i="4"/>
  <c r="H14" i="4"/>
  <c r="E14" i="4"/>
  <c r="BI13" i="4"/>
  <c r="Q13" i="4"/>
  <c r="P13" i="4"/>
  <c r="O13" i="4"/>
  <c r="N13" i="4"/>
  <c r="M13" i="4"/>
  <c r="L13" i="4"/>
  <c r="H13" i="4"/>
  <c r="E13" i="4"/>
  <c r="BG8" i="4"/>
  <c r="BF8" i="4"/>
  <c r="BE8" i="4"/>
  <c r="BD8" i="4"/>
  <c r="BC8" i="4"/>
  <c r="BB8" i="4"/>
  <c r="BA8" i="4"/>
  <c r="AZ8" i="4"/>
  <c r="AY8" i="4"/>
  <c r="AX8" i="4"/>
  <c r="AW8" i="4"/>
  <c r="AV8" i="4"/>
  <c r="AO8" i="4"/>
  <c r="AP8" i="4" s="1"/>
  <c r="AQ8" i="4" s="1"/>
  <c r="BI7" i="4"/>
  <c r="BG7" i="4"/>
  <c r="BF7" i="4"/>
  <c r="BE7" i="4"/>
  <c r="BD7" i="4"/>
  <c r="BC7" i="4"/>
  <c r="BB7" i="4"/>
  <c r="BA7" i="4"/>
  <c r="AZ7" i="4"/>
  <c r="AY7" i="4"/>
  <c r="AX7" i="4"/>
  <c r="AW7" i="4"/>
  <c r="AV7" i="4"/>
  <c r="AO7" i="4"/>
  <c r="AP7" i="4" s="1"/>
  <c r="AQ7" i="4" s="1"/>
  <c r="BT6" i="4"/>
  <c r="BT510" i="4" s="1"/>
  <c r="BT36" i="4" s="1"/>
  <c r="BS6" i="4"/>
  <c r="BS510" i="4" s="1"/>
  <c r="BR6" i="4"/>
  <c r="BR510" i="4" s="1"/>
  <c r="BQ6" i="4"/>
  <c r="BQ510" i="4" s="1"/>
  <c r="BQ36" i="4" s="1"/>
  <c r="BP6" i="4"/>
  <c r="BP510" i="4" s="1"/>
  <c r="BP36" i="4" s="1"/>
  <c r="BO6" i="4"/>
  <c r="BO510" i="4" s="1"/>
  <c r="BN6" i="4"/>
  <c r="BN510" i="4" s="1"/>
  <c r="BM6" i="4"/>
  <c r="BM510" i="4" s="1"/>
  <c r="BM36" i="4" s="1"/>
  <c r="BL6" i="4"/>
  <c r="BL510" i="4" s="1"/>
  <c r="BL36" i="4" s="1"/>
  <c r="BK6" i="4"/>
  <c r="BK510" i="4" s="1"/>
  <c r="BJ6" i="4"/>
  <c r="BJ510" i="4" s="1"/>
  <c r="BI6" i="4"/>
  <c r="BI510" i="4" s="1"/>
  <c r="BI36" i="4" s="1"/>
  <c r="BG6" i="4"/>
  <c r="BF6" i="4"/>
  <c r="BE6" i="4"/>
  <c r="BD6" i="4"/>
  <c r="BC6" i="4"/>
  <c r="BB6" i="4"/>
  <c r="BA6" i="4"/>
  <c r="AZ6" i="4"/>
  <c r="AY6" i="4"/>
  <c r="AX6" i="4"/>
  <c r="AW6" i="4"/>
  <c r="AV6" i="4"/>
  <c r="BG5" i="4"/>
  <c r="BF5" i="4"/>
  <c r="BE5" i="4"/>
  <c r="BD5" i="4"/>
  <c r="BC5" i="4"/>
  <c r="BB5" i="4"/>
  <c r="BA5" i="4"/>
  <c r="AZ5" i="4"/>
  <c r="AY5" i="4"/>
  <c r="AX5" i="4"/>
  <c r="AW5" i="4"/>
  <c r="AV5" i="4"/>
  <c r="AO5" i="4"/>
  <c r="AP5" i="4" s="1"/>
  <c r="AQ5" i="4" s="1"/>
  <c r="T75" i="4" l="1"/>
  <c r="U75" i="4" s="1"/>
  <c r="V75" i="4" s="1"/>
  <c r="AK34" i="4"/>
  <c r="AO27" i="4"/>
  <c r="AP29" i="4"/>
  <c r="AQ29" i="4" s="1"/>
  <c r="AO31" i="4"/>
  <c r="AS31" i="4" s="1"/>
  <c r="AT31" i="4" s="1"/>
  <c r="F33" i="4"/>
  <c r="G33" i="4" s="1"/>
  <c r="AA41" i="4"/>
  <c r="AE41" i="4"/>
  <c r="AI41" i="4"/>
  <c r="AO38" i="4"/>
  <c r="AR39" i="4"/>
  <c r="AD50" i="4"/>
  <c r="AH50" i="4"/>
  <c r="AL50" i="4"/>
  <c r="AW50" i="4"/>
  <c r="BA50" i="4"/>
  <c r="BE50" i="4"/>
  <c r="BJ50" i="4"/>
  <c r="BN50" i="4"/>
  <c r="BR50" i="4"/>
  <c r="AO44" i="4"/>
  <c r="AR45" i="4"/>
  <c r="AS45" i="4" s="1"/>
  <c r="AT45" i="4" s="1"/>
  <c r="AO48" i="4"/>
  <c r="AR49" i="4"/>
  <c r="AS49" i="4" s="1"/>
  <c r="AT49" i="4" s="1"/>
  <c r="AA90" i="4"/>
  <c r="AE90" i="4"/>
  <c r="AI90" i="4"/>
  <c r="AS64" i="4"/>
  <c r="AT64" i="4" s="1"/>
  <c r="AP67" i="4"/>
  <c r="AQ67" i="4" s="1"/>
  <c r="AS68" i="4"/>
  <c r="AT68" i="4" s="1"/>
  <c r="AS69" i="4"/>
  <c r="AT69" i="4" s="1"/>
  <c r="T70" i="4"/>
  <c r="S116" i="4"/>
  <c r="T116" i="4" s="1"/>
  <c r="U116" i="4" s="1"/>
  <c r="AO6" i="4"/>
  <c r="AP6" i="4" s="1"/>
  <c r="AQ6" i="4" s="1"/>
  <c r="AR27" i="4"/>
  <c r="AB41" i="4"/>
  <c r="AF41" i="4"/>
  <c r="AJ41" i="4"/>
  <c r="AO43" i="4"/>
  <c r="AO50" i="4" s="1"/>
  <c r="AO65" i="4"/>
  <c r="AS67" i="4"/>
  <c r="AT67" i="4" s="1"/>
  <c r="AO86" i="4"/>
  <c r="AR86" i="4"/>
  <c r="AR97" i="4"/>
  <c r="AY97" i="4"/>
  <c r="S103" i="4"/>
  <c r="T103" i="4" s="1"/>
  <c r="U103" i="4" s="1"/>
  <c r="V103" i="4" s="1"/>
  <c r="T281" i="4"/>
  <c r="U281" i="4" s="1"/>
  <c r="V281" i="4" s="1"/>
  <c r="AS40" i="4"/>
  <c r="AT40" i="4" s="1"/>
  <c r="AR50" i="4"/>
  <c r="BQ112" i="4"/>
  <c r="BD112" i="4" s="1"/>
  <c r="F112" i="4"/>
  <c r="G112" i="4" s="1"/>
  <c r="AB55" i="4"/>
  <c r="AF55" i="4"/>
  <c r="AJ55" i="4"/>
  <c r="AD41" i="4"/>
  <c r="AH41" i="4"/>
  <c r="AL41" i="4"/>
  <c r="AC50" i="4"/>
  <c r="AC55" i="4" s="1"/>
  <c r="AG50" i="4"/>
  <c r="AG55" i="4" s="1"/>
  <c r="AK50" i="4"/>
  <c r="AV50" i="4"/>
  <c r="AZ50" i="4"/>
  <c r="BD50" i="4"/>
  <c r="BI50" i="4"/>
  <c r="BM50" i="4"/>
  <c r="BQ50" i="4"/>
  <c r="AR52" i="4"/>
  <c r="R90" i="4"/>
  <c r="AD90" i="4"/>
  <c r="AH90" i="4"/>
  <c r="AL90" i="4"/>
  <c r="AR65" i="4"/>
  <c r="AR82" i="4"/>
  <c r="AS82" i="4" s="1"/>
  <c r="AT82" i="4" s="1"/>
  <c r="AO83" i="4"/>
  <c r="T84" i="4"/>
  <c r="U102" i="4"/>
  <c r="T102" i="4"/>
  <c r="AE159" i="4"/>
  <c r="AO185" i="4"/>
  <c r="AO186" i="4"/>
  <c r="I190" i="4"/>
  <c r="J190" i="4" s="1"/>
  <c r="BO190" i="4"/>
  <c r="BB190" i="4" s="1"/>
  <c r="AO191" i="4"/>
  <c r="AS203" i="4"/>
  <c r="AT203" i="4" s="1"/>
  <c r="I206" i="4"/>
  <c r="J206" i="4" s="1"/>
  <c r="AS208" i="4"/>
  <c r="AT208" i="4" s="1"/>
  <c r="I210" i="4"/>
  <c r="J210" i="4" s="1"/>
  <c r="AR233" i="4"/>
  <c r="AS233" i="4" s="1"/>
  <c r="AT233" i="4" s="1"/>
  <c r="AO238" i="4"/>
  <c r="AR239" i="4"/>
  <c r="AS295" i="4"/>
  <c r="AT295" i="4" s="1"/>
  <c r="AH299" i="4"/>
  <c r="AH300" i="4"/>
  <c r="AS304" i="4"/>
  <c r="AT304" i="4" s="1"/>
  <c r="AS307" i="4"/>
  <c r="AT307" i="4" s="1"/>
  <c r="AS308" i="4"/>
  <c r="AT308" i="4" s="1"/>
  <c r="AD313" i="4"/>
  <c r="AH314" i="4"/>
  <c r="AO85" i="4"/>
  <c r="BJ88" i="4"/>
  <c r="AW88" i="4" s="1"/>
  <c r="BR88" i="4"/>
  <c r="BE88" i="4" s="1"/>
  <c r="AD120" i="4"/>
  <c r="AH120" i="4"/>
  <c r="AL120" i="4"/>
  <c r="AO97" i="4"/>
  <c r="AO117" i="4"/>
  <c r="AA143" i="4"/>
  <c r="AE143" i="4"/>
  <c r="AI143" i="4"/>
  <c r="S134" i="4"/>
  <c r="T134" i="4" s="1"/>
  <c r="U134" i="4" s="1"/>
  <c r="S141" i="4"/>
  <c r="T141" i="4" s="1"/>
  <c r="U141" i="4" s="1"/>
  <c r="S150" i="4"/>
  <c r="T150" i="4" s="1"/>
  <c r="U150" i="4" s="1"/>
  <c r="AD156" i="4"/>
  <c r="AI156" i="4"/>
  <c r="S158" i="4"/>
  <c r="T158" i="4" s="1"/>
  <c r="U158" i="4" s="1"/>
  <c r="V158" i="4" s="1"/>
  <c r="R159" i="4"/>
  <c r="AF159" i="4"/>
  <c r="AL161" i="4"/>
  <c r="AR167" i="4"/>
  <c r="F170" i="4"/>
  <c r="G170" i="4" s="1"/>
  <c r="U173" i="4"/>
  <c r="AR175" i="4"/>
  <c r="U177" i="4"/>
  <c r="AR179" i="4"/>
  <c r="U181" i="4"/>
  <c r="AR183" i="4"/>
  <c r="BJ190" i="4"/>
  <c r="AW190" i="4" s="1"/>
  <c r="BR190" i="4"/>
  <c r="BE190" i="4" s="1"/>
  <c r="S196" i="4"/>
  <c r="T196" i="4" s="1"/>
  <c r="U196" i="4" s="1"/>
  <c r="F218" i="4"/>
  <c r="G218" i="4" s="1"/>
  <c r="S221" i="4"/>
  <c r="T221" i="4" s="1"/>
  <c r="U221" i="4" s="1"/>
  <c r="V221" i="4" s="1"/>
  <c r="S223" i="4"/>
  <c r="T223" i="4" s="1"/>
  <c r="U223" i="4" s="1"/>
  <c r="AR237" i="4"/>
  <c r="AS237" i="4" s="1"/>
  <c r="AT237" i="4" s="1"/>
  <c r="AO239" i="4"/>
  <c r="AB264" i="4"/>
  <c r="AF264" i="4"/>
  <c r="AJ264" i="4"/>
  <c r="S269" i="4"/>
  <c r="V269" i="4" s="1"/>
  <c r="S279" i="4"/>
  <c r="T279" i="4" s="1"/>
  <c r="U279" i="4" s="1"/>
  <c r="S284" i="4"/>
  <c r="T284" i="4" s="1"/>
  <c r="U284" i="4" s="1"/>
  <c r="AS293" i="4"/>
  <c r="AT293" i="4" s="1"/>
  <c r="S295" i="4"/>
  <c r="T295" i="4" s="1"/>
  <c r="AL299" i="4"/>
  <c r="I308" i="4"/>
  <c r="J308" i="4" s="1"/>
  <c r="S366" i="4"/>
  <c r="T364" i="4"/>
  <c r="F88" i="4"/>
  <c r="G88" i="4" s="1"/>
  <c r="BK88" i="4"/>
  <c r="AX88" i="4" s="1"/>
  <c r="BS88" i="4"/>
  <c r="BF88" i="4" s="1"/>
  <c r="AA120" i="4"/>
  <c r="AE120" i="4"/>
  <c r="AI120" i="4"/>
  <c r="S96" i="4"/>
  <c r="S98" i="4"/>
  <c r="S105" i="4"/>
  <c r="T105" i="4" s="1"/>
  <c r="U105" i="4" s="1"/>
  <c r="AO113" i="4"/>
  <c r="AB143" i="4"/>
  <c r="AF143" i="4"/>
  <c r="AJ143" i="4"/>
  <c r="AX126" i="4"/>
  <c r="AR138" i="4"/>
  <c r="AR140" i="4"/>
  <c r="H242" i="4"/>
  <c r="H566" i="4" s="1"/>
  <c r="AA159" i="4"/>
  <c r="AI159" i="4"/>
  <c r="S160" i="4"/>
  <c r="T160" i="4" s="1"/>
  <c r="U160" i="4" s="1"/>
  <c r="V160" i="4" s="1"/>
  <c r="S166" i="4"/>
  <c r="T166" i="4" s="1"/>
  <c r="U166" i="4" s="1"/>
  <c r="AO167" i="4"/>
  <c r="AO168" i="4"/>
  <c r="AO172" i="4"/>
  <c r="AO175" i="4"/>
  <c r="AO176" i="4"/>
  <c r="AO179" i="4"/>
  <c r="AO180" i="4"/>
  <c r="AO183" i="4"/>
  <c r="AO184" i="4"/>
  <c r="S186" i="4"/>
  <c r="T186" i="4" s="1"/>
  <c r="U186" i="4" s="1"/>
  <c r="V186" i="4" s="1"/>
  <c r="AO188" i="4"/>
  <c r="F190" i="4"/>
  <c r="G190" i="4" s="1"/>
  <c r="BK190" i="4"/>
  <c r="AX190" i="4" s="1"/>
  <c r="BS190" i="4"/>
  <c r="BF190" i="4" s="1"/>
  <c r="S192" i="4"/>
  <c r="T192" i="4" s="1"/>
  <c r="U192" i="4" s="1"/>
  <c r="S195" i="4"/>
  <c r="T195" i="4" s="1"/>
  <c r="U195" i="4" s="1"/>
  <c r="S198" i="4"/>
  <c r="T198" i="4" s="1"/>
  <c r="U198" i="4" s="1"/>
  <c r="T203" i="4"/>
  <c r="V203" i="4" s="1"/>
  <c r="S208" i="4"/>
  <c r="T208" i="4" s="1"/>
  <c r="U208" i="4" s="1"/>
  <c r="F214" i="4"/>
  <c r="G214" i="4" s="1"/>
  <c r="AR234" i="4"/>
  <c r="BR264" i="4"/>
  <c r="AR261" i="4"/>
  <c r="S268" i="4"/>
  <c r="T268" i="4" s="1"/>
  <c r="U268" i="4" s="1"/>
  <c r="T269" i="4"/>
  <c r="S278" i="4"/>
  <c r="T278" i="4" s="1"/>
  <c r="S280" i="4"/>
  <c r="AS281" i="4"/>
  <c r="AT281" i="4" s="1"/>
  <c r="AS285" i="4"/>
  <c r="AT285" i="4" s="1"/>
  <c r="S286" i="4"/>
  <c r="T286" i="4" s="1"/>
  <c r="U286" i="4" s="1"/>
  <c r="V286" i="4" s="1"/>
  <c r="S304" i="4"/>
  <c r="T304" i="4" s="1"/>
  <c r="AK313" i="4"/>
  <c r="AH313" i="4"/>
  <c r="AI313" i="4"/>
  <c r="AK314" i="4"/>
  <c r="AE314" i="4"/>
  <c r="AL314" i="4"/>
  <c r="AD314" i="4"/>
  <c r="AR87" i="4"/>
  <c r="BN88" i="4"/>
  <c r="BA88" i="4" s="1"/>
  <c r="E566" i="4"/>
  <c r="E690" i="4" s="1"/>
  <c r="N566" i="4"/>
  <c r="N690" i="4" s="1"/>
  <c r="AB120" i="4"/>
  <c r="AF120" i="4"/>
  <c r="AJ120" i="4"/>
  <c r="T96" i="4"/>
  <c r="T98" i="4"/>
  <c r="S99" i="4"/>
  <c r="AO116" i="4"/>
  <c r="AS134" i="4"/>
  <c r="AT134" i="4" s="1"/>
  <c r="AO140" i="4"/>
  <c r="AS150" i="4"/>
  <c r="AT150" i="4" s="1"/>
  <c r="AD155" i="4"/>
  <c r="AA156" i="4"/>
  <c r="AF156" i="4"/>
  <c r="AL156" i="4"/>
  <c r="AB159" i="4"/>
  <c r="AJ159" i="4"/>
  <c r="AD161" i="4"/>
  <c r="AS162" i="4"/>
  <c r="AT162" i="4" s="1"/>
  <c r="AS165" i="4"/>
  <c r="AT165" i="4" s="1"/>
  <c r="AR169" i="4"/>
  <c r="AO173" i="4"/>
  <c r="AR174" i="4"/>
  <c r="AO177" i="4"/>
  <c r="AR178" i="4"/>
  <c r="AO181" i="4"/>
  <c r="AR182" i="4"/>
  <c r="AR185" i="4"/>
  <c r="BN190" i="4"/>
  <c r="BA190" i="4" s="1"/>
  <c r="AR191" i="4"/>
  <c r="U203" i="4"/>
  <c r="AS204" i="4"/>
  <c r="AT204" i="4" s="1"/>
  <c r="AS205" i="4"/>
  <c r="AT205" i="4" s="1"/>
  <c r="AS206" i="4"/>
  <c r="AT206" i="4" s="1"/>
  <c r="AS207" i="4"/>
  <c r="AT207" i="4" s="1"/>
  <c r="AO234" i="4"/>
  <c r="AO235" i="4"/>
  <c r="AX264" i="4"/>
  <c r="BB264" i="4"/>
  <c r="BF264" i="4"/>
  <c r="BK264" i="4"/>
  <c r="BO264" i="4"/>
  <c r="BS264" i="4"/>
  <c r="AD331" i="4"/>
  <c r="AH331" i="4"/>
  <c r="U269" i="4"/>
  <c r="S273" i="4"/>
  <c r="AS279" i="4"/>
  <c r="AT279" i="4" s="1"/>
  <c r="T280" i="4"/>
  <c r="AP285" i="4"/>
  <c r="AQ285" i="4" s="1"/>
  <c r="F291" i="4"/>
  <c r="G291" i="4" s="1"/>
  <c r="AS291" i="4"/>
  <c r="AT291" i="4" s="1"/>
  <c r="U295" i="4"/>
  <c r="AS296" i="4"/>
  <c r="AT296" i="4" s="1"/>
  <c r="AS297" i="4"/>
  <c r="AT297" i="4" s="1"/>
  <c r="AD299" i="4"/>
  <c r="AD300" i="4"/>
  <c r="S305" i="4"/>
  <c r="AA313" i="4"/>
  <c r="AL313" i="4"/>
  <c r="AL331" i="4" s="1"/>
  <c r="AA314" i="4"/>
  <c r="AS318" i="4"/>
  <c r="AT318" i="4" s="1"/>
  <c r="AS347" i="4"/>
  <c r="AT347" i="4" s="1"/>
  <c r="Y348" i="4"/>
  <c r="AS351" i="4"/>
  <c r="AT351" i="4" s="1"/>
  <c r="I357" i="4"/>
  <c r="J357" i="4" s="1"/>
  <c r="R366" i="4"/>
  <c r="AO379" i="4"/>
  <c r="AE389" i="4"/>
  <c r="T398" i="4"/>
  <c r="S405" i="4"/>
  <c r="T405" i="4" s="1"/>
  <c r="S329" i="4"/>
  <c r="T329" i="4" s="1"/>
  <c r="AH389" i="4"/>
  <c r="AS317" i="4"/>
  <c r="AT317" i="4" s="1"/>
  <c r="T318" i="4"/>
  <c r="AS322" i="4"/>
  <c r="AT322" i="4" s="1"/>
  <c r="AS324" i="4"/>
  <c r="AT324" i="4" s="1"/>
  <c r="AC360" i="4"/>
  <c r="AG360" i="4"/>
  <c r="AK360" i="4"/>
  <c r="S337" i="4"/>
  <c r="AR338" i="4"/>
  <c r="S340" i="4"/>
  <c r="U340" i="4" s="1"/>
  <c r="T345" i="4"/>
  <c r="V345" i="4" s="1"/>
  <c r="S347" i="4"/>
  <c r="T347" i="4" s="1"/>
  <c r="U347" i="4" s="1"/>
  <c r="V348" i="4"/>
  <c r="AS350" i="4"/>
  <c r="AT350" i="4" s="1"/>
  <c r="T351" i="4"/>
  <c r="U351" i="4" s="1"/>
  <c r="S354" i="4"/>
  <c r="T354" i="4" s="1"/>
  <c r="AO371" i="4"/>
  <c r="AA457" i="4"/>
  <c r="AE457" i="4"/>
  <c r="AA389" i="4"/>
  <c r="AI389" i="4"/>
  <c r="AI457" i="4" s="1"/>
  <c r="S392" i="4"/>
  <c r="T392" i="4" s="1"/>
  <c r="U392" i="4" s="1"/>
  <c r="T415" i="4"/>
  <c r="S415" i="4"/>
  <c r="U318" i="4"/>
  <c r="V318" i="4" s="1"/>
  <c r="AS319" i="4"/>
  <c r="AT319" i="4" s="1"/>
  <c r="V321" i="4"/>
  <c r="AS336" i="4"/>
  <c r="AT336" i="4" s="1"/>
  <c r="T337" i="4"/>
  <c r="AO338" i="4"/>
  <c r="AS339" i="4"/>
  <c r="AT339" i="4" s="1"/>
  <c r="T340" i="4"/>
  <c r="S341" i="4"/>
  <c r="U345" i="4"/>
  <c r="AS346" i="4"/>
  <c r="AT346" i="4" s="1"/>
  <c r="W348" i="4"/>
  <c r="AR356" i="4"/>
  <c r="AR358" i="4"/>
  <c r="AD389" i="4"/>
  <c r="AL389" i="4"/>
  <c r="I410" i="4"/>
  <c r="J410" i="4" s="1"/>
  <c r="AO446" i="4"/>
  <c r="AR446" i="4"/>
  <c r="AO452" i="4"/>
  <c r="AO461" i="4"/>
  <c r="AS461" i="4" s="1"/>
  <c r="AT461" i="4" s="1"/>
  <c r="T469" i="4"/>
  <c r="U469" i="4" s="1"/>
  <c r="V469" i="4" s="1"/>
  <c r="T480" i="4"/>
  <c r="T503" i="4"/>
  <c r="S506" i="4"/>
  <c r="T506" i="4" s="1"/>
  <c r="S430" i="4"/>
  <c r="S465" i="4"/>
  <c r="T477" i="4"/>
  <c r="U477" i="4" s="1"/>
  <c r="S477" i="4"/>
  <c r="AO518" i="4"/>
  <c r="AR518" i="4"/>
  <c r="R547" i="4"/>
  <c r="S531" i="4"/>
  <c r="T531" i="4" s="1"/>
  <c r="AO555" i="4"/>
  <c r="AR555" i="4"/>
  <c r="AC648" i="4"/>
  <c r="AC14" i="4" s="1"/>
  <c r="AG648" i="4"/>
  <c r="AG14" i="4" s="1"/>
  <c r="AK648" i="4"/>
  <c r="AK14" i="4" s="1"/>
  <c r="S416" i="4"/>
  <c r="S426" i="4"/>
  <c r="T437" i="4"/>
  <c r="T451" i="4"/>
  <c r="AR452" i="4"/>
  <c r="AO453" i="4"/>
  <c r="AS453" i="4" s="1"/>
  <c r="AT453" i="4" s="1"/>
  <c r="T463" i="4"/>
  <c r="T465" i="4"/>
  <c r="U465" i="4" s="1"/>
  <c r="V465" i="4" s="1"/>
  <c r="AR470" i="4"/>
  <c r="AS470" i="4" s="1"/>
  <c r="AT470" i="4" s="1"/>
  <c r="AA527" i="4"/>
  <c r="AE527" i="4"/>
  <c r="AI527" i="4"/>
  <c r="AO519" i="4"/>
  <c r="AS519" i="4" s="1"/>
  <c r="AT519" i="4" s="1"/>
  <c r="AO557" i="4"/>
  <c r="AS557" i="4" s="1"/>
  <c r="AT557" i="4" s="1"/>
  <c r="BJ585" i="4"/>
  <c r="AW583" i="4"/>
  <c r="AW585" i="4" s="1"/>
  <c r="BN585" i="4"/>
  <c r="BA583" i="4"/>
  <c r="BA585" i="4" s="1"/>
  <c r="BR585" i="4"/>
  <c r="BE583" i="4"/>
  <c r="BE585" i="4" s="1"/>
  <c r="AA606" i="4"/>
  <c r="AA13" i="4" s="1"/>
  <c r="AE606" i="4"/>
  <c r="AE13" i="4" s="1"/>
  <c r="AI606" i="4"/>
  <c r="AI13" i="4" s="1"/>
  <c r="BR646" i="4"/>
  <c r="BE646" i="4" s="1"/>
  <c r="BE648" i="4" s="1"/>
  <c r="BQ646" i="4"/>
  <c r="BD646" i="4" s="1"/>
  <c r="BI646" i="4"/>
  <c r="AV646" i="4" s="1"/>
  <c r="BO646" i="4"/>
  <c r="BB646" i="4" s="1"/>
  <c r="I646" i="4"/>
  <c r="J646" i="4" s="1"/>
  <c r="BM646" i="4"/>
  <c r="AZ646" i="4" s="1"/>
  <c r="F646" i="4"/>
  <c r="G646" i="4" s="1"/>
  <c r="BK646" i="4"/>
  <c r="AX646" i="4" s="1"/>
  <c r="AO674" i="4"/>
  <c r="AS415" i="4"/>
  <c r="AT415" i="4" s="1"/>
  <c r="T416" i="4"/>
  <c r="AR417" i="4"/>
  <c r="S420" i="4"/>
  <c r="F422" i="4"/>
  <c r="G422" i="4" s="1"/>
  <c r="T426" i="4"/>
  <c r="T433" i="4"/>
  <c r="T441" i="4"/>
  <c r="AR447" i="4"/>
  <c r="AS447" i="4" s="1"/>
  <c r="AT447" i="4" s="1"/>
  <c r="T449" i="4"/>
  <c r="AW452" i="4"/>
  <c r="AO469" i="4"/>
  <c r="AR469" i="4"/>
  <c r="AR471" i="4"/>
  <c r="S521" i="4"/>
  <c r="T521" i="4" s="1"/>
  <c r="U521" i="4" s="1"/>
  <c r="V521" i="4" s="1"/>
  <c r="AD564" i="4"/>
  <c r="AH564" i="4"/>
  <c r="AL564" i="4"/>
  <c r="S559" i="4"/>
  <c r="T559" i="4" s="1"/>
  <c r="U559" i="4" s="1"/>
  <c r="AS434" i="4"/>
  <c r="AT434" i="4" s="1"/>
  <c r="AS437" i="4"/>
  <c r="AT437" i="4" s="1"/>
  <c r="BI451" i="4"/>
  <c r="BM451" i="4"/>
  <c r="AZ451" i="4" s="1"/>
  <c r="BQ451" i="4"/>
  <c r="BD451" i="4" s="1"/>
  <c r="AO454" i="4"/>
  <c r="AA473" i="4"/>
  <c r="AE473" i="4"/>
  <c r="AI473" i="4"/>
  <c r="AS479" i="4"/>
  <c r="AT479" i="4" s="1"/>
  <c r="AS486" i="4"/>
  <c r="AT486" i="4" s="1"/>
  <c r="AS495" i="4"/>
  <c r="AT495" i="4" s="1"/>
  <c r="AR502" i="4"/>
  <c r="AS502" i="4" s="1"/>
  <c r="AT502" i="4" s="1"/>
  <c r="BS504" i="4"/>
  <c r="BF504" i="4" s="1"/>
  <c r="AR508" i="4"/>
  <c r="U510" i="4"/>
  <c r="AO512" i="4"/>
  <c r="AO513" i="4"/>
  <c r="AR516" i="4"/>
  <c r="AR533" i="4"/>
  <c r="AO539" i="4"/>
  <c r="AR540" i="4"/>
  <c r="AS540" i="4" s="1"/>
  <c r="AT540" i="4" s="1"/>
  <c r="R564" i="4"/>
  <c r="AA564" i="4"/>
  <c r="AE564" i="4"/>
  <c r="AI564" i="4"/>
  <c r="AR553" i="4"/>
  <c r="AO560" i="4"/>
  <c r="AF608" i="4"/>
  <c r="AJ608" i="4"/>
  <c r="AB606" i="4"/>
  <c r="AB13" i="4" s="1"/>
  <c r="AF606" i="4"/>
  <c r="AF13" i="4" s="1"/>
  <c r="AJ606" i="4"/>
  <c r="AJ13" i="4" s="1"/>
  <c r="AV606" i="4"/>
  <c r="AV13" i="4" s="1"/>
  <c r="AC650" i="4"/>
  <c r="AG650" i="4"/>
  <c r="AK650" i="4"/>
  <c r="AD648" i="4"/>
  <c r="AH648" i="4"/>
  <c r="AL648" i="4"/>
  <c r="AX648" i="4"/>
  <c r="BB648" i="4"/>
  <c r="BF648" i="4"/>
  <c r="BK648" i="4"/>
  <c r="BO648" i="4"/>
  <c r="BS648" i="4"/>
  <c r="AO640" i="4"/>
  <c r="AO641" i="4"/>
  <c r="AO643" i="4"/>
  <c r="AO645" i="4"/>
  <c r="AD668" i="4"/>
  <c r="AH668" i="4"/>
  <c r="AL668" i="4"/>
  <c r="AO661" i="4"/>
  <c r="BR666" i="4"/>
  <c r="BE666" i="4" s="1"/>
  <c r="AO500" i="4"/>
  <c r="AO501" i="4"/>
  <c r="AO508" i="4"/>
  <c r="AS508" i="4" s="1"/>
  <c r="AT508" i="4" s="1"/>
  <c r="AR511" i="4"/>
  <c r="AS511" i="4" s="1"/>
  <c r="AT511" i="4" s="1"/>
  <c r="AO516" i="4"/>
  <c r="AO517" i="4"/>
  <c r="AR520" i="4"/>
  <c r="AR525" i="4"/>
  <c r="AS525" i="4" s="1"/>
  <c r="AT525" i="4" s="1"/>
  <c r="AR532" i="4"/>
  <c r="AS532" i="4" s="1"/>
  <c r="AT532" i="4" s="1"/>
  <c r="S535" i="4"/>
  <c r="T535" i="4" s="1"/>
  <c r="S551" i="4"/>
  <c r="AB564" i="4"/>
  <c r="AF564" i="4"/>
  <c r="AJ564" i="4"/>
  <c r="AO553" i="4"/>
  <c r="AO554" i="4"/>
  <c r="AR558" i="4"/>
  <c r="AC606" i="4"/>
  <c r="AC13" i="4" s="1"/>
  <c r="AG606" i="4"/>
  <c r="AG13" i="4" s="1"/>
  <c r="AK606" i="4"/>
  <c r="AK13" i="4" s="1"/>
  <c r="BG606" i="4"/>
  <c r="AD630" i="4"/>
  <c r="AH630" i="4"/>
  <c r="AL630" i="4"/>
  <c r="AA648" i="4"/>
  <c r="AA14" i="4" s="1"/>
  <c r="AE648" i="4"/>
  <c r="AE14" i="4" s="1"/>
  <c r="AI648" i="4"/>
  <c r="AI14" i="4" s="1"/>
  <c r="AO635" i="4"/>
  <c r="AS635" i="4" s="1"/>
  <c r="AT635" i="4" s="1"/>
  <c r="AO637" i="4"/>
  <c r="AR642" i="4"/>
  <c r="AR662" i="4"/>
  <c r="BJ666" i="4"/>
  <c r="AW666" i="4" s="1"/>
  <c r="BS666" i="4"/>
  <c r="BF666" i="4" s="1"/>
  <c r="BF668" i="4" s="1"/>
  <c r="AO673" i="4"/>
  <c r="AR674" i="4"/>
  <c r="AO678" i="4"/>
  <c r="AR679" i="4"/>
  <c r="AS679" i="4" s="1"/>
  <c r="AT679" i="4" s="1"/>
  <c r="AS433" i="4"/>
  <c r="AT433" i="4" s="1"/>
  <c r="T434" i="4"/>
  <c r="U434" i="4" s="1"/>
  <c r="AO445" i="4"/>
  <c r="AO448" i="4"/>
  <c r="BI449" i="4"/>
  <c r="BM449" i="4"/>
  <c r="AZ449" i="4" s="1"/>
  <c r="BQ449" i="4"/>
  <c r="BD449" i="4" s="1"/>
  <c r="AO471" i="4"/>
  <c r="AD527" i="4"/>
  <c r="AH527" i="4"/>
  <c r="AL527" i="4"/>
  <c r="AS497" i="4"/>
  <c r="AT497" i="4" s="1"/>
  <c r="I504" i="4"/>
  <c r="J504" i="4" s="1"/>
  <c r="AR507" i="4"/>
  <c r="AO514" i="4"/>
  <c r="AR515" i="4"/>
  <c r="AO520" i="4"/>
  <c r="AO524" i="4"/>
  <c r="T551" i="4"/>
  <c r="AC564" i="4"/>
  <c r="AG564" i="4"/>
  <c r="AK564" i="4"/>
  <c r="AR552" i="4"/>
  <c r="AO558" i="4"/>
  <c r="AO559" i="4"/>
  <c r="AD606" i="4"/>
  <c r="AD13" i="4" s="1"/>
  <c r="AH606" i="4"/>
  <c r="AH13" i="4" s="1"/>
  <c r="AL606" i="4"/>
  <c r="AL13" i="4" s="1"/>
  <c r="AS590" i="4"/>
  <c r="AT590" i="4" s="1"/>
  <c r="AA650" i="4"/>
  <c r="AE650" i="4"/>
  <c r="AI650" i="4"/>
  <c r="AB648" i="4"/>
  <c r="AB14" i="4" s="1"/>
  <c r="AF648" i="4"/>
  <c r="AF14" i="4" s="1"/>
  <c r="AJ648" i="4"/>
  <c r="AJ14" i="4" s="1"/>
  <c r="AV648" i="4"/>
  <c r="AZ648" i="4"/>
  <c r="BD648" i="4"/>
  <c r="BM648" i="4"/>
  <c r="BQ648" i="4"/>
  <c r="AR643" i="4"/>
  <c r="AR645" i="4"/>
  <c r="AB668" i="4"/>
  <c r="AF668" i="4"/>
  <c r="AJ668" i="4"/>
  <c r="AR663" i="4"/>
  <c r="AS663" i="4" s="1"/>
  <c r="AT663" i="4" s="1"/>
  <c r="E683" i="4"/>
  <c r="E687" i="4" s="1"/>
  <c r="N683" i="4"/>
  <c r="AR677" i="4"/>
  <c r="BL41" i="4"/>
  <c r="AY36" i="4"/>
  <c r="AY41" i="4" s="1"/>
  <c r="BP41" i="4"/>
  <c r="BC36" i="4"/>
  <c r="BC41" i="4" s="1"/>
  <c r="BT41" i="4"/>
  <c r="BG36" i="4"/>
  <c r="BG41" i="4" s="1"/>
  <c r="AD55" i="4"/>
  <c r="AH55" i="4"/>
  <c r="AL55" i="4"/>
  <c r="L689" i="4"/>
  <c r="L691" i="4" s="1"/>
  <c r="L568" i="4"/>
  <c r="L616" i="4" s="1"/>
  <c r="L12" i="4"/>
  <c r="L11" i="4" s="1"/>
  <c r="P689" i="4"/>
  <c r="P691" i="4" s="1"/>
  <c r="P568" i="4"/>
  <c r="P616" i="4" s="1"/>
  <c r="P12" i="4"/>
  <c r="P11" i="4" s="1"/>
  <c r="AS50" i="4"/>
  <c r="AT50" i="4" s="1"/>
  <c r="AS65" i="4"/>
  <c r="AT65" i="4" s="1"/>
  <c r="AS85" i="4"/>
  <c r="AT85" i="4" s="1"/>
  <c r="AS97" i="4"/>
  <c r="AT97" i="4" s="1"/>
  <c r="AS117" i="4"/>
  <c r="AT117" i="4" s="1"/>
  <c r="H689" i="4"/>
  <c r="O689" i="4"/>
  <c r="O691" i="4" s="1"/>
  <c r="O568" i="4"/>
  <c r="O616" i="4" s="1"/>
  <c r="O12" i="4"/>
  <c r="O11" i="4" s="1"/>
  <c r="AS86" i="4"/>
  <c r="AT86" i="4" s="1"/>
  <c r="AV36" i="4"/>
  <c r="AV41" i="4" s="1"/>
  <c r="BI41" i="4"/>
  <c r="AZ36" i="4"/>
  <c r="AZ41" i="4" s="1"/>
  <c r="BM41" i="4"/>
  <c r="BD36" i="4"/>
  <c r="BD41" i="4" s="1"/>
  <c r="BQ41" i="4"/>
  <c r="AA55" i="4"/>
  <c r="AE55" i="4"/>
  <c r="AI55" i="4"/>
  <c r="M689" i="4"/>
  <c r="M691" i="4" s="1"/>
  <c r="M568" i="4"/>
  <c r="M616" i="4" s="1"/>
  <c r="M12" i="4"/>
  <c r="M11" i="4" s="1"/>
  <c r="Q689" i="4"/>
  <c r="Q691" i="4" s="1"/>
  <c r="Q568" i="4"/>
  <c r="Q616" i="4" s="1"/>
  <c r="Q12" i="4"/>
  <c r="Q11" i="4" s="1"/>
  <c r="AS53" i="4"/>
  <c r="AT53" i="4" s="1"/>
  <c r="AS113" i="4"/>
  <c r="AT113" i="4" s="1"/>
  <c r="AB689" i="4"/>
  <c r="AF689" i="4"/>
  <c r="AJ689" i="4"/>
  <c r="E689" i="4"/>
  <c r="E691" i="4" s="1"/>
  <c r="E568" i="4"/>
  <c r="E12" i="4"/>
  <c r="E11" i="4" s="1"/>
  <c r="N689" i="4"/>
  <c r="N691" i="4" s="1"/>
  <c r="N568" i="4"/>
  <c r="N616" i="4" s="1"/>
  <c r="N12" i="4"/>
  <c r="N11" i="4" s="1"/>
  <c r="AS83" i="4"/>
  <c r="AT83" i="4" s="1"/>
  <c r="AW510" i="4"/>
  <c r="BJ509" i="4"/>
  <c r="BA510" i="4"/>
  <c r="BN509" i="4"/>
  <c r="BE510" i="4"/>
  <c r="BR509" i="4"/>
  <c r="BN25" i="4"/>
  <c r="BA25" i="4" s="1"/>
  <c r="BR25" i="4"/>
  <c r="BE25" i="4" s="1"/>
  <c r="AS26" i="4"/>
  <c r="AT26" i="4" s="1"/>
  <c r="AS28" i="4"/>
  <c r="AT28" i="4" s="1"/>
  <c r="BK30" i="4"/>
  <c r="BO30" i="4"/>
  <c r="BS30" i="4"/>
  <c r="S31" i="4"/>
  <c r="I32" i="4"/>
  <c r="J32" i="4" s="1"/>
  <c r="AS32" i="4"/>
  <c r="AT32" i="4" s="1"/>
  <c r="BJ33" i="4"/>
  <c r="AW33" i="4" s="1"/>
  <c r="BN33" i="4"/>
  <c r="BA33" i="4" s="1"/>
  <c r="BR33" i="4"/>
  <c r="BE33" i="4" s="1"/>
  <c r="R34" i="4"/>
  <c r="S36" i="4"/>
  <c r="AS39" i="4"/>
  <c r="AT39" i="4" s="1"/>
  <c r="S40" i="4"/>
  <c r="AS44" i="4"/>
  <c r="AT44" i="4" s="1"/>
  <c r="S45" i="4"/>
  <c r="AS48" i="4"/>
  <c r="AT48" i="4" s="1"/>
  <c r="S49" i="4"/>
  <c r="T62" i="4"/>
  <c r="U64" i="4"/>
  <c r="V64" i="4" s="1"/>
  <c r="T66" i="4"/>
  <c r="S68" i="4"/>
  <c r="T69" i="4"/>
  <c r="U70" i="4"/>
  <c r="V70" i="4" s="1"/>
  <c r="S71" i="4"/>
  <c r="T73" i="4"/>
  <c r="F74" i="4"/>
  <c r="G74" i="4" s="1"/>
  <c r="S76" i="4"/>
  <c r="T77" i="4"/>
  <c r="U78" i="4"/>
  <c r="U81" i="4"/>
  <c r="V81" i="4" s="1"/>
  <c r="S82" i="4"/>
  <c r="T83" i="4"/>
  <c r="U84" i="4"/>
  <c r="BJ84" i="4"/>
  <c r="AW84" i="4" s="1"/>
  <c r="BN84" i="4"/>
  <c r="BA84" i="4" s="1"/>
  <c r="BR84" i="4"/>
  <c r="BE84" i="4" s="1"/>
  <c r="S86" i="4"/>
  <c r="BL88" i="4"/>
  <c r="AY88" i="4" s="1"/>
  <c r="BP88" i="4"/>
  <c r="BC88" i="4" s="1"/>
  <c r="BT88" i="4"/>
  <c r="BG88" i="4" s="1"/>
  <c r="U94" i="4"/>
  <c r="S95" i="4"/>
  <c r="T97" i="4"/>
  <c r="AZ97" i="4"/>
  <c r="S100" i="4"/>
  <c r="T101" i="4"/>
  <c r="V102" i="4"/>
  <c r="S104" i="4"/>
  <c r="S106" i="4"/>
  <c r="T107" i="4"/>
  <c r="U108" i="4"/>
  <c r="S110" i="4"/>
  <c r="BJ112" i="4"/>
  <c r="AW112" i="4" s="1"/>
  <c r="BN112" i="4"/>
  <c r="BA112" i="4" s="1"/>
  <c r="BR112" i="4"/>
  <c r="BE112" i="4" s="1"/>
  <c r="S114" i="4"/>
  <c r="BL114" i="4"/>
  <c r="AY114" i="4" s="1"/>
  <c r="BP114" i="4"/>
  <c r="BC114" i="4" s="1"/>
  <c r="AR116" i="4"/>
  <c r="AS116" i="4" s="1"/>
  <c r="AT116" i="4" s="1"/>
  <c r="BJ118" i="4"/>
  <c r="AW118" i="4" s="1"/>
  <c r="BN118" i="4"/>
  <c r="BA118" i="4" s="1"/>
  <c r="BR118" i="4"/>
  <c r="BE118" i="4" s="1"/>
  <c r="R120" i="4"/>
  <c r="S124" i="4"/>
  <c r="AC143" i="4"/>
  <c r="AG143" i="4"/>
  <c r="AK143" i="4"/>
  <c r="T129" i="4"/>
  <c r="U129" i="4" s="1"/>
  <c r="S132" i="4"/>
  <c r="S136" i="4"/>
  <c r="AS169" i="4"/>
  <c r="AT169" i="4" s="1"/>
  <c r="AP170" i="4"/>
  <c r="AQ170" i="4" s="1"/>
  <c r="AS174" i="4"/>
  <c r="AT174" i="4" s="1"/>
  <c r="AS178" i="4"/>
  <c r="AT178" i="4" s="1"/>
  <c r="AS182" i="4"/>
  <c r="AT182" i="4" s="1"/>
  <c r="AP185" i="4"/>
  <c r="AQ185" i="4" s="1"/>
  <c r="AS185" i="4"/>
  <c r="AT185" i="4" s="1"/>
  <c r="AS191" i="4"/>
  <c r="AT191" i="4" s="1"/>
  <c r="BK509" i="4"/>
  <c r="AX510" i="4"/>
  <c r="BO509" i="4"/>
  <c r="BB510" i="4"/>
  <c r="BS509" i="4"/>
  <c r="BF510" i="4"/>
  <c r="F25" i="4"/>
  <c r="G25" i="4" s="1"/>
  <c r="BK25" i="4"/>
  <c r="BO25" i="4"/>
  <c r="BB25" i="4" s="1"/>
  <c r="BS25" i="4"/>
  <c r="BF25" i="4" s="1"/>
  <c r="S26" i="4"/>
  <c r="S28" i="4"/>
  <c r="AS29" i="4"/>
  <c r="AT29" i="4" s="1"/>
  <c r="S30" i="4"/>
  <c r="BL30" i="4"/>
  <c r="BP30" i="4"/>
  <c r="BT30" i="4"/>
  <c r="T31" i="4"/>
  <c r="I33" i="4"/>
  <c r="J33" i="4" s="1"/>
  <c r="BK33" i="4"/>
  <c r="AX33" i="4" s="1"/>
  <c r="BO33" i="4"/>
  <c r="BB33" i="4" s="1"/>
  <c r="BS33" i="4"/>
  <c r="BF33" i="4" s="1"/>
  <c r="T36" i="4"/>
  <c r="AS38" i="4"/>
  <c r="AT38" i="4" s="1"/>
  <c r="S39" i="4"/>
  <c r="T40" i="4"/>
  <c r="AS43" i="4"/>
  <c r="AT43" i="4" s="1"/>
  <c r="S44" i="4"/>
  <c r="T45" i="4"/>
  <c r="BR139" i="4"/>
  <c r="BE139" i="4" s="1"/>
  <c r="BN139" i="4"/>
  <c r="BA139" i="4" s="1"/>
  <c r="BJ139" i="4"/>
  <c r="AW139" i="4" s="1"/>
  <c r="BQ139" i="4"/>
  <c r="BD139" i="4" s="1"/>
  <c r="BM139" i="4"/>
  <c r="AZ139" i="4" s="1"/>
  <c r="BI139" i="4"/>
  <c r="BT139" i="4"/>
  <c r="BG139" i="4" s="1"/>
  <c r="BP139" i="4"/>
  <c r="BC139" i="4" s="1"/>
  <c r="BL139" i="4"/>
  <c r="AY139" i="4" s="1"/>
  <c r="AS47" i="4"/>
  <c r="AT47" i="4" s="1"/>
  <c r="S48" i="4"/>
  <c r="T49" i="4"/>
  <c r="AS52" i="4"/>
  <c r="AT52" i="4" s="1"/>
  <c r="S61" i="4"/>
  <c r="U62" i="4"/>
  <c r="S63" i="4"/>
  <c r="S65" i="4"/>
  <c r="U66" i="4"/>
  <c r="T68" i="4"/>
  <c r="U69" i="4"/>
  <c r="T71" i="4"/>
  <c r="S72" i="4"/>
  <c r="U73" i="4"/>
  <c r="T76" i="4"/>
  <c r="U77" i="4"/>
  <c r="S79" i="4"/>
  <c r="T82" i="4"/>
  <c r="U83" i="4"/>
  <c r="BK84" i="4"/>
  <c r="AX84" i="4" s="1"/>
  <c r="BO84" i="4"/>
  <c r="BB84" i="4" s="1"/>
  <c r="BS84" i="4"/>
  <c r="BF84" i="4" s="1"/>
  <c r="S85" i="4"/>
  <c r="T86" i="4"/>
  <c r="BI88" i="4"/>
  <c r="BM88" i="4"/>
  <c r="AZ88" i="4" s="1"/>
  <c r="T95" i="4"/>
  <c r="U97" i="4"/>
  <c r="T100" i="4"/>
  <c r="U101" i="4"/>
  <c r="T104" i="4"/>
  <c r="T106" i="4"/>
  <c r="U107" i="4"/>
  <c r="S109" i="4"/>
  <c r="T110" i="4"/>
  <c r="I112" i="4"/>
  <c r="J112" i="4" s="1"/>
  <c r="BK112" i="4"/>
  <c r="AX112" i="4" s="1"/>
  <c r="BO112" i="4"/>
  <c r="BB112" i="4" s="1"/>
  <c r="BS112" i="4"/>
  <c r="BF112" i="4" s="1"/>
  <c r="S113" i="4"/>
  <c r="T114" i="4"/>
  <c r="BI114" i="4"/>
  <c r="BM114" i="4"/>
  <c r="AZ114" i="4" s="1"/>
  <c r="BQ114" i="4"/>
  <c r="BD114" i="4" s="1"/>
  <c r="S117" i="4"/>
  <c r="I118" i="4"/>
  <c r="J118" i="4" s="1"/>
  <c r="BK118" i="4"/>
  <c r="AX118" i="4" s="1"/>
  <c r="BO118" i="4"/>
  <c r="BB118" i="4" s="1"/>
  <c r="BS118" i="4"/>
  <c r="BF118" i="4" s="1"/>
  <c r="T124" i="4"/>
  <c r="AD143" i="4"/>
  <c r="AH143" i="4"/>
  <c r="AL143" i="4"/>
  <c r="AR126" i="4"/>
  <c r="T133" i="4"/>
  <c r="AO138" i="4"/>
  <c r="BK139" i="4"/>
  <c r="AX139" i="4" s="1"/>
  <c r="BL509" i="4"/>
  <c r="AY510" i="4"/>
  <c r="BP509" i="4"/>
  <c r="BC510" i="4"/>
  <c r="BT509" i="4"/>
  <c r="BG510" i="4"/>
  <c r="AS24" i="4"/>
  <c r="AT24" i="4" s="1"/>
  <c r="BL25" i="4"/>
  <c r="AY25" i="4" s="1"/>
  <c r="BP25" i="4"/>
  <c r="BC25" i="4" s="1"/>
  <c r="BT25" i="4"/>
  <c r="BG25" i="4" s="1"/>
  <c r="T28" i="4"/>
  <c r="T30" i="4"/>
  <c r="BI30" i="4"/>
  <c r="BM30" i="4"/>
  <c r="BQ30" i="4"/>
  <c r="U31" i="4"/>
  <c r="BL33" i="4"/>
  <c r="AY33" i="4" s="1"/>
  <c r="BP33" i="4"/>
  <c r="BC33" i="4" s="1"/>
  <c r="BT33" i="4"/>
  <c r="BG33" i="4" s="1"/>
  <c r="U36" i="4"/>
  <c r="BJ36" i="4"/>
  <c r="BN36" i="4"/>
  <c r="BR36" i="4"/>
  <c r="AS37" i="4"/>
  <c r="AT37" i="4" s="1"/>
  <c r="S38" i="4"/>
  <c r="U40" i="4"/>
  <c r="R41" i="4"/>
  <c r="S43" i="4"/>
  <c r="U45" i="4"/>
  <c r="AS46" i="4"/>
  <c r="AT46" i="4" s="1"/>
  <c r="S47" i="4"/>
  <c r="T48" i="4"/>
  <c r="U49" i="4"/>
  <c r="R50" i="4"/>
  <c r="S52" i="4"/>
  <c r="S53" i="4" s="1"/>
  <c r="U68" i="4"/>
  <c r="U71" i="4"/>
  <c r="V73" i="4"/>
  <c r="U76" i="4"/>
  <c r="AS80" i="4"/>
  <c r="AT80" i="4" s="1"/>
  <c r="U82" i="4"/>
  <c r="V83" i="4"/>
  <c r="BL84" i="4"/>
  <c r="AY84" i="4" s="1"/>
  <c r="BP84" i="4"/>
  <c r="BC84" i="4" s="1"/>
  <c r="BT84" i="4"/>
  <c r="BG84" i="4" s="1"/>
  <c r="AS87" i="4"/>
  <c r="AT87" i="4" s="1"/>
  <c r="U95" i="4"/>
  <c r="U100" i="4"/>
  <c r="U104" i="4"/>
  <c r="U106" i="4"/>
  <c r="U110" i="4"/>
  <c r="BL112" i="4"/>
  <c r="AY112" i="4" s="1"/>
  <c r="BP112" i="4"/>
  <c r="BC112" i="4" s="1"/>
  <c r="BT112" i="4"/>
  <c r="BG112" i="4" s="1"/>
  <c r="U114" i="4"/>
  <c r="BJ114" i="4"/>
  <c r="AW114" i="4" s="1"/>
  <c r="BN114" i="4"/>
  <c r="BA114" i="4" s="1"/>
  <c r="BR114" i="4"/>
  <c r="BE114" i="4" s="1"/>
  <c r="BL118" i="4"/>
  <c r="AY118" i="4" s="1"/>
  <c r="BP118" i="4"/>
  <c r="BC118" i="4" s="1"/>
  <c r="BT118" i="4"/>
  <c r="BG118" i="4" s="1"/>
  <c r="AS126" i="4"/>
  <c r="AT126" i="4" s="1"/>
  <c r="S139" i="4"/>
  <c r="BO139" i="4"/>
  <c r="BB139" i="4" s="1"/>
  <c r="AS167" i="4"/>
  <c r="AT167" i="4" s="1"/>
  <c r="AS175" i="4"/>
  <c r="AT175" i="4" s="1"/>
  <c r="AS179" i="4"/>
  <c r="AT179" i="4" s="1"/>
  <c r="AS183" i="4"/>
  <c r="AT183" i="4" s="1"/>
  <c r="AR510" i="4"/>
  <c r="BI509" i="4"/>
  <c r="AV510" i="4"/>
  <c r="AO510" i="4"/>
  <c r="BM509" i="4"/>
  <c r="AZ510" i="4"/>
  <c r="BQ509" i="4"/>
  <c r="BD510" i="4"/>
  <c r="S24" i="4"/>
  <c r="S34" i="4" s="1"/>
  <c r="I25" i="4"/>
  <c r="J25" i="4" s="1"/>
  <c r="BM25" i="4"/>
  <c r="AZ25" i="4" s="1"/>
  <c r="S27" i="4"/>
  <c r="U30" i="4"/>
  <c r="BJ30" i="4"/>
  <c r="BN30" i="4"/>
  <c r="BR30" i="4"/>
  <c r="BI33" i="4"/>
  <c r="BM33" i="4"/>
  <c r="AZ33" i="4" s="1"/>
  <c r="BK36" i="4"/>
  <c r="BO36" i="4"/>
  <c r="BS36" i="4"/>
  <c r="S37" i="4"/>
  <c r="T38" i="4"/>
  <c r="T43" i="4"/>
  <c r="S46" i="4"/>
  <c r="T47" i="4"/>
  <c r="T52" i="4"/>
  <c r="T53" i="4" s="1"/>
  <c r="S80" i="4"/>
  <c r="BI84" i="4"/>
  <c r="BI90" i="4" s="1"/>
  <c r="BM84" i="4"/>
  <c r="AZ84" i="4" s="1"/>
  <c r="BQ84" i="4"/>
  <c r="BD84" i="4" s="1"/>
  <c r="S87" i="4"/>
  <c r="T87" i="4" s="1"/>
  <c r="T111" i="4"/>
  <c r="BI112" i="4"/>
  <c r="BM112" i="4"/>
  <c r="AZ112" i="4" s="1"/>
  <c r="BK114" i="4"/>
  <c r="AX114" i="4" s="1"/>
  <c r="BO114" i="4"/>
  <c r="BB114" i="4" s="1"/>
  <c r="BS114" i="4"/>
  <c r="BF114" i="4" s="1"/>
  <c r="S115" i="4"/>
  <c r="F118" i="4"/>
  <c r="G118" i="4" s="1"/>
  <c r="BI118" i="4"/>
  <c r="BM118" i="4"/>
  <c r="AZ118" i="4" s="1"/>
  <c r="T125" i="4"/>
  <c r="S126" i="4"/>
  <c r="T126" i="4" s="1"/>
  <c r="U127" i="4"/>
  <c r="T128" i="4"/>
  <c r="S128" i="4"/>
  <c r="BS139" i="4"/>
  <c r="BF139" i="4" s="1"/>
  <c r="AS140" i="4"/>
  <c r="AT140" i="4" s="1"/>
  <c r="AS173" i="4"/>
  <c r="AT173" i="4" s="1"/>
  <c r="AS177" i="4"/>
  <c r="AT177" i="4" s="1"/>
  <c r="AS181" i="4"/>
  <c r="AT181" i="4" s="1"/>
  <c r="U131" i="4"/>
  <c r="AS135" i="4"/>
  <c r="AT135" i="4" s="1"/>
  <c r="U137" i="4"/>
  <c r="T140" i="4"/>
  <c r="AR141" i="4"/>
  <c r="AS141" i="4" s="1"/>
  <c r="AT141" i="4" s="1"/>
  <c r="AW141" i="4"/>
  <c r="T147" i="4"/>
  <c r="T149" i="4"/>
  <c r="V151" i="4"/>
  <c r="U152" i="4"/>
  <c r="V152" i="4" s="1"/>
  <c r="U153" i="4"/>
  <c r="U154" i="4"/>
  <c r="AA155" i="4"/>
  <c r="AE155" i="4"/>
  <c r="AI155" i="4"/>
  <c r="T157" i="4"/>
  <c r="S159" i="4"/>
  <c r="AC159" i="4"/>
  <c r="AG159" i="4"/>
  <c r="AK159" i="4"/>
  <c r="AA161" i="4"/>
  <c r="AE161" i="4"/>
  <c r="AI161" i="4"/>
  <c r="S162" i="4"/>
  <c r="T163" i="4"/>
  <c r="T165" i="4"/>
  <c r="T167" i="4"/>
  <c r="U168" i="4"/>
  <c r="V168" i="4" s="1"/>
  <c r="AR168" i="4"/>
  <c r="AS168" i="4" s="1"/>
  <c r="AT168" i="4" s="1"/>
  <c r="AR170" i="4"/>
  <c r="AS170" i="4" s="1"/>
  <c r="AT170" i="4" s="1"/>
  <c r="F171" i="4"/>
  <c r="G171" i="4" s="1"/>
  <c r="BI171" i="4"/>
  <c r="BM171" i="4"/>
  <c r="AZ171" i="4" s="1"/>
  <c r="BQ171" i="4"/>
  <c r="BD171" i="4" s="1"/>
  <c r="U172" i="4"/>
  <c r="V172" i="4" s="1"/>
  <c r="AR172" i="4"/>
  <c r="AS172" i="4" s="1"/>
  <c r="AT172" i="4" s="1"/>
  <c r="V173" i="4"/>
  <c r="S174" i="4"/>
  <c r="T174" i="4" s="1"/>
  <c r="T175" i="4"/>
  <c r="U176" i="4"/>
  <c r="AR176" i="4"/>
  <c r="AS176" i="4" s="1"/>
  <c r="AT176" i="4" s="1"/>
  <c r="V177" i="4"/>
  <c r="S178" i="4"/>
  <c r="V178" i="4" s="1"/>
  <c r="T179" i="4"/>
  <c r="U180" i="4"/>
  <c r="AR180" i="4"/>
  <c r="AS180" i="4" s="1"/>
  <c r="AT180" i="4" s="1"/>
  <c r="V181" i="4"/>
  <c r="W181" i="4" s="1"/>
  <c r="S182" i="4"/>
  <c r="T183" i="4"/>
  <c r="U184" i="4"/>
  <c r="V184" i="4" s="1"/>
  <c r="AR184" i="4"/>
  <c r="AS184" i="4" s="1"/>
  <c r="AT184" i="4" s="1"/>
  <c r="F185" i="4"/>
  <c r="G185" i="4" s="1"/>
  <c r="AR186" i="4"/>
  <c r="AS186" i="4" s="1"/>
  <c r="AT186" i="4" s="1"/>
  <c r="F187" i="4"/>
  <c r="G187" i="4" s="1"/>
  <c r="BI187" i="4"/>
  <c r="BM187" i="4"/>
  <c r="AZ187" i="4" s="1"/>
  <c r="BQ187" i="4"/>
  <c r="BD187" i="4" s="1"/>
  <c r="U188" i="4"/>
  <c r="AR188" i="4"/>
  <c r="AS188" i="4" s="1"/>
  <c r="AT188" i="4" s="1"/>
  <c r="F189" i="4"/>
  <c r="G189" i="4" s="1"/>
  <c r="BI189" i="4"/>
  <c r="BM189" i="4"/>
  <c r="AZ189" i="4" s="1"/>
  <c r="BQ189" i="4"/>
  <c r="BD189" i="4" s="1"/>
  <c r="BL190" i="4"/>
  <c r="AY190" i="4" s="1"/>
  <c r="BP190" i="4"/>
  <c r="BC190" i="4" s="1"/>
  <c r="BT190" i="4"/>
  <c r="BG190" i="4" s="1"/>
  <c r="T191" i="4"/>
  <c r="S193" i="4"/>
  <c r="U194" i="4"/>
  <c r="S197" i="4"/>
  <c r="S199" i="4"/>
  <c r="U200" i="4"/>
  <c r="S201" i="4"/>
  <c r="U202" i="4"/>
  <c r="S204" i="4"/>
  <c r="T205" i="4"/>
  <c r="AP206" i="4"/>
  <c r="AQ206" i="4" s="1"/>
  <c r="T207" i="4"/>
  <c r="F209" i="4"/>
  <c r="G209" i="4" s="1"/>
  <c r="BI209" i="4"/>
  <c r="BM209" i="4"/>
  <c r="AZ209" i="4" s="1"/>
  <c r="BQ209" i="4"/>
  <c r="BD209" i="4" s="1"/>
  <c r="U211" i="4"/>
  <c r="V211" i="4" s="1"/>
  <c r="S212" i="4"/>
  <c r="S213" i="4"/>
  <c r="S215" i="4"/>
  <c r="U216" i="4"/>
  <c r="S217" i="4"/>
  <c r="T220" i="4"/>
  <c r="U220" i="4" s="1"/>
  <c r="T224" i="4"/>
  <c r="S226" i="4"/>
  <c r="T228" i="4"/>
  <c r="S228" i="4"/>
  <c r="AS238" i="4"/>
  <c r="AT238" i="4" s="1"/>
  <c r="S130" i="4"/>
  <c r="S135" i="4"/>
  <c r="S138" i="4"/>
  <c r="U147" i="4"/>
  <c r="Y147" i="4" s="1"/>
  <c r="S148" i="4"/>
  <c r="U149" i="4"/>
  <c r="R155" i="4"/>
  <c r="AB155" i="4"/>
  <c r="AF155" i="4"/>
  <c r="AJ155" i="4"/>
  <c r="S156" i="4"/>
  <c r="AC156" i="4"/>
  <c r="AG156" i="4"/>
  <c r="U157" i="4"/>
  <c r="T159" i="4"/>
  <c r="AD159" i="4"/>
  <c r="AH159" i="4"/>
  <c r="R161" i="4"/>
  <c r="AB161" i="4"/>
  <c r="AF161" i="4"/>
  <c r="AJ161" i="4"/>
  <c r="T162" i="4"/>
  <c r="U163" i="4"/>
  <c r="S164" i="4"/>
  <c r="U165" i="4"/>
  <c r="U167" i="4"/>
  <c r="S169" i="4"/>
  <c r="BJ171" i="4"/>
  <c r="AW171" i="4" s="1"/>
  <c r="BN171" i="4"/>
  <c r="BA171" i="4" s="1"/>
  <c r="BR171" i="4"/>
  <c r="BE171" i="4" s="1"/>
  <c r="U175" i="4"/>
  <c r="T178" i="4"/>
  <c r="T182" i="4"/>
  <c r="U183" i="4"/>
  <c r="BJ187" i="4"/>
  <c r="AW187" i="4" s="1"/>
  <c r="BN187" i="4"/>
  <c r="BA187" i="4" s="1"/>
  <c r="BR187" i="4"/>
  <c r="BE187" i="4" s="1"/>
  <c r="BJ189" i="4"/>
  <c r="AW189" i="4" s="1"/>
  <c r="BN189" i="4"/>
  <c r="BA189" i="4" s="1"/>
  <c r="BR189" i="4"/>
  <c r="BE189" i="4" s="1"/>
  <c r="BI190" i="4"/>
  <c r="BM190" i="4"/>
  <c r="AZ190" i="4" s="1"/>
  <c r="T193" i="4"/>
  <c r="U193" i="4" s="1"/>
  <c r="T197" i="4"/>
  <c r="T199" i="4"/>
  <c r="T201" i="4"/>
  <c r="U201" i="4" s="1"/>
  <c r="T204" i="4"/>
  <c r="U205" i="4"/>
  <c r="U207" i="4"/>
  <c r="BJ209" i="4"/>
  <c r="AW209" i="4" s="1"/>
  <c r="BN209" i="4"/>
  <c r="BA209" i="4" s="1"/>
  <c r="BR209" i="4"/>
  <c r="BE209" i="4" s="1"/>
  <c r="T213" i="4"/>
  <c r="T229" i="4"/>
  <c r="U229" i="4" s="1"/>
  <c r="AS236" i="4"/>
  <c r="AT236" i="4" s="1"/>
  <c r="AS239" i="4"/>
  <c r="AT239" i="4" s="1"/>
  <c r="AO264" i="4"/>
  <c r="V147" i="4"/>
  <c r="D147" i="4" s="1"/>
  <c r="S155" i="4"/>
  <c r="AC155" i="4"/>
  <c r="AG155" i="4"/>
  <c r="AK155" i="4"/>
  <c r="S161" i="4"/>
  <c r="AC161" i="4"/>
  <c r="AG161" i="4"/>
  <c r="U162" i="4"/>
  <c r="I171" i="4"/>
  <c r="J171" i="4" s="1"/>
  <c r="BK171" i="4"/>
  <c r="AX171" i="4" s="1"/>
  <c r="BO171" i="4"/>
  <c r="BB171" i="4" s="1"/>
  <c r="BS171" i="4"/>
  <c r="BF171" i="4" s="1"/>
  <c r="U178" i="4"/>
  <c r="I187" i="4"/>
  <c r="J187" i="4" s="1"/>
  <c r="BK187" i="4"/>
  <c r="AX187" i="4" s="1"/>
  <c r="BO187" i="4"/>
  <c r="BB187" i="4" s="1"/>
  <c r="BS187" i="4"/>
  <c r="BF187" i="4" s="1"/>
  <c r="I189" i="4"/>
  <c r="J189" i="4" s="1"/>
  <c r="BK189" i="4"/>
  <c r="AX189" i="4" s="1"/>
  <c r="BO189" i="4"/>
  <c r="BB189" i="4" s="1"/>
  <c r="BS189" i="4"/>
  <c r="BF189" i="4" s="1"/>
  <c r="U197" i="4"/>
  <c r="U199" i="4"/>
  <c r="U204" i="4"/>
  <c r="I209" i="4"/>
  <c r="J209" i="4" s="1"/>
  <c r="BK209" i="4"/>
  <c r="AX209" i="4" s="1"/>
  <c r="BO209" i="4"/>
  <c r="BB209" i="4" s="1"/>
  <c r="BS209" i="4"/>
  <c r="BF209" i="4" s="1"/>
  <c r="U213" i="4"/>
  <c r="T222" i="4"/>
  <c r="S222" i="4"/>
  <c r="S233" i="4"/>
  <c r="W147" i="4"/>
  <c r="BL171" i="4"/>
  <c r="AY171" i="4" s="1"/>
  <c r="BP171" i="4"/>
  <c r="BC171" i="4" s="1"/>
  <c r="BL187" i="4"/>
  <c r="AY187" i="4" s="1"/>
  <c r="BP187" i="4"/>
  <c r="BC187" i="4" s="1"/>
  <c r="BL189" i="4"/>
  <c r="AY189" i="4" s="1"/>
  <c r="BP189" i="4"/>
  <c r="BC189" i="4" s="1"/>
  <c r="BL209" i="4"/>
  <c r="AY209" i="4" s="1"/>
  <c r="BP209" i="4"/>
  <c r="BC209" i="4" s="1"/>
  <c r="S231" i="4"/>
  <c r="T231" i="4" s="1"/>
  <c r="AS234" i="4"/>
  <c r="AT234" i="4" s="1"/>
  <c r="AS261" i="4"/>
  <c r="AT261" i="4" s="1"/>
  <c r="U224" i="4"/>
  <c r="V224" i="4" s="1"/>
  <c r="U225" i="4"/>
  <c r="V225" i="4" s="1"/>
  <c r="U227" i="4"/>
  <c r="V227" i="4" s="1"/>
  <c r="U230" i="4"/>
  <c r="U232" i="4"/>
  <c r="T234" i="4"/>
  <c r="U235" i="4"/>
  <c r="AR235" i="4"/>
  <c r="AS235" i="4" s="1"/>
  <c r="AT235" i="4" s="1"/>
  <c r="S237" i="4"/>
  <c r="T238" i="4"/>
  <c r="AD239" i="4"/>
  <c r="AH239" i="4"/>
  <c r="AL239" i="4"/>
  <c r="AL242" i="4" s="1"/>
  <c r="AD240" i="4"/>
  <c r="AH240" i="4"/>
  <c r="AL240" i="4"/>
  <c r="BI240" i="4"/>
  <c r="BM240" i="4"/>
  <c r="AZ240" i="4" s="1"/>
  <c r="BQ240" i="4"/>
  <c r="BD240" i="4" s="1"/>
  <c r="U260" i="4"/>
  <c r="V260" i="4" s="1"/>
  <c r="AR260" i="4"/>
  <c r="AS260" i="4" s="1"/>
  <c r="AT260" i="4" s="1"/>
  <c r="S262" i="4"/>
  <c r="BI264" i="4"/>
  <c r="S270" i="4"/>
  <c r="T271" i="4"/>
  <c r="U272" i="4"/>
  <c r="V272" i="4" s="1"/>
  <c r="S274" i="4"/>
  <c r="T275" i="4"/>
  <c r="U276" i="4"/>
  <c r="V276" i="4" s="1"/>
  <c r="U277" i="4"/>
  <c r="S282" i="4"/>
  <c r="T283" i="4"/>
  <c r="F285" i="4"/>
  <c r="G285" i="4" s="1"/>
  <c r="AS287" i="4"/>
  <c r="AT287" i="4" s="1"/>
  <c r="S288" i="4"/>
  <c r="T289" i="4"/>
  <c r="S292" i="4"/>
  <c r="T293" i="4"/>
  <c r="U294" i="4"/>
  <c r="V294" i="4" s="1"/>
  <c r="S296" i="4"/>
  <c r="T297" i="4"/>
  <c r="U298" i="4"/>
  <c r="AA299" i="4"/>
  <c r="AA331" i="4" s="1"/>
  <c r="AE299" i="4"/>
  <c r="AI299" i="4"/>
  <c r="AA300" i="4"/>
  <c r="AE300" i="4"/>
  <c r="AI300" i="4"/>
  <c r="S302" i="4"/>
  <c r="T302" i="4" s="1"/>
  <c r="T303" i="4"/>
  <c r="S306" i="4"/>
  <c r="T307" i="4"/>
  <c r="AP308" i="4"/>
  <c r="AQ308" i="4" s="1"/>
  <c r="T309" i="4"/>
  <c r="T310" i="4"/>
  <c r="U311" i="4"/>
  <c r="R313" i="4"/>
  <c r="AB313" i="4"/>
  <c r="AF313" i="4"/>
  <c r="AJ313" i="4"/>
  <c r="AS313" i="4"/>
  <c r="AT313" i="4" s="1"/>
  <c r="R314" i="4"/>
  <c r="AB314" i="4"/>
  <c r="AF314" i="4"/>
  <c r="AJ314" i="4"/>
  <c r="S315" i="4"/>
  <c r="T316" i="4"/>
  <c r="U316" i="4" s="1"/>
  <c r="U317" i="4"/>
  <c r="S319" i="4"/>
  <c r="AS321" i="4"/>
  <c r="AT321" i="4" s="1"/>
  <c r="S323" i="4"/>
  <c r="T324" i="4"/>
  <c r="S327" i="4"/>
  <c r="T328" i="4"/>
  <c r="AN348" i="4"/>
  <c r="S219" i="4"/>
  <c r="U234" i="4"/>
  <c r="S236" i="4"/>
  <c r="T237" i="4"/>
  <c r="AA239" i="4"/>
  <c r="AE239" i="4"/>
  <c r="AE242" i="4" s="1"/>
  <c r="AI239" i="4"/>
  <c r="AA240" i="4"/>
  <c r="AE240" i="4"/>
  <c r="AI240" i="4"/>
  <c r="BJ240" i="4"/>
  <c r="AW240" i="4" s="1"/>
  <c r="BN240" i="4"/>
  <c r="BA240" i="4" s="1"/>
  <c r="BR240" i="4"/>
  <c r="BE240" i="4" s="1"/>
  <c r="S261" i="4"/>
  <c r="T262" i="4"/>
  <c r="U271" i="4"/>
  <c r="T282" i="4"/>
  <c r="U283" i="4"/>
  <c r="S287" i="4"/>
  <c r="T288" i="4"/>
  <c r="U289" i="4"/>
  <c r="T292" i="4"/>
  <c r="U293" i="4"/>
  <c r="R299" i="4"/>
  <c r="AB299" i="4"/>
  <c r="AF299" i="4"/>
  <c r="AJ299" i="4"/>
  <c r="R300" i="4"/>
  <c r="AB300" i="4"/>
  <c r="AF300" i="4"/>
  <c r="AJ300" i="4"/>
  <c r="S301" i="4"/>
  <c r="U303" i="4"/>
  <c r="U307" i="4"/>
  <c r="U309" i="4"/>
  <c r="U310" i="4"/>
  <c r="S312" i="4"/>
  <c r="S313" i="4"/>
  <c r="AC313" i="4"/>
  <c r="AG313" i="4"/>
  <c r="AC314" i="4"/>
  <c r="AG314" i="4"/>
  <c r="T319" i="4"/>
  <c r="AO329" i="4"/>
  <c r="D348" i="4"/>
  <c r="R239" i="4"/>
  <c r="AB239" i="4"/>
  <c r="AF239" i="4"/>
  <c r="AF242" i="4" s="1"/>
  <c r="AJ239" i="4"/>
  <c r="R240" i="4"/>
  <c r="AB240" i="4"/>
  <c r="AF240" i="4"/>
  <c r="AJ240" i="4"/>
  <c r="BK240" i="4"/>
  <c r="AX240" i="4" s="1"/>
  <c r="BO240" i="4"/>
  <c r="BB240" i="4" s="1"/>
  <c r="BS240" i="4"/>
  <c r="BF240" i="4" s="1"/>
  <c r="W260" i="4"/>
  <c r="AR262" i="4"/>
  <c r="AS262" i="4" s="1"/>
  <c r="AT262" i="4" s="1"/>
  <c r="R264" i="4"/>
  <c r="U282" i="4"/>
  <c r="U292" i="4"/>
  <c r="S299" i="4"/>
  <c r="AC299" i="4"/>
  <c r="AC331" i="4" s="1"/>
  <c r="AG299" i="4"/>
  <c r="AK299" i="4"/>
  <c r="AK331" i="4" s="1"/>
  <c r="AC300" i="4"/>
  <c r="AG300" i="4"/>
  <c r="U302" i="4"/>
  <c r="V316" i="4"/>
  <c r="S322" i="4"/>
  <c r="T322" i="4" s="1"/>
  <c r="U322" i="4" s="1"/>
  <c r="S326" i="4"/>
  <c r="AO328" i="4"/>
  <c r="AR328" i="4"/>
  <c r="AS338" i="4"/>
  <c r="AT338" i="4" s="1"/>
  <c r="S239" i="4"/>
  <c r="AC239" i="4"/>
  <c r="AG239" i="4"/>
  <c r="AC240" i="4"/>
  <c r="AG240" i="4"/>
  <c r="AK240" i="4"/>
  <c r="BL240" i="4"/>
  <c r="AY240" i="4" s="1"/>
  <c r="BP240" i="4"/>
  <c r="BC240" i="4" s="1"/>
  <c r="S320" i="4"/>
  <c r="T320" i="4" s="1"/>
  <c r="W321" i="4"/>
  <c r="AN321" i="4" s="1"/>
  <c r="AP321" i="4" s="1"/>
  <c r="AQ321" i="4" s="1"/>
  <c r="U324" i="4"/>
  <c r="V324" i="4" s="1"/>
  <c r="AS325" i="4"/>
  <c r="AT325" i="4" s="1"/>
  <c r="U328" i="4"/>
  <c r="T335" i="4"/>
  <c r="U336" i="4"/>
  <c r="T338" i="4"/>
  <c r="U339" i="4"/>
  <c r="V339" i="4" s="1"/>
  <c r="AO340" i="4"/>
  <c r="S342" i="4"/>
  <c r="T343" i="4"/>
  <c r="U344" i="4"/>
  <c r="V344" i="4" s="1"/>
  <c r="T346" i="4"/>
  <c r="T349" i="4"/>
  <c r="U350" i="4"/>
  <c r="S352" i="4"/>
  <c r="T353" i="4"/>
  <c r="S355" i="4"/>
  <c r="AO364" i="4"/>
  <c r="AR371" i="4"/>
  <c r="AS371" i="4" s="1"/>
  <c r="AT371" i="4" s="1"/>
  <c r="AO372" i="4"/>
  <c r="AO374" i="4" s="1"/>
  <c r="AR379" i="4"/>
  <c r="AS379" i="4" s="1"/>
  <c r="AT379" i="4" s="1"/>
  <c r="AS446" i="4"/>
  <c r="AT446" i="4" s="1"/>
  <c r="AS452" i="4"/>
  <c r="AT452" i="4" s="1"/>
  <c r="S325" i="4"/>
  <c r="U335" i="4"/>
  <c r="T342" i="4"/>
  <c r="U343" i="4"/>
  <c r="U349" i="4"/>
  <c r="T352" i="4"/>
  <c r="U353" i="4"/>
  <c r="T355" i="4"/>
  <c r="R360" i="4"/>
  <c r="T366" i="4"/>
  <c r="BI366" i="4"/>
  <c r="AR370" i="4"/>
  <c r="S372" i="4"/>
  <c r="AR378" i="4"/>
  <c r="S380" i="4"/>
  <c r="AD457" i="4"/>
  <c r="AH457" i="4"/>
  <c r="AL457" i="4"/>
  <c r="S390" i="4"/>
  <c r="U352" i="4"/>
  <c r="U355" i="4"/>
  <c r="AS356" i="4"/>
  <c r="AT356" i="4" s="1"/>
  <c r="AS358" i="4"/>
  <c r="AT358" i="4" s="1"/>
  <c r="AS370" i="4"/>
  <c r="AT370" i="4" s="1"/>
  <c r="U391" i="4"/>
  <c r="T391" i="4"/>
  <c r="S356" i="4"/>
  <c r="S358" i="4"/>
  <c r="U364" i="4"/>
  <c r="S370" i="4"/>
  <c r="T371" i="4"/>
  <c r="S378" i="4"/>
  <c r="T379" i="4"/>
  <c r="T386" i="4"/>
  <c r="S396" i="4"/>
  <c r="T396" i="4" s="1"/>
  <c r="AS417" i="4"/>
  <c r="AT417" i="4" s="1"/>
  <c r="AS448" i="4"/>
  <c r="AT448" i="4" s="1"/>
  <c r="R389" i="4"/>
  <c r="AB389" i="4"/>
  <c r="AB457" i="4" s="1"/>
  <c r="AF389" i="4"/>
  <c r="AJ389" i="4"/>
  <c r="T397" i="4"/>
  <c r="U398" i="4"/>
  <c r="S400" i="4"/>
  <c r="T401" i="4"/>
  <c r="V401" i="4" s="1"/>
  <c r="T403" i="4"/>
  <c r="U404" i="4"/>
  <c r="S406" i="4"/>
  <c r="T407" i="4"/>
  <c r="V407" i="4" s="1"/>
  <c r="U408" i="4"/>
  <c r="U409" i="4"/>
  <c r="V409" i="4" s="1"/>
  <c r="S411" i="4"/>
  <c r="S412" i="4"/>
  <c r="T413" i="4"/>
  <c r="T414" i="4"/>
  <c r="U415" i="4"/>
  <c r="V415" i="4" s="1"/>
  <c r="S417" i="4"/>
  <c r="T418" i="4"/>
  <c r="U419" i="4"/>
  <c r="S421" i="4"/>
  <c r="S423" i="4"/>
  <c r="T424" i="4"/>
  <c r="U425" i="4"/>
  <c r="S427" i="4"/>
  <c r="T428" i="4"/>
  <c r="U429" i="4"/>
  <c r="S431" i="4"/>
  <c r="T432" i="4"/>
  <c r="U433" i="4"/>
  <c r="S435" i="4"/>
  <c r="T436" i="4"/>
  <c r="U437" i="4"/>
  <c r="V437" i="4" s="1"/>
  <c r="W437" i="4" s="1"/>
  <c r="V438" i="4"/>
  <c r="S439" i="4"/>
  <c r="T440" i="4"/>
  <c r="U441" i="4"/>
  <c r="AS442" i="4"/>
  <c r="AT442" i="4" s="1"/>
  <c r="S443" i="4"/>
  <c r="T444" i="4"/>
  <c r="U445" i="4"/>
  <c r="V445" i="4" s="1"/>
  <c r="AR445" i="4"/>
  <c r="AS445" i="4" s="1"/>
  <c r="AT445" i="4" s="1"/>
  <c r="V446" i="4"/>
  <c r="S447" i="4"/>
  <c r="T448" i="4"/>
  <c r="U449" i="4"/>
  <c r="AR449" i="4"/>
  <c r="F450" i="4"/>
  <c r="G450" i="4" s="1"/>
  <c r="BI450" i="4"/>
  <c r="BM450" i="4"/>
  <c r="BQ450" i="4"/>
  <c r="BD450" i="4" s="1"/>
  <c r="U451" i="4"/>
  <c r="AR451" i="4"/>
  <c r="S453" i="4"/>
  <c r="T453" i="4" s="1"/>
  <c r="R473" i="4"/>
  <c r="S461" i="4"/>
  <c r="T461" i="4" s="1"/>
  <c r="U461" i="4" s="1"/>
  <c r="AB473" i="4"/>
  <c r="AF473" i="4"/>
  <c r="AJ473" i="4"/>
  <c r="AS469" i="4"/>
  <c r="AT469" i="4" s="1"/>
  <c r="R457" i="4"/>
  <c r="AF457" i="4"/>
  <c r="AJ457" i="4"/>
  <c r="S387" i="4"/>
  <c r="S388" i="4"/>
  <c r="S389" i="4"/>
  <c r="AC389" i="4"/>
  <c r="AC457" i="4" s="1"/>
  <c r="AG389" i="4"/>
  <c r="AG457" i="4" s="1"/>
  <c r="AK389" i="4"/>
  <c r="AK457" i="4" s="1"/>
  <c r="S393" i="4"/>
  <c r="S394" i="4"/>
  <c r="S395" i="4"/>
  <c r="U397" i="4"/>
  <c r="S399" i="4"/>
  <c r="U401" i="4"/>
  <c r="U403" i="4"/>
  <c r="U407" i="4"/>
  <c r="T411" i="4"/>
  <c r="T412" i="4"/>
  <c r="U414" i="4"/>
  <c r="T417" i="4"/>
  <c r="U418" i="4"/>
  <c r="T421" i="4"/>
  <c r="T423" i="4"/>
  <c r="U424" i="4"/>
  <c r="T427" i="4"/>
  <c r="U428" i="4"/>
  <c r="U432" i="4"/>
  <c r="U436" i="4"/>
  <c r="S442" i="4"/>
  <c r="U444" i="4"/>
  <c r="T447" i="4"/>
  <c r="U448" i="4"/>
  <c r="BJ450" i="4"/>
  <c r="AW450" i="4" s="1"/>
  <c r="BN450" i="4"/>
  <c r="BR450" i="4"/>
  <c r="S452" i="4"/>
  <c r="T454" i="4"/>
  <c r="AR454" i="4"/>
  <c r="AS454" i="4" s="1"/>
  <c r="AT454" i="4" s="1"/>
  <c r="T455" i="4"/>
  <c r="U455" i="4" s="1"/>
  <c r="V455" i="4" s="1"/>
  <c r="AC473" i="4"/>
  <c r="AG473" i="4"/>
  <c r="AK473" i="4"/>
  <c r="U462" i="4"/>
  <c r="T462" i="4"/>
  <c r="U411" i="4"/>
  <c r="U412" i="4"/>
  <c r="U417" i="4"/>
  <c r="U423" i="4"/>
  <c r="U427" i="4"/>
  <c r="U447" i="4"/>
  <c r="V447" i="4" s="1"/>
  <c r="I450" i="4"/>
  <c r="J450" i="4" s="1"/>
  <c r="BK450" i="4"/>
  <c r="AX450" i="4" s="1"/>
  <c r="BO450" i="4"/>
  <c r="BS450" i="4"/>
  <c r="BF450" i="4" s="1"/>
  <c r="AS501" i="4"/>
  <c r="AT501" i="4" s="1"/>
  <c r="BL450" i="4"/>
  <c r="AY450" i="4" s="1"/>
  <c r="BP450" i="4"/>
  <c r="BC450" i="4" s="1"/>
  <c r="AO455" i="4"/>
  <c r="AR455" i="4"/>
  <c r="AS471" i="4"/>
  <c r="AT471" i="4" s="1"/>
  <c r="U463" i="4"/>
  <c r="U464" i="4"/>
  <c r="V464" i="4" s="1"/>
  <c r="S466" i="4"/>
  <c r="T467" i="4"/>
  <c r="U468" i="4"/>
  <c r="S470" i="4"/>
  <c r="T471" i="4"/>
  <c r="R527" i="4"/>
  <c r="AB527" i="4"/>
  <c r="AF527" i="4"/>
  <c r="AJ527" i="4"/>
  <c r="S478" i="4"/>
  <c r="T479" i="4"/>
  <c r="U480" i="4"/>
  <c r="S482" i="4"/>
  <c r="T483" i="4"/>
  <c r="U484" i="4"/>
  <c r="V484" i="4" s="1"/>
  <c r="AS485" i="4"/>
  <c r="AT485" i="4" s="1"/>
  <c r="S486" i="4"/>
  <c r="T487" i="4"/>
  <c r="U488" i="4"/>
  <c r="S490" i="4"/>
  <c r="S491" i="4"/>
  <c r="T492" i="4"/>
  <c r="U493" i="4"/>
  <c r="AS494" i="4"/>
  <c r="AT494" i="4" s="1"/>
  <c r="S495" i="4"/>
  <c r="AO503" i="4"/>
  <c r="AR503" i="4"/>
  <c r="BR504" i="4"/>
  <c r="BE504" i="4" s="1"/>
  <c r="BN504" i="4"/>
  <c r="BA504" i="4" s="1"/>
  <c r="BJ504" i="4"/>
  <c r="AW504" i="4" s="1"/>
  <c r="BQ504" i="4"/>
  <c r="BD504" i="4" s="1"/>
  <c r="BM504" i="4"/>
  <c r="AZ504" i="4" s="1"/>
  <c r="BI504" i="4"/>
  <c r="F504" i="4"/>
  <c r="G504" i="4" s="1"/>
  <c r="BL504" i="4"/>
  <c r="AY504" i="4" s="1"/>
  <c r="BT504" i="4"/>
  <c r="BG504" i="4" s="1"/>
  <c r="AS515" i="4"/>
  <c r="AT515" i="4" s="1"/>
  <c r="AS518" i="4"/>
  <c r="AT518" i="4" s="1"/>
  <c r="T466" i="4"/>
  <c r="U471" i="4"/>
  <c r="AC527" i="4"/>
  <c r="AG527" i="4"/>
  <c r="AK527" i="4"/>
  <c r="U479" i="4"/>
  <c r="S481" i="4"/>
  <c r="S485" i="4"/>
  <c r="U487" i="4"/>
  <c r="S489" i="4"/>
  <c r="T490" i="4"/>
  <c r="U490" i="4" s="1"/>
  <c r="U492" i="4"/>
  <c r="S494" i="4"/>
  <c r="AS496" i="4"/>
  <c r="AT496" i="4" s="1"/>
  <c r="S498" i="4"/>
  <c r="AR500" i="4"/>
  <c r="AS500" i="4" s="1"/>
  <c r="AT500" i="4" s="1"/>
  <c r="S501" i="4"/>
  <c r="BO504" i="4"/>
  <c r="BB504" i="4" s="1"/>
  <c r="AO506" i="4"/>
  <c r="AS507" i="4"/>
  <c r="AT507" i="4" s="1"/>
  <c r="AS512" i="4"/>
  <c r="AT512" i="4" s="1"/>
  <c r="U466" i="4"/>
  <c r="V466" i="4" s="1"/>
  <c r="V500" i="4"/>
  <c r="U502" i="4"/>
  <c r="T502" i="4"/>
  <c r="S507" i="4"/>
  <c r="AS516" i="4"/>
  <c r="AT516" i="4" s="1"/>
  <c r="T497" i="4"/>
  <c r="S497" i="4"/>
  <c r="AO499" i="4"/>
  <c r="AR499" i="4"/>
  <c r="AO505" i="4"/>
  <c r="AR505" i="4"/>
  <c r="AS514" i="4"/>
  <c r="AT514" i="4" s="1"/>
  <c r="AS520" i="4"/>
  <c r="AT520" i="4" s="1"/>
  <c r="AS524" i="4"/>
  <c r="AT524" i="4" s="1"/>
  <c r="U499" i="4"/>
  <c r="U503" i="4"/>
  <c r="V503" i="4" s="1"/>
  <c r="U505" i="4"/>
  <c r="V505" i="4" s="1"/>
  <c r="T508" i="4"/>
  <c r="V508" i="4" s="1"/>
  <c r="U509" i="4"/>
  <c r="V509" i="4" s="1"/>
  <c r="W509" i="4" s="1"/>
  <c r="V510" i="4"/>
  <c r="S511" i="4"/>
  <c r="T512" i="4"/>
  <c r="U513" i="4"/>
  <c r="V513" i="4" s="1"/>
  <c r="AR513" i="4"/>
  <c r="AS513" i="4" s="1"/>
  <c r="AT513" i="4" s="1"/>
  <c r="S515" i="4"/>
  <c r="T516" i="4"/>
  <c r="V516" i="4" s="1"/>
  <c r="U517" i="4"/>
  <c r="AR517" i="4"/>
  <c r="AS517" i="4" s="1"/>
  <c r="AT517" i="4" s="1"/>
  <c r="S519" i="4"/>
  <c r="T520" i="4"/>
  <c r="S523" i="4"/>
  <c r="AC547" i="4"/>
  <c r="AG547" i="4"/>
  <c r="AK547" i="4"/>
  <c r="S532" i="4"/>
  <c r="AS552" i="4"/>
  <c r="AT552" i="4" s="1"/>
  <c r="AS555" i="4"/>
  <c r="AT555" i="4" s="1"/>
  <c r="S496" i="4"/>
  <c r="U508" i="4"/>
  <c r="T511" i="4"/>
  <c r="S514" i="4"/>
  <c r="T515" i="4"/>
  <c r="U516" i="4"/>
  <c r="S518" i="4"/>
  <c r="T519" i="4"/>
  <c r="S522" i="4"/>
  <c r="T523" i="4"/>
  <c r="S524" i="4"/>
  <c r="T524" i="4" s="1"/>
  <c r="AD547" i="4"/>
  <c r="AH547" i="4"/>
  <c r="AL547" i="4"/>
  <c r="T533" i="4"/>
  <c r="U533" i="4" s="1"/>
  <c r="AO533" i="4"/>
  <c r="AS539" i="4"/>
  <c r="AT539" i="4" s="1"/>
  <c r="AS560" i="4"/>
  <c r="AT560" i="4" s="1"/>
  <c r="U515" i="4"/>
  <c r="U523" i="4"/>
  <c r="T525" i="4"/>
  <c r="U525" i="4" s="1"/>
  <c r="AA547" i="4"/>
  <c r="AE547" i="4"/>
  <c r="AI547" i="4"/>
  <c r="AS553" i="4"/>
  <c r="AT553" i="4" s="1"/>
  <c r="AO534" i="4"/>
  <c r="AR534" i="4"/>
  <c r="AS558" i="4"/>
  <c r="AT558" i="4" s="1"/>
  <c r="U534" i="4"/>
  <c r="S536" i="4"/>
  <c r="S547" i="4" s="1"/>
  <c r="T537" i="4"/>
  <c r="V537" i="4" s="1"/>
  <c r="U538" i="4"/>
  <c r="S540" i="4"/>
  <c r="T540" i="4" s="1"/>
  <c r="T541" i="4"/>
  <c r="AS551" i="4"/>
  <c r="AT551" i="4" s="1"/>
  <c r="S552" i="4"/>
  <c r="T553" i="4"/>
  <c r="U554" i="4"/>
  <c r="AR554" i="4"/>
  <c r="AS554" i="4" s="1"/>
  <c r="AT554" i="4" s="1"/>
  <c r="S556" i="4"/>
  <c r="S557" i="4"/>
  <c r="T558" i="4"/>
  <c r="AR559" i="4"/>
  <c r="AS559" i="4" s="1"/>
  <c r="AT559" i="4" s="1"/>
  <c r="S561" i="4"/>
  <c r="T536" i="4"/>
  <c r="U537" i="4"/>
  <c r="S539" i="4"/>
  <c r="U541" i="4"/>
  <c r="T552" i="4"/>
  <c r="S555" i="4"/>
  <c r="T557" i="4"/>
  <c r="S560" i="4"/>
  <c r="U536" i="4"/>
  <c r="U552" i="4"/>
  <c r="T590" i="4"/>
  <c r="U590" i="4" s="1"/>
  <c r="R606" i="4"/>
  <c r="BJ627" i="4"/>
  <c r="BR627" i="4"/>
  <c r="S628" i="4"/>
  <c r="R630" i="4"/>
  <c r="S592" i="4"/>
  <c r="AS593" i="4"/>
  <c r="AT593" i="4" s="1"/>
  <c r="S594" i="4"/>
  <c r="AS595" i="4"/>
  <c r="AT595" i="4" s="1"/>
  <c r="S596" i="4"/>
  <c r="AS597" i="4"/>
  <c r="AT597" i="4" s="1"/>
  <c r="BL627" i="4"/>
  <c r="BT627" i="4"/>
  <c r="AO636" i="4"/>
  <c r="AR636" i="4"/>
  <c r="AS641" i="4"/>
  <c r="AT641" i="4" s="1"/>
  <c r="AS643" i="4"/>
  <c r="AT643" i="4" s="1"/>
  <c r="AS645" i="4"/>
  <c r="AT645" i="4" s="1"/>
  <c r="R585" i="4"/>
  <c r="S589" i="4"/>
  <c r="S591" i="4"/>
  <c r="T592" i="4"/>
  <c r="S593" i="4"/>
  <c r="T594" i="4"/>
  <c r="S595" i="4"/>
  <c r="U595" i="4" s="1"/>
  <c r="T596" i="4"/>
  <c r="S597" i="4"/>
  <c r="I627" i="4"/>
  <c r="J627" i="4" s="1"/>
  <c r="F627" i="4"/>
  <c r="G627" i="4" s="1"/>
  <c r="BS627" i="4"/>
  <c r="BO627" i="4"/>
  <c r="BK627" i="4"/>
  <c r="BQ627" i="4"/>
  <c r="BM627" i="4"/>
  <c r="BI627" i="4"/>
  <c r="BN627" i="4"/>
  <c r="R648" i="4"/>
  <c r="S634" i="4"/>
  <c r="AR634" i="4"/>
  <c r="AS637" i="4"/>
  <c r="AT637" i="4" s="1"/>
  <c r="S583" i="4"/>
  <c r="T589" i="4"/>
  <c r="T593" i="4"/>
  <c r="U594" i="4"/>
  <c r="T595" i="4"/>
  <c r="T597" i="4"/>
  <c r="BP627" i="4"/>
  <c r="AS638" i="4"/>
  <c r="AT638" i="4" s="1"/>
  <c r="AS642" i="4"/>
  <c r="AT642" i="4" s="1"/>
  <c r="S662" i="4"/>
  <c r="AO672" i="4"/>
  <c r="AR672" i="4"/>
  <c r="S674" i="4"/>
  <c r="T635" i="4"/>
  <c r="S638" i="4"/>
  <c r="T639" i="4"/>
  <c r="AR640" i="4"/>
  <c r="AS640" i="4" s="1"/>
  <c r="AT640" i="4" s="1"/>
  <c r="S642" i="4"/>
  <c r="T643" i="4"/>
  <c r="AR644" i="4"/>
  <c r="AS644" i="4" s="1"/>
  <c r="AT644" i="4" s="1"/>
  <c r="BA644" i="4"/>
  <c r="T645" i="4"/>
  <c r="BL646" i="4"/>
  <c r="BP646" i="4"/>
  <c r="BT646" i="4"/>
  <c r="BG646" i="4" s="1"/>
  <c r="BG648" i="4" s="1"/>
  <c r="BI648" i="4"/>
  <c r="AC668" i="4"/>
  <c r="AG668" i="4"/>
  <c r="AR665" i="4"/>
  <c r="AS674" i="4"/>
  <c r="AT674" i="4" s="1"/>
  <c r="T638" i="4"/>
  <c r="T642" i="4"/>
  <c r="U643" i="4"/>
  <c r="AR660" i="4"/>
  <c r="AR661" i="4"/>
  <c r="AS661" i="4" s="1"/>
  <c r="AT661" i="4" s="1"/>
  <c r="T663" i="4"/>
  <c r="U663" i="4" s="1"/>
  <c r="BR648" i="4"/>
  <c r="S636" i="4"/>
  <c r="T637" i="4"/>
  <c r="U638" i="4"/>
  <c r="S640" i="4"/>
  <c r="T641" i="4"/>
  <c r="S644" i="4"/>
  <c r="BJ646" i="4"/>
  <c r="BN646" i="4"/>
  <c r="BA646" i="4" s="1"/>
  <c r="S660" i="4"/>
  <c r="R668" i="4"/>
  <c r="AO660" i="4"/>
  <c r="AS662" i="4"/>
  <c r="AT662" i="4" s="1"/>
  <c r="AO664" i="4"/>
  <c r="AR664" i="4"/>
  <c r="AS665" i="4"/>
  <c r="AT665" i="4" s="1"/>
  <c r="AR673" i="4"/>
  <c r="AS673" i="4" s="1"/>
  <c r="AT673" i="4" s="1"/>
  <c r="AA668" i="4"/>
  <c r="AE668" i="4"/>
  <c r="AI668" i="4"/>
  <c r="AW668" i="4"/>
  <c r="BE668" i="4"/>
  <c r="BJ668" i="4"/>
  <c r="BR668" i="4"/>
  <c r="AC681" i="4"/>
  <c r="AG681" i="4"/>
  <c r="AK681" i="4"/>
  <c r="AK15" i="4" s="1"/>
  <c r="BC681" i="4"/>
  <c r="BP681" i="4"/>
  <c r="BK676" i="4"/>
  <c r="AX676" i="4" s="1"/>
  <c r="AX681" i="4" s="1"/>
  <c r="AD681" i="4"/>
  <c r="AD15" i="4" s="1"/>
  <c r="AH681" i="4"/>
  <c r="AH15" i="4" s="1"/>
  <c r="AL681" i="4"/>
  <c r="AL15" i="4" s="1"/>
  <c r="AO671" i="4"/>
  <c r="AR671" i="4"/>
  <c r="AO675" i="4"/>
  <c r="AR675" i="4"/>
  <c r="BR676" i="4"/>
  <c r="BE676" i="4" s="1"/>
  <c r="BN676" i="4"/>
  <c r="BA676" i="4" s="1"/>
  <c r="BJ676" i="4"/>
  <c r="AW676" i="4" s="1"/>
  <c r="BQ676" i="4"/>
  <c r="BD676" i="4" s="1"/>
  <c r="BD681" i="4" s="1"/>
  <c r="BM676" i="4"/>
  <c r="AZ676" i="4" s="1"/>
  <c r="AZ681" i="4" s="1"/>
  <c r="BI676" i="4"/>
  <c r="F676" i="4"/>
  <c r="G676" i="4" s="1"/>
  <c r="BL676" i="4"/>
  <c r="AY676" i="4" s="1"/>
  <c r="AY681" i="4" s="1"/>
  <c r="BT676" i="4"/>
  <c r="BG676" i="4" s="1"/>
  <c r="BG681" i="4" s="1"/>
  <c r="T661" i="4"/>
  <c r="S664" i="4"/>
  <c r="T665" i="4"/>
  <c r="BQ666" i="4"/>
  <c r="BD666" i="4" s="1"/>
  <c r="BD668" i="4" s="1"/>
  <c r="BM666" i="4"/>
  <c r="AZ666" i="4" s="1"/>
  <c r="AZ668" i="4" s="1"/>
  <c r="BI666" i="4"/>
  <c r="F666" i="4"/>
  <c r="G666" i="4" s="1"/>
  <c r="BT666" i="4"/>
  <c r="BG666" i="4" s="1"/>
  <c r="BG668" i="4" s="1"/>
  <c r="BP666" i="4"/>
  <c r="BC666" i="4" s="1"/>
  <c r="BC668" i="4" s="1"/>
  <c r="BL666" i="4"/>
  <c r="AY666" i="4" s="1"/>
  <c r="AY668" i="4" s="1"/>
  <c r="BN666" i="4"/>
  <c r="BA666" i="4" s="1"/>
  <c r="BA668" i="4" s="1"/>
  <c r="U671" i="4"/>
  <c r="W671" i="4" s="1"/>
  <c r="S673" i="4"/>
  <c r="T673" i="4" s="1"/>
  <c r="U675" i="4"/>
  <c r="I676" i="4"/>
  <c r="J676" i="4" s="1"/>
  <c r="BO676" i="4"/>
  <c r="BB676" i="4" s="1"/>
  <c r="T677" i="4"/>
  <c r="S679" i="4"/>
  <c r="L683" i="4"/>
  <c r="AA681" i="4"/>
  <c r="AE681" i="4"/>
  <c r="AI681" i="4"/>
  <c r="AW681" i="4"/>
  <c r="BA681" i="4"/>
  <c r="BE681" i="4"/>
  <c r="BN681" i="4"/>
  <c r="BR681" i="4"/>
  <c r="AS677" i="4"/>
  <c r="AT677" i="4" s="1"/>
  <c r="R681" i="4"/>
  <c r="V671" i="4"/>
  <c r="AB681" i="4"/>
  <c r="AB15" i="4" s="1"/>
  <c r="AF681" i="4"/>
  <c r="AF15" i="4" s="1"/>
  <c r="AJ681" i="4"/>
  <c r="AJ15" i="4" s="1"/>
  <c r="BB681" i="4"/>
  <c r="BB15" i="4" s="1"/>
  <c r="BF681" i="4"/>
  <c r="BS681" i="4"/>
  <c r="S672" i="4"/>
  <c r="AR678" i="4"/>
  <c r="AS678" i="4" s="1"/>
  <c r="AT678" i="4" s="1"/>
  <c r="S678" i="4"/>
  <c r="T678" i="4" s="1"/>
  <c r="BI555" i="1"/>
  <c r="BT555" i="1"/>
  <c r="BS555" i="1"/>
  <c r="BR555" i="1"/>
  <c r="BQ555" i="1"/>
  <c r="BP555" i="1"/>
  <c r="BO555" i="1"/>
  <c r="BN555" i="1"/>
  <c r="BM555" i="1"/>
  <c r="BL555" i="1"/>
  <c r="BK555" i="1"/>
  <c r="BJ555" i="1"/>
  <c r="BT471" i="1"/>
  <c r="BS471" i="1"/>
  <c r="BR471" i="1"/>
  <c r="BQ471" i="1"/>
  <c r="BP471" i="1"/>
  <c r="BO471" i="1"/>
  <c r="BN471" i="1"/>
  <c r="BM471" i="1"/>
  <c r="BL471" i="1"/>
  <c r="BK471" i="1"/>
  <c r="BJ471" i="1"/>
  <c r="BI471" i="1"/>
  <c r="V477" i="4" l="1"/>
  <c r="W477" i="4"/>
  <c r="U354" i="4"/>
  <c r="V354" i="4" s="1"/>
  <c r="U278" i="4"/>
  <c r="V278" i="4"/>
  <c r="W203" i="4"/>
  <c r="D203" i="4" s="1"/>
  <c r="Y203" i="4"/>
  <c r="W345" i="4"/>
  <c r="D345" i="4" s="1"/>
  <c r="AN345" i="4"/>
  <c r="U329" i="4"/>
  <c r="AN671" i="4"/>
  <c r="V340" i="4"/>
  <c r="AN340" i="4"/>
  <c r="W340" i="4"/>
  <c r="D340" i="4" s="1"/>
  <c r="Y340" i="4"/>
  <c r="H690" i="4"/>
  <c r="H568" i="4"/>
  <c r="H12" i="4"/>
  <c r="H11" i="4" s="1"/>
  <c r="U531" i="4"/>
  <c r="U506" i="4"/>
  <c r="V506" i="4" s="1"/>
  <c r="AN318" i="4"/>
  <c r="AP318" i="4" s="1"/>
  <c r="AQ318" i="4" s="1"/>
  <c r="W318" i="4"/>
  <c r="D318" i="4"/>
  <c r="Y318" i="4"/>
  <c r="U304" i="4"/>
  <c r="V304" i="4"/>
  <c r="BN668" i="4"/>
  <c r="BQ668" i="4"/>
  <c r="V643" i="4"/>
  <c r="W643" i="4" s="1"/>
  <c r="V541" i="4"/>
  <c r="W541" i="4" s="1"/>
  <c r="V523" i="4"/>
  <c r="V418" i="4"/>
  <c r="AN418" i="4" s="1"/>
  <c r="V391" i="4"/>
  <c r="W445" i="4"/>
  <c r="D445" i="4" s="1"/>
  <c r="V428" i="4"/>
  <c r="W418" i="4"/>
  <c r="AA242" i="4"/>
  <c r="AA566" i="4" s="1"/>
  <c r="V283" i="4"/>
  <c r="W283" i="4" s="1"/>
  <c r="AD242" i="4"/>
  <c r="V213" i="4"/>
  <c r="V149" i="4"/>
  <c r="V110" i="4"/>
  <c r="V104" i="4"/>
  <c r="V76" i="4"/>
  <c r="W73" i="4"/>
  <c r="V49" i="4"/>
  <c r="V40" i="4"/>
  <c r="AH608" i="4"/>
  <c r="T420" i="4"/>
  <c r="U420" i="4" s="1"/>
  <c r="U426" i="4"/>
  <c r="U416" i="4"/>
  <c r="V416" i="4" s="1"/>
  <c r="AJ650" i="4"/>
  <c r="AI608" i="4"/>
  <c r="V351" i="4"/>
  <c r="U98" i="4"/>
  <c r="V98" i="4" s="1"/>
  <c r="T305" i="4"/>
  <c r="AK55" i="4"/>
  <c r="AK689" i="4" s="1"/>
  <c r="AR646" i="4"/>
  <c r="BL668" i="4"/>
  <c r="W537" i="4"/>
  <c r="D537" i="4" s="1"/>
  <c r="V515" i="4"/>
  <c r="V499" i="4"/>
  <c r="T507" i="4"/>
  <c r="U507" i="4" s="1"/>
  <c r="V423" i="4"/>
  <c r="S457" i="4"/>
  <c r="W433" i="4"/>
  <c r="V429" i="4"/>
  <c r="V433" i="4"/>
  <c r="V349" i="4"/>
  <c r="AF331" i="4"/>
  <c r="V282" i="4"/>
  <c r="V317" i="4"/>
  <c r="W317" i="4" s="1"/>
  <c r="Y317" i="4" s="1"/>
  <c r="AK242" i="4"/>
  <c r="U182" i="4"/>
  <c r="W168" i="4"/>
  <c r="D168" i="4" s="1"/>
  <c r="W31" i="4"/>
  <c r="W83" i="4"/>
  <c r="D83" i="4" s="1"/>
  <c r="V31" i="4"/>
  <c r="AD608" i="4"/>
  <c r="AL650" i="4"/>
  <c r="AL14" i="4"/>
  <c r="AK608" i="4"/>
  <c r="AF650" i="4"/>
  <c r="AE608" i="4"/>
  <c r="U405" i="4"/>
  <c r="U273" i="4"/>
  <c r="T273" i="4"/>
  <c r="U96" i="4"/>
  <c r="V295" i="4"/>
  <c r="T679" i="4"/>
  <c r="Y671" i="4"/>
  <c r="BM681" i="4"/>
  <c r="AK683" i="4"/>
  <c r="BA648" i="4"/>
  <c r="V480" i="4"/>
  <c r="W480" i="4" s="1"/>
  <c r="V488" i="4"/>
  <c r="D433" i="4"/>
  <c r="V424" i="4"/>
  <c r="V411" i="4"/>
  <c r="W401" i="4"/>
  <c r="Y401" i="4" s="1"/>
  <c r="V353" i="4"/>
  <c r="AB242" i="4"/>
  <c r="AI242" i="4"/>
  <c r="AI331" i="4"/>
  <c r="V311" i="4"/>
  <c r="W311" i="4" s="1"/>
  <c r="AN311" i="4" s="1"/>
  <c r="AP311" i="4" s="1"/>
  <c r="AQ311" i="4" s="1"/>
  <c r="AG242" i="4"/>
  <c r="W178" i="4"/>
  <c r="V175" i="4"/>
  <c r="V167" i="4"/>
  <c r="Y31" i="4"/>
  <c r="W82" i="4"/>
  <c r="W45" i="4"/>
  <c r="V114" i="4"/>
  <c r="V101" i="4"/>
  <c r="V97" i="4"/>
  <c r="V82" i="4"/>
  <c r="Y82" i="4" s="1"/>
  <c r="V68" i="4"/>
  <c r="W68" i="4" s="1"/>
  <c r="V45" i="4"/>
  <c r="Y45" i="4" s="1"/>
  <c r="AH650" i="4"/>
  <c r="AH14" i="4"/>
  <c r="AG608" i="4"/>
  <c r="U551" i="4"/>
  <c r="V551" i="4" s="1"/>
  <c r="W551" i="4" s="1"/>
  <c r="V434" i="4"/>
  <c r="AB650" i="4"/>
  <c r="AA608" i="4"/>
  <c r="U341" i="4"/>
  <c r="V341" i="4" s="1"/>
  <c r="T341" i="4"/>
  <c r="W341" i="4" s="1"/>
  <c r="U337" i="4"/>
  <c r="T99" i="4"/>
  <c r="U280" i="4"/>
  <c r="V280" i="4" s="1"/>
  <c r="V96" i="4"/>
  <c r="W96" i="4" s="1"/>
  <c r="BF15" i="4"/>
  <c r="AH683" i="4"/>
  <c r="BB683" i="4"/>
  <c r="W523" i="4"/>
  <c r="Y523" i="4" s="1"/>
  <c r="V487" i="4"/>
  <c r="W407" i="4"/>
  <c r="Y407" i="4" s="1"/>
  <c r="V414" i="4"/>
  <c r="W414" i="4" s="1"/>
  <c r="D414" i="4" s="1"/>
  <c r="D321" i="4"/>
  <c r="V350" i="4"/>
  <c r="W350" i="4" s="1"/>
  <c r="AG331" i="4"/>
  <c r="AB331" i="4"/>
  <c r="AN317" i="4"/>
  <c r="AP317" i="4" s="1"/>
  <c r="AQ317" i="4" s="1"/>
  <c r="AE331" i="4"/>
  <c r="W227" i="4"/>
  <c r="D227" i="4" s="1"/>
  <c r="U231" i="4"/>
  <c r="V307" i="4"/>
  <c r="W307" i="4" s="1"/>
  <c r="V289" i="4"/>
  <c r="W289" i="4" s="1"/>
  <c r="AH242" i="4"/>
  <c r="AH566" i="4" s="1"/>
  <c r="W224" i="4"/>
  <c r="V204" i="4"/>
  <c r="V199" i="4"/>
  <c r="V163" i="4"/>
  <c r="Y104" i="4"/>
  <c r="W104" i="4"/>
  <c r="H691" i="4"/>
  <c r="AL608" i="4"/>
  <c r="AO449" i="4"/>
  <c r="AS449" i="4" s="1"/>
  <c r="AT449" i="4" s="1"/>
  <c r="AV449" i="4"/>
  <c r="AD650" i="4"/>
  <c r="AD14" i="4"/>
  <c r="AC608" i="4"/>
  <c r="U535" i="4"/>
  <c r="V535" i="4" s="1"/>
  <c r="AB608" i="4"/>
  <c r="AO451" i="4"/>
  <c r="AS451" i="4" s="1"/>
  <c r="AT451" i="4" s="1"/>
  <c r="AV451" i="4"/>
  <c r="BS668" i="4"/>
  <c r="BS15" i="4" s="1"/>
  <c r="T430" i="4"/>
  <c r="AV608" i="4"/>
  <c r="U430" i="4"/>
  <c r="W269" i="4"/>
  <c r="D269" i="4" s="1"/>
  <c r="AS27" i="4"/>
  <c r="AT27" i="4" s="1"/>
  <c r="AY683" i="4"/>
  <c r="AY15" i="4"/>
  <c r="AX15" i="4"/>
  <c r="AX683" i="4"/>
  <c r="F537" i="4"/>
  <c r="G537" i="4" s="1"/>
  <c r="I537" i="4"/>
  <c r="J537" i="4" s="1"/>
  <c r="BC683" i="4"/>
  <c r="BC15" i="4"/>
  <c r="AZ683" i="4"/>
  <c r="AZ15" i="4"/>
  <c r="BG683" i="4"/>
  <c r="BG15" i="4"/>
  <c r="D509" i="4"/>
  <c r="Y509" i="4"/>
  <c r="F414" i="4"/>
  <c r="G414" i="4" s="1"/>
  <c r="I414" i="4"/>
  <c r="J414" i="4" s="1"/>
  <c r="BA683" i="4"/>
  <c r="BA15" i="4"/>
  <c r="V590" i="4"/>
  <c r="W590" i="4" s="1"/>
  <c r="Y590" i="4" s="1"/>
  <c r="AN541" i="4"/>
  <c r="Y541" i="4"/>
  <c r="U661" i="4"/>
  <c r="BL681" i="4"/>
  <c r="BN683" i="4"/>
  <c r="BN15" i="4"/>
  <c r="AW683" i="4"/>
  <c r="AW15" i="4"/>
  <c r="U642" i="4"/>
  <c r="BL683" i="4"/>
  <c r="BL15" i="4"/>
  <c r="AO627" i="4"/>
  <c r="AV627" i="4"/>
  <c r="AR627" i="4"/>
  <c r="BB627" i="4"/>
  <c r="S606" i="4"/>
  <c r="BE627" i="4"/>
  <c r="U589" i="4"/>
  <c r="V589" i="4" s="1"/>
  <c r="V538" i="4"/>
  <c r="V534" i="4"/>
  <c r="AS534" i="4"/>
  <c r="AT534" i="4" s="1"/>
  <c r="U520" i="4"/>
  <c r="W517" i="4"/>
  <c r="AN517" i="4" s="1"/>
  <c r="AP517" i="4" s="1"/>
  <c r="AQ517" i="4" s="1"/>
  <c r="V517" i="4"/>
  <c r="T501" i="4"/>
  <c r="U501" i="4" s="1"/>
  <c r="W534" i="4"/>
  <c r="AS455" i="4"/>
  <c r="AT455" i="4" s="1"/>
  <c r="U454" i="4"/>
  <c r="V444" i="4"/>
  <c r="T393" i="4"/>
  <c r="U393" i="4" s="1"/>
  <c r="V451" i="4"/>
  <c r="W444" i="4"/>
  <c r="U440" i="4"/>
  <c r="V440" i="4" s="1"/>
  <c r="D437" i="4"/>
  <c r="T435" i="4"/>
  <c r="U435" i="4"/>
  <c r="V435" i="4" s="1"/>
  <c r="V427" i="4"/>
  <c r="T400" i="4"/>
  <c r="U396" i="4"/>
  <c r="U371" i="4"/>
  <c r="V371" i="4" s="1"/>
  <c r="T356" i="4"/>
  <c r="U356" i="4" s="1"/>
  <c r="V417" i="4"/>
  <c r="U372" i="4"/>
  <c r="T372" i="4"/>
  <c r="S360" i="4"/>
  <c r="U338" i="4"/>
  <c r="V355" i="4"/>
  <c r="S240" i="4"/>
  <c r="T240" i="4" s="1"/>
  <c r="I340" i="4"/>
  <c r="J340" i="4" s="1"/>
  <c r="F340" i="4"/>
  <c r="G340" i="4" s="1"/>
  <c r="S300" i="4"/>
  <c r="W271" i="4"/>
  <c r="AN271" i="4" s="1"/>
  <c r="AP271" i="4" s="1"/>
  <c r="AQ271" i="4" s="1"/>
  <c r="V271" i="4"/>
  <c r="D271" i="4" s="1"/>
  <c r="Y271" i="4"/>
  <c r="AA690" i="4"/>
  <c r="V293" i="4"/>
  <c r="W282" i="4"/>
  <c r="AN282" i="4" s="1"/>
  <c r="AL566" i="4"/>
  <c r="AL690" i="4" s="1"/>
  <c r="AK566" i="4"/>
  <c r="AN227" i="4"/>
  <c r="I168" i="4"/>
  <c r="J168" i="4" s="1"/>
  <c r="F168" i="4"/>
  <c r="G168" i="4" s="1"/>
  <c r="D178" i="4"/>
  <c r="W76" i="4"/>
  <c r="W40" i="4"/>
  <c r="W81" i="4"/>
  <c r="D81" i="4" s="1"/>
  <c r="S681" i="4"/>
  <c r="AS675" i="4"/>
  <c r="AT675" i="4" s="1"/>
  <c r="AI683" i="4"/>
  <c r="AI15" i="4"/>
  <c r="BN648" i="4"/>
  <c r="BM668" i="4"/>
  <c r="AD683" i="4"/>
  <c r="AG683" i="4"/>
  <c r="AG15" i="4"/>
  <c r="AG689" i="4"/>
  <c r="BC646" i="4"/>
  <c r="BC648" i="4" s="1"/>
  <c r="BP648" i="4"/>
  <c r="T674" i="4"/>
  <c r="AJ683" i="4"/>
  <c r="V638" i="4"/>
  <c r="S585" i="4"/>
  <c r="T634" i="4"/>
  <c r="AZ627" i="4"/>
  <c r="BF627" i="4"/>
  <c r="T591" i="4"/>
  <c r="R608" i="4"/>
  <c r="R13" i="4"/>
  <c r="V595" i="4"/>
  <c r="W595" i="4" s="1"/>
  <c r="BF683" i="4"/>
  <c r="AW627" i="4"/>
  <c r="U597" i="4"/>
  <c r="T583" i="4"/>
  <c r="V536" i="4"/>
  <c r="W538" i="4"/>
  <c r="D538" i="4" s="1"/>
  <c r="AN523" i="4"/>
  <c r="T522" i="4"/>
  <c r="T514" i="4"/>
  <c r="V525" i="4"/>
  <c r="U519" i="4"/>
  <c r="D517" i="4"/>
  <c r="W500" i="4"/>
  <c r="AN500" i="4" s="1"/>
  <c r="AP500" i="4" s="1"/>
  <c r="AQ500" i="4" s="1"/>
  <c r="V519" i="4"/>
  <c r="AS503" i="4"/>
  <c r="AT503" i="4" s="1"/>
  <c r="U497" i="4"/>
  <c r="T486" i="4"/>
  <c r="V471" i="4"/>
  <c r="BB450" i="4"/>
  <c r="BE450" i="4"/>
  <c r="T443" i="4"/>
  <c r="T431" i="4"/>
  <c r="D401" i="4"/>
  <c r="W487" i="4"/>
  <c r="D487" i="4" s="1"/>
  <c r="U439" i="4"/>
  <c r="V439" i="4" s="1"/>
  <c r="T439" i="4"/>
  <c r="U421" i="4"/>
  <c r="V421" i="4" s="1"/>
  <c r="D418" i="4"/>
  <c r="W415" i="4"/>
  <c r="D415" i="4" s="1"/>
  <c r="U413" i="4"/>
  <c r="V413" i="4" s="1"/>
  <c r="W413" i="4" s="1"/>
  <c r="W404" i="4"/>
  <c r="V404" i="4"/>
  <c r="U386" i="4"/>
  <c r="V386" i="4" s="1"/>
  <c r="S374" i="4"/>
  <c r="T370" i="4"/>
  <c r="V335" i="4"/>
  <c r="W335" i="4" s="1"/>
  <c r="V397" i="4"/>
  <c r="W349" i="4"/>
  <c r="Y349" i="4" s="1"/>
  <c r="W344" i="4"/>
  <c r="Y344" i="4" s="1"/>
  <c r="AC242" i="4"/>
  <c r="AC566" i="4" s="1"/>
  <c r="T326" i="4"/>
  <c r="U326" i="4" s="1"/>
  <c r="W353" i="4"/>
  <c r="V338" i="4"/>
  <c r="AJ331" i="4"/>
  <c r="AN283" i="4"/>
  <c r="Y260" i="4"/>
  <c r="D260" i="4"/>
  <c r="AG566" i="4"/>
  <c r="V201" i="4"/>
  <c r="Y178" i="4"/>
  <c r="AN178" i="4"/>
  <c r="AP178" i="4" s="1"/>
  <c r="AQ178" i="4" s="1"/>
  <c r="I203" i="4"/>
  <c r="J203" i="4" s="1"/>
  <c r="F203" i="4"/>
  <c r="G203" i="4" s="1"/>
  <c r="AN73" i="4"/>
  <c r="D45" i="4"/>
  <c r="T672" i="4"/>
  <c r="T681" i="4" s="1"/>
  <c r="BD683" i="4"/>
  <c r="BD15" i="4"/>
  <c r="BO681" i="4"/>
  <c r="BJ681" i="4"/>
  <c r="BJ683" i="4" s="1"/>
  <c r="U673" i="4"/>
  <c r="D671" i="4"/>
  <c r="U665" i="4"/>
  <c r="V665" i="4" s="1"/>
  <c r="U677" i="4"/>
  <c r="AR676" i="4"/>
  <c r="AR681" i="4" s="1"/>
  <c r="AV676" i="4"/>
  <c r="AV681" i="4" s="1"/>
  <c r="AO676" i="4"/>
  <c r="V675" i="4"/>
  <c r="AS671" i="4"/>
  <c r="AT671" i="4" s="1"/>
  <c r="AP671" i="4"/>
  <c r="AQ671" i="4" s="1"/>
  <c r="BT681" i="4"/>
  <c r="V661" i="4"/>
  <c r="BE683" i="4"/>
  <c r="BE15" i="4"/>
  <c r="AE683" i="4"/>
  <c r="AE15" i="4"/>
  <c r="AS660" i="4"/>
  <c r="AT660" i="4" s="1"/>
  <c r="R683" i="4"/>
  <c r="R15" i="4"/>
  <c r="AW646" i="4"/>
  <c r="AW648" i="4" s="1"/>
  <c r="AO646" i="4"/>
  <c r="U641" i="4"/>
  <c r="U637" i="4"/>
  <c r="U645" i="4"/>
  <c r="V645" i="4" s="1"/>
  <c r="U639" i="4"/>
  <c r="BT668" i="4"/>
  <c r="AC683" i="4"/>
  <c r="AC15" i="4"/>
  <c r="AC689" i="4"/>
  <c r="AY646" i="4"/>
  <c r="AY648" i="4" s="1"/>
  <c r="BL648" i="4"/>
  <c r="Y643" i="4"/>
  <c r="BS683" i="4"/>
  <c r="AB683" i="4"/>
  <c r="V642" i="4"/>
  <c r="BJ648" i="4"/>
  <c r="AR648" i="4"/>
  <c r="AS634" i="4"/>
  <c r="AT634" i="4" s="1"/>
  <c r="BD627" i="4"/>
  <c r="BG627" i="4"/>
  <c r="U635" i="4"/>
  <c r="R650" i="4"/>
  <c r="R14" i="4"/>
  <c r="U557" i="4"/>
  <c r="V559" i="4"/>
  <c r="V554" i="4"/>
  <c r="Y537" i="4"/>
  <c r="W516" i="4"/>
  <c r="AN516" i="4" s="1"/>
  <c r="AP516" i="4" s="1"/>
  <c r="AQ516" i="4" s="1"/>
  <c r="U512" i="4"/>
  <c r="AS499" i="4"/>
  <c r="AT499" i="4" s="1"/>
  <c r="V520" i="4"/>
  <c r="T495" i="4"/>
  <c r="U495" i="4" s="1"/>
  <c r="T482" i="4"/>
  <c r="Y477" i="4"/>
  <c r="AN477" i="4"/>
  <c r="U467" i="4"/>
  <c r="AR504" i="4"/>
  <c r="AV504" i="4"/>
  <c r="AO504" i="4"/>
  <c r="V492" i="4"/>
  <c r="W466" i="4"/>
  <c r="D466" i="4" s="1"/>
  <c r="W505" i="4"/>
  <c r="D505" i="4" s="1"/>
  <c r="Y500" i="4"/>
  <c r="BA450" i="4"/>
  <c r="Y447" i="4"/>
  <c r="T442" i="4"/>
  <c r="AZ450" i="4"/>
  <c r="W447" i="4"/>
  <c r="AN447" i="4" s="1"/>
  <c r="AP447" i="4" s="1"/>
  <c r="AQ447" i="4" s="1"/>
  <c r="I433" i="4"/>
  <c r="J433" i="4" s="1"/>
  <c r="F433" i="4"/>
  <c r="G433" i="4" s="1"/>
  <c r="V425" i="4"/>
  <c r="W425" i="4" s="1"/>
  <c r="W451" i="4"/>
  <c r="AN451" i="4" s="1"/>
  <c r="AP451" i="4" s="1"/>
  <c r="AQ451" i="4" s="1"/>
  <c r="U379" i="4"/>
  <c r="U366" i="4"/>
  <c r="W364" i="4"/>
  <c r="W366" i="4" s="1"/>
  <c r="V364" i="4"/>
  <c r="V366" i="4" s="1"/>
  <c r="W391" i="4"/>
  <c r="AN391" i="4" s="1"/>
  <c r="T380" i="4"/>
  <c r="V352" i="4"/>
  <c r="W352" i="4" s="1"/>
  <c r="Y352" i="4" s="1"/>
  <c r="AI566" i="4"/>
  <c r="AI690" i="4" s="1"/>
  <c r="V237" i="4"/>
  <c r="U237" i="4"/>
  <c r="F227" i="4"/>
  <c r="G227" i="4" s="1"/>
  <c r="I227" i="4"/>
  <c r="J227" i="4" s="1"/>
  <c r="AJ242" i="4"/>
  <c r="AJ566" i="4" s="1"/>
  <c r="AH690" i="4"/>
  <c r="AE566" i="4"/>
  <c r="AE690" i="4" s="1"/>
  <c r="U174" i="4"/>
  <c r="D76" i="4"/>
  <c r="U678" i="4"/>
  <c r="V678" i="4" s="1"/>
  <c r="BK681" i="4"/>
  <c r="AV666" i="4"/>
  <c r="AV668" i="4" s="1"/>
  <c r="AR666" i="4"/>
  <c r="AR668" i="4" s="1"/>
  <c r="AO666" i="4"/>
  <c r="T664" i="4"/>
  <c r="BQ681" i="4"/>
  <c r="BQ15" i="4" s="1"/>
  <c r="BI681" i="4"/>
  <c r="V677" i="4"/>
  <c r="BR683" i="4"/>
  <c r="BR15" i="4"/>
  <c r="AA683" i="4"/>
  <c r="AA15" i="4"/>
  <c r="AS664" i="4"/>
  <c r="AT664" i="4" s="1"/>
  <c r="S668" i="4"/>
  <c r="T660" i="4"/>
  <c r="T644" i="4"/>
  <c r="T640" i="4"/>
  <c r="T636" i="4"/>
  <c r="BI668" i="4"/>
  <c r="AL683" i="4"/>
  <c r="V663" i="4"/>
  <c r="BP668" i="4"/>
  <c r="V637" i="4"/>
  <c r="AS672" i="4"/>
  <c r="AT672" i="4" s="1"/>
  <c r="T662" i="4"/>
  <c r="AF683" i="4"/>
  <c r="AN643" i="4"/>
  <c r="AP643" i="4" s="1"/>
  <c r="AQ643" i="4" s="1"/>
  <c r="BC627" i="4"/>
  <c r="S648" i="4"/>
  <c r="BA627" i="4"/>
  <c r="AX627" i="4"/>
  <c r="BT648" i="4"/>
  <c r="AY627" i="4"/>
  <c r="AN595" i="4"/>
  <c r="AP595" i="4" s="1"/>
  <c r="AQ595" i="4" s="1"/>
  <c r="U593" i="4"/>
  <c r="T560" i="4"/>
  <c r="U560" i="4" s="1"/>
  <c r="T555" i="4"/>
  <c r="D541" i="4"/>
  <c r="AN537" i="4"/>
  <c r="AP537" i="4" s="1"/>
  <c r="AQ537" i="4" s="1"/>
  <c r="T561" i="4"/>
  <c r="U558" i="4"/>
  <c r="V558" i="4" s="1"/>
  <c r="T556" i="4"/>
  <c r="U556" i="4" s="1"/>
  <c r="U553" i="4"/>
  <c r="V552" i="4"/>
  <c r="D551" i="4"/>
  <c r="U540" i="4"/>
  <c r="AN534" i="4"/>
  <c r="AP534" i="4" s="1"/>
  <c r="AQ534" i="4" s="1"/>
  <c r="Y551" i="4"/>
  <c r="U511" i="4"/>
  <c r="V511" i="4" s="1"/>
  <c r="V553" i="4"/>
  <c r="D516" i="4"/>
  <c r="T496" i="4"/>
  <c r="AN551" i="4"/>
  <c r="T532" i="4"/>
  <c r="AS505" i="4"/>
  <c r="AT505" i="4" s="1"/>
  <c r="W510" i="4"/>
  <c r="Y510" i="4" s="1"/>
  <c r="T498" i="4"/>
  <c r="T485" i="4"/>
  <c r="U485" i="4" s="1"/>
  <c r="Y466" i="4"/>
  <c r="AN466" i="4"/>
  <c r="AP466" i="4" s="1"/>
  <c r="AQ466" i="4" s="1"/>
  <c r="T491" i="4"/>
  <c r="U491" i="4" s="1"/>
  <c r="U483" i="4"/>
  <c r="T478" i="4"/>
  <c r="S527" i="4"/>
  <c r="U478" i="4"/>
  <c r="T470" i="4"/>
  <c r="V468" i="4"/>
  <c r="W468" i="4" s="1"/>
  <c r="D468" i="4" s="1"/>
  <c r="V490" i="4"/>
  <c r="D500" i="4"/>
  <c r="W492" i="4"/>
  <c r="V462" i="4"/>
  <c r="U453" i="4"/>
  <c r="AN444" i="4"/>
  <c r="AP444" i="4" s="1"/>
  <c r="AQ444" i="4" s="1"/>
  <c r="AN414" i="4"/>
  <c r="AP414" i="4" s="1"/>
  <c r="AQ414" i="4" s="1"/>
  <c r="T394" i="4"/>
  <c r="T387" i="4"/>
  <c r="W465" i="4"/>
  <c r="Y465" i="4" s="1"/>
  <c r="AO450" i="4"/>
  <c r="AR450" i="4"/>
  <c r="AV450" i="4"/>
  <c r="V449" i="4"/>
  <c r="W449" i="4" s="1"/>
  <c r="D449" i="4" s="1"/>
  <c r="W446" i="4"/>
  <c r="D446" i="4" s="1"/>
  <c r="Y444" i="4"/>
  <c r="Y437" i="4"/>
  <c r="V419" i="4"/>
  <c r="W419" i="4"/>
  <c r="W417" i="4"/>
  <c r="AN417" i="4" s="1"/>
  <c r="AP417" i="4" s="1"/>
  <c r="AQ417" i="4" s="1"/>
  <c r="T406" i="4"/>
  <c r="U406" i="4" s="1"/>
  <c r="V406" i="4" s="1"/>
  <c r="V403" i="4"/>
  <c r="V398" i="4"/>
  <c r="V392" i="4"/>
  <c r="W438" i="4"/>
  <c r="AN438" i="4" s="1"/>
  <c r="V412" i="4"/>
  <c r="W412" i="4" s="1"/>
  <c r="V396" i="4"/>
  <c r="S382" i="4"/>
  <c r="T378" i="4"/>
  <c r="T382" i="4" s="1"/>
  <c r="V448" i="4"/>
  <c r="V436" i="4"/>
  <c r="Y438" i="4"/>
  <c r="T390" i="4"/>
  <c r="U390" i="4" s="1"/>
  <c r="AS378" i="4"/>
  <c r="AT378" i="4" s="1"/>
  <c r="V432" i="4"/>
  <c r="V322" i="4"/>
  <c r="W322" i="4" s="1"/>
  <c r="AB566" i="4"/>
  <c r="U288" i="4"/>
  <c r="V288" i="4" s="1"/>
  <c r="Y282" i="4"/>
  <c r="T261" i="4"/>
  <c r="T264" i="4" s="1"/>
  <c r="S264" i="4"/>
  <c r="I345" i="4"/>
  <c r="J345" i="4" s="1"/>
  <c r="F345" i="4"/>
  <c r="G345" i="4" s="1"/>
  <c r="W286" i="4"/>
  <c r="Y286" i="4" s="1"/>
  <c r="D286" i="4"/>
  <c r="W225" i="4"/>
  <c r="AN225" i="4" s="1"/>
  <c r="AF566" i="4"/>
  <c r="AD566" i="4"/>
  <c r="AD690" i="4" s="1"/>
  <c r="W213" i="4"/>
  <c r="D213" i="4" s="1"/>
  <c r="AN213" i="4"/>
  <c r="AN40" i="4"/>
  <c r="AP40" i="4" s="1"/>
  <c r="AQ40" i="4" s="1"/>
  <c r="AN104" i="4"/>
  <c r="AN76" i="4"/>
  <c r="AP76" i="4" s="1"/>
  <c r="AQ76" i="4" s="1"/>
  <c r="D40" i="4"/>
  <c r="AP340" i="4"/>
  <c r="AQ340" i="4" s="1"/>
  <c r="AS340" i="4"/>
  <c r="AT340" i="4" s="1"/>
  <c r="T327" i="4"/>
  <c r="T323" i="4"/>
  <c r="F321" i="4"/>
  <c r="G321" i="4" s="1"/>
  <c r="I321" i="4"/>
  <c r="J321" i="4" s="1"/>
  <c r="I348" i="4"/>
  <c r="J348" i="4" s="1"/>
  <c r="F348" i="4"/>
  <c r="G348" i="4" s="1"/>
  <c r="T301" i="4"/>
  <c r="U297" i="4"/>
  <c r="U275" i="4"/>
  <c r="T270" i="4"/>
  <c r="W339" i="4"/>
  <c r="AN339" i="4" s="1"/>
  <c r="AP339" i="4" s="1"/>
  <c r="AQ339" i="4" s="1"/>
  <c r="AN224" i="4"/>
  <c r="U222" i="4"/>
  <c r="V222" i="4" s="1"/>
  <c r="V309" i="4"/>
  <c r="V234" i="4"/>
  <c r="T215" i="4"/>
  <c r="T212" i="4"/>
  <c r="U212" i="4" s="1"/>
  <c r="F147" i="4"/>
  <c r="G147" i="4" s="1"/>
  <c r="I147" i="4"/>
  <c r="J147" i="4" s="1"/>
  <c r="T138" i="4"/>
  <c r="V302" i="4"/>
  <c r="W294" i="4"/>
  <c r="AN294" i="4" s="1"/>
  <c r="AP294" i="4" s="1"/>
  <c r="AQ294" i="4" s="1"/>
  <c r="W276" i="4"/>
  <c r="AN276" i="4" s="1"/>
  <c r="W272" i="4"/>
  <c r="D272" i="4" s="1"/>
  <c r="W182" i="4"/>
  <c r="V197" i="4"/>
  <c r="V182" i="4"/>
  <c r="Y182" i="4" s="1"/>
  <c r="V174" i="4"/>
  <c r="AV112" i="4"/>
  <c r="AO112" i="4"/>
  <c r="AR112" i="4"/>
  <c r="AX36" i="4"/>
  <c r="AX41" i="4" s="1"/>
  <c r="BK41" i="4"/>
  <c r="BN380" i="4"/>
  <c r="BN335" i="4"/>
  <c r="BA30" i="4"/>
  <c r="BA34" i="4" s="1"/>
  <c r="BQ628" i="4"/>
  <c r="BD628" i="4" s="1"/>
  <c r="BD509" i="4"/>
  <c r="W173" i="4"/>
  <c r="Y173" i="4" s="1"/>
  <c r="W167" i="4"/>
  <c r="Y167" i="4" s="1"/>
  <c r="T139" i="4"/>
  <c r="U139" i="4" s="1"/>
  <c r="AN82" i="4"/>
  <c r="AP82" i="4" s="1"/>
  <c r="AQ82" i="4" s="1"/>
  <c r="AN45" i="4"/>
  <c r="AP45" i="4" s="1"/>
  <c r="AQ45" i="4" s="1"/>
  <c r="BE36" i="4"/>
  <c r="BE41" i="4" s="1"/>
  <c r="BR41" i="4"/>
  <c r="BQ380" i="4"/>
  <c r="BQ335" i="4"/>
  <c r="BD30" i="4"/>
  <c r="BD34" i="4" s="1"/>
  <c r="BD55" i="4" s="1"/>
  <c r="V208" i="4"/>
  <c r="V198" i="4"/>
  <c r="W198" i="4" s="1"/>
  <c r="AN173" i="4"/>
  <c r="AP173" i="4" s="1"/>
  <c r="AQ173" i="4" s="1"/>
  <c r="V166" i="4"/>
  <c r="D166" i="4" s="1"/>
  <c r="S120" i="4"/>
  <c r="U87" i="4"/>
  <c r="T85" i="4"/>
  <c r="U79" i="4"/>
  <c r="T79" i="4"/>
  <c r="Y76" i="4"/>
  <c r="D73" i="4"/>
  <c r="T65" i="4"/>
  <c r="T39" i="4"/>
  <c r="U39" i="4" s="1"/>
  <c r="V39" i="4" s="1"/>
  <c r="U28" i="4"/>
  <c r="AX25" i="4"/>
  <c r="AO25" i="4"/>
  <c r="AR25" i="4"/>
  <c r="BO628" i="4"/>
  <c r="BB628" i="4" s="1"/>
  <c r="BB509" i="4"/>
  <c r="V193" i="4"/>
  <c r="W193" i="4" s="1"/>
  <c r="V157" i="4"/>
  <c r="W157" i="4" s="1"/>
  <c r="V150" i="4"/>
  <c r="V141" i="4"/>
  <c r="T136" i="4"/>
  <c r="V134" i="4"/>
  <c r="W134" i="4" s="1"/>
  <c r="D134" i="4" s="1"/>
  <c r="T132" i="4"/>
  <c r="W114" i="4"/>
  <c r="Y114" i="4" s="1"/>
  <c r="W110" i="4"/>
  <c r="D110" i="4" s="1"/>
  <c r="T80" i="4"/>
  <c r="T46" i="4"/>
  <c r="BK335" i="4"/>
  <c r="BK380" i="4"/>
  <c r="AX30" i="4"/>
  <c r="BR628" i="4"/>
  <c r="BE628" i="4" s="1"/>
  <c r="BE509" i="4"/>
  <c r="BJ628" i="4"/>
  <c r="AW628" i="4" s="1"/>
  <c r="AW509" i="4"/>
  <c r="V94" i="4"/>
  <c r="W75" i="4"/>
  <c r="AN75" i="4" s="1"/>
  <c r="AP75" i="4" s="1"/>
  <c r="AQ75" i="4" s="1"/>
  <c r="E616" i="4"/>
  <c r="E620" i="4" s="1"/>
  <c r="E572" i="4"/>
  <c r="BT34" i="4"/>
  <c r="BT55" i="4" s="1"/>
  <c r="V95" i="4"/>
  <c r="W95" i="4" s="1"/>
  <c r="Y95" i="4" s="1"/>
  <c r="V69" i="4"/>
  <c r="BK34" i="4"/>
  <c r="BK55" i="4" s="1"/>
  <c r="V106" i="4"/>
  <c r="W106" i="4" s="1"/>
  <c r="Y106" i="4" s="1"/>
  <c r="W101" i="4"/>
  <c r="Y101" i="4" s="1"/>
  <c r="W94" i="4"/>
  <c r="D94" i="4" s="1"/>
  <c r="V84" i="4"/>
  <c r="BQ34" i="4"/>
  <c r="BQ55" i="4" s="1"/>
  <c r="Y81" i="4"/>
  <c r="BN34" i="4"/>
  <c r="AR264" i="4"/>
  <c r="AS264" i="4" s="1"/>
  <c r="AT264" i="4" s="1"/>
  <c r="V310" i="4"/>
  <c r="W310" i="4" s="1"/>
  <c r="W316" i="4"/>
  <c r="Y316" i="4" s="1"/>
  <c r="T161" i="4"/>
  <c r="T148" i="4"/>
  <c r="T135" i="4"/>
  <c r="W293" i="4"/>
  <c r="Y293" i="4" s="1"/>
  <c r="V235" i="4"/>
  <c r="V230" i="4"/>
  <c r="Y224" i="4"/>
  <c r="AO171" i="4"/>
  <c r="AR171" i="4"/>
  <c r="AV171" i="4"/>
  <c r="BI242" i="4"/>
  <c r="V216" i="4"/>
  <c r="W216" i="4" s="1"/>
  <c r="AN216" i="4" s="1"/>
  <c r="V202" i="4"/>
  <c r="V188" i="4"/>
  <c r="AN147" i="4"/>
  <c r="AV118" i="4"/>
  <c r="AO118" i="4"/>
  <c r="AR118" i="4"/>
  <c r="AV84" i="4"/>
  <c r="AO84" i="4"/>
  <c r="AR84" i="4"/>
  <c r="BJ380" i="4"/>
  <c r="BJ335" i="4"/>
  <c r="AW30" i="4"/>
  <c r="AW34" i="4" s="1"/>
  <c r="BI628" i="4"/>
  <c r="BI630" i="4" s="1"/>
  <c r="AV509" i="4"/>
  <c r="AO509" i="4"/>
  <c r="AR509" i="4"/>
  <c r="W166" i="4"/>
  <c r="Y166" i="4" s="1"/>
  <c r="W163" i="4"/>
  <c r="AN163" i="4" s="1"/>
  <c r="V153" i="4"/>
  <c r="V87" i="4"/>
  <c r="BA36" i="4"/>
  <c r="BA41" i="4" s="1"/>
  <c r="BN41" i="4"/>
  <c r="AN31" i="4"/>
  <c r="AP31" i="4" s="1"/>
  <c r="AQ31" i="4" s="1"/>
  <c r="BM380" i="4"/>
  <c r="BM335" i="4"/>
  <c r="AZ30" i="4"/>
  <c r="AZ34" i="4" s="1"/>
  <c r="AZ55" i="4" s="1"/>
  <c r="BP628" i="4"/>
  <c r="BC628" i="4" s="1"/>
  <c r="BC509" i="4"/>
  <c r="V229" i="4"/>
  <c r="W229" i="4" s="1"/>
  <c r="AN229" i="4" s="1"/>
  <c r="AP229" i="4" s="1"/>
  <c r="AQ229" i="4" s="1"/>
  <c r="V207" i="4"/>
  <c r="V192" i="4"/>
  <c r="W192" i="4" s="1"/>
  <c r="V183" i="4"/>
  <c r="V165" i="4"/>
  <c r="W158" i="4"/>
  <c r="AN158" i="4" s="1"/>
  <c r="V154" i="4"/>
  <c r="W154" i="4" s="1"/>
  <c r="Y154" i="4" s="1"/>
  <c r="W149" i="4"/>
  <c r="Y149" i="4" s="1"/>
  <c r="AS138" i="4"/>
  <c r="AT138" i="4" s="1"/>
  <c r="V131" i="4"/>
  <c r="T117" i="4"/>
  <c r="U109" i="4"/>
  <c r="T109" i="4"/>
  <c r="AN101" i="4"/>
  <c r="T72" i="4"/>
  <c r="T63" i="4"/>
  <c r="U48" i="4"/>
  <c r="Y40" i="4"/>
  <c r="BT335" i="4"/>
  <c r="BT380" i="4"/>
  <c r="BG30" i="4"/>
  <c r="BG34" i="4" s="1"/>
  <c r="BG55" i="4" s="1"/>
  <c r="T26" i="4"/>
  <c r="U26" i="4" s="1"/>
  <c r="V26" i="4" s="1"/>
  <c r="W184" i="4"/>
  <c r="AN184" i="4" s="1"/>
  <c r="AP184" i="4" s="1"/>
  <c r="AQ184" i="4" s="1"/>
  <c r="V137" i="4"/>
  <c r="T115" i="4"/>
  <c r="U111" i="4"/>
  <c r="U86" i="4"/>
  <c r="Y83" i="4"/>
  <c r="Y73" i="4"/>
  <c r="W49" i="4"/>
  <c r="Y49" i="4" s="1"/>
  <c r="T37" i="4"/>
  <c r="U37" i="4" s="1"/>
  <c r="R55" i="4"/>
  <c r="V30" i="4"/>
  <c r="T27" i="4"/>
  <c r="BP34" i="4"/>
  <c r="BP55" i="4" s="1"/>
  <c r="V127" i="4"/>
  <c r="AI689" i="4"/>
  <c r="AI568" i="4"/>
  <c r="AI616" i="4" s="1"/>
  <c r="V100" i="4"/>
  <c r="W100" i="4" s="1"/>
  <c r="V78" i="4"/>
  <c r="H572" i="4"/>
  <c r="AR570" i="4" s="1"/>
  <c r="H616" i="4"/>
  <c r="H620" i="4" s="1"/>
  <c r="AR618" i="4" s="1"/>
  <c r="BM34" i="4"/>
  <c r="BM55" i="4" s="1"/>
  <c r="V105" i="4"/>
  <c r="W105" i="4" s="1"/>
  <c r="D105" i="4" s="1"/>
  <c r="BJ34" i="4"/>
  <c r="AL689" i="4"/>
  <c r="AL691" i="4" s="1"/>
  <c r="AL568" i="4"/>
  <c r="AL616" i="4" s="1"/>
  <c r="AL12" i="4"/>
  <c r="AL11" i="4" s="1"/>
  <c r="U596" i="4"/>
  <c r="U592" i="4"/>
  <c r="S630" i="4"/>
  <c r="T628" i="4"/>
  <c r="T539" i="4"/>
  <c r="S564" i="4"/>
  <c r="AS533" i="4"/>
  <c r="AT533" i="4" s="1"/>
  <c r="V524" i="4"/>
  <c r="U524" i="4"/>
  <c r="U518" i="4"/>
  <c r="T518" i="4"/>
  <c r="Y516" i="4"/>
  <c r="AN509" i="4"/>
  <c r="W508" i="4"/>
  <c r="Y508" i="4" s="1"/>
  <c r="W513" i="4"/>
  <c r="D513" i="4" s="1"/>
  <c r="W525" i="4"/>
  <c r="AN525" i="4" s="1"/>
  <c r="AP525" i="4" s="1"/>
  <c r="AQ525" i="4" s="1"/>
  <c r="W521" i="4"/>
  <c r="D521" i="4" s="1"/>
  <c r="AS506" i="4"/>
  <c r="AT506" i="4" s="1"/>
  <c r="T494" i="4"/>
  <c r="T489" i="4"/>
  <c r="U489" i="4" s="1"/>
  <c r="U481" i="4"/>
  <c r="T481" i="4"/>
  <c r="V502" i="4"/>
  <c r="W502" i="4" s="1"/>
  <c r="V479" i="4"/>
  <c r="W469" i="4"/>
  <c r="Y464" i="4"/>
  <c r="V463" i="4"/>
  <c r="V493" i="4"/>
  <c r="W493" i="4" s="1"/>
  <c r="W464" i="4"/>
  <c r="D464" i="4" s="1"/>
  <c r="D447" i="4"/>
  <c r="W455" i="4"/>
  <c r="AN455" i="4" s="1"/>
  <c r="AP455" i="4" s="1"/>
  <c r="AQ455" i="4" s="1"/>
  <c r="AN407" i="4"/>
  <c r="AP407" i="4" s="1"/>
  <c r="AQ407" i="4" s="1"/>
  <c r="S473" i="4"/>
  <c r="V461" i="4"/>
  <c r="V453" i="4"/>
  <c r="AN445" i="4"/>
  <c r="AP445" i="4" s="1"/>
  <c r="AQ445" i="4" s="1"/>
  <c r="AN437" i="4"/>
  <c r="AP437" i="4" s="1"/>
  <c r="AQ437" i="4" s="1"/>
  <c r="AN433" i="4"/>
  <c r="AP433" i="4" s="1"/>
  <c r="AQ433" i="4" s="1"/>
  <c r="Y418" i="4"/>
  <c r="Y414" i="4"/>
  <c r="W411" i="4"/>
  <c r="D411" i="4" s="1"/>
  <c r="Y433" i="4"/>
  <c r="W409" i="4"/>
  <c r="Y409" i="4" s="1"/>
  <c r="W403" i="4"/>
  <c r="AN403" i="4" s="1"/>
  <c r="AR374" i="4"/>
  <c r="AS374" i="4" s="1"/>
  <c r="AT374" i="4" s="1"/>
  <c r="U346" i="4"/>
  <c r="V441" i="4"/>
  <c r="T358" i="4"/>
  <c r="V336" i="4"/>
  <c r="V343" i="4"/>
  <c r="AS328" i="4"/>
  <c r="AT328" i="4" s="1"/>
  <c r="U319" i="4"/>
  <c r="AS329" i="4"/>
  <c r="AT329" i="4" s="1"/>
  <c r="U320" i="4"/>
  <c r="AN316" i="4"/>
  <c r="AP316" i="4" s="1"/>
  <c r="AQ316" i="4" s="1"/>
  <c r="T315" i="4"/>
  <c r="S314" i="4"/>
  <c r="T306" i="4"/>
  <c r="U306" i="4" s="1"/>
  <c r="T299" i="4"/>
  <c r="U287" i="4"/>
  <c r="T287" i="4"/>
  <c r="V268" i="4"/>
  <c r="W268" i="4" s="1"/>
  <c r="U238" i="4"/>
  <c r="U236" i="4"/>
  <c r="T236" i="4"/>
  <c r="U219" i="4"/>
  <c r="T219" i="4"/>
  <c r="V347" i="4"/>
  <c r="W336" i="4"/>
  <c r="AN286" i="4"/>
  <c r="Y283" i="4"/>
  <c r="AN260" i="4"/>
  <c r="D224" i="4"/>
  <c r="V303" i="4"/>
  <c r="V275" i="4"/>
  <c r="V277" i="4"/>
  <c r="AN182" i="4"/>
  <c r="AP182" i="4" s="1"/>
  <c r="AQ182" i="4" s="1"/>
  <c r="Y311" i="4"/>
  <c r="V298" i="4"/>
  <c r="V292" i="4"/>
  <c r="R331" i="4"/>
  <c r="Y225" i="4"/>
  <c r="T217" i="4"/>
  <c r="AO190" i="4"/>
  <c r="AR190" i="4"/>
  <c r="AV190" i="4"/>
  <c r="D167" i="4"/>
  <c r="U156" i="4"/>
  <c r="T156" i="4"/>
  <c r="U140" i="4"/>
  <c r="T130" i="4"/>
  <c r="V284" i="4"/>
  <c r="W284" i="4" s="1"/>
  <c r="V279" i="4"/>
  <c r="W279" i="4" s="1"/>
  <c r="D279" i="4" s="1"/>
  <c r="T226" i="4"/>
  <c r="W220" i="4"/>
  <c r="V220" i="4"/>
  <c r="AN220" i="4"/>
  <c r="AP220" i="4" s="1"/>
  <c r="AQ220" i="4" s="1"/>
  <c r="W204" i="4"/>
  <c r="Y204" i="4" s="1"/>
  <c r="W199" i="4"/>
  <c r="D199" i="4" s="1"/>
  <c r="AO189" i="4"/>
  <c r="AR189" i="4"/>
  <c r="AV189" i="4"/>
  <c r="AO187" i="4"/>
  <c r="AR187" i="4"/>
  <c r="AV187" i="4"/>
  <c r="D181" i="4"/>
  <c r="D173" i="4"/>
  <c r="AN168" i="4"/>
  <c r="AP168" i="4" s="1"/>
  <c r="AQ168" i="4" s="1"/>
  <c r="U161" i="4"/>
  <c r="V231" i="4"/>
  <c r="V212" i="4"/>
  <c r="W212" i="4" s="1"/>
  <c r="W153" i="4"/>
  <c r="D153" i="4" s="1"/>
  <c r="BF36" i="4"/>
  <c r="BF41" i="4" s="1"/>
  <c r="BS41" i="4"/>
  <c r="AV33" i="4"/>
  <c r="AO33" i="4"/>
  <c r="AR33" i="4"/>
  <c r="BM628" i="4"/>
  <c r="AZ628" i="4" s="1"/>
  <c r="AZ509" i="4"/>
  <c r="V200" i="4"/>
  <c r="V194" i="4"/>
  <c r="W186" i="4"/>
  <c r="Y186" i="4" s="1"/>
  <c r="W177" i="4"/>
  <c r="AN177" i="4" s="1"/>
  <c r="AP177" i="4" s="1"/>
  <c r="AQ177" i="4" s="1"/>
  <c r="V162" i="4"/>
  <c r="W162" i="4" s="1"/>
  <c r="D82" i="4"/>
  <c r="S50" i="4"/>
  <c r="AW36" i="4"/>
  <c r="AW41" i="4" s="1"/>
  <c r="BJ41" i="4"/>
  <c r="BI380" i="4"/>
  <c r="BI335" i="4"/>
  <c r="AR30" i="4"/>
  <c r="AV30" i="4"/>
  <c r="AV34" i="4" s="1"/>
  <c r="AV55" i="4" s="1"/>
  <c r="AO30" i="4"/>
  <c r="V205" i="4"/>
  <c r="W205" i="4" s="1"/>
  <c r="AN205" i="4" s="1"/>
  <c r="AP205" i="4" s="1"/>
  <c r="AQ205" i="4" s="1"/>
  <c r="V195" i="4"/>
  <c r="AN181" i="4"/>
  <c r="AP181" i="4" s="1"/>
  <c r="AQ181" i="4" s="1"/>
  <c r="Y168" i="4"/>
  <c r="U133" i="4"/>
  <c r="U126" i="4"/>
  <c r="T113" i="4"/>
  <c r="AO88" i="4"/>
  <c r="AR88" i="4"/>
  <c r="AV88" i="4"/>
  <c r="U80" i="4"/>
  <c r="AR139" i="4"/>
  <c r="AV139" i="4"/>
  <c r="AO139" i="4"/>
  <c r="T44" i="4"/>
  <c r="T41" i="4"/>
  <c r="BP335" i="4"/>
  <c r="BP380" i="4"/>
  <c r="BC30" i="4"/>
  <c r="BC34" i="4" s="1"/>
  <c r="BC55" i="4" s="1"/>
  <c r="U27" i="4"/>
  <c r="BS628" i="4"/>
  <c r="BF628" i="4" s="1"/>
  <c r="BF509" i="4"/>
  <c r="BK628" i="4"/>
  <c r="AX628" i="4" s="1"/>
  <c r="AX509" i="4"/>
  <c r="V196" i="4"/>
  <c r="Y177" i="4"/>
  <c r="W172" i="4"/>
  <c r="AN172" i="4" s="1"/>
  <c r="AP172" i="4" s="1"/>
  <c r="AQ172" i="4" s="1"/>
  <c r="W152" i="4"/>
  <c r="AN152" i="4" s="1"/>
  <c r="U132" i="4"/>
  <c r="W129" i="4"/>
  <c r="AN129" i="4" s="1"/>
  <c r="V129" i="4"/>
  <c r="U125" i="4"/>
  <c r="V125" i="4" s="1"/>
  <c r="S143" i="4"/>
  <c r="U124" i="4"/>
  <c r="U52" i="4"/>
  <c r="U53" i="4" s="1"/>
  <c r="U47" i="4"/>
  <c r="BS335" i="4"/>
  <c r="BS380" i="4"/>
  <c r="BF30" i="4"/>
  <c r="BF34" i="4" s="1"/>
  <c r="BF55" i="4" s="1"/>
  <c r="BN628" i="4"/>
  <c r="BA628" i="4" s="1"/>
  <c r="BA509" i="4"/>
  <c r="V108" i="4"/>
  <c r="D108" i="4" s="1"/>
  <c r="W102" i="4"/>
  <c r="AN102" i="4" s="1"/>
  <c r="W97" i="4"/>
  <c r="AN97" i="4" s="1"/>
  <c r="AP97" i="4" s="1"/>
  <c r="AQ97" i="4" s="1"/>
  <c r="W70" i="4"/>
  <c r="AN70" i="4" s="1"/>
  <c r="BL34" i="4"/>
  <c r="BL55" i="4" s="1"/>
  <c r="V71" i="4"/>
  <c r="W64" i="4"/>
  <c r="AN64" i="4" s="1"/>
  <c r="AP64" i="4" s="1"/>
  <c r="AQ64" i="4" s="1"/>
  <c r="BS34" i="4"/>
  <c r="BS55" i="4" s="1"/>
  <c r="AE689" i="4"/>
  <c r="AE691" i="4" s="1"/>
  <c r="AE568" i="4"/>
  <c r="AE616" i="4" s="1"/>
  <c r="AE12" i="4"/>
  <c r="AE11" i="4" s="1"/>
  <c r="AR36" i="4"/>
  <c r="AR41" i="4" s="1"/>
  <c r="W108" i="4"/>
  <c r="V77" i="4"/>
  <c r="V66" i="4"/>
  <c r="W66" i="4" s="1"/>
  <c r="BI34" i="4"/>
  <c r="BI55" i="4" s="1"/>
  <c r="W103" i="4"/>
  <c r="AN103" i="4" s="1"/>
  <c r="Y94" i="4"/>
  <c r="W78" i="4"/>
  <c r="AH689" i="4"/>
  <c r="AH691" i="4" s="1"/>
  <c r="AH568" i="4"/>
  <c r="AH616" i="4" s="1"/>
  <c r="AH12" i="4"/>
  <c r="AH11" i="4" s="1"/>
  <c r="AS636" i="4"/>
  <c r="AT636" i="4" s="1"/>
  <c r="U628" i="4"/>
  <c r="U630" i="4" s="1"/>
  <c r="V596" i="4"/>
  <c r="V594" i="4"/>
  <c r="V592" i="4"/>
  <c r="V533" i="4"/>
  <c r="W533" i="4" s="1"/>
  <c r="W524" i="4"/>
  <c r="AN524" i="4" s="1"/>
  <c r="AP524" i="4" s="1"/>
  <c r="AQ524" i="4" s="1"/>
  <c r="W503" i="4"/>
  <c r="D503" i="4" s="1"/>
  <c r="Y521" i="4"/>
  <c r="D477" i="4"/>
  <c r="W484" i="4"/>
  <c r="AN484" i="4" s="1"/>
  <c r="U452" i="4"/>
  <c r="T452" i="4"/>
  <c r="T399" i="4"/>
  <c r="U399" i="4" s="1"/>
  <c r="T395" i="4"/>
  <c r="T388" i="4"/>
  <c r="U388" i="4" s="1"/>
  <c r="D455" i="4"/>
  <c r="U389" i="4"/>
  <c r="T389" i="4"/>
  <c r="Y445" i="4"/>
  <c r="W424" i="4"/>
  <c r="D424" i="4" s="1"/>
  <c r="V408" i="4"/>
  <c r="U342" i="4"/>
  <c r="T325" i="4"/>
  <c r="AS372" i="4"/>
  <c r="AT372" i="4" s="1"/>
  <c r="AO366" i="4"/>
  <c r="AS364" i="4"/>
  <c r="AT364" i="4" s="1"/>
  <c r="U327" i="4"/>
  <c r="V327" i="4" s="1"/>
  <c r="W327" i="4" s="1"/>
  <c r="U323" i="4"/>
  <c r="V323" i="4" s="1"/>
  <c r="V328" i="4"/>
  <c r="Y321" i="4"/>
  <c r="S331" i="4"/>
  <c r="U262" i="4"/>
  <c r="T312" i="4"/>
  <c r="U312" i="4" s="1"/>
  <c r="T296" i="4"/>
  <c r="T274" i="4"/>
  <c r="T313" i="4"/>
  <c r="AO240" i="4"/>
  <c r="AR240" i="4"/>
  <c r="AV240" i="4"/>
  <c r="T239" i="4"/>
  <c r="D225" i="4"/>
  <c r="Y221" i="4"/>
  <c r="W221" i="4"/>
  <c r="AN221" i="4" s="1"/>
  <c r="I318" i="4"/>
  <c r="J318" i="4" s="1"/>
  <c r="F318" i="4"/>
  <c r="G318" i="4" s="1"/>
  <c r="V223" i="4"/>
  <c r="W223" i="4" s="1"/>
  <c r="S242" i="4"/>
  <c r="W281" i="4"/>
  <c r="D281" i="4" s="1"/>
  <c r="T233" i="4"/>
  <c r="U215" i="4"/>
  <c r="U159" i="4"/>
  <c r="V159" i="4" s="1"/>
  <c r="R242" i="4"/>
  <c r="V319" i="4"/>
  <c r="Y227" i="4"/>
  <c r="U191" i="4"/>
  <c r="U179" i="4"/>
  <c r="U169" i="4"/>
  <c r="T169" i="4"/>
  <c r="T164" i="4"/>
  <c r="T155" i="4"/>
  <c r="W324" i="4"/>
  <c r="D324" i="4" s="1"/>
  <c r="V232" i="4"/>
  <c r="U228" i="4"/>
  <c r="Y220" i="4"/>
  <c r="AO209" i="4"/>
  <c r="AR209" i="4"/>
  <c r="AV209" i="4"/>
  <c r="D186" i="4"/>
  <c r="D152" i="4"/>
  <c r="V180" i="4"/>
  <c r="V176" i="4"/>
  <c r="BB36" i="4"/>
  <c r="BB41" i="4" s="1"/>
  <c r="BO41" i="4"/>
  <c r="BR380" i="4"/>
  <c r="BR335" i="4"/>
  <c r="BE30" i="4"/>
  <c r="BE34" i="4" s="1"/>
  <c r="BE55" i="4" s="1"/>
  <c r="AS510" i="4"/>
  <c r="AT510" i="4" s="1"/>
  <c r="W175" i="4"/>
  <c r="D175" i="4" s="1"/>
  <c r="W160" i="4"/>
  <c r="AN160" i="4" s="1"/>
  <c r="AP160" i="4" s="1"/>
  <c r="AQ160" i="4" s="1"/>
  <c r="D104" i="4"/>
  <c r="D31" i="4"/>
  <c r="V27" i="4"/>
  <c r="BT628" i="4"/>
  <c r="BG628" i="4" s="1"/>
  <c r="BG509" i="4"/>
  <c r="BL628" i="4"/>
  <c r="AY628" i="4" s="1"/>
  <c r="AY509" i="4"/>
  <c r="W211" i="4"/>
  <c r="Y211" i="4" s="1"/>
  <c r="W151" i="4"/>
  <c r="D151" i="4" s="1"/>
  <c r="W137" i="4"/>
  <c r="U115" i="4"/>
  <c r="AO114" i="4"/>
  <c r="AR114" i="4"/>
  <c r="AV114" i="4"/>
  <c r="D101" i="4"/>
  <c r="S90" i="4"/>
  <c r="T61" i="4"/>
  <c r="BL335" i="4"/>
  <c r="BL380" i="4"/>
  <c r="AY30" i="4"/>
  <c r="AY34" i="4" s="1"/>
  <c r="AY55" i="4" s="1"/>
  <c r="Y181" i="4"/>
  <c r="AN151" i="4"/>
  <c r="U128" i="4"/>
  <c r="D70" i="4"/>
  <c r="U43" i="4"/>
  <c r="U38" i="4"/>
  <c r="S41" i="4"/>
  <c r="S55" i="4" s="1"/>
  <c r="BO335" i="4"/>
  <c r="BO380" i="4"/>
  <c r="BB30" i="4"/>
  <c r="BB34" i="4" s="1"/>
  <c r="BB55" i="4" s="1"/>
  <c r="T24" i="4"/>
  <c r="T34" i="4" s="1"/>
  <c r="V107" i="4"/>
  <c r="W107" i="4" s="1"/>
  <c r="V36" i="4"/>
  <c r="W36" i="4" s="1"/>
  <c r="BO34" i="4"/>
  <c r="BO55" i="4" s="1"/>
  <c r="AA689" i="4"/>
  <c r="AA691" i="4" s="1"/>
  <c r="AA568" i="4"/>
  <c r="AA616" i="4" s="1"/>
  <c r="AA12" i="4"/>
  <c r="AA11" i="4" s="1"/>
  <c r="AO36" i="4"/>
  <c r="V116" i="4"/>
  <c r="W116" i="4" s="1"/>
  <c r="V62" i="4"/>
  <c r="Y102" i="4"/>
  <c r="V86" i="4"/>
  <c r="W86" i="4" s="1"/>
  <c r="BR34" i="4"/>
  <c r="BR55" i="4" s="1"/>
  <c r="AD689" i="4"/>
  <c r="AD691" i="4" s="1"/>
  <c r="AD568" i="4"/>
  <c r="AD616" i="4" s="1"/>
  <c r="AD12" i="4"/>
  <c r="AD11" i="4" s="1"/>
  <c r="AO8" i="1"/>
  <c r="AP8" i="1" s="1"/>
  <c r="AQ8" i="1" s="1"/>
  <c r="AO5" i="1"/>
  <c r="AP5" i="1" s="1"/>
  <c r="AQ5" i="1" s="1"/>
  <c r="U41" i="4" l="1"/>
  <c r="V37" i="4"/>
  <c r="AN425" i="4"/>
  <c r="Y425" i="4"/>
  <c r="D425" i="4"/>
  <c r="I269" i="4"/>
  <c r="J269" i="4" s="1"/>
  <c r="F269" i="4"/>
  <c r="G269" i="4" s="1"/>
  <c r="Y307" i="4"/>
  <c r="AN307" i="4"/>
  <c r="AP307" i="4" s="1"/>
  <c r="AQ307" i="4" s="1"/>
  <c r="D307" i="4"/>
  <c r="D68" i="4"/>
  <c r="AN68" i="4"/>
  <c r="AP68" i="4" s="1"/>
  <c r="AQ68" i="4" s="1"/>
  <c r="V507" i="4"/>
  <c r="V420" i="4"/>
  <c r="W420" i="4" s="1"/>
  <c r="I445" i="4"/>
  <c r="J445" i="4" s="1"/>
  <c r="F445" i="4"/>
  <c r="G445" i="4" s="1"/>
  <c r="W354" i="4"/>
  <c r="AN354" i="4" s="1"/>
  <c r="D480" i="4"/>
  <c r="AN480" i="4"/>
  <c r="AP480" i="4" s="1"/>
  <c r="AQ480" i="4" s="1"/>
  <c r="F83" i="4"/>
  <c r="G83" i="4" s="1"/>
  <c r="I83" i="4"/>
  <c r="J83" i="4" s="1"/>
  <c r="D335" i="4"/>
  <c r="AN335" i="4"/>
  <c r="AN289" i="4"/>
  <c r="D289" i="4"/>
  <c r="Y289" i="4"/>
  <c r="Y350" i="4"/>
  <c r="D350" i="4"/>
  <c r="AN350" i="4"/>
  <c r="AP350" i="4" s="1"/>
  <c r="AQ350" i="4" s="1"/>
  <c r="W416" i="4"/>
  <c r="Y416" i="4" s="1"/>
  <c r="W506" i="4"/>
  <c r="AN506" i="4" s="1"/>
  <c r="AP506" i="4" s="1"/>
  <c r="AQ506" i="4" s="1"/>
  <c r="Y78" i="4"/>
  <c r="Y158" i="4"/>
  <c r="D149" i="4"/>
  <c r="U261" i="4"/>
  <c r="U264" i="4" s="1"/>
  <c r="V485" i="4"/>
  <c r="AN513" i="4"/>
  <c r="AP513" i="4" s="1"/>
  <c r="AQ513" i="4" s="1"/>
  <c r="U555" i="4"/>
  <c r="Y555" i="4" s="1"/>
  <c r="D344" i="4"/>
  <c r="AN415" i="4"/>
  <c r="AP415" i="4" s="1"/>
  <c r="AQ415" i="4" s="1"/>
  <c r="D525" i="4"/>
  <c r="AN538" i="4"/>
  <c r="AP538" i="4" s="1"/>
  <c r="AQ538" i="4" s="1"/>
  <c r="W280" i="4"/>
  <c r="AN401" i="4"/>
  <c r="AN96" i="4"/>
  <c r="Y96" i="4"/>
  <c r="D96" i="4"/>
  <c r="AN83" i="4"/>
  <c r="AP83" i="4" s="1"/>
  <c r="AQ83" i="4" s="1"/>
  <c r="D317" i="4"/>
  <c r="W423" i="4"/>
  <c r="AN423" i="4" s="1"/>
  <c r="W535" i="4"/>
  <c r="AN535" i="4" s="1"/>
  <c r="AP535" i="4" s="1"/>
  <c r="AQ535" i="4" s="1"/>
  <c r="U24" i="4"/>
  <c r="U34" i="4" s="1"/>
  <c r="D102" i="4"/>
  <c r="D129" i="4"/>
  <c r="Y524" i="4"/>
  <c r="W592" i="4"/>
  <c r="AV90" i="4"/>
  <c r="AX34" i="4"/>
  <c r="W328" i="4"/>
  <c r="Y328" i="4" s="1"/>
  <c r="Y213" i="4"/>
  <c r="Y199" i="4"/>
  <c r="AN449" i="4"/>
  <c r="AP449" i="4" s="1"/>
  <c r="AQ449" i="4" s="1"/>
  <c r="V491" i="4"/>
  <c r="W491" i="4" s="1"/>
  <c r="V555" i="4"/>
  <c r="V560" i="4"/>
  <c r="W237" i="4"/>
  <c r="U442" i="4"/>
  <c r="V442" i="4" s="1"/>
  <c r="W442" i="4" s="1"/>
  <c r="Y442" i="4" s="1"/>
  <c r="U672" i="4"/>
  <c r="V672" i="4" s="1"/>
  <c r="AN344" i="4"/>
  <c r="AP344" i="4" s="1"/>
  <c r="AQ344" i="4" s="1"/>
  <c r="D349" i="4"/>
  <c r="V356" i="4"/>
  <c r="V393" i="4"/>
  <c r="V454" i="4"/>
  <c r="D454" i="4" s="1"/>
  <c r="Y68" i="4"/>
  <c r="D488" i="4"/>
  <c r="W488" i="4"/>
  <c r="D423" i="4"/>
  <c r="V531" i="4"/>
  <c r="W531" i="4" s="1"/>
  <c r="AN531" i="4" s="1"/>
  <c r="W428" i="4"/>
  <c r="V405" i="4"/>
  <c r="W405" i="4" s="1"/>
  <c r="V329" i="4"/>
  <c r="AN203" i="4"/>
  <c r="AP203" i="4" s="1"/>
  <c r="AQ203" i="4" s="1"/>
  <c r="W278" i="4"/>
  <c r="D278" i="4" s="1"/>
  <c r="D327" i="4"/>
  <c r="V215" i="4"/>
  <c r="W215" i="4" s="1"/>
  <c r="W596" i="4"/>
  <c r="D86" i="4"/>
  <c r="V115" i="4"/>
  <c r="D160" i="4"/>
  <c r="Y103" i="4"/>
  <c r="BA55" i="4"/>
  <c r="AN186" i="4"/>
  <c r="AP186" i="4" s="1"/>
  <c r="AQ186" i="4" s="1"/>
  <c r="D465" i="4"/>
  <c r="D184" i="4"/>
  <c r="Y391" i="4"/>
  <c r="BQ630" i="4"/>
  <c r="W645" i="4"/>
  <c r="AN81" i="4"/>
  <c r="Y276" i="4"/>
  <c r="D444" i="4"/>
  <c r="W661" i="4"/>
  <c r="AN661" i="4" s="1"/>
  <c r="AP661" i="4" s="1"/>
  <c r="AQ661" i="4" s="1"/>
  <c r="AN590" i="4"/>
  <c r="AP590" i="4" s="1"/>
  <c r="AQ590" i="4" s="1"/>
  <c r="U99" i="4"/>
  <c r="Y341" i="4"/>
  <c r="AN341" i="4"/>
  <c r="AP341" i="4" s="1"/>
  <c r="AQ341" i="4" s="1"/>
  <c r="D341" i="4"/>
  <c r="Y269" i="4"/>
  <c r="W429" i="4"/>
  <c r="W98" i="4"/>
  <c r="AN98" i="4" s="1"/>
  <c r="AN416" i="4"/>
  <c r="AP416" i="4" s="1"/>
  <c r="AQ416" i="4" s="1"/>
  <c r="D416" i="4"/>
  <c r="W434" i="4"/>
  <c r="D434" i="4" s="1"/>
  <c r="D643" i="4"/>
  <c r="W304" i="4"/>
  <c r="D407" i="4"/>
  <c r="V273" i="4"/>
  <c r="Y405" i="4"/>
  <c r="Y345" i="4"/>
  <c r="W351" i="4"/>
  <c r="AN351" i="4" s="1"/>
  <c r="AP351" i="4" s="1"/>
  <c r="AQ351" i="4" s="1"/>
  <c r="AN278" i="4"/>
  <c r="V337" i="4"/>
  <c r="W159" i="4"/>
  <c r="W319" i="4"/>
  <c r="AN319" i="4" s="1"/>
  <c r="AP319" i="4" s="1"/>
  <c r="AQ319" i="4" s="1"/>
  <c r="D328" i="4"/>
  <c r="D172" i="4"/>
  <c r="D220" i="4"/>
  <c r="Y336" i="4"/>
  <c r="Y455" i="4"/>
  <c r="AN464" i="4"/>
  <c r="U494" i="4"/>
  <c r="V628" i="4"/>
  <c r="V630" i="4" s="1"/>
  <c r="Y70" i="4"/>
  <c r="BN55" i="4"/>
  <c r="D78" i="4"/>
  <c r="AN193" i="4"/>
  <c r="AR34" i="4"/>
  <c r="Y184" i="4"/>
  <c r="W207" i="4"/>
  <c r="D207" i="4" s="1"/>
  <c r="D182" i="4"/>
  <c r="D177" i="4"/>
  <c r="W302" i="4"/>
  <c r="D316" i="4"/>
  <c r="W197" i="4"/>
  <c r="D197" i="4" s="1"/>
  <c r="U378" i="4"/>
  <c r="AN412" i="4"/>
  <c r="AP412" i="4" s="1"/>
  <c r="AQ412" i="4" s="1"/>
  <c r="D403" i="4"/>
  <c r="Y419" i="4"/>
  <c r="U387" i="4"/>
  <c r="V387" i="4" s="1"/>
  <c r="W453" i="4"/>
  <c r="AN453" i="4" s="1"/>
  <c r="AP453" i="4" s="1"/>
  <c r="AQ453" i="4" s="1"/>
  <c r="D490" i="4"/>
  <c r="W555" i="4"/>
  <c r="V540" i="4"/>
  <c r="W540" i="4" s="1"/>
  <c r="W222" i="4"/>
  <c r="Y222" i="4" s="1"/>
  <c r="D391" i="4"/>
  <c r="Y366" i="4"/>
  <c r="D492" i="4"/>
  <c r="W677" i="4"/>
  <c r="Y677" i="4" s="1"/>
  <c r="Y415" i="4"/>
  <c r="W490" i="4"/>
  <c r="Y490" i="4" s="1"/>
  <c r="Y417" i="4"/>
  <c r="W396" i="4"/>
  <c r="D396" i="4" s="1"/>
  <c r="Y451" i="4"/>
  <c r="W454" i="4"/>
  <c r="Y517" i="4"/>
  <c r="D534" i="4"/>
  <c r="AN280" i="4"/>
  <c r="D280" i="4"/>
  <c r="Y280" i="4"/>
  <c r="AN269" i="4"/>
  <c r="Y480" i="4"/>
  <c r="W295" i="4"/>
  <c r="D295" i="4" s="1"/>
  <c r="Y295" i="4"/>
  <c r="AN295" i="4"/>
  <c r="AP295" i="4" s="1"/>
  <c r="AQ295" i="4" s="1"/>
  <c r="D311" i="4"/>
  <c r="D523" i="4"/>
  <c r="U305" i="4"/>
  <c r="W499" i="4"/>
  <c r="V430" i="4"/>
  <c r="U679" i="4"/>
  <c r="V679" i="4" s="1"/>
  <c r="W679" i="4" s="1"/>
  <c r="D283" i="4"/>
  <c r="Y354" i="4"/>
  <c r="V426" i="4"/>
  <c r="W515" i="4"/>
  <c r="I327" i="4"/>
  <c r="J327" i="4" s="1"/>
  <c r="F327" i="4"/>
  <c r="G327" i="4" s="1"/>
  <c r="I105" i="4"/>
  <c r="J105" i="4" s="1"/>
  <c r="F105" i="4"/>
  <c r="G105" i="4" s="1"/>
  <c r="I151" i="4"/>
  <c r="J151" i="4" s="1"/>
  <c r="F151" i="4"/>
  <c r="G151" i="4" s="1"/>
  <c r="F175" i="4"/>
  <c r="G175" i="4" s="1"/>
  <c r="I175" i="4"/>
  <c r="J175" i="4" s="1"/>
  <c r="D596" i="4"/>
  <c r="I129" i="4"/>
  <c r="J129" i="4" s="1"/>
  <c r="F129" i="4"/>
  <c r="G129" i="4" s="1"/>
  <c r="I153" i="4"/>
  <c r="J153" i="4" s="1"/>
  <c r="F153" i="4"/>
  <c r="G153" i="4" s="1"/>
  <c r="I521" i="4"/>
  <c r="J521" i="4" s="1"/>
  <c r="F521" i="4"/>
  <c r="G521" i="4" s="1"/>
  <c r="D100" i="4"/>
  <c r="AN100" i="4"/>
  <c r="AP100" i="4" s="1"/>
  <c r="AQ100" i="4" s="1"/>
  <c r="AN327" i="4"/>
  <c r="AP327" i="4" s="1"/>
  <c r="AQ327" i="4" s="1"/>
  <c r="AR683" i="4"/>
  <c r="AR687" i="4" s="1"/>
  <c r="AR15" i="4"/>
  <c r="Y237" i="4"/>
  <c r="AN237" i="4"/>
  <c r="AP237" i="4" s="1"/>
  <c r="AQ237" i="4" s="1"/>
  <c r="F505" i="4"/>
  <c r="G505" i="4" s="1"/>
  <c r="I505" i="4"/>
  <c r="J505" i="4" s="1"/>
  <c r="I538" i="4"/>
  <c r="J538" i="4" s="1"/>
  <c r="F538" i="4"/>
  <c r="G538" i="4" s="1"/>
  <c r="W589" i="4"/>
  <c r="AN589" i="4" s="1"/>
  <c r="F86" i="4"/>
  <c r="G86" i="4" s="1"/>
  <c r="I86" i="4"/>
  <c r="J86" i="4" s="1"/>
  <c r="AN157" i="4"/>
  <c r="AP157" i="4" s="1"/>
  <c r="AQ157" i="4" s="1"/>
  <c r="Y157" i="4"/>
  <c r="AN288" i="4"/>
  <c r="W288" i="4"/>
  <c r="Y288" i="4" s="1"/>
  <c r="D288" i="4"/>
  <c r="W511" i="4"/>
  <c r="AN511" i="4" s="1"/>
  <c r="AP511" i="4" s="1"/>
  <c r="AQ511" i="4" s="1"/>
  <c r="F466" i="4"/>
  <c r="G466" i="4" s="1"/>
  <c r="I466" i="4"/>
  <c r="J466" i="4" s="1"/>
  <c r="AN645" i="4"/>
  <c r="AP645" i="4" s="1"/>
  <c r="AQ645" i="4" s="1"/>
  <c r="D645" i="4"/>
  <c r="Y645" i="4"/>
  <c r="Y661" i="4"/>
  <c r="W371" i="4"/>
  <c r="D371" i="4" s="1"/>
  <c r="F444" i="4"/>
  <c r="G444" i="4" s="1"/>
  <c r="I444" i="4"/>
  <c r="J444" i="4" s="1"/>
  <c r="S689" i="4"/>
  <c r="I220" i="4"/>
  <c r="J220" i="4" s="1"/>
  <c r="F220" i="4"/>
  <c r="G220" i="4" s="1"/>
  <c r="I513" i="4"/>
  <c r="J513" i="4" s="1"/>
  <c r="F513" i="4"/>
  <c r="G513" i="4" s="1"/>
  <c r="BI650" i="4"/>
  <c r="BI14" i="4"/>
  <c r="Y310" i="4"/>
  <c r="D310" i="4"/>
  <c r="I94" i="4"/>
  <c r="J94" i="4" s="1"/>
  <c r="F94" i="4"/>
  <c r="G94" i="4" s="1"/>
  <c r="F110" i="4"/>
  <c r="G110" i="4" s="1"/>
  <c r="I110" i="4"/>
  <c r="J110" i="4" s="1"/>
  <c r="F207" i="4"/>
  <c r="G207" i="4" s="1"/>
  <c r="I207" i="4"/>
  <c r="J207" i="4" s="1"/>
  <c r="F182" i="4"/>
  <c r="G182" i="4" s="1"/>
  <c r="I182" i="4"/>
  <c r="J182" i="4" s="1"/>
  <c r="F403" i="4"/>
  <c r="G403" i="4" s="1"/>
  <c r="I403" i="4"/>
  <c r="J403" i="4" s="1"/>
  <c r="I446" i="4"/>
  <c r="J446" i="4" s="1"/>
  <c r="F446" i="4"/>
  <c r="G446" i="4" s="1"/>
  <c r="I468" i="4"/>
  <c r="J468" i="4" s="1"/>
  <c r="F468" i="4"/>
  <c r="G468" i="4" s="1"/>
  <c r="F492" i="4"/>
  <c r="G492" i="4" s="1"/>
  <c r="I492" i="4"/>
  <c r="J492" i="4" s="1"/>
  <c r="F534" i="4"/>
  <c r="G534" i="4" s="1"/>
  <c r="I534" i="4"/>
  <c r="J534" i="4" s="1"/>
  <c r="AN162" i="4"/>
  <c r="AP162" i="4" s="1"/>
  <c r="AQ162" i="4" s="1"/>
  <c r="Y162" i="4"/>
  <c r="F199" i="4"/>
  <c r="G199" i="4" s="1"/>
  <c r="I199" i="4"/>
  <c r="J199" i="4" s="1"/>
  <c r="D159" i="4"/>
  <c r="Y198" i="4"/>
  <c r="AN198" i="4"/>
  <c r="D322" i="4"/>
  <c r="Y322" i="4"/>
  <c r="I449" i="4"/>
  <c r="J449" i="4" s="1"/>
  <c r="F449" i="4"/>
  <c r="G449" i="4" s="1"/>
  <c r="I525" i="4"/>
  <c r="J525" i="4" s="1"/>
  <c r="F525" i="4"/>
  <c r="G525" i="4" s="1"/>
  <c r="I152" i="4"/>
  <c r="J152" i="4" s="1"/>
  <c r="F152" i="4"/>
  <c r="G152" i="4" s="1"/>
  <c r="AP209" i="4"/>
  <c r="AQ209" i="4" s="1"/>
  <c r="AS209" i="4"/>
  <c r="AT209" i="4" s="1"/>
  <c r="U239" i="4"/>
  <c r="V239" i="4" s="1"/>
  <c r="I281" i="4"/>
  <c r="J281" i="4" s="1"/>
  <c r="F281" i="4"/>
  <c r="G281" i="4" s="1"/>
  <c r="U274" i="4"/>
  <c r="V28" i="4"/>
  <c r="D36" i="4"/>
  <c r="I70" i="4"/>
  <c r="J70" i="4" s="1"/>
  <c r="F70" i="4"/>
  <c r="G70" i="4" s="1"/>
  <c r="D116" i="4"/>
  <c r="Y129" i="4"/>
  <c r="U61" i="4"/>
  <c r="AS114" i="4"/>
  <c r="AT114" i="4" s="1"/>
  <c r="F31" i="4"/>
  <c r="G31" i="4" s="1"/>
  <c r="I31" i="4"/>
  <c r="J31" i="4" s="1"/>
  <c r="W125" i="4"/>
  <c r="BE335" i="4"/>
  <c r="T50" i="4"/>
  <c r="U164" i="4"/>
  <c r="V169" i="4"/>
  <c r="AS240" i="4"/>
  <c r="AT240" i="4" s="1"/>
  <c r="AP243" i="4"/>
  <c r="I279" i="4"/>
  <c r="J279" i="4" s="1"/>
  <c r="F279" i="4"/>
  <c r="G279" i="4" s="1"/>
  <c r="U315" i="4"/>
  <c r="AN324" i="4"/>
  <c r="AP324" i="4" s="1"/>
  <c r="AQ324" i="4" s="1"/>
  <c r="F424" i="4"/>
  <c r="G424" i="4" s="1"/>
  <c r="I424" i="4"/>
  <c r="J424" i="4" s="1"/>
  <c r="U395" i="4"/>
  <c r="V395" i="4" s="1"/>
  <c r="I477" i="4"/>
  <c r="J477" i="4" s="1"/>
  <c r="F477" i="4"/>
  <c r="G477" i="4" s="1"/>
  <c r="Y125" i="4"/>
  <c r="AN108" i="4"/>
  <c r="AP108" i="4" s="1"/>
  <c r="AQ108" i="4" s="1"/>
  <c r="D49" i="4"/>
  <c r="D75" i="4"/>
  <c r="Y97" i="4"/>
  <c r="V132" i="4"/>
  <c r="V38" i="4"/>
  <c r="W38" i="4" s="1"/>
  <c r="D38" i="4" s="1"/>
  <c r="U46" i="4"/>
  <c r="AS88" i="4"/>
  <c r="AT88" i="4" s="1"/>
  <c r="AP88" i="4"/>
  <c r="AQ88" i="4" s="1"/>
  <c r="D205" i="4"/>
  <c r="V126" i="4"/>
  <c r="W126" i="4" s="1"/>
  <c r="W200" i="4"/>
  <c r="Y200" i="4" s="1"/>
  <c r="AP187" i="4"/>
  <c r="AQ187" i="4" s="1"/>
  <c r="AS187" i="4"/>
  <c r="AT187" i="4" s="1"/>
  <c r="D192" i="4"/>
  <c r="D211" i="4"/>
  <c r="AN279" i="4"/>
  <c r="AP279" i="4" s="1"/>
  <c r="AQ279" i="4" s="1"/>
  <c r="Y279" i="4"/>
  <c r="D163" i="4"/>
  <c r="W277" i="4"/>
  <c r="D277" i="4" s="1"/>
  <c r="AP260" i="4"/>
  <c r="AQ260" i="4" s="1"/>
  <c r="V219" i="4"/>
  <c r="V236" i="4"/>
  <c r="W236" i="4"/>
  <c r="V342" i="4"/>
  <c r="W342" i="4" s="1"/>
  <c r="AN336" i="4"/>
  <c r="AP336" i="4" s="1"/>
  <c r="AQ336" i="4" s="1"/>
  <c r="Y403" i="4"/>
  <c r="Y493" i="4"/>
  <c r="AN411" i="4"/>
  <c r="W463" i="4"/>
  <c r="Y463" i="4" s="1"/>
  <c r="W518" i="4"/>
  <c r="AN518" i="4" s="1"/>
  <c r="AP518" i="4" s="1"/>
  <c r="AQ518" i="4" s="1"/>
  <c r="V518" i="4"/>
  <c r="AN596" i="4"/>
  <c r="AI691" i="4"/>
  <c r="W87" i="4"/>
  <c r="D87" i="4" s="1"/>
  <c r="Y66" i="4"/>
  <c r="V79" i="4"/>
  <c r="AN105" i="4"/>
  <c r="AN116" i="4"/>
  <c r="AP116" i="4" s="1"/>
  <c r="AQ116" i="4" s="1"/>
  <c r="AN137" i="4"/>
  <c r="D137" i="4"/>
  <c r="AN66" i="4"/>
  <c r="U72" i="4"/>
  <c r="V72" i="4" s="1"/>
  <c r="Y216" i="4"/>
  <c r="V24" i="4"/>
  <c r="AZ380" i="4"/>
  <c r="AZ382" i="4" s="1"/>
  <c r="BM382" i="4"/>
  <c r="AN153" i="4"/>
  <c r="W195" i="4"/>
  <c r="Y195" i="4" s="1"/>
  <c r="AP509" i="4"/>
  <c r="AQ509" i="4" s="1"/>
  <c r="AS509" i="4"/>
  <c r="AT509" i="4" s="1"/>
  <c r="AW335" i="4"/>
  <c r="AS84" i="4"/>
  <c r="AT84" i="4" s="1"/>
  <c r="T242" i="4"/>
  <c r="W275" i="4"/>
  <c r="Y275" i="4" s="1"/>
  <c r="Y294" i="4"/>
  <c r="T314" i="4"/>
  <c r="W323" i="4"/>
  <c r="AN323" i="4" s="1"/>
  <c r="AP323" i="4" s="1"/>
  <c r="AQ323" i="4" s="1"/>
  <c r="W24" i="4"/>
  <c r="D24" i="4" s="1"/>
  <c r="BQ689" i="4"/>
  <c r="AN95" i="4"/>
  <c r="Y105" i="4"/>
  <c r="D103" i="4"/>
  <c r="AN134" i="4"/>
  <c r="AP134" i="4" s="1"/>
  <c r="AQ134" i="4" s="1"/>
  <c r="W39" i="4"/>
  <c r="Y39" i="4" s="1"/>
  <c r="V47" i="4"/>
  <c r="F73" i="4"/>
  <c r="G73" i="4" s="1"/>
  <c r="I73" i="4"/>
  <c r="J73" i="4" s="1"/>
  <c r="D97" i="4"/>
  <c r="W150" i="4"/>
  <c r="Y150" i="4" s="1"/>
  <c r="V179" i="4"/>
  <c r="BD380" i="4"/>
  <c r="BD382" i="4" s="1"/>
  <c r="BQ382" i="4"/>
  <c r="Y160" i="4"/>
  <c r="U155" i="4"/>
  <c r="W174" i="4"/>
  <c r="AN174" i="4" s="1"/>
  <c r="AP174" i="4" s="1"/>
  <c r="AQ174" i="4" s="1"/>
  <c r="AN192" i="4"/>
  <c r="AN211" i="4"/>
  <c r="U226" i="4"/>
  <c r="AN167" i="4"/>
  <c r="AP167" i="4" s="1"/>
  <c r="AQ167" i="4" s="1"/>
  <c r="AN207" i="4"/>
  <c r="AP207" i="4" s="1"/>
  <c r="AQ207" i="4" s="1"/>
  <c r="W231" i="4"/>
  <c r="AN231" i="4" s="1"/>
  <c r="AN310" i="4"/>
  <c r="AP310" i="4" s="1"/>
  <c r="AQ310" i="4" s="1"/>
  <c r="F40" i="4"/>
  <c r="G40" i="4" s="1"/>
  <c r="I40" i="4"/>
  <c r="J40" i="4" s="1"/>
  <c r="AN110" i="4"/>
  <c r="V61" i="4"/>
  <c r="Y137" i="4"/>
  <c r="W183" i="4"/>
  <c r="D183" i="4" s="1"/>
  <c r="D193" i="4"/>
  <c r="V390" i="4"/>
  <c r="W390" i="4" s="1"/>
  <c r="V378" i="4"/>
  <c r="V389" i="4"/>
  <c r="W389" i="4" s="1"/>
  <c r="W392" i="4"/>
  <c r="AN392" i="4" s="1"/>
  <c r="U394" i="4"/>
  <c r="AN465" i="4"/>
  <c r="AN468" i="4"/>
  <c r="U496" i="4"/>
  <c r="V496" i="4" s="1"/>
  <c r="F541" i="4"/>
  <c r="G541" i="4" s="1"/>
  <c r="I541" i="4"/>
  <c r="J541" i="4" s="1"/>
  <c r="T564" i="4"/>
  <c r="AN555" i="4"/>
  <c r="AP555" i="4" s="1"/>
  <c r="AQ555" i="4" s="1"/>
  <c r="BK630" i="4"/>
  <c r="BK689" i="4" s="1"/>
  <c r="BP630" i="4"/>
  <c r="BP689" i="4" s="1"/>
  <c r="U640" i="4"/>
  <c r="V640" i="4" s="1"/>
  <c r="T668" i="4"/>
  <c r="U660" i="4"/>
  <c r="BK15" i="4"/>
  <c r="BK683" i="4"/>
  <c r="W77" i="4"/>
  <c r="Y77" i="4" s="1"/>
  <c r="V48" i="4"/>
  <c r="Y134" i="4"/>
  <c r="W208" i="4"/>
  <c r="AN208" i="4" s="1"/>
  <c r="AP208" i="4" s="1"/>
  <c r="AQ208" i="4" s="1"/>
  <c r="D157" i="4"/>
  <c r="F289" i="4"/>
  <c r="G289" i="4" s="1"/>
  <c r="I289" i="4"/>
  <c r="J289" i="4" s="1"/>
  <c r="D276" i="4"/>
  <c r="AN352" i="4"/>
  <c r="AP352" i="4" s="1"/>
  <c r="AQ352" i="4" s="1"/>
  <c r="D364" i="4"/>
  <c r="W448" i="4"/>
  <c r="D448" i="4" s="1"/>
  <c r="D438" i="4"/>
  <c r="V467" i="4"/>
  <c r="W467" i="4" s="1"/>
  <c r="D417" i="4"/>
  <c r="D502" i="4"/>
  <c r="V512" i="4"/>
  <c r="Y538" i="4"/>
  <c r="Y525" i="4"/>
  <c r="W554" i="4"/>
  <c r="AN554" i="4" s="1"/>
  <c r="AP554" i="4" s="1"/>
  <c r="AQ554" i="4" s="1"/>
  <c r="W559" i="4"/>
  <c r="D559" i="4" s="1"/>
  <c r="U591" i="4"/>
  <c r="V591" i="4" s="1"/>
  <c r="BD630" i="4"/>
  <c r="F671" i="4"/>
  <c r="G671" i="4" s="1"/>
  <c r="I671" i="4"/>
  <c r="J671" i="4" s="1"/>
  <c r="BO15" i="4"/>
  <c r="BO683" i="4"/>
  <c r="F45" i="4"/>
  <c r="G45" i="4" s="1"/>
  <c r="I45" i="4"/>
  <c r="J45" i="4" s="1"/>
  <c r="V111" i="4"/>
  <c r="Y151" i="4"/>
  <c r="Y175" i="4"/>
  <c r="V156" i="4"/>
  <c r="AG690" i="4"/>
  <c r="AG568" i="4"/>
  <c r="AG616" i="4" s="1"/>
  <c r="AG12" i="4"/>
  <c r="AG11" i="4" s="1"/>
  <c r="I344" i="4"/>
  <c r="J344" i="4" s="1"/>
  <c r="F344" i="4"/>
  <c r="G344" i="4" s="1"/>
  <c r="D404" i="4"/>
  <c r="Y404" i="4"/>
  <c r="D413" i="4"/>
  <c r="Y453" i="4"/>
  <c r="U443" i="4"/>
  <c r="V443" i="4" s="1"/>
  <c r="W443" i="4" s="1"/>
  <c r="Y484" i="4"/>
  <c r="U486" i="4"/>
  <c r="W520" i="4"/>
  <c r="D520" i="4" s="1"/>
  <c r="W519" i="4"/>
  <c r="D519" i="4" s="1"/>
  <c r="U522" i="4"/>
  <c r="V557" i="4"/>
  <c r="W557" i="4" s="1"/>
  <c r="Y557" i="4" s="1"/>
  <c r="V597" i="4"/>
  <c r="W597" i="4" s="1"/>
  <c r="D595" i="4"/>
  <c r="AZ630" i="4"/>
  <c r="U674" i="4"/>
  <c r="AG691" i="4"/>
  <c r="W663" i="4"/>
  <c r="AN663" i="4" s="1"/>
  <c r="AP663" i="4" s="1"/>
  <c r="AQ663" i="4" s="1"/>
  <c r="W71" i="4"/>
  <c r="Y71" i="4" s="1"/>
  <c r="Y100" i="4"/>
  <c r="W37" i="4"/>
  <c r="D37" i="4" s="1"/>
  <c r="W165" i="4"/>
  <c r="D165" i="4" s="1"/>
  <c r="AN149" i="4"/>
  <c r="AP149" i="4" s="1"/>
  <c r="AQ149" i="4" s="1"/>
  <c r="AN204" i="4"/>
  <c r="AP204" i="4" s="1"/>
  <c r="AQ204" i="4" s="1"/>
  <c r="Y277" i="4"/>
  <c r="F271" i="4"/>
  <c r="G271" i="4" s="1"/>
  <c r="I271" i="4"/>
  <c r="J271" i="4" s="1"/>
  <c r="U240" i="4"/>
  <c r="AN322" i="4"/>
  <c r="AP322" i="4" s="1"/>
  <c r="AQ322" i="4" s="1"/>
  <c r="W338" i="4"/>
  <c r="Y338" i="4" s="1"/>
  <c r="W355" i="4"/>
  <c r="D355" i="4" s="1"/>
  <c r="V372" i="4"/>
  <c r="W372" i="4" s="1"/>
  <c r="D372" i="4" s="1"/>
  <c r="W356" i="4"/>
  <c r="AN356" i="4" s="1"/>
  <c r="AP356" i="4" s="1"/>
  <c r="AQ356" i="4" s="1"/>
  <c r="W397" i="4"/>
  <c r="AN397" i="4" s="1"/>
  <c r="D409" i="4"/>
  <c r="W432" i="4"/>
  <c r="AN432" i="4" s="1"/>
  <c r="AP432" i="4" s="1"/>
  <c r="AQ432" i="4" s="1"/>
  <c r="W435" i="4"/>
  <c r="AN435" i="4" s="1"/>
  <c r="AP435" i="4" s="1"/>
  <c r="AQ435" i="4" s="1"/>
  <c r="AN448" i="4"/>
  <c r="AP448" i="4" s="1"/>
  <c r="AQ448" i="4" s="1"/>
  <c r="D432" i="4"/>
  <c r="Y513" i="4"/>
  <c r="V501" i="4"/>
  <c r="V497" i="4"/>
  <c r="D510" i="4"/>
  <c r="Y534" i="4"/>
  <c r="BR630" i="4"/>
  <c r="BB630" i="4"/>
  <c r="V639" i="4"/>
  <c r="V673" i="4"/>
  <c r="BQ683" i="4"/>
  <c r="D661" i="4"/>
  <c r="Y413" i="4"/>
  <c r="D590" i="4"/>
  <c r="Y449" i="4"/>
  <c r="Y519" i="4"/>
  <c r="W427" i="4"/>
  <c r="AN521" i="4"/>
  <c r="AN490" i="4"/>
  <c r="V41" i="4"/>
  <c r="AN36" i="4"/>
  <c r="F101" i="4"/>
  <c r="G101" i="4" s="1"/>
  <c r="I101" i="4"/>
  <c r="J101" i="4" s="1"/>
  <c r="AS366" i="4"/>
  <c r="AT366" i="4" s="1"/>
  <c r="I102" i="4"/>
  <c r="J102" i="4" s="1"/>
  <c r="F102" i="4"/>
  <c r="G102" i="4" s="1"/>
  <c r="BC380" i="4"/>
  <c r="BC382" i="4" s="1"/>
  <c r="BP382" i="4"/>
  <c r="AP33" i="4"/>
  <c r="AQ33" i="4" s="1"/>
  <c r="AS33" i="4"/>
  <c r="AT33" i="4" s="1"/>
  <c r="I181" i="4"/>
  <c r="J181" i="4" s="1"/>
  <c r="F181" i="4"/>
  <c r="G181" i="4" s="1"/>
  <c r="F197" i="4"/>
  <c r="G197" i="4" s="1"/>
  <c r="I197" i="4"/>
  <c r="J197" i="4" s="1"/>
  <c r="V315" i="4"/>
  <c r="W315" i="4" s="1"/>
  <c r="F447" i="4"/>
  <c r="G447" i="4" s="1"/>
  <c r="I447" i="4"/>
  <c r="J447" i="4" s="1"/>
  <c r="AN502" i="4"/>
  <c r="AP502" i="4" s="1"/>
  <c r="AQ502" i="4" s="1"/>
  <c r="D524" i="4"/>
  <c r="S650" i="4"/>
  <c r="S14" i="4"/>
  <c r="R566" i="4"/>
  <c r="R690" i="4" s="1"/>
  <c r="R689" i="4"/>
  <c r="I108" i="4"/>
  <c r="J108" i="4" s="1"/>
  <c r="F108" i="4"/>
  <c r="G108" i="4" s="1"/>
  <c r="AN125" i="4"/>
  <c r="Y153" i="4"/>
  <c r="V52" i="4"/>
  <c r="AW380" i="4"/>
  <c r="AW382" i="4" s="1"/>
  <c r="BJ382" i="4"/>
  <c r="I160" i="4"/>
  <c r="J160" i="4" s="1"/>
  <c r="F160" i="4"/>
  <c r="G160" i="4" s="1"/>
  <c r="AP171" i="4"/>
  <c r="AQ171" i="4" s="1"/>
  <c r="AS171" i="4"/>
  <c r="AT171" i="4" s="1"/>
  <c r="AX380" i="4"/>
  <c r="AX382" i="4" s="1"/>
  <c r="BK382" i="4"/>
  <c r="I78" i="4"/>
  <c r="J78" i="4" s="1"/>
  <c r="F78" i="4"/>
  <c r="G78" i="4" s="1"/>
  <c r="AR55" i="4"/>
  <c r="D107" i="4"/>
  <c r="W47" i="4"/>
  <c r="Y47" i="4" s="1"/>
  <c r="Y163" i="4"/>
  <c r="I177" i="4"/>
  <c r="J177" i="4" s="1"/>
  <c r="F177" i="4"/>
  <c r="G177" i="4" s="1"/>
  <c r="I272" i="4"/>
  <c r="J272" i="4" s="1"/>
  <c r="F272" i="4"/>
  <c r="G272" i="4" s="1"/>
  <c r="AN212" i="4"/>
  <c r="D319" i="4"/>
  <c r="AN293" i="4"/>
  <c r="AP293" i="4" s="1"/>
  <c r="AQ293" i="4" s="1"/>
  <c r="F316" i="4"/>
  <c r="G316" i="4" s="1"/>
  <c r="I316" i="4"/>
  <c r="J316" i="4" s="1"/>
  <c r="U270" i="4"/>
  <c r="AN49" i="4"/>
  <c r="AP49" i="4" s="1"/>
  <c r="AQ49" i="4" s="1"/>
  <c r="F149" i="4"/>
  <c r="G149" i="4" s="1"/>
  <c r="I149" i="4"/>
  <c r="J149" i="4" s="1"/>
  <c r="I166" i="4"/>
  <c r="J166" i="4" s="1"/>
  <c r="F166" i="4"/>
  <c r="G166" i="4" s="1"/>
  <c r="F213" i="4"/>
  <c r="G213" i="4" s="1"/>
  <c r="I213" i="4"/>
  <c r="J213" i="4" s="1"/>
  <c r="I425" i="4"/>
  <c r="J425" i="4" s="1"/>
  <c r="F425" i="4"/>
  <c r="G425" i="4" s="1"/>
  <c r="AP450" i="4"/>
  <c r="AQ450" i="4" s="1"/>
  <c r="AS450" i="4"/>
  <c r="AT450" i="4" s="1"/>
  <c r="V399" i="4"/>
  <c r="I465" i="4"/>
  <c r="J465" i="4" s="1"/>
  <c r="F465" i="4"/>
  <c r="G465" i="4" s="1"/>
  <c r="T527" i="4"/>
  <c r="V478" i="4"/>
  <c r="F490" i="4"/>
  <c r="G490" i="4" s="1"/>
  <c r="I490" i="4"/>
  <c r="J490" i="4" s="1"/>
  <c r="AN503" i="4"/>
  <c r="AP503" i="4" s="1"/>
  <c r="AQ503" i="4" s="1"/>
  <c r="I551" i="4"/>
  <c r="J551" i="4" s="1"/>
  <c r="F551" i="4"/>
  <c r="G551" i="4" s="1"/>
  <c r="U561" i="4"/>
  <c r="V561" i="4"/>
  <c r="AX630" i="4"/>
  <c r="BP683" i="4"/>
  <c r="BP15" i="4"/>
  <c r="U636" i="4"/>
  <c r="V636" i="4" s="1"/>
  <c r="U664" i="4"/>
  <c r="V664" i="4" s="1"/>
  <c r="AV683" i="4"/>
  <c r="AV15" i="4"/>
  <c r="W62" i="4"/>
  <c r="Y62" i="4" s="1"/>
  <c r="D66" i="4"/>
  <c r="W28" i="4"/>
  <c r="D28" i="4" s="1"/>
  <c r="F76" i="4"/>
  <c r="G76" i="4" s="1"/>
  <c r="I76" i="4"/>
  <c r="J76" i="4" s="1"/>
  <c r="W27" i="4"/>
  <c r="Y27" i="4" s="1"/>
  <c r="I184" i="4"/>
  <c r="J184" i="4" s="1"/>
  <c r="F184" i="4"/>
  <c r="G184" i="4" s="1"/>
  <c r="AN199" i="4"/>
  <c r="I391" i="4"/>
  <c r="J391" i="4" s="1"/>
  <c r="F391" i="4"/>
  <c r="G391" i="4" s="1"/>
  <c r="W441" i="4"/>
  <c r="D441" i="4" s="1"/>
  <c r="AN424" i="4"/>
  <c r="D508" i="4"/>
  <c r="BG630" i="4"/>
  <c r="Y592" i="4"/>
  <c r="BQ650" i="4"/>
  <c r="BQ14" i="4"/>
  <c r="AS676" i="4"/>
  <c r="AT676" i="4" s="1"/>
  <c r="AP676" i="4"/>
  <c r="AQ676" i="4" s="1"/>
  <c r="V161" i="4"/>
  <c r="AN353" i="4"/>
  <c r="AP353" i="4" s="1"/>
  <c r="AQ353" i="4" s="1"/>
  <c r="Y353" i="4"/>
  <c r="F349" i="4"/>
  <c r="G349" i="4" s="1"/>
  <c r="I349" i="4"/>
  <c r="J349" i="4" s="1"/>
  <c r="T374" i="4"/>
  <c r="F418" i="4"/>
  <c r="G418" i="4" s="1"/>
  <c r="I418" i="4"/>
  <c r="J418" i="4" s="1"/>
  <c r="F487" i="4"/>
  <c r="G487" i="4" s="1"/>
  <c r="I487" i="4"/>
  <c r="J487" i="4" s="1"/>
  <c r="AN487" i="4"/>
  <c r="Y502" i="4"/>
  <c r="I517" i="4"/>
  <c r="J517" i="4" s="1"/>
  <c r="F517" i="4"/>
  <c r="G517" i="4" s="1"/>
  <c r="BM630" i="4"/>
  <c r="BM689" i="4" s="1"/>
  <c r="BJ15" i="4"/>
  <c r="Y75" i="4"/>
  <c r="Y107" i="4"/>
  <c r="Y110" i="4"/>
  <c r="F178" i="4"/>
  <c r="G178" i="4" s="1"/>
  <c r="I178" i="4"/>
  <c r="J178" i="4" s="1"/>
  <c r="Y212" i="4"/>
  <c r="Y159" i="4"/>
  <c r="AN349" i="4"/>
  <c r="AP349" i="4" s="1"/>
  <c r="AQ349" i="4" s="1"/>
  <c r="AN396" i="4"/>
  <c r="Y396" i="4"/>
  <c r="D419" i="4"/>
  <c r="D453" i="4"/>
  <c r="AN508" i="4"/>
  <c r="AP508" i="4" s="1"/>
  <c r="AQ508" i="4" s="1"/>
  <c r="W536" i="4"/>
  <c r="AN536" i="4" s="1"/>
  <c r="AP536" i="4" s="1"/>
  <c r="AQ536" i="4" s="1"/>
  <c r="U606" i="4"/>
  <c r="BE630" i="4"/>
  <c r="T606" i="4"/>
  <c r="W642" i="4"/>
  <c r="AN642" i="4" s="1"/>
  <c r="AP642" i="4" s="1"/>
  <c r="AQ642" i="4" s="1"/>
  <c r="W675" i="4"/>
  <c r="AN675" i="4" s="1"/>
  <c r="AP675" i="4" s="1"/>
  <c r="AQ675" i="4" s="1"/>
  <c r="D352" i="4"/>
  <c r="W560" i="4"/>
  <c r="AN560" i="4" s="1"/>
  <c r="AP560" i="4" s="1"/>
  <c r="AQ560" i="4" s="1"/>
  <c r="Y492" i="4"/>
  <c r="D533" i="4"/>
  <c r="W638" i="4"/>
  <c r="AN638" i="4" s="1"/>
  <c r="AP638" i="4" s="1"/>
  <c r="AQ638" i="4" s="1"/>
  <c r="W406" i="4"/>
  <c r="D406" i="4" s="1"/>
  <c r="W594" i="4"/>
  <c r="AN594" i="4" s="1"/>
  <c r="D642" i="4"/>
  <c r="D223" i="4"/>
  <c r="V312" i="4"/>
  <c r="V388" i="4"/>
  <c r="AS139" i="4"/>
  <c r="AT139" i="4" s="1"/>
  <c r="AO335" i="4"/>
  <c r="AR335" i="4"/>
  <c r="AV335" i="4"/>
  <c r="I172" i="4"/>
  <c r="J172" i="4" s="1"/>
  <c r="F172" i="4"/>
  <c r="G172" i="4" s="1"/>
  <c r="Y284" i="4"/>
  <c r="D284" i="4"/>
  <c r="BR689" i="4"/>
  <c r="AS36" i="4"/>
  <c r="AT36" i="4" s="1"/>
  <c r="AO41" i="4"/>
  <c r="AP36" i="4"/>
  <c r="AQ36" i="4" s="1"/>
  <c r="T55" i="4"/>
  <c r="BB380" i="4"/>
  <c r="BB382" i="4" s="1"/>
  <c r="BO382" i="4"/>
  <c r="D125" i="4"/>
  <c r="W132" i="4"/>
  <c r="Y132" i="4" s="1"/>
  <c r="AY380" i="4"/>
  <c r="AY382" i="4" s="1"/>
  <c r="BL382" i="4"/>
  <c r="S566" i="4"/>
  <c r="S690" i="4" s="1"/>
  <c r="T143" i="4"/>
  <c r="V46" i="4"/>
  <c r="W46" i="4" s="1"/>
  <c r="Y192" i="4"/>
  <c r="V228" i="4"/>
  <c r="F324" i="4"/>
  <c r="G324" i="4" s="1"/>
  <c r="I324" i="4"/>
  <c r="J324" i="4" s="1"/>
  <c r="AN281" i="4"/>
  <c r="AP281" i="4" s="1"/>
  <c r="AQ281" i="4" s="1"/>
  <c r="Y281" i="4"/>
  <c r="AN223" i="4"/>
  <c r="AN284" i="4"/>
  <c r="U325" i="4"/>
  <c r="Y503" i="4"/>
  <c r="AN533" i="4"/>
  <c r="AP533" i="4" s="1"/>
  <c r="AQ533" i="4" s="1"/>
  <c r="W628" i="4"/>
  <c r="W630" i="4" s="1"/>
  <c r="BF380" i="4"/>
  <c r="BF382" i="4" s="1"/>
  <c r="BS382" i="4"/>
  <c r="V109" i="4"/>
  <c r="W109" i="4" s="1"/>
  <c r="V124" i="4"/>
  <c r="W124" i="4" s="1"/>
  <c r="U136" i="4"/>
  <c r="AN24" i="4"/>
  <c r="BC335" i="4"/>
  <c r="AN107" i="4"/>
  <c r="AP107" i="4" s="1"/>
  <c r="AQ107" i="4" s="1"/>
  <c r="U113" i="4"/>
  <c r="Y152" i="4"/>
  <c r="AS30" i="4"/>
  <c r="AT30" i="4" s="1"/>
  <c r="AR380" i="4"/>
  <c r="AR382" i="4" s="1"/>
  <c r="AV380" i="4"/>
  <c r="AV382" i="4" s="1"/>
  <c r="AO380" i="4"/>
  <c r="BI382" i="4"/>
  <c r="F82" i="4"/>
  <c r="G82" i="4" s="1"/>
  <c r="I82" i="4"/>
  <c r="J82" i="4" s="1"/>
  <c r="D162" i="4"/>
  <c r="AN200" i="4"/>
  <c r="I173" i="4"/>
  <c r="J173" i="4" s="1"/>
  <c r="F173" i="4"/>
  <c r="G173" i="4" s="1"/>
  <c r="U130" i="4"/>
  <c r="F167" i="4"/>
  <c r="G167" i="4" s="1"/>
  <c r="I167" i="4"/>
  <c r="J167" i="4" s="1"/>
  <c r="W232" i="4"/>
  <c r="AN232" i="4" s="1"/>
  <c r="W298" i="4"/>
  <c r="D298" i="4" s="1"/>
  <c r="AN159" i="4"/>
  <c r="U233" i="4"/>
  <c r="V233" i="4"/>
  <c r="F224" i="4"/>
  <c r="G224" i="4" s="1"/>
  <c r="I224" i="4"/>
  <c r="J224" i="4" s="1"/>
  <c r="D268" i="4"/>
  <c r="D347" i="4"/>
  <c r="W347" i="4"/>
  <c r="AN347" i="4" s="1"/>
  <c r="AP347" i="4" s="1"/>
  <c r="AQ347" i="4" s="1"/>
  <c r="D236" i="4"/>
  <c r="AN268" i="4"/>
  <c r="V287" i="4"/>
  <c r="W287" i="4" s="1"/>
  <c r="AN409" i="4"/>
  <c r="Y424" i="4"/>
  <c r="F464" i="4"/>
  <c r="G464" i="4" s="1"/>
  <c r="I464" i="4"/>
  <c r="J464" i="4" s="1"/>
  <c r="AN469" i="4"/>
  <c r="AP469" i="4" s="1"/>
  <c r="AQ469" i="4" s="1"/>
  <c r="Y469" i="4"/>
  <c r="D469" i="4"/>
  <c r="V481" i="4"/>
  <c r="W481" i="4" s="1"/>
  <c r="D518" i="4"/>
  <c r="AN592" i="4"/>
  <c r="U539" i="4"/>
  <c r="V539" i="4" s="1"/>
  <c r="D592" i="4"/>
  <c r="BJ55" i="4"/>
  <c r="AN78" i="4"/>
  <c r="AP78" i="4" s="1"/>
  <c r="AQ78" i="4" s="1"/>
  <c r="AI12" i="4"/>
  <c r="AI11" i="4" s="1"/>
  <c r="W127" i="4"/>
  <c r="D127" i="4" s="1"/>
  <c r="BG380" i="4"/>
  <c r="BG382" i="4" s="1"/>
  <c r="BT382" i="4"/>
  <c r="U63" i="4"/>
  <c r="AN77" i="4"/>
  <c r="AP77" i="4" s="1"/>
  <c r="AQ77" i="4" s="1"/>
  <c r="T120" i="4"/>
  <c r="AN109" i="4"/>
  <c r="AP109" i="4" s="1"/>
  <c r="AQ109" i="4" s="1"/>
  <c r="U117" i="4"/>
  <c r="Y172" i="4"/>
  <c r="W196" i="4"/>
  <c r="Y196" i="4" s="1"/>
  <c r="V80" i="4"/>
  <c r="AR628" i="4"/>
  <c r="AR630" i="4" s="1"/>
  <c r="AV628" i="4"/>
  <c r="AO628" i="4"/>
  <c r="D216" i="4"/>
  <c r="W201" i="4"/>
  <c r="AN201" i="4" s="1"/>
  <c r="U135" i="4"/>
  <c r="U148" i="4"/>
  <c r="U314" i="4"/>
  <c r="V133" i="4"/>
  <c r="W84" i="4"/>
  <c r="D84" i="4" s="1"/>
  <c r="AN106" i="4"/>
  <c r="AP106" i="4" s="1"/>
  <c r="AQ106" i="4" s="1"/>
  <c r="AN94" i="4"/>
  <c r="V128" i="4"/>
  <c r="AX335" i="4"/>
  <c r="W180" i="4"/>
  <c r="Y180" i="4" s="1"/>
  <c r="AS25" i="4"/>
  <c r="AT25" i="4" s="1"/>
  <c r="AP25" i="4"/>
  <c r="AQ25" i="4" s="1"/>
  <c r="AO34" i="4"/>
  <c r="W30" i="4"/>
  <c r="AN30" i="4" s="1"/>
  <c r="AP30" i="4" s="1"/>
  <c r="AQ30" i="4" s="1"/>
  <c r="D62" i="4"/>
  <c r="U65" i="4"/>
  <c r="U85" i="4"/>
  <c r="D115" i="4"/>
  <c r="AN166" i="4"/>
  <c r="D198" i="4"/>
  <c r="BD689" i="4"/>
  <c r="W52" i="4"/>
  <c r="W53" i="4" s="1"/>
  <c r="AN114" i="4"/>
  <c r="AP114" i="4" s="1"/>
  <c r="AQ114" i="4" s="1"/>
  <c r="V139" i="4"/>
  <c r="W230" i="4"/>
  <c r="Y230" i="4" s="1"/>
  <c r="BA335" i="4"/>
  <c r="Y165" i="4"/>
  <c r="U138" i="4"/>
  <c r="Y193" i="4"/>
  <c r="W234" i="4"/>
  <c r="Y234" i="4" s="1"/>
  <c r="D222" i="4"/>
  <c r="Y223" i="4"/>
  <c r="Y324" i="4"/>
  <c r="D275" i="4"/>
  <c r="U301" i="4"/>
  <c r="Y339" i="4"/>
  <c r="Y323" i="4"/>
  <c r="D64" i="4"/>
  <c r="W26" i="4"/>
  <c r="AN26" i="4" s="1"/>
  <c r="AP26" i="4" s="1"/>
  <c r="AQ26" i="4" s="1"/>
  <c r="D77" i="4"/>
  <c r="W115" i="4"/>
  <c r="AN115" i="4" s="1"/>
  <c r="V164" i="4"/>
  <c r="Y229" i="4"/>
  <c r="Y231" i="4"/>
  <c r="V238" i="4"/>
  <c r="I286" i="4"/>
  <c r="J286" i="4" s="1"/>
  <c r="F286" i="4"/>
  <c r="G286" i="4" s="1"/>
  <c r="AB690" i="4"/>
  <c r="AB691" i="4" s="1"/>
  <c r="AB568" i="4"/>
  <c r="AB616" i="4" s="1"/>
  <c r="AB12" i="4"/>
  <c r="AB11" i="4" s="1"/>
  <c r="W343" i="4"/>
  <c r="D343" i="4" s="1"/>
  <c r="D412" i="4"/>
  <c r="D392" i="4"/>
  <c r="W398" i="4"/>
  <c r="D398" i="4" s="1"/>
  <c r="AN419" i="4"/>
  <c r="AN446" i="4"/>
  <c r="AP446" i="4" s="1"/>
  <c r="AQ446" i="4" s="1"/>
  <c r="W485" i="4"/>
  <c r="Y485" i="4" s="1"/>
  <c r="U498" i="4"/>
  <c r="V498" i="4" s="1"/>
  <c r="F516" i="4"/>
  <c r="G516" i="4" s="1"/>
  <c r="I516" i="4"/>
  <c r="J516" i="4" s="1"/>
  <c r="W553" i="4"/>
  <c r="D553" i="4" s="1"/>
  <c r="V556" i="4"/>
  <c r="V564" i="4" s="1"/>
  <c r="AY630" i="4"/>
  <c r="BA630" i="4"/>
  <c r="U644" i="4"/>
  <c r="V644" i="4" s="1"/>
  <c r="S683" i="4"/>
  <c r="S15" i="4"/>
  <c r="Y116" i="4"/>
  <c r="D95" i="4"/>
  <c r="AJ690" i="4"/>
  <c r="AJ691" i="4" s="1"/>
  <c r="AJ12" i="4"/>
  <c r="AJ11" i="4" s="1"/>
  <c r="AJ568" i="4"/>
  <c r="AJ616" i="4" s="1"/>
  <c r="F307" i="4"/>
  <c r="G307" i="4" s="1"/>
  <c r="I307" i="4"/>
  <c r="J307" i="4" s="1"/>
  <c r="D221" i="4"/>
  <c r="D237" i="4"/>
  <c r="U380" i="4"/>
  <c r="Y364" i="4"/>
  <c r="V379" i="4"/>
  <c r="W379" i="4" s="1"/>
  <c r="W436" i="4"/>
  <c r="D436" i="4" s="1"/>
  <c r="W461" i="4"/>
  <c r="D461" i="4" s="1"/>
  <c r="D484" i="4"/>
  <c r="AN492" i="4"/>
  <c r="AS504" i="4"/>
  <c r="AT504" i="4" s="1"/>
  <c r="AP504" i="4"/>
  <c r="AQ504" i="4" s="1"/>
  <c r="D554" i="4"/>
  <c r="Y559" i="4"/>
  <c r="AN557" i="4"/>
  <c r="AP557" i="4" s="1"/>
  <c r="AQ557" i="4" s="1"/>
  <c r="BT630" i="4"/>
  <c r="BT683" i="4"/>
  <c r="BT15" i="4"/>
  <c r="Y637" i="4"/>
  <c r="W637" i="4"/>
  <c r="AN637" i="4" s="1"/>
  <c r="AP637" i="4" s="1"/>
  <c r="AQ637" i="4" s="1"/>
  <c r="F68" i="4"/>
  <c r="G68" i="4" s="1"/>
  <c r="I68" i="4"/>
  <c r="J68" i="4" s="1"/>
  <c r="D106" i="4"/>
  <c r="W131" i="4"/>
  <c r="AN131" i="4" s="1"/>
  <c r="Y205" i="4"/>
  <c r="AN230" i="4"/>
  <c r="W292" i="4"/>
  <c r="Y292" i="4" s="1"/>
  <c r="W309" i="4"/>
  <c r="Y309" i="4" s="1"/>
  <c r="AC690" i="4"/>
  <c r="AC568" i="4"/>
  <c r="AC616" i="4" s="1"/>
  <c r="AC12" i="4"/>
  <c r="AC11" i="4" s="1"/>
  <c r="Y335" i="4"/>
  <c r="W386" i="4"/>
  <c r="AN386" i="4" s="1"/>
  <c r="D386" i="4"/>
  <c r="AN404" i="4"/>
  <c r="I415" i="4"/>
  <c r="J415" i="4" s="1"/>
  <c r="F415" i="4"/>
  <c r="G415" i="4" s="1"/>
  <c r="Y436" i="4"/>
  <c r="W439" i="4"/>
  <c r="Y439" i="4" s="1"/>
  <c r="F401" i="4"/>
  <c r="G401" i="4" s="1"/>
  <c r="I401" i="4"/>
  <c r="J401" i="4" s="1"/>
  <c r="U431" i="4"/>
  <c r="V486" i="4"/>
  <c r="W486" i="4" s="1"/>
  <c r="Y505" i="4"/>
  <c r="U514" i="4"/>
  <c r="Y533" i="4"/>
  <c r="AW630" i="4"/>
  <c r="V593" i="4"/>
  <c r="W593" i="4" s="1"/>
  <c r="D593" i="4" s="1"/>
  <c r="BS630" i="4"/>
  <c r="S608" i="4"/>
  <c r="S13" i="4"/>
  <c r="BM683" i="4"/>
  <c r="BM15" i="4"/>
  <c r="D677" i="4"/>
  <c r="D114" i="4"/>
  <c r="D158" i="4"/>
  <c r="D294" i="4"/>
  <c r="D282" i="4"/>
  <c r="V306" i="4"/>
  <c r="W306" i="4" s="1"/>
  <c r="AN234" i="4"/>
  <c r="AP234" i="4" s="1"/>
  <c r="AQ234" i="4" s="1"/>
  <c r="T300" i="4"/>
  <c r="Y356" i="4"/>
  <c r="D397" i="4"/>
  <c r="U400" i="4"/>
  <c r="Y435" i="4"/>
  <c r="I437" i="4"/>
  <c r="J437" i="4" s="1"/>
  <c r="F437" i="4"/>
  <c r="G437" i="4" s="1"/>
  <c r="W440" i="4"/>
  <c r="D440" i="4" s="1"/>
  <c r="D451" i="4"/>
  <c r="W393" i="4"/>
  <c r="AN393" i="4" s="1"/>
  <c r="Y411" i="4"/>
  <c r="Y506" i="4"/>
  <c r="AN510" i="4"/>
  <c r="AP510" i="4" s="1"/>
  <c r="AQ510" i="4" s="1"/>
  <c r="AV630" i="4"/>
  <c r="Y638" i="4"/>
  <c r="V483" i="4"/>
  <c r="Y511" i="4"/>
  <c r="W462" i="4"/>
  <c r="D462" i="4" s="1"/>
  <c r="W678" i="4"/>
  <c r="Y678" i="4" s="1"/>
  <c r="Y446" i="4"/>
  <c r="W471" i="4"/>
  <c r="AN471" i="4" s="1"/>
  <c r="AP471" i="4" s="1"/>
  <c r="AQ471" i="4" s="1"/>
  <c r="Y468" i="4"/>
  <c r="D638" i="4"/>
  <c r="T90" i="4"/>
  <c r="W61" i="4"/>
  <c r="BE380" i="4"/>
  <c r="BE382" i="4" s="1"/>
  <c r="BR382" i="4"/>
  <c r="BB335" i="4"/>
  <c r="AY335" i="4"/>
  <c r="D61" i="4"/>
  <c r="F104" i="4"/>
  <c r="G104" i="4" s="1"/>
  <c r="I104" i="4"/>
  <c r="J104" i="4" s="1"/>
  <c r="I186" i="4"/>
  <c r="J186" i="4" s="1"/>
  <c r="F186" i="4"/>
  <c r="G186" i="4" s="1"/>
  <c r="F225" i="4"/>
  <c r="G225" i="4" s="1"/>
  <c r="I225" i="4"/>
  <c r="J225" i="4" s="1"/>
  <c r="I278" i="4"/>
  <c r="J278" i="4" s="1"/>
  <c r="F278" i="4"/>
  <c r="G278" i="4" s="1"/>
  <c r="U313" i="4"/>
  <c r="V313" i="4" s="1"/>
  <c r="U296" i="4"/>
  <c r="Y268" i="4"/>
  <c r="F328" i="4"/>
  <c r="G328" i="4" s="1"/>
  <c r="I328" i="4"/>
  <c r="J328" i="4" s="1"/>
  <c r="D342" i="4"/>
  <c r="F455" i="4"/>
  <c r="G455" i="4" s="1"/>
  <c r="I455" i="4"/>
  <c r="J455" i="4" s="1"/>
  <c r="W399" i="4"/>
  <c r="AN399" i="4" s="1"/>
  <c r="F503" i="4"/>
  <c r="G503" i="4" s="1"/>
  <c r="I503" i="4"/>
  <c r="J503" i="4" s="1"/>
  <c r="BI689" i="4"/>
  <c r="AN71" i="4"/>
  <c r="BF335" i="4"/>
  <c r="D71" i="4"/>
  <c r="U44" i="4"/>
  <c r="U50" i="4" s="1"/>
  <c r="U55" i="4" s="1"/>
  <c r="D195" i="4"/>
  <c r="AV689" i="4"/>
  <c r="W194" i="4"/>
  <c r="AN194" i="4" s="1"/>
  <c r="D131" i="4"/>
  <c r="AP189" i="4"/>
  <c r="AQ189" i="4" s="1"/>
  <c r="AS189" i="4"/>
  <c r="AT189" i="4" s="1"/>
  <c r="V274" i="4"/>
  <c r="W156" i="4"/>
  <c r="D156" i="4" s="1"/>
  <c r="Y174" i="4"/>
  <c r="AS190" i="4"/>
  <c r="AT190" i="4" s="1"/>
  <c r="AP190" i="4"/>
  <c r="AQ190" i="4" s="1"/>
  <c r="U217" i="4"/>
  <c r="D174" i="4"/>
  <c r="D212" i="4"/>
  <c r="D232" i="4"/>
  <c r="D293" i="4"/>
  <c r="U299" i="4"/>
  <c r="D336" i="4"/>
  <c r="T360" i="4"/>
  <c r="U358" i="4"/>
  <c r="V358" i="4" s="1"/>
  <c r="AN342" i="4"/>
  <c r="AP342" i="4" s="1"/>
  <c r="AQ342" i="4" s="1"/>
  <c r="W408" i="4"/>
  <c r="AN408" i="4" s="1"/>
  <c r="F411" i="4"/>
  <c r="G411" i="4" s="1"/>
  <c r="I411" i="4"/>
  <c r="J411" i="4" s="1"/>
  <c r="D493" i="4"/>
  <c r="AN493" i="4"/>
  <c r="V489" i="4"/>
  <c r="W489" i="4" s="1"/>
  <c r="AN489" i="4" s="1"/>
  <c r="T630" i="4"/>
  <c r="D628" i="4"/>
  <c r="Y628" i="4"/>
  <c r="Y630" i="4" s="1"/>
  <c r="AN628" i="4"/>
  <c r="AN630" i="4" s="1"/>
  <c r="Y64" i="4"/>
  <c r="AN86" i="4"/>
  <c r="AP86" i="4" s="1"/>
  <c r="AQ86" i="4" s="1"/>
  <c r="W202" i="4"/>
  <c r="D202" i="4" s="1"/>
  <c r="AN27" i="4"/>
  <c r="AP27" i="4" s="1"/>
  <c r="AQ27" i="4" s="1"/>
  <c r="BG335" i="4"/>
  <c r="F134" i="4"/>
  <c r="G134" i="4" s="1"/>
  <c r="I134" i="4"/>
  <c r="J134" i="4" s="1"/>
  <c r="AN154" i="4"/>
  <c r="AP154" i="4" s="1"/>
  <c r="AQ154" i="4" s="1"/>
  <c r="AZ335" i="4"/>
  <c r="W179" i="4"/>
  <c r="AN179" i="4" s="1"/>
  <c r="AP179" i="4" s="1"/>
  <c r="AQ179" i="4" s="1"/>
  <c r="AW55" i="4"/>
  <c r="AP118" i="4"/>
  <c r="AQ118" i="4" s="1"/>
  <c r="AS118" i="4"/>
  <c r="AT118" i="4" s="1"/>
  <c r="W128" i="4"/>
  <c r="Y128" i="4" s="1"/>
  <c r="V138" i="4"/>
  <c r="AV242" i="4"/>
  <c r="W235" i="4"/>
  <c r="AN235" i="4" s="1"/>
  <c r="AP235" i="4" s="1"/>
  <c r="AQ235" i="4" s="1"/>
  <c r="D235" i="4"/>
  <c r="W133" i="4"/>
  <c r="Y133" i="4" s="1"/>
  <c r="AN150" i="4"/>
  <c r="AP150" i="4" s="1"/>
  <c r="AQ150" i="4" s="1"/>
  <c r="D150" i="4"/>
  <c r="W188" i="4"/>
  <c r="Y188" i="4" s="1"/>
  <c r="AX55" i="4"/>
  <c r="V43" i="4"/>
  <c r="BD335" i="4"/>
  <c r="BA380" i="4"/>
  <c r="BA382" i="4" s="1"/>
  <c r="BN382" i="4"/>
  <c r="AP112" i="4"/>
  <c r="AQ112" i="4" s="1"/>
  <c r="AS112" i="4"/>
  <c r="AT112" i="4" s="1"/>
  <c r="V191" i="4"/>
  <c r="D231" i="4"/>
  <c r="D229" i="4"/>
  <c r="V320" i="4"/>
  <c r="Y327" i="4"/>
  <c r="Y36" i="4"/>
  <c r="Y86" i="4"/>
  <c r="D154" i="4"/>
  <c r="AN175" i="4"/>
  <c r="AP175" i="4" s="1"/>
  <c r="AQ175" i="4" s="1"/>
  <c r="AF690" i="4"/>
  <c r="AF691" i="4" s="1"/>
  <c r="AF568" i="4"/>
  <c r="AF616" i="4" s="1"/>
  <c r="AF12" i="4"/>
  <c r="AF11" i="4" s="1"/>
  <c r="V262" i="4"/>
  <c r="W262" i="4" s="1"/>
  <c r="Y262" i="4" s="1"/>
  <c r="V261" i="4"/>
  <c r="W378" i="4"/>
  <c r="Y392" i="4"/>
  <c r="AN406" i="4"/>
  <c r="F500" i="4"/>
  <c r="G500" i="4" s="1"/>
  <c r="I500" i="4"/>
  <c r="J500" i="4" s="1"/>
  <c r="U470" i="4"/>
  <c r="V470" i="4"/>
  <c r="V473" i="4" s="1"/>
  <c r="T547" i="4"/>
  <c r="U532" i="4"/>
  <c r="AP551" i="4"/>
  <c r="AQ551" i="4" s="1"/>
  <c r="BL630" i="4"/>
  <c r="BL689" i="4" s="1"/>
  <c r="BN630" i="4"/>
  <c r="BC630" i="4"/>
  <c r="BC689" i="4" s="1"/>
  <c r="W639" i="4"/>
  <c r="AN639" i="4" s="1"/>
  <c r="AP639" i="4" s="1"/>
  <c r="AQ639" i="4" s="1"/>
  <c r="BI683" i="4"/>
  <c r="BI15" i="4"/>
  <c r="AP666" i="4"/>
  <c r="AQ666" i="4" s="1"/>
  <c r="AS666" i="4"/>
  <c r="AT666" i="4" s="1"/>
  <c r="AN678" i="4"/>
  <c r="AP678" i="4" s="1"/>
  <c r="AQ678" i="4" s="1"/>
  <c r="V44" i="4"/>
  <c r="V140" i="4"/>
  <c r="Y194" i="4"/>
  <c r="D204" i="4"/>
  <c r="AN272" i="4"/>
  <c r="Y272" i="4"/>
  <c r="W303" i="4"/>
  <c r="AN303" i="4" s="1"/>
  <c r="I350" i="4"/>
  <c r="J350" i="4" s="1"/>
  <c r="F350" i="4"/>
  <c r="G350" i="4" s="1"/>
  <c r="AN364" i="4"/>
  <c r="Y408" i="4"/>
  <c r="T473" i="4"/>
  <c r="D557" i="4"/>
  <c r="Y596" i="4"/>
  <c r="U662" i="4"/>
  <c r="V641" i="4"/>
  <c r="AC691" i="4"/>
  <c r="AP646" i="4"/>
  <c r="AQ646" i="4" s="1"/>
  <c r="AS646" i="4"/>
  <c r="AT646" i="4" s="1"/>
  <c r="AO648" i="4"/>
  <c r="AO668" i="4"/>
  <c r="AO681" i="4"/>
  <c r="W665" i="4"/>
  <c r="W43" i="4"/>
  <c r="W141" i="4"/>
  <c r="I260" i="4"/>
  <c r="J260" i="4" s="1"/>
  <c r="F260" i="4"/>
  <c r="G260" i="4" s="1"/>
  <c r="V297" i="4"/>
  <c r="V314" i="4"/>
  <c r="V326" i="4"/>
  <c r="W326" i="4" s="1"/>
  <c r="D339" i="4"/>
  <c r="D353" i="4"/>
  <c r="F335" i="4"/>
  <c r="G335" i="4" s="1"/>
  <c r="I335" i="4"/>
  <c r="J335" i="4" s="1"/>
  <c r="U370" i="4"/>
  <c r="U374" i="4" s="1"/>
  <c r="Y386" i="4"/>
  <c r="T457" i="4"/>
  <c r="AN413" i="4"/>
  <c r="AN439" i="4"/>
  <c r="Y406" i="4"/>
  <c r="AN436" i="4"/>
  <c r="AP436" i="4" s="1"/>
  <c r="AQ436" i="4" s="1"/>
  <c r="W479" i="4"/>
  <c r="D479" i="4" s="1"/>
  <c r="AN505" i="4"/>
  <c r="AP505" i="4" s="1"/>
  <c r="AQ505" i="4" s="1"/>
  <c r="T585" i="4"/>
  <c r="U583" i="4"/>
  <c r="BJ630" i="4"/>
  <c r="Y595" i="4"/>
  <c r="BF630" i="4"/>
  <c r="BF689" i="4" s="1"/>
  <c r="T648" i="4"/>
  <c r="U634" i="4"/>
  <c r="V635" i="4"/>
  <c r="W635" i="4" s="1"/>
  <c r="W69" i="4"/>
  <c r="Y69" i="4" s="1"/>
  <c r="I81" i="4"/>
  <c r="J81" i="4" s="1"/>
  <c r="F81" i="4"/>
  <c r="G81" i="4" s="1"/>
  <c r="Y108" i="4"/>
  <c r="W176" i="4"/>
  <c r="Y176" i="4" s="1"/>
  <c r="AN195" i="4"/>
  <c r="AK690" i="4"/>
  <c r="AK691" i="4" s="1"/>
  <c r="AK568" i="4"/>
  <c r="AK616" i="4" s="1"/>
  <c r="AK12" i="4"/>
  <c r="AK11" i="4" s="1"/>
  <c r="W274" i="4"/>
  <c r="AN338" i="4"/>
  <c r="AP338" i="4" s="1"/>
  <c r="AQ338" i="4" s="1"/>
  <c r="V346" i="4"/>
  <c r="Y397" i="4"/>
  <c r="D435" i="4"/>
  <c r="AN440" i="4"/>
  <c r="V495" i="4"/>
  <c r="W495" i="4" s="1"/>
  <c r="AN495" i="4" s="1"/>
  <c r="AP495" i="4" s="1"/>
  <c r="AQ495" i="4" s="1"/>
  <c r="D393" i="4"/>
  <c r="V452" i="4"/>
  <c r="U482" i="4"/>
  <c r="D589" i="4"/>
  <c r="BO630" i="4"/>
  <c r="BO689" i="4" s="1"/>
  <c r="AS627" i="4"/>
  <c r="AT627" i="4" s="1"/>
  <c r="AO630" i="4"/>
  <c r="AP627" i="4"/>
  <c r="AQ627" i="4" s="1"/>
  <c r="Y487" i="4"/>
  <c r="I509" i="4"/>
  <c r="J509" i="4" s="1"/>
  <c r="F509" i="4"/>
  <c r="G509" i="4" s="1"/>
  <c r="W558" i="4"/>
  <c r="D558" i="4" s="1"/>
  <c r="Y412" i="4"/>
  <c r="W552" i="4"/>
  <c r="Y552" i="4" s="1"/>
  <c r="W421" i="4"/>
  <c r="D421" i="4" s="1"/>
  <c r="W478" i="4"/>
  <c r="W672" i="4"/>
  <c r="Y672" i="4" s="1"/>
  <c r="BJ239" i="1"/>
  <c r="BK239" i="1"/>
  <c r="BL239" i="1"/>
  <c r="BM239" i="1"/>
  <c r="BN239" i="1"/>
  <c r="BO239" i="1"/>
  <c r="BP239" i="1"/>
  <c r="BQ239" i="1"/>
  <c r="BR239" i="1"/>
  <c r="BS239" i="1"/>
  <c r="BT239" i="1"/>
  <c r="BI239" i="1"/>
  <c r="W239" i="4" l="1"/>
  <c r="Y239" i="4" s="1"/>
  <c r="AN239" i="4"/>
  <c r="AP239" i="4" s="1"/>
  <c r="AQ239" i="4" s="1"/>
  <c r="D239" i="4"/>
  <c r="F239" i="4" s="1"/>
  <c r="G239" i="4" s="1"/>
  <c r="AN215" i="4"/>
  <c r="D215" i="4"/>
  <c r="F215" i="4" s="1"/>
  <c r="G215" i="4" s="1"/>
  <c r="I454" i="4"/>
  <c r="J454" i="4" s="1"/>
  <c r="F454" i="4"/>
  <c r="G454" i="4" s="1"/>
  <c r="Y420" i="4"/>
  <c r="AN420" i="4"/>
  <c r="D420" i="4"/>
  <c r="I396" i="4"/>
  <c r="J396" i="4" s="1"/>
  <c r="F396" i="4"/>
  <c r="G396" i="4" s="1"/>
  <c r="I434" i="4"/>
  <c r="J434" i="4" s="1"/>
  <c r="F434" i="4"/>
  <c r="G434" i="4" s="1"/>
  <c r="BS531" i="4"/>
  <c r="BI531" i="4"/>
  <c r="BJ531" i="4"/>
  <c r="BT531" i="4"/>
  <c r="BO531" i="4"/>
  <c r="BN531" i="4"/>
  <c r="BP531" i="4"/>
  <c r="BK531" i="4"/>
  <c r="BM531" i="4"/>
  <c r="BL531" i="4"/>
  <c r="BQ531" i="4"/>
  <c r="BR531" i="4"/>
  <c r="AN540" i="4"/>
  <c r="AP540" i="4" s="1"/>
  <c r="AQ540" i="4" s="1"/>
  <c r="Y540" i="4"/>
  <c r="D540" i="4"/>
  <c r="W387" i="4"/>
  <c r="D387" i="4" s="1"/>
  <c r="AN337" i="4"/>
  <c r="Y491" i="4"/>
  <c r="D491" i="4"/>
  <c r="AN491" i="4"/>
  <c r="V50" i="4"/>
  <c r="D471" i="4"/>
  <c r="F471" i="4" s="1"/>
  <c r="G471" i="4" s="1"/>
  <c r="Y554" i="4"/>
  <c r="I311" i="4"/>
  <c r="J311" i="4" s="1"/>
  <c r="F311" i="4"/>
  <c r="G311" i="4" s="1"/>
  <c r="V494" i="4"/>
  <c r="W494" i="4"/>
  <c r="Y494" i="4" s="1"/>
  <c r="I643" i="4"/>
  <c r="J643" i="4" s="1"/>
  <c r="F643" i="4"/>
  <c r="G643" i="4" s="1"/>
  <c r="AN429" i="4"/>
  <c r="AP429" i="4" s="1"/>
  <c r="AQ429" i="4" s="1"/>
  <c r="Y429" i="4"/>
  <c r="I341" i="4"/>
  <c r="J341" i="4" s="1"/>
  <c r="F341" i="4"/>
  <c r="G341" i="4" s="1"/>
  <c r="D329" i="4"/>
  <c r="Y428" i="4"/>
  <c r="D428" i="4"/>
  <c r="Y98" i="4"/>
  <c r="Y434" i="4"/>
  <c r="Y207" i="4"/>
  <c r="Y278" i="4"/>
  <c r="I96" i="4"/>
  <c r="J96" i="4" s="1"/>
  <c r="F96" i="4"/>
  <c r="G96" i="4" s="1"/>
  <c r="Y337" i="4"/>
  <c r="Y319" i="4"/>
  <c r="Y423" i="4"/>
  <c r="W430" i="4"/>
  <c r="D430" i="4" s="1"/>
  <c r="I480" i="4"/>
  <c r="J480" i="4" s="1"/>
  <c r="F480" i="4"/>
  <c r="G480" i="4" s="1"/>
  <c r="D354" i="4"/>
  <c r="AN222" i="4"/>
  <c r="D351" i="4"/>
  <c r="AN507" i="4"/>
  <c r="AP507" i="4" s="1"/>
  <c r="AQ507" i="4" s="1"/>
  <c r="D535" i="4"/>
  <c r="D233" i="4"/>
  <c r="D478" i="4"/>
  <c r="Y399" i="4"/>
  <c r="AN156" i="4"/>
  <c r="Y183" i="4"/>
  <c r="Y371" i="4"/>
  <c r="D499" i="4"/>
  <c r="Y499" i="4"/>
  <c r="F295" i="4"/>
  <c r="G295" i="4" s="1"/>
  <c r="I295" i="4"/>
  <c r="J295" i="4" s="1"/>
  <c r="F407" i="4"/>
  <c r="G407" i="4" s="1"/>
  <c r="I407" i="4"/>
  <c r="J407" i="4" s="1"/>
  <c r="D531" i="4"/>
  <c r="D98" i="4"/>
  <c r="Y488" i="4"/>
  <c r="AN488" i="4"/>
  <c r="AN434" i="4"/>
  <c r="AP434" i="4" s="1"/>
  <c r="AQ434" i="4" s="1"/>
  <c r="AN405" i="4"/>
  <c r="AP405" i="4" s="1"/>
  <c r="AQ405" i="4" s="1"/>
  <c r="I317" i="4"/>
  <c r="J317" i="4" s="1"/>
  <c r="F317" i="4"/>
  <c r="G317" i="4" s="1"/>
  <c r="W337" i="4"/>
  <c r="AN677" i="4"/>
  <c r="AP677" i="4" s="1"/>
  <c r="AQ677" i="4" s="1"/>
  <c r="AN197" i="4"/>
  <c r="AN328" i="4"/>
  <c r="AP328" i="4" s="1"/>
  <c r="AQ328" i="4" s="1"/>
  <c r="W507" i="4"/>
  <c r="Y535" i="4"/>
  <c r="D552" i="4"/>
  <c r="I552" i="4" s="1"/>
  <c r="J552" i="4" s="1"/>
  <c r="D274" i="4"/>
  <c r="W233" i="4"/>
  <c r="R12" i="4"/>
  <c r="R11" i="4" s="1"/>
  <c r="D639" i="4"/>
  <c r="I639" i="4" s="1"/>
  <c r="J639" i="4" s="1"/>
  <c r="F283" i="4"/>
  <c r="G283" i="4" s="1"/>
  <c r="I283" i="4"/>
  <c r="J283" i="4" s="1"/>
  <c r="V305" i="4"/>
  <c r="W305" i="4" s="1"/>
  <c r="D305" i="4" s="1"/>
  <c r="AN305" i="4"/>
  <c r="AP305" i="4" s="1"/>
  <c r="AQ305" i="4" s="1"/>
  <c r="Y305" i="4"/>
  <c r="I280" i="4"/>
  <c r="J280" i="4" s="1"/>
  <c r="F280" i="4"/>
  <c r="G280" i="4" s="1"/>
  <c r="Y304" i="4"/>
  <c r="D304" i="4"/>
  <c r="AN304" i="4"/>
  <c r="AP304" i="4" s="1"/>
  <c r="AQ304" i="4" s="1"/>
  <c r="I416" i="4"/>
  <c r="J416" i="4" s="1"/>
  <c r="F416" i="4"/>
  <c r="G416" i="4" s="1"/>
  <c r="I423" i="4"/>
  <c r="J423" i="4" s="1"/>
  <c r="F423" i="4"/>
  <c r="G423" i="4" s="1"/>
  <c r="AN499" i="4"/>
  <c r="AP499" i="4" s="1"/>
  <c r="AQ499" i="4" s="1"/>
  <c r="I488" i="4"/>
  <c r="J488" i="4" s="1"/>
  <c r="F488" i="4"/>
  <c r="G488" i="4" s="1"/>
  <c r="AN454" i="4"/>
  <c r="AP454" i="4" s="1"/>
  <c r="AQ454" i="4" s="1"/>
  <c r="Y454" i="4"/>
  <c r="Y351" i="4"/>
  <c r="W426" i="4"/>
  <c r="D426" i="4" s="1"/>
  <c r="D337" i="4"/>
  <c r="D555" i="4"/>
  <c r="Y197" i="4"/>
  <c r="D405" i="4"/>
  <c r="Y531" i="4"/>
  <c r="V299" i="4"/>
  <c r="W299" i="4" s="1"/>
  <c r="AN69" i="4"/>
  <c r="AP69" i="4" s="1"/>
  <c r="AQ69" i="4" s="1"/>
  <c r="AN309" i="4"/>
  <c r="AP309" i="4" s="1"/>
  <c r="AQ309" i="4" s="1"/>
  <c r="W556" i="4"/>
  <c r="AN556" i="4" s="1"/>
  <c r="AN128" i="4"/>
  <c r="AP128" i="4" s="1"/>
  <c r="AQ128" i="4" s="1"/>
  <c r="D133" i="4"/>
  <c r="D230" i="4"/>
  <c r="AN52" i="4"/>
  <c r="AN53" i="4" s="1"/>
  <c r="AP53" i="4" s="1"/>
  <c r="AQ53" i="4" s="1"/>
  <c r="R691" i="4"/>
  <c r="Y24" i="4"/>
  <c r="AN274" i="4"/>
  <c r="AP274" i="4" s="1"/>
  <c r="AQ274" i="4" s="1"/>
  <c r="AN371" i="4"/>
  <c r="AP371" i="4" s="1"/>
  <c r="AQ371" i="4" s="1"/>
  <c r="D511" i="4"/>
  <c r="Y589" i="4"/>
  <c r="Y515" i="4"/>
  <c r="D515" i="4"/>
  <c r="AN679" i="4"/>
  <c r="AP679" i="4" s="1"/>
  <c r="AQ679" i="4" s="1"/>
  <c r="Y679" i="4"/>
  <c r="D679" i="4"/>
  <c r="I523" i="4"/>
  <c r="J523" i="4" s="1"/>
  <c r="F523" i="4"/>
  <c r="G523" i="4" s="1"/>
  <c r="D302" i="4"/>
  <c r="Y302" i="4"/>
  <c r="AN273" i="4"/>
  <c r="AP273" i="4" s="1"/>
  <c r="AQ273" i="4" s="1"/>
  <c r="AN515" i="4"/>
  <c r="AP515" i="4" s="1"/>
  <c r="AQ515" i="4" s="1"/>
  <c r="V99" i="4"/>
  <c r="W99" i="4" s="1"/>
  <c r="Y215" i="4"/>
  <c r="D429" i="4"/>
  <c r="AN302" i="4"/>
  <c r="AP302" i="4" s="1"/>
  <c r="AQ302" i="4" s="1"/>
  <c r="W273" i="4"/>
  <c r="Y273" i="4" s="1"/>
  <c r="D506" i="4"/>
  <c r="W329" i="4"/>
  <c r="Y329" i="4" s="1"/>
  <c r="AN428" i="4"/>
  <c r="L63" i="5"/>
  <c r="L64" i="5" s="1"/>
  <c r="L66" i="5" s="1"/>
  <c r="L68" i="5" s="1"/>
  <c r="F479" i="4"/>
  <c r="G479" i="4" s="1"/>
  <c r="I479" i="4"/>
  <c r="J479" i="4" s="1"/>
  <c r="AR650" i="4"/>
  <c r="AR654" i="4" s="1"/>
  <c r="AR14" i="4"/>
  <c r="I127" i="4"/>
  <c r="J127" i="4" s="1"/>
  <c r="F127" i="4"/>
  <c r="G127" i="4" s="1"/>
  <c r="I298" i="4"/>
  <c r="J298" i="4" s="1"/>
  <c r="F298" i="4"/>
  <c r="G298" i="4" s="1"/>
  <c r="I441" i="4"/>
  <c r="J441" i="4" s="1"/>
  <c r="F441" i="4"/>
  <c r="G441" i="4" s="1"/>
  <c r="W636" i="4"/>
  <c r="Y636" i="4" s="1"/>
  <c r="W591" i="4"/>
  <c r="Y591" i="4" s="1"/>
  <c r="V606" i="4"/>
  <c r="F24" i="4"/>
  <c r="G24" i="4" s="1"/>
  <c r="I24" i="4"/>
  <c r="J24" i="4" s="1"/>
  <c r="AN126" i="4"/>
  <c r="AP126" i="4" s="1"/>
  <c r="AQ126" i="4" s="1"/>
  <c r="D126" i="4"/>
  <c r="Y126" i="4"/>
  <c r="I202" i="4"/>
  <c r="J202" i="4" s="1"/>
  <c r="F202" i="4"/>
  <c r="G202" i="4" s="1"/>
  <c r="F156" i="4"/>
  <c r="G156" i="4" s="1"/>
  <c r="I156" i="4"/>
  <c r="J156" i="4" s="1"/>
  <c r="I462" i="4"/>
  <c r="J462" i="4" s="1"/>
  <c r="F462" i="4"/>
  <c r="G462" i="4" s="1"/>
  <c r="I233" i="4"/>
  <c r="J233" i="4" s="1"/>
  <c r="F233" i="4"/>
  <c r="G233" i="4" s="1"/>
  <c r="F478" i="4"/>
  <c r="G478" i="4" s="1"/>
  <c r="I478" i="4"/>
  <c r="J478" i="4" s="1"/>
  <c r="D315" i="4"/>
  <c r="Y315" i="4"/>
  <c r="AN315" i="4"/>
  <c r="AP315" i="4" s="1"/>
  <c r="AQ315" i="4" s="1"/>
  <c r="F37" i="4"/>
  <c r="G37" i="4" s="1"/>
  <c r="I37" i="4"/>
  <c r="J37" i="4" s="1"/>
  <c r="D597" i="4"/>
  <c r="AN597" i="4"/>
  <c r="AP597" i="4" s="1"/>
  <c r="AQ597" i="4" s="1"/>
  <c r="Y597" i="4"/>
  <c r="F520" i="4"/>
  <c r="G520" i="4" s="1"/>
  <c r="I520" i="4"/>
  <c r="J520" i="4" s="1"/>
  <c r="I38" i="4"/>
  <c r="J38" i="4" s="1"/>
  <c r="F38" i="4"/>
  <c r="G38" i="4" s="1"/>
  <c r="F421" i="4"/>
  <c r="G421" i="4" s="1"/>
  <c r="I421" i="4"/>
  <c r="J421" i="4" s="1"/>
  <c r="F558" i="4"/>
  <c r="G558" i="4" s="1"/>
  <c r="I558" i="4"/>
  <c r="J558" i="4" s="1"/>
  <c r="F274" i="4"/>
  <c r="G274" i="4" s="1"/>
  <c r="I274" i="4"/>
  <c r="J274" i="4" s="1"/>
  <c r="I593" i="4"/>
  <c r="J593" i="4" s="1"/>
  <c r="F593" i="4"/>
  <c r="G593" i="4" s="1"/>
  <c r="I461" i="4"/>
  <c r="J461" i="4" s="1"/>
  <c r="F461" i="4"/>
  <c r="G461" i="4" s="1"/>
  <c r="Y124" i="4"/>
  <c r="I28" i="4"/>
  <c r="J28" i="4" s="1"/>
  <c r="F28" i="4"/>
  <c r="G28" i="4" s="1"/>
  <c r="F639" i="4"/>
  <c r="G639" i="4" s="1"/>
  <c r="F87" i="4"/>
  <c r="G87" i="4" s="1"/>
  <c r="I87" i="4"/>
  <c r="J87" i="4" s="1"/>
  <c r="W395" i="4"/>
  <c r="AN395" i="4" s="1"/>
  <c r="I371" i="4"/>
  <c r="J371" i="4" s="1"/>
  <c r="F371" i="4"/>
  <c r="G371" i="4" s="1"/>
  <c r="V360" i="4"/>
  <c r="F440" i="4"/>
  <c r="G440" i="4" s="1"/>
  <c r="I440" i="4"/>
  <c r="J440" i="4" s="1"/>
  <c r="F436" i="4"/>
  <c r="G436" i="4" s="1"/>
  <c r="I436" i="4"/>
  <c r="J436" i="4" s="1"/>
  <c r="I133" i="4"/>
  <c r="J133" i="4" s="1"/>
  <c r="F133" i="4"/>
  <c r="G133" i="4" s="1"/>
  <c r="F406" i="4"/>
  <c r="G406" i="4" s="1"/>
  <c r="I406" i="4"/>
  <c r="J406" i="4" s="1"/>
  <c r="AN467" i="4"/>
  <c r="AP467" i="4" s="1"/>
  <c r="AQ467" i="4" s="1"/>
  <c r="Y467" i="4"/>
  <c r="D467" i="4"/>
  <c r="Y389" i="4"/>
  <c r="AN389" i="4"/>
  <c r="F183" i="4"/>
  <c r="G183" i="4" s="1"/>
  <c r="I183" i="4"/>
  <c r="J183" i="4" s="1"/>
  <c r="F435" i="4"/>
  <c r="G435" i="4" s="1"/>
  <c r="I435" i="4"/>
  <c r="J435" i="4" s="1"/>
  <c r="AO683" i="4"/>
  <c r="AS668" i="4"/>
  <c r="AT668" i="4" s="1"/>
  <c r="AO15" i="4"/>
  <c r="F552" i="4"/>
  <c r="G552" i="4" s="1"/>
  <c r="AN188" i="4"/>
  <c r="AP188" i="4" s="1"/>
  <c r="AQ188" i="4" s="1"/>
  <c r="I493" i="4"/>
  <c r="J493" i="4" s="1"/>
  <c r="F493" i="4"/>
  <c r="G493" i="4" s="1"/>
  <c r="I336" i="4"/>
  <c r="J336" i="4" s="1"/>
  <c r="F336" i="4"/>
  <c r="G336" i="4" s="1"/>
  <c r="AN421" i="4"/>
  <c r="AP421" i="4" s="1"/>
  <c r="AQ421" i="4" s="1"/>
  <c r="F386" i="4"/>
  <c r="G386" i="4" s="1"/>
  <c r="I386" i="4"/>
  <c r="J386" i="4" s="1"/>
  <c r="BT650" i="4"/>
  <c r="BT14" i="4"/>
  <c r="AO650" i="4"/>
  <c r="AP630" i="4"/>
  <c r="AQ630" i="4" s="1"/>
  <c r="AS630" i="4"/>
  <c r="AT630" i="4" s="1"/>
  <c r="AO14" i="4"/>
  <c r="D326" i="4"/>
  <c r="Y141" i="4"/>
  <c r="D141" i="4"/>
  <c r="AS681" i="4"/>
  <c r="AT681" i="4" s="1"/>
  <c r="BN650" i="4"/>
  <c r="BN14" i="4"/>
  <c r="AN558" i="4"/>
  <c r="AP558" i="4" s="1"/>
  <c r="AQ558" i="4" s="1"/>
  <c r="V264" i="4"/>
  <c r="W261" i="4"/>
  <c r="W264" i="4" s="1"/>
  <c r="Y264" i="4" s="1"/>
  <c r="I229" i="4"/>
  <c r="J229" i="4" s="1"/>
  <c r="F229" i="4"/>
  <c r="G229" i="4" s="1"/>
  <c r="AX689" i="4"/>
  <c r="Y274" i="4"/>
  <c r="F174" i="4"/>
  <c r="G174" i="4" s="1"/>
  <c r="I174" i="4"/>
  <c r="J174" i="4" s="1"/>
  <c r="AN176" i="4"/>
  <c r="AP176" i="4" s="1"/>
  <c r="AQ176" i="4" s="1"/>
  <c r="F71" i="4"/>
  <c r="G71" i="4" s="1"/>
  <c r="I71" i="4"/>
  <c r="J71" i="4" s="1"/>
  <c r="F342" i="4"/>
  <c r="G342" i="4" s="1"/>
  <c r="I342" i="4"/>
  <c r="J342" i="4" s="1"/>
  <c r="D262" i="4"/>
  <c r="AN635" i="4"/>
  <c r="AP635" i="4" s="1"/>
  <c r="AQ635" i="4" s="1"/>
  <c r="AN479" i="4"/>
  <c r="AP479" i="4" s="1"/>
  <c r="AQ479" i="4" s="1"/>
  <c r="F397" i="4"/>
  <c r="G397" i="4" s="1"/>
  <c r="I397" i="4"/>
  <c r="J397" i="4" s="1"/>
  <c r="U300" i="4"/>
  <c r="F282" i="4"/>
  <c r="G282" i="4" s="1"/>
  <c r="I282" i="4"/>
  <c r="J282" i="4" s="1"/>
  <c r="F114" i="4"/>
  <c r="G114" i="4" s="1"/>
  <c r="I114" i="4"/>
  <c r="J114" i="4" s="1"/>
  <c r="BS650" i="4"/>
  <c r="BS14" i="4"/>
  <c r="AW650" i="4"/>
  <c r="AW14" i="4"/>
  <c r="V514" i="4"/>
  <c r="I554" i="4"/>
  <c r="J554" i="4" s="1"/>
  <c r="F554" i="4"/>
  <c r="G554" i="4" s="1"/>
  <c r="F237" i="4"/>
  <c r="G237" i="4" s="1"/>
  <c r="I237" i="4"/>
  <c r="J237" i="4" s="1"/>
  <c r="F95" i="4"/>
  <c r="G95" i="4" s="1"/>
  <c r="I95" i="4"/>
  <c r="J95" i="4" s="1"/>
  <c r="Y639" i="4"/>
  <c r="Y478" i="4"/>
  <c r="F412" i="4"/>
  <c r="G412" i="4" s="1"/>
  <c r="I412" i="4"/>
  <c r="J412" i="4" s="1"/>
  <c r="F77" i="4"/>
  <c r="G77" i="4" s="1"/>
  <c r="I77" i="4"/>
  <c r="J77" i="4" s="1"/>
  <c r="I215" i="4"/>
  <c r="J215" i="4" s="1"/>
  <c r="Y131" i="4"/>
  <c r="F62" i="4"/>
  <c r="G62" i="4" s="1"/>
  <c r="I62" i="4"/>
  <c r="J62" i="4" s="1"/>
  <c r="AN84" i="4"/>
  <c r="AP84" i="4" s="1"/>
  <c r="AQ84" i="4" s="1"/>
  <c r="AP628" i="4"/>
  <c r="AQ628" i="4" s="1"/>
  <c r="AS628" i="4"/>
  <c r="AT628" i="4" s="1"/>
  <c r="I592" i="4"/>
  <c r="J592" i="4" s="1"/>
  <c r="F592" i="4"/>
  <c r="G592" i="4" s="1"/>
  <c r="AN481" i="4"/>
  <c r="AN461" i="4"/>
  <c r="AN306" i="4"/>
  <c r="AN298" i="4"/>
  <c r="AP298" i="4" s="1"/>
  <c r="AQ298" i="4" s="1"/>
  <c r="W320" i="4"/>
  <c r="D320" i="4" s="1"/>
  <c r="F162" i="4"/>
  <c r="G162" i="4" s="1"/>
  <c r="I162" i="4"/>
  <c r="J162" i="4" s="1"/>
  <c r="AS380" i="4"/>
  <c r="AT380" i="4" s="1"/>
  <c r="AO382" i="4"/>
  <c r="I284" i="4"/>
  <c r="J284" i="4" s="1"/>
  <c r="F284" i="4"/>
  <c r="G284" i="4" s="1"/>
  <c r="W312" i="4"/>
  <c r="D312" i="4" s="1"/>
  <c r="BE650" i="4"/>
  <c r="BE14" i="4"/>
  <c r="Y440" i="4"/>
  <c r="V63" i="4"/>
  <c r="W63" i="4" s="1"/>
  <c r="BM650" i="4"/>
  <c r="BM14" i="4"/>
  <c r="F508" i="4"/>
  <c r="G508" i="4" s="1"/>
  <c r="I508" i="4"/>
  <c r="J508" i="4" s="1"/>
  <c r="W664" i="4"/>
  <c r="Y664" i="4" s="1"/>
  <c r="U564" i="4"/>
  <c r="W561" i="4"/>
  <c r="Y561" i="4" s="1"/>
  <c r="F319" i="4"/>
  <c r="G319" i="4" s="1"/>
  <c r="I319" i="4"/>
  <c r="J319" i="4" s="1"/>
  <c r="W164" i="4"/>
  <c r="AN164" i="4" s="1"/>
  <c r="V53" i="4"/>
  <c r="Y53" i="4" s="1"/>
  <c r="D52" i="4"/>
  <c r="Y52" i="4"/>
  <c r="R568" i="4"/>
  <c r="R616" i="4" s="1"/>
  <c r="I524" i="4"/>
  <c r="J524" i="4" s="1"/>
  <c r="F524" i="4"/>
  <c r="G524" i="4" s="1"/>
  <c r="W358" i="4"/>
  <c r="D358" i="4" s="1"/>
  <c r="D292" i="4"/>
  <c r="AN355" i="4"/>
  <c r="AP355" i="4" s="1"/>
  <c r="AQ355" i="4" s="1"/>
  <c r="BR650" i="4"/>
  <c r="BR14" i="4"/>
  <c r="Y479" i="4"/>
  <c r="V240" i="4"/>
  <c r="W240" i="4" s="1"/>
  <c r="V522" i="4"/>
  <c r="AN486" i="4"/>
  <c r="AP486" i="4" s="1"/>
  <c r="AQ486" i="4" s="1"/>
  <c r="Y486" i="4"/>
  <c r="D443" i="4"/>
  <c r="F413" i="4"/>
  <c r="G413" i="4" s="1"/>
  <c r="I413" i="4"/>
  <c r="J413" i="4" s="1"/>
  <c r="AN326" i="4"/>
  <c r="AP326" i="4" s="1"/>
  <c r="AQ326" i="4" s="1"/>
  <c r="W512" i="4"/>
  <c r="D512" i="4" s="1"/>
  <c r="AN442" i="4"/>
  <c r="AP442" i="4" s="1"/>
  <c r="AQ442" i="4" s="1"/>
  <c r="F448" i="4"/>
  <c r="G448" i="4" s="1"/>
  <c r="I448" i="4"/>
  <c r="J448" i="4" s="1"/>
  <c r="I276" i="4"/>
  <c r="J276" i="4" s="1"/>
  <c r="F276" i="4"/>
  <c r="G276" i="4" s="1"/>
  <c r="D208" i="4"/>
  <c r="Y208" i="4"/>
  <c r="BK650" i="4"/>
  <c r="BK14" i="4"/>
  <c r="F540" i="4"/>
  <c r="G540" i="4" s="1"/>
  <c r="I540" i="4"/>
  <c r="J540" i="4" s="1"/>
  <c r="V394" i="4"/>
  <c r="Y342" i="4"/>
  <c r="D309" i="4"/>
  <c r="Y127" i="4"/>
  <c r="D47" i="4"/>
  <c r="U120" i="4"/>
  <c r="AN183" i="4"/>
  <c r="AP183" i="4" s="1"/>
  <c r="AQ183" i="4" s="1"/>
  <c r="D30" i="4"/>
  <c r="AN47" i="4"/>
  <c r="AP47" i="4" s="1"/>
  <c r="AQ47" i="4" s="1"/>
  <c r="W79" i="4"/>
  <c r="D79" i="4" s="1"/>
  <c r="AN463" i="4"/>
  <c r="Y236" i="4"/>
  <c r="AN277" i="4"/>
  <c r="F163" i="4"/>
  <c r="G163" i="4" s="1"/>
  <c r="I163" i="4"/>
  <c r="J163" i="4" s="1"/>
  <c r="I192" i="4"/>
  <c r="J192" i="4" s="1"/>
  <c r="F192" i="4"/>
  <c r="G192" i="4" s="1"/>
  <c r="V135" i="4"/>
  <c r="W135" i="4" s="1"/>
  <c r="AN135" i="4" s="1"/>
  <c r="AP135" i="4" s="1"/>
  <c r="AQ135" i="4" s="1"/>
  <c r="F205" i="4"/>
  <c r="G205" i="4" s="1"/>
  <c r="I205" i="4"/>
  <c r="J205" i="4" s="1"/>
  <c r="D196" i="4"/>
  <c r="V113" i="4"/>
  <c r="W452" i="4"/>
  <c r="D452" i="4" s="1"/>
  <c r="D176" i="4"/>
  <c r="F36" i="4"/>
  <c r="G36" i="4" s="1"/>
  <c r="I36" i="4"/>
  <c r="J36" i="4" s="1"/>
  <c r="AN312" i="4"/>
  <c r="Y642" i="4"/>
  <c r="V431" i="4"/>
  <c r="D495" i="4"/>
  <c r="Y481" i="4"/>
  <c r="Y560" i="4"/>
  <c r="Y202" i="4"/>
  <c r="D481" i="4"/>
  <c r="V296" i="4"/>
  <c r="S12" i="4"/>
  <c r="S11" i="4" s="1"/>
  <c r="W41" i="4"/>
  <c r="Y41" i="4" s="1"/>
  <c r="Y393" i="4"/>
  <c r="Y536" i="4"/>
  <c r="V370" i="4"/>
  <c r="F645" i="4"/>
  <c r="G645" i="4" s="1"/>
  <c r="I645" i="4"/>
  <c r="J645" i="4" s="1"/>
  <c r="D485" i="4"/>
  <c r="F288" i="4"/>
  <c r="G288" i="4" s="1"/>
  <c r="I288" i="4"/>
  <c r="J288" i="4" s="1"/>
  <c r="D356" i="4"/>
  <c r="D338" i="4"/>
  <c r="Y558" i="4"/>
  <c r="AN485" i="4"/>
  <c r="AP485" i="4" s="1"/>
  <c r="AQ485" i="4" s="1"/>
  <c r="Y448" i="4"/>
  <c r="D109" i="4"/>
  <c r="W238" i="4"/>
  <c r="D238" i="4" s="1"/>
  <c r="AN275" i="4"/>
  <c r="AP275" i="4" s="1"/>
  <c r="AQ275" i="4" s="1"/>
  <c r="Y84" i="4"/>
  <c r="D399" i="4"/>
  <c r="Y232" i="4"/>
  <c r="V380" i="4"/>
  <c r="W380" i="4" s="1"/>
  <c r="F221" i="4"/>
  <c r="G221" i="4" s="1"/>
  <c r="I221" i="4"/>
  <c r="J221" i="4" s="1"/>
  <c r="Y644" i="4"/>
  <c r="AN644" i="4"/>
  <c r="AP644" i="4" s="1"/>
  <c r="AQ644" i="4" s="1"/>
  <c r="W644" i="4"/>
  <c r="F553" i="4"/>
  <c r="G553" i="4" s="1"/>
  <c r="I553" i="4"/>
  <c r="J553" i="4" s="1"/>
  <c r="F275" i="4"/>
  <c r="G275" i="4" s="1"/>
  <c r="I275" i="4"/>
  <c r="J275" i="4" s="1"/>
  <c r="I222" i="4"/>
  <c r="J222" i="4" s="1"/>
  <c r="F222" i="4"/>
  <c r="G222" i="4" s="1"/>
  <c r="AN202" i="4"/>
  <c r="AP202" i="4" s="1"/>
  <c r="AQ202" i="4" s="1"/>
  <c r="BT115" i="4"/>
  <c r="BP115" i="4"/>
  <c r="BL115" i="4"/>
  <c r="BS115" i="4"/>
  <c r="BO115" i="4"/>
  <c r="BK115" i="4"/>
  <c r="F115" i="4"/>
  <c r="G115" i="4" s="1"/>
  <c r="BR115" i="4"/>
  <c r="BN115" i="4"/>
  <c r="BJ115" i="4"/>
  <c r="BQ115" i="4"/>
  <c r="BM115" i="4"/>
  <c r="BI115" i="4"/>
  <c r="I115" i="4"/>
  <c r="J115" i="4" s="1"/>
  <c r="D69" i="4"/>
  <c r="F230" i="4"/>
  <c r="G230" i="4" s="1"/>
  <c r="I230" i="4"/>
  <c r="J230" i="4" s="1"/>
  <c r="AP52" i="4"/>
  <c r="AQ52" i="4" s="1"/>
  <c r="W539" i="4"/>
  <c r="D539" i="4" s="1"/>
  <c r="Y306" i="4"/>
  <c r="I347" i="4"/>
  <c r="J347" i="4" s="1"/>
  <c r="F347" i="4"/>
  <c r="G347" i="4" s="1"/>
  <c r="AN292" i="4"/>
  <c r="T689" i="4"/>
  <c r="W313" i="4"/>
  <c r="AN313" i="4" s="1"/>
  <c r="AP313" i="4" s="1"/>
  <c r="AQ313" i="4" s="1"/>
  <c r="I533" i="4"/>
  <c r="J533" i="4" s="1"/>
  <c r="F533" i="4"/>
  <c r="G533" i="4" s="1"/>
  <c r="I419" i="4"/>
  <c r="J419" i="4" s="1"/>
  <c r="F419" i="4"/>
  <c r="G419" i="4" s="1"/>
  <c r="AN462" i="4"/>
  <c r="AN127" i="4"/>
  <c r="W641" i="4"/>
  <c r="D641" i="4" s="1"/>
  <c r="V325" i="4"/>
  <c r="W325" i="4" s="1"/>
  <c r="D664" i="4"/>
  <c r="AN233" i="4"/>
  <c r="AP233" i="4" s="1"/>
  <c r="AQ233" i="4" s="1"/>
  <c r="D128" i="4"/>
  <c r="W44" i="4"/>
  <c r="AN44" i="4" s="1"/>
  <c r="AP44" i="4" s="1"/>
  <c r="AQ44" i="4" s="1"/>
  <c r="AN238" i="4"/>
  <c r="AP238" i="4" s="1"/>
  <c r="AQ238" i="4" s="1"/>
  <c r="F590" i="4"/>
  <c r="G590" i="4" s="1"/>
  <c r="I590" i="4"/>
  <c r="J590" i="4" s="1"/>
  <c r="D536" i="4"/>
  <c r="U473" i="4"/>
  <c r="F355" i="4"/>
  <c r="G355" i="4" s="1"/>
  <c r="I355" i="4"/>
  <c r="J355" i="4" s="1"/>
  <c r="V674" i="4"/>
  <c r="U681" i="4"/>
  <c r="D635" i="4"/>
  <c r="AN520" i="4"/>
  <c r="AP520" i="4" s="1"/>
  <c r="AQ520" i="4" s="1"/>
  <c r="Y520" i="4"/>
  <c r="D486" i="4"/>
  <c r="Y326" i="4"/>
  <c r="AN672" i="4"/>
  <c r="BD650" i="4"/>
  <c r="BD14" i="4"/>
  <c r="I502" i="4"/>
  <c r="J502" i="4" s="1"/>
  <c r="F502" i="4"/>
  <c r="G502" i="4" s="1"/>
  <c r="F417" i="4"/>
  <c r="G417" i="4" s="1"/>
  <c r="I417" i="4"/>
  <c r="J417" i="4" s="1"/>
  <c r="D366" i="4"/>
  <c r="I364" i="4"/>
  <c r="J364" i="4" s="1"/>
  <c r="F364" i="4"/>
  <c r="G364" i="4" s="1"/>
  <c r="AN196" i="4"/>
  <c r="V662" i="4"/>
  <c r="D560" i="4"/>
  <c r="V382" i="4"/>
  <c r="AN378" i="4"/>
  <c r="D201" i="4"/>
  <c r="V226" i="4"/>
  <c r="D43" i="4"/>
  <c r="W34" i="4"/>
  <c r="Y26" i="4"/>
  <c r="Y87" i="4"/>
  <c r="AN87" i="4"/>
  <c r="AP87" i="4" s="1"/>
  <c r="AQ87" i="4" s="1"/>
  <c r="W72" i="4"/>
  <c r="D594" i="4"/>
  <c r="Y489" i="4"/>
  <c r="D463" i="4"/>
  <c r="AN441" i="4"/>
  <c r="D303" i="4"/>
  <c r="Y156" i="4"/>
  <c r="AN62" i="4"/>
  <c r="V136" i="4"/>
  <c r="W80" i="4"/>
  <c r="D313" i="4"/>
  <c r="W169" i="4"/>
  <c r="D169" i="4" s="1"/>
  <c r="U90" i="4"/>
  <c r="I116" i="4"/>
  <c r="J116" i="4" s="1"/>
  <c r="F116" i="4"/>
  <c r="G116" i="4" s="1"/>
  <c r="Y28" i="4"/>
  <c r="BS689" i="4"/>
  <c r="Y462" i="4"/>
  <c r="D390" i="4"/>
  <c r="Y347" i="4"/>
  <c r="F310" i="4"/>
  <c r="G310" i="4" s="1"/>
  <c r="I310" i="4"/>
  <c r="J310" i="4" s="1"/>
  <c r="Y298" i="4"/>
  <c r="S568" i="4"/>
  <c r="S616" i="4" s="1"/>
  <c r="Y372" i="4"/>
  <c r="W673" i="4"/>
  <c r="AN673" i="4" s="1"/>
  <c r="AP673" i="4" s="1"/>
  <c r="AQ673" i="4" s="1"/>
  <c r="AN398" i="4"/>
  <c r="AN28" i="4"/>
  <c r="AP28" i="4" s="1"/>
  <c r="AQ28" i="4" s="1"/>
  <c r="Y287" i="4"/>
  <c r="U360" i="4"/>
  <c r="W501" i="4"/>
  <c r="D501" i="4" s="1"/>
  <c r="AN372" i="4"/>
  <c r="AP372" i="4" s="1"/>
  <c r="AQ372" i="4" s="1"/>
  <c r="Y201" i="4"/>
  <c r="F491" i="4"/>
  <c r="G491" i="4" s="1"/>
  <c r="I491" i="4"/>
  <c r="J491" i="4" s="1"/>
  <c r="Y432" i="4"/>
  <c r="F100" i="4"/>
  <c r="G100" i="4" s="1"/>
  <c r="I100" i="4"/>
  <c r="J100" i="4" s="1"/>
  <c r="D489" i="4"/>
  <c r="AN133" i="4"/>
  <c r="AP133" i="4" s="1"/>
  <c r="AQ133" i="4" s="1"/>
  <c r="V155" i="4"/>
  <c r="W155" i="4" s="1"/>
  <c r="Y235" i="4"/>
  <c r="Y343" i="4"/>
  <c r="Y452" i="4"/>
  <c r="U648" i="4"/>
  <c r="V634" i="4"/>
  <c r="V648" i="4" s="1"/>
  <c r="T608" i="4"/>
  <c r="T13" i="4"/>
  <c r="F204" i="4"/>
  <c r="G204" i="4" s="1"/>
  <c r="I204" i="4"/>
  <c r="J204" i="4" s="1"/>
  <c r="BL650" i="4"/>
  <c r="BL14" i="4"/>
  <c r="I231" i="4"/>
  <c r="J231" i="4" s="1"/>
  <c r="F231" i="4"/>
  <c r="G231" i="4" s="1"/>
  <c r="I235" i="4"/>
  <c r="J235" i="4" s="1"/>
  <c r="F235" i="4"/>
  <c r="G235" i="4" s="1"/>
  <c r="AW689" i="4"/>
  <c r="F131" i="4"/>
  <c r="G131" i="4" s="1"/>
  <c r="I131" i="4"/>
  <c r="J131" i="4" s="1"/>
  <c r="I61" i="4"/>
  <c r="J61" i="4" s="1"/>
  <c r="F61" i="4"/>
  <c r="G61" i="4" s="1"/>
  <c r="I638" i="4"/>
  <c r="J638" i="4" s="1"/>
  <c r="F638" i="4"/>
  <c r="G638" i="4" s="1"/>
  <c r="AV650" i="4"/>
  <c r="AV14" i="4"/>
  <c r="V400" i="4"/>
  <c r="AN552" i="4"/>
  <c r="BO650" i="4"/>
  <c r="BO14" i="4"/>
  <c r="F393" i="4"/>
  <c r="G393" i="4" s="1"/>
  <c r="I393" i="4"/>
  <c r="J393" i="4" s="1"/>
  <c r="BJ650" i="4"/>
  <c r="BJ14" i="4"/>
  <c r="F353" i="4"/>
  <c r="G353" i="4" s="1"/>
  <c r="I353" i="4"/>
  <c r="J353" i="4" s="1"/>
  <c r="AS648" i="4"/>
  <c r="AT648" i="4" s="1"/>
  <c r="Y641" i="4"/>
  <c r="F557" i="4"/>
  <c r="G557" i="4" s="1"/>
  <c r="I557" i="4"/>
  <c r="J557" i="4" s="1"/>
  <c r="AN366" i="4"/>
  <c r="AP366" i="4" s="1"/>
  <c r="AQ366" i="4" s="1"/>
  <c r="AP364" i="4"/>
  <c r="AQ364" i="4" s="1"/>
  <c r="V532" i="4"/>
  <c r="U547" i="4"/>
  <c r="W382" i="4"/>
  <c r="I154" i="4"/>
  <c r="J154" i="4" s="1"/>
  <c r="F154" i="4"/>
  <c r="G154" i="4" s="1"/>
  <c r="I150" i="4"/>
  <c r="J150" i="4" s="1"/>
  <c r="F150" i="4"/>
  <c r="G150" i="4" s="1"/>
  <c r="I628" i="4"/>
  <c r="J628" i="4" s="1"/>
  <c r="F628" i="4"/>
  <c r="G628" i="4" s="1"/>
  <c r="D630" i="4"/>
  <c r="F232" i="4"/>
  <c r="G232" i="4" s="1"/>
  <c r="I232" i="4"/>
  <c r="J232" i="4" s="1"/>
  <c r="I195" i="4"/>
  <c r="J195" i="4" s="1"/>
  <c r="F195" i="4"/>
  <c r="G195" i="4" s="1"/>
  <c r="W296" i="4"/>
  <c r="Y296" i="4" s="1"/>
  <c r="W483" i="4"/>
  <c r="D483" i="4" s="1"/>
  <c r="Y483" i="4"/>
  <c r="V482" i="4"/>
  <c r="W482" i="4" s="1"/>
  <c r="I294" i="4"/>
  <c r="J294" i="4" s="1"/>
  <c r="F294" i="4"/>
  <c r="G294" i="4" s="1"/>
  <c r="F677" i="4"/>
  <c r="G677" i="4" s="1"/>
  <c r="I677" i="4"/>
  <c r="J677" i="4" s="1"/>
  <c r="AN478" i="4"/>
  <c r="Y471" i="4"/>
  <c r="AN343" i="4"/>
  <c r="AP343" i="4" s="1"/>
  <c r="AQ343" i="4" s="1"/>
  <c r="D644" i="4"/>
  <c r="BA650" i="4"/>
  <c r="BA14" i="4"/>
  <c r="D556" i="4"/>
  <c r="I398" i="4"/>
  <c r="J398" i="4" s="1"/>
  <c r="F398" i="4"/>
  <c r="G398" i="4" s="1"/>
  <c r="I64" i="4"/>
  <c r="J64" i="4" s="1"/>
  <c r="F64" i="4"/>
  <c r="G64" i="4" s="1"/>
  <c r="D234" i="4"/>
  <c r="AN180" i="4"/>
  <c r="AP180" i="4" s="1"/>
  <c r="AQ180" i="4" s="1"/>
  <c r="I198" i="4"/>
  <c r="J198" i="4" s="1"/>
  <c r="F198" i="4"/>
  <c r="G198" i="4" s="1"/>
  <c r="V85" i="4"/>
  <c r="W85" i="4"/>
  <c r="AO55" i="4"/>
  <c r="AS34" i="4"/>
  <c r="AT34" i="4" s="1"/>
  <c r="AN141" i="4"/>
  <c r="AP141" i="4" s="1"/>
  <c r="AQ141" i="4" s="1"/>
  <c r="U242" i="4"/>
  <c r="V148" i="4"/>
  <c r="W148" i="4"/>
  <c r="D148" i="4" s="1"/>
  <c r="AN46" i="4"/>
  <c r="AP46" i="4" s="1"/>
  <c r="AQ46" i="4" s="1"/>
  <c r="AN287" i="4"/>
  <c r="AP287" i="4" s="1"/>
  <c r="AQ287" i="4" s="1"/>
  <c r="I236" i="4"/>
  <c r="J236" i="4" s="1"/>
  <c r="F236" i="4"/>
  <c r="G236" i="4" s="1"/>
  <c r="I268" i="4"/>
  <c r="J268" i="4" s="1"/>
  <c r="F268" i="4"/>
  <c r="G268" i="4" s="1"/>
  <c r="Y233" i="4"/>
  <c r="AN124" i="4"/>
  <c r="D124" i="4"/>
  <c r="I125" i="4"/>
  <c r="J125" i="4" s="1"/>
  <c r="F125" i="4"/>
  <c r="G125" i="4" s="1"/>
  <c r="AS41" i="4"/>
  <c r="AT41" i="4" s="1"/>
  <c r="AP335" i="4"/>
  <c r="AQ335" i="4" s="1"/>
  <c r="AS335" i="4"/>
  <c r="AT335" i="4" s="1"/>
  <c r="F223" i="4"/>
  <c r="G223" i="4" s="1"/>
  <c r="I223" i="4"/>
  <c r="J223" i="4" s="1"/>
  <c r="I453" i="4"/>
  <c r="J453" i="4" s="1"/>
  <c r="F453" i="4"/>
  <c r="G453" i="4" s="1"/>
  <c r="U457" i="4"/>
  <c r="Y30" i="4"/>
  <c r="D637" i="4"/>
  <c r="BG650" i="4"/>
  <c r="BG14" i="4"/>
  <c r="AN636" i="4"/>
  <c r="AP636" i="4" s="1"/>
  <c r="AQ636" i="4" s="1"/>
  <c r="AX650" i="4"/>
  <c r="AX14" i="4"/>
  <c r="U331" i="4"/>
  <c r="F107" i="4"/>
  <c r="G107" i="4" s="1"/>
  <c r="I107" i="4"/>
  <c r="J107" i="4" s="1"/>
  <c r="BN689" i="4"/>
  <c r="Y358" i="4"/>
  <c r="D194" i="4"/>
  <c r="Y501" i="4"/>
  <c r="F432" i="4"/>
  <c r="G432" i="4" s="1"/>
  <c r="I432" i="4"/>
  <c r="J432" i="4" s="1"/>
  <c r="Y675" i="4"/>
  <c r="AZ650" i="4"/>
  <c r="AZ14" i="4"/>
  <c r="F519" i="4"/>
  <c r="G519" i="4" s="1"/>
  <c r="I519" i="4"/>
  <c r="J519" i="4" s="1"/>
  <c r="D439" i="4"/>
  <c r="I404" i="4"/>
  <c r="J404" i="4" s="1"/>
  <c r="F404" i="4"/>
  <c r="G404" i="4" s="1"/>
  <c r="W111" i="4"/>
  <c r="AN111" i="4" s="1"/>
  <c r="Y380" i="4"/>
  <c r="W640" i="4"/>
  <c r="D640" i="4" s="1"/>
  <c r="W496" i="4"/>
  <c r="Y496" i="4" s="1"/>
  <c r="D378" i="4"/>
  <c r="F97" i="4"/>
  <c r="G97" i="4" s="1"/>
  <c r="I97" i="4"/>
  <c r="J97" i="4" s="1"/>
  <c r="D39" i="4"/>
  <c r="AN39" i="4"/>
  <c r="AP39" i="4" s="1"/>
  <c r="AQ39" i="4" s="1"/>
  <c r="Y115" i="4"/>
  <c r="D135" i="4"/>
  <c r="V34" i="4"/>
  <c r="BT137" i="4"/>
  <c r="BP137" i="4"/>
  <c r="BL137" i="4"/>
  <c r="BS137" i="4"/>
  <c r="BO137" i="4"/>
  <c r="BK137" i="4"/>
  <c r="F137" i="4"/>
  <c r="G137" i="4" s="1"/>
  <c r="BR137" i="4"/>
  <c r="BN137" i="4"/>
  <c r="BJ137" i="4"/>
  <c r="I137" i="4"/>
  <c r="J137" i="4" s="1"/>
  <c r="BQ137" i="4"/>
  <c r="BM137" i="4"/>
  <c r="BI137" i="4"/>
  <c r="Y518" i="4"/>
  <c r="Y441" i="4"/>
  <c r="AN262" i="4"/>
  <c r="AP262" i="4" s="1"/>
  <c r="AQ262" i="4" s="1"/>
  <c r="AN236" i="4"/>
  <c r="AP236" i="4" s="1"/>
  <c r="AQ236" i="4" s="1"/>
  <c r="W219" i="4"/>
  <c r="Y303" i="4"/>
  <c r="V217" i="4"/>
  <c r="W217" i="4" s="1"/>
  <c r="D46" i="4"/>
  <c r="AN132" i="4"/>
  <c r="AP132" i="4" s="1"/>
  <c r="AQ132" i="4" s="1"/>
  <c r="I75" i="4"/>
  <c r="J75" i="4" s="1"/>
  <c r="F75" i="4"/>
  <c r="G75" i="4" s="1"/>
  <c r="W388" i="4"/>
  <c r="AN37" i="4"/>
  <c r="AP37" i="4" s="1"/>
  <c r="AQ37" i="4" s="1"/>
  <c r="D442" i="4"/>
  <c r="D323" i="4"/>
  <c r="D200" i="4"/>
  <c r="D27" i="4"/>
  <c r="D389" i="4"/>
  <c r="AN519" i="4"/>
  <c r="AP519" i="4" s="1"/>
  <c r="AQ519" i="4" s="1"/>
  <c r="AN559" i="4"/>
  <c r="AP559" i="4" s="1"/>
  <c r="AQ559" i="4" s="1"/>
  <c r="AN85" i="4"/>
  <c r="AP85" i="4" s="1"/>
  <c r="AQ85" i="4" s="1"/>
  <c r="D72" i="4"/>
  <c r="D306" i="4"/>
  <c r="D132" i="4"/>
  <c r="Y179" i="4"/>
  <c r="BE689" i="4"/>
  <c r="S691" i="4"/>
  <c r="Y355" i="4"/>
  <c r="Y421" i="4"/>
  <c r="Y553" i="4"/>
  <c r="AN539" i="4"/>
  <c r="AP539" i="4" s="1"/>
  <c r="AQ539" i="4" s="1"/>
  <c r="I596" i="4"/>
  <c r="J596" i="4" s="1"/>
  <c r="F596" i="4"/>
  <c r="G596" i="4" s="1"/>
  <c r="W228" i="4"/>
  <c r="AN228" i="4" s="1"/>
  <c r="AP228" i="4" s="1"/>
  <c r="AQ228" i="4" s="1"/>
  <c r="Y37" i="4"/>
  <c r="Y61" i="4"/>
  <c r="AN165" i="4"/>
  <c r="AP165" i="4" s="1"/>
  <c r="AQ165" i="4" s="1"/>
  <c r="D672" i="4"/>
  <c r="I589" i="4"/>
  <c r="J589" i="4" s="1"/>
  <c r="F589" i="4"/>
  <c r="G589" i="4" s="1"/>
  <c r="W346" i="4"/>
  <c r="D346" i="4" s="1"/>
  <c r="Y635" i="4"/>
  <c r="BF650" i="4"/>
  <c r="BF14" i="4"/>
  <c r="U585" i="4"/>
  <c r="V583" i="4"/>
  <c r="V585" i="4" s="1"/>
  <c r="Y495" i="4"/>
  <c r="I339" i="4"/>
  <c r="J339" i="4" s="1"/>
  <c r="F339" i="4"/>
  <c r="G339" i="4" s="1"/>
  <c r="W297" i="4"/>
  <c r="D297" i="4" s="1"/>
  <c r="D188" i="4"/>
  <c r="Y665" i="4"/>
  <c r="AN665" i="4"/>
  <c r="AP665" i="4" s="1"/>
  <c r="AQ665" i="4" s="1"/>
  <c r="AN380" i="4"/>
  <c r="AP380" i="4" s="1"/>
  <c r="AQ380" i="4" s="1"/>
  <c r="W140" i="4"/>
  <c r="AN140" i="4" s="1"/>
  <c r="AP140" i="4" s="1"/>
  <c r="AQ140" i="4" s="1"/>
  <c r="BC650" i="4"/>
  <c r="BC14" i="4"/>
  <c r="W470" i="4"/>
  <c r="Y470" i="4" s="1"/>
  <c r="Y461" i="4"/>
  <c r="T650" i="4"/>
  <c r="T14" i="4"/>
  <c r="F293" i="4"/>
  <c r="G293" i="4" s="1"/>
  <c r="I293" i="4"/>
  <c r="J293" i="4" s="1"/>
  <c r="F212" i="4"/>
  <c r="G212" i="4" s="1"/>
  <c r="I212" i="4"/>
  <c r="J212" i="4" s="1"/>
  <c r="Y217" i="4"/>
  <c r="D408" i="4"/>
  <c r="Y378" i="4"/>
  <c r="I451" i="4"/>
  <c r="J451" i="4" s="1"/>
  <c r="F451" i="4"/>
  <c r="G451" i="4" s="1"/>
  <c r="W400" i="4"/>
  <c r="Y400" i="4" s="1"/>
  <c r="I158" i="4"/>
  <c r="J158" i="4" s="1"/>
  <c r="F158" i="4"/>
  <c r="G158" i="4" s="1"/>
  <c r="W514" i="4"/>
  <c r="D514" i="4" s="1"/>
  <c r="W370" i="4"/>
  <c r="W374" i="4" s="1"/>
  <c r="F106" i="4"/>
  <c r="G106" i="4" s="1"/>
  <c r="I106" i="4"/>
  <c r="J106" i="4" s="1"/>
  <c r="AN641" i="4"/>
  <c r="AP641" i="4" s="1"/>
  <c r="AQ641" i="4" s="1"/>
  <c r="I484" i="4"/>
  <c r="J484" i="4" s="1"/>
  <c r="F484" i="4"/>
  <c r="G484" i="4" s="1"/>
  <c r="Y379" i="4"/>
  <c r="D678" i="4"/>
  <c r="AY650" i="4"/>
  <c r="AY14" i="4"/>
  <c r="F392" i="4"/>
  <c r="G392" i="4" s="1"/>
  <c r="I392" i="4"/>
  <c r="J392" i="4" s="1"/>
  <c r="F343" i="4"/>
  <c r="G343" i="4" s="1"/>
  <c r="I343" i="4"/>
  <c r="J343" i="4" s="1"/>
  <c r="V301" i="4"/>
  <c r="W301" i="4" s="1"/>
  <c r="D301" i="4" s="1"/>
  <c r="W138" i="4"/>
  <c r="AN138" i="4" s="1"/>
  <c r="AP138" i="4" s="1"/>
  <c r="AQ138" i="4" s="1"/>
  <c r="W139" i="4"/>
  <c r="Y139" i="4" s="1"/>
  <c r="V65" i="4"/>
  <c r="I84" i="4"/>
  <c r="J84" i="4" s="1"/>
  <c r="F84" i="4"/>
  <c r="G84" i="4" s="1"/>
  <c r="I216" i="4"/>
  <c r="J216" i="4" s="1"/>
  <c r="F216" i="4"/>
  <c r="G216" i="4" s="1"/>
  <c r="V117" i="4"/>
  <c r="W117" i="4" s="1"/>
  <c r="AN117" i="4" s="1"/>
  <c r="AP117" i="4" s="1"/>
  <c r="AQ117" i="4" s="1"/>
  <c r="BJ689" i="4"/>
  <c r="I518" i="4"/>
  <c r="J518" i="4" s="1"/>
  <c r="F518" i="4"/>
  <c r="G518" i="4" s="1"/>
  <c r="I469" i="4"/>
  <c r="J469" i="4" s="1"/>
  <c r="F469" i="4"/>
  <c r="G469" i="4" s="1"/>
  <c r="AN346" i="4"/>
  <c r="AP346" i="4" s="1"/>
  <c r="AQ346" i="4" s="1"/>
  <c r="V130" i="4"/>
  <c r="AN34" i="4"/>
  <c r="AP24" i="4"/>
  <c r="AQ24" i="4" s="1"/>
  <c r="U143" i="4"/>
  <c r="D179" i="4"/>
  <c r="I642" i="4"/>
  <c r="J642" i="4" s="1"/>
  <c r="F642" i="4"/>
  <c r="G642" i="4" s="1"/>
  <c r="D379" i="4"/>
  <c r="F352" i="4"/>
  <c r="G352" i="4" s="1"/>
  <c r="I352" i="4"/>
  <c r="J352" i="4" s="1"/>
  <c r="Y593" i="4"/>
  <c r="AN593" i="4"/>
  <c r="AP593" i="4" s="1"/>
  <c r="AQ593" i="4" s="1"/>
  <c r="F66" i="4"/>
  <c r="G66" i="4" s="1"/>
  <c r="I66" i="4"/>
  <c r="J66" i="4" s="1"/>
  <c r="AN664" i="4"/>
  <c r="AP664" i="4" s="1"/>
  <c r="AQ664" i="4" s="1"/>
  <c r="U527" i="4"/>
  <c r="U382" i="4"/>
  <c r="Y382" i="4" s="1"/>
  <c r="T331" i="4"/>
  <c r="T566" i="4" s="1"/>
  <c r="Y398" i="4"/>
  <c r="AN427" i="4"/>
  <c r="D427" i="4"/>
  <c r="I661" i="4"/>
  <c r="J661" i="4" s="1"/>
  <c r="F661" i="4"/>
  <c r="G661" i="4" s="1"/>
  <c r="BB650" i="4"/>
  <c r="BB14" i="4"/>
  <c r="I510" i="4"/>
  <c r="J510" i="4" s="1"/>
  <c r="F510" i="4"/>
  <c r="G510" i="4" s="1"/>
  <c r="I409" i="4"/>
  <c r="J409" i="4" s="1"/>
  <c r="F409" i="4"/>
  <c r="G409" i="4" s="1"/>
  <c r="I372" i="4"/>
  <c r="J372" i="4" s="1"/>
  <c r="F372" i="4"/>
  <c r="G372" i="4" s="1"/>
  <c r="F165" i="4"/>
  <c r="G165" i="4" s="1"/>
  <c r="I165" i="4"/>
  <c r="J165" i="4" s="1"/>
  <c r="I595" i="4"/>
  <c r="J595" i="4" s="1"/>
  <c r="F595" i="4"/>
  <c r="G595" i="4" s="1"/>
  <c r="W522" i="4"/>
  <c r="D522" i="4" s="1"/>
  <c r="Y443" i="4"/>
  <c r="AN443" i="4"/>
  <c r="Y663" i="4"/>
  <c r="I559" i="4"/>
  <c r="J559" i="4" s="1"/>
  <c r="F559" i="4"/>
  <c r="G559" i="4" s="1"/>
  <c r="I438" i="4"/>
  <c r="J438" i="4" s="1"/>
  <c r="F438" i="4"/>
  <c r="G438" i="4" s="1"/>
  <c r="F157" i="4"/>
  <c r="G157" i="4" s="1"/>
  <c r="I157" i="4"/>
  <c r="J157" i="4" s="1"/>
  <c r="W48" i="4"/>
  <c r="Y48" i="4" s="1"/>
  <c r="U668" i="4"/>
  <c r="V660" i="4"/>
  <c r="T683" i="4"/>
  <c r="T15" i="4"/>
  <c r="D663" i="4"/>
  <c r="BP650" i="4"/>
  <c r="BP14" i="4"/>
  <c r="AN553" i="4"/>
  <c r="AP553" i="4" s="1"/>
  <c r="AQ553" i="4" s="1"/>
  <c r="AN483" i="4"/>
  <c r="AN390" i="4"/>
  <c r="Y390" i="4"/>
  <c r="F193" i="4"/>
  <c r="G193" i="4" s="1"/>
  <c r="I193" i="4"/>
  <c r="J193" i="4" s="1"/>
  <c r="Y85" i="4"/>
  <c r="I103" i="4"/>
  <c r="J103" i="4" s="1"/>
  <c r="F103" i="4"/>
  <c r="G103" i="4" s="1"/>
  <c r="Y539" i="4"/>
  <c r="W314" i="4"/>
  <c r="AN314" i="4" s="1"/>
  <c r="I277" i="4"/>
  <c r="J277" i="4" s="1"/>
  <c r="F277" i="4"/>
  <c r="G277" i="4" s="1"/>
  <c r="I211" i="4"/>
  <c r="J211" i="4" s="1"/>
  <c r="F211" i="4"/>
  <c r="G211" i="4" s="1"/>
  <c r="D180" i="4"/>
  <c r="AN38" i="4"/>
  <c r="AP38" i="4" s="1"/>
  <c r="AQ38" i="4" s="1"/>
  <c r="Y38" i="4"/>
  <c r="F49" i="4"/>
  <c r="G49" i="4" s="1"/>
  <c r="I49" i="4"/>
  <c r="J49" i="4" s="1"/>
  <c r="Y43" i="4"/>
  <c r="AN452" i="4"/>
  <c r="AP452" i="4" s="1"/>
  <c r="AQ452" i="4" s="1"/>
  <c r="W136" i="4"/>
  <c r="Y136" i="4" s="1"/>
  <c r="Y46" i="4"/>
  <c r="AN61" i="4"/>
  <c r="W497" i="4"/>
  <c r="D497" i="4" s="1"/>
  <c r="D665" i="4"/>
  <c r="AN379" i="4"/>
  <c r="AP379" i="4" s="1"/>
  <c r="AQ379" i="4" s="1"/>
  <c r="W498" i="4"/>
  <c r="AN498" i="4" s="1"/>
  <c r="AP498" i="4" s="1"/>
  <c r="AQ498" i="4" s="1"/>
  <c r="I322" i="4"/>
  <c r="J322" i="4" s="1"/>
  <c r="F322" i="4"/>
  <c r="G322" i="4" s="1"/>
  <c r="F159" i="4"/>
  <c r="G159" i="4" s="1"/>
  <c r="I159" i="4"/>
  <c r="J159" i="4" s="1"/>
  <c r="Y594" i="4"/>
  <c r="W191" i="4"/>
  <c r="D191" i="4" s="1"/>
  <c r="BB689" i="4"/>
  <c r="D675" i="4"/>
  <c r="W161" i="4"/>
  <c r="AN161" i="4" s="1"/>
  <c r="D26" i="4"/>
  <c r="F511" i="4"/>
  <c r="G511" i="4" s="1"/>
  <c r="I511" i="4"/>
  <c r="J511" i="4" s="1"/>
  <c r="BA689" i="4"/>
  <c r="Y427" i="4"/>
  <c r="V270" i="4"/>
  <c r="AZ689" i="4"/>
  <c r="D287" i="4"/>
  <c r="AN43" i="4"/>
  <c r="Y109" i="4"/>
  <c r="AY689" i="4"/>
  <c r="AO639" i="1"/>
  <c r="F387" i="4" l="1"/>
  <c r="G387" i="4" s="1"/>
  <c r="I387" i="4"/>
  <c r="J387" i="4" s="1"/>
  <c r="I430" i="4"/>
  <c r="J430" i="4" s="1"/>
  <c r="F430" i="4"/>
  <c r="G430" i="4" s="1"/>
  <c r="AN99" i="4"/>
  <c r="AP99" i="4" s="1"/>
  <c r="AQ99" i="4" s="1"/>
  <c r="D99" i="4"/>
  <c r="Y99" i="4"/>
  <c r="AN48" i="4"/>
  <c r="AP48" i="4" s="1"/>
  <c r="AQ48" i="4" s="1"/>
  <c r="D370" i="4"/>
  <c r="D140" i="4"/>
  <c r="Y556" i="4"/>
  <c r="W564" i="4"/>
  <c r="I239" i="4"/>
  <c r="J239" i="4" s="1"/>
  <c r="I555" i="4"/>
  <c r="J555" i="4" s="1"/>
  <c r="F555" i="4"/>
  <c r="G555" i="4" s="1"/>
  <c r="I426" i="4"/>
  <c r="J426" i="4" s="1"/>
  <c r="F426" i="4"/>
  <c r="G426" i="4" s="1"/>
  <c r="Y430" i="4"/>
  <c r="F354" i="4"/>
  <c r="G354" i="4" s="1"/>
  <c r="I354" i="4"/>
  <c r="J354" i="4" s="1"/>
  <c r="AN329" i="4"/>
  <c r="AP329" i="4" s="1"/>
  <c r="AQ329" i="4" s="1"/>
  <c r="Y426" i="4"/>
  <c r="Y387" i="4"/>
  <c r="AN430" i="4"/>
  <c r="BE531" i="4"/>
  <c r="AX531" i="4"/>
  <c r="BG531" i="4"/>
  <c r="F506" i="4"/>
  <c r="G506" i="4" s="1"/>
  <c r="I506" i="4"/>
  <c r="J506" i="4" s="1"/>
  <c r="I679" i="4"/>
  <c r="J679" i="4" s="1"/>
  <c r="F679" i="4"/>
  <c r="G679" i="4" s="1"/>
  <c r="BB531" i="4"/>
  <c r="D136" i="4"/>
  <c r="Y370" i="4"/>
  <c r="V143" i="4"/>
  <c r="AN261" i="4"/>
  <c r="AN297" i="4"/>
  <c r="AP297" i="4" s="1"/>
  <c r="AQ297" i="4" s="1"/>
  <c r="Y346" i="4"/>
  <c r="W226" i="4"/>
  <c r="Y226" i="4" s="1"/>
  <c r="Y313" i="4"/>
  <c r="I471" i="4"/>
  <c r="J471" i="4" s="1"/>
  <c r="Y238" i="4"/>
  <c r="Y514" i="4"/>
  <c r="I429" i="4"/>
  <c r="J429" i="4" s="1"/>
  <c r="F429" i="4"/>
  <c r="G429" i="4" s="1"/>
  <c r="F302" i="4"/>
  <c r="G302" i="4" s="1"/>
  <c r="I302" i="4"/>
  <c r="J302" i="4" s="1"/>
  <c r="I304" i="4"/>
  <c r="J304" i="4" s="1"/>
  <c r="F304" i="4"/>
  <c r="G304" i="4" s="1"/>
  <c r="D507" i="4"/>
  <c r="Y507" i="4"/>
  <c r="F499" i="4"/>
  <c r="G499" i="4" s="1"/>
  <c r="I499" i="4"/>
  <c r="J499" i="4" s="1"/>
  <c r="I351" i="4"/>
  <c r="J351" i="4" s="1"/>
  <c r="F351" i="4"/>
  <c r="G351" i="4" s="1"/>
  <c r="F428" i="4"/>
  <c r="G428" i="4" s="1"/>
  <c r="I428" i="4"/>
  <c r="J428" i="4" s="1"/>
  <c r="D494" i="4"/>
  <c r="AN494" i="4"/>
  <c r="AP494" i="4" s="1"/>
  <c r="AQ494" i="4" s="1"/>
  <c r="AN426" i="4"/>
  <c r="D299" i="4"/>
  <c r="AN387" i="4"/>
  <c r="BD531" i="4"/>
  <c r="BC531" i="4"/>
  <c r="AW531" i="4"/>
  <c r="F420" i="4"/>
  <c r="G420" i="4" s="1"/>
  <c r="I420" i="4"/>
  <c r="J420" i="4" s="1"/>
  <c r="AN301" i="4"/>
  <c r="AN400" i="4"/>
  <c r="I531" i="4"/>
  <c r="J531" i="4" s="1"/>
  <c r="F531" i="4"/>
  <c r="G531" i="4" s="1"/>
  <c r="I535" i="4"/>
  <c r="J535" i="4" s="1"/>
  <c r="F535" i="4"/>
  <c r="G535" i="4" s="1"/>
  <c r="F329" i="4"/>
  <c r="G329" i="4" s="1"/>
  <c r="I329" i="4"/>
  <c r="J329" i="4" s="1"/>
  <c r="AZ531" i="4"/>
  <c r="BF531" i="4"/>
  <c r="W606" i="4"/>
  <c r="Y606" i="4" s="1"/>
  <c r="W130" i="4"/>
  <c r="D117" i="4"/>
  <c r="Y297" i="4"/>
  <c r="V55" i="4"/>
  <c r="D85" i="4"/>
  <c r="AN299" i="4"/>
  <c r="AN136" i="4"/>
  <c r="D261" i="4"/>
  <c r="AN358" i="4"/>
  <c r="AP358" i="4" s="1"/>
  <c r="AQ358" i="4" s="1"/>
  <c r="Y79" i="4"/>
  <c r="Y261" i="4"/>
  <c r="Y299" i="4"/>
  <c r="D273" i="4"/>
  <c r="I515" i="4"/>
  <c r="J515" i="4" s="1"/>
  <c r="F515" i="4"/>
  <c r="G515" i="4" s="1"/>
  <c r="I405" i="4"/>
  <c r="J405" i="4" s="1"/>
  <c r="F405" i="4"/>
  <c r="G405" i="4" s="1"/>
  <c r="I337" i="4"/>
  <c r="J337" i="4" s="1"/>
  <c r="F337" i="4"/>
  <c r="G337" i="4" s="1"/>
  <c r="I305" i="4"/>
  <c r="J305" i="4" s="1"/>
  <c r="F305" i="4"/>
  <c r="G305" i="4" s="1"/>
  <c r="I98" i="4"/>
  <c r="J98" i="4" s="1"/>
  <c r="F98" i="4"/>
  <c r="G98" i="4" s="1"/>
  <c r="AY531" i="4"/>
  <c r="BA531" i="4"/>
  <c r="AO531" i="4"/>
  <c r="AV531" i="4"/>
  <c r="AR531" i="4"/>
  <c r="G30" i="7"/>
  <c r="T690" i="4"/>
  <c r="T568" i="4"/>
  <c r="T616" i="4" s="1"/>
  <c r="T12" i="4"/>
  <c r="T11" i="4" s="1"/>
  <c r="I641" i="4"/>
  <c r="J641" i="4" s="1"/>
  <c r="F641" i="4"/>
  <c r="G641" i="4" s="1"/>
  <c r="Y63" i="4"/>
  <c r="AN63" i="4"/>
  <c r="I85" i="4"/>
  <c r="J85" i="4" s="1"/>
  <c r="F85" i="4"/>
  <c r="G85" i="4" s="1"/>
  <c r="D482" i="4"/>
  <c r="W527" i="4"/>
  <c r="Y482" i="4"/>
  <c r="I539" i="4"/>
  <c r="J539" i="4" s="1"/>
  <c r="F539" i="4"/>
  <c r="G539" i="4" s="1"/>
  <c r="I452" i="4"/>
  <c r="J452" i="4" s="1"/>
  <c r="F452" i="4"/>
  <c r="G452" i="4" s="1"/>
  <c r="AN240" i="4"/>
  <c r="AP240" i="4" s="1"/>
  <c r="AQ240" i="4" s="1"/>
  <c r="Y240" i="4"/>
  <c r="D240" i="4"/>
  <c r="I522" i="4"/>
  <c r="J522" i="4" s="1"/>
  <c r="F522" i="4"/>
  <c r="G522" i="4" s="1"/>
  <c r="F297" i="4"/>
  <c r="G297" i="4" s="1"/>
  <c r="I297" i="4"/>
  <c r="J297" i="4" s="1"/>
  <c r="I148" i="4"/>
  <c r="J148" i="4" s="1"/>
  <c r="F148" i="4"/>
  <c r="G148" i="4" s="1"/>
  <c r="F238" i="4"/>
  <c r="G238" i="4" s="1"/>
  <c r="I238" i="4"/>
  <c r="J238" i="4" s="1"/>
  <c r="F191" i="4"/>
  <c r="G191" i="4" s="1"/>
  <c r="I191" i="4"/>
  <c r="J191" i="4" s="1"/>
  <c r="I301" i="4"/>
  <c r="J301" i="4" s="1"/>
  <c r="F301" i="4"/>
  <c r="G301" i="4" s="1"/>
  <c r="I514" i="4"/>
  <c r="J514" i="4" s="1"/>
  <c r="F514" i="4"/>
  <c r="G514" i="4" s="1"/>
  <c r="F346" i="4"/>
  <c r="G346" i="4" s="1"/>
  <c r="I346" i="4"/>
  <c r="J346" i="4" s="1"/>
  <c r="F483" i="4"/>
  <c r="G483" i="4" s="1"/>
  <c r="I483" i="4"/>
  <c r="J483" i="4" s="1"/>
  <c r="AN325" i="4"/>
  <c r="AP325" i="4" s="1"/>
  <c r="AQ325" i="4" s="1"/>
  <c r="Y325" i="4"/>
  <c r="F358" i="4"/>
  <c r="G358" i="4" s="1"/>
  <c r="I358" i="4"/>
  <c r="J358" i="4" s="1"/>
  <c r="I665" i="4"/>
  <c r="J665" i="4" s="1"/>
  <c r="F665" i="4"/>
  <c r="G665" i="4" s="1"/>
  <c r="F140" i="4"/>
  <c r="G140" i="4" s="1"/>
  <c r="I140" i="4"/>
  <c r="J140" i="4" s="1"/>
  <c r="V608" i="4"/>
  <c r="V13" i="4"/>
  <c r="F306" i="4"/>
  <c r="G306" i="4" s="1"/>
  <c r="I306" i="4"/>
  <c r="J306" i="4" s="1"/>
  <c r="Y388" i="4"/>
  <c r="AN388" i="4"/>
  <c r="BD137" i="4"/>
  <c r="BF137" i="4"/>
  <c r="F640" i="4"/>
  <c r="G640" i="4" s="1"/>
  <c r="I640" i="4"/>
  <c r="J640" i="4" s="1"/>
  <c r="I637" i="4"/>
  <c r="J637" i="4" s="1"/>
  <c r="F637" i="4"/>
  <c r="G637" i="4" s="1"/>
  <c r="I287" i="4"/>
  <c r="J287" i="4" s="1"/>
  <c r="F287" i="4"/>
  <c r="G287" i="4" s="1"/>
  <c r="AN514" i="4"/>
  <c r="AP514" i="4" s="1"/>
  <c r="AQ514" i="4" s="1"/>
  <c r="Y314" i="4"/>
  <c r="F427" i="4"/>
  <c r="G427" i="4" s="1"/>
  <c r="I427" i="4"/>
  <c r="J427" i="4" s="1"/>
  <c r="AN139" i="4"/>
  <c r="AP139" i="4" s="1"/>
  <c r="AQ139" i="4" s="1"/>
  <c r="I408" i="4"/>
  <c r="J408" i="4" s="1"/>
  <c r="F408" i="4"/>
  <c r="G408" i="4" s="1"/>
  <c r="Y140" i="4"/>
  <c r="U608" i="4"/>
  <c r="U13" i="4"/>
  <c r="I132" i="4"/>
  <c r="J132" i="4" s="1"/>
  <c r="F132" i="4"/>
  <c r="G132" i="4" s="1"/>
  <c r="I200" i="4"/>
  <c r="J200" i="4" s="1"/>
  <c r="F200" i="4"/>
  <c r="G200" i="4" s="1"/>
  <c r="AZ137" i="4"/>
  <c r="BA137" i="4"/>
  <c r="BB137" i="4"/>
  <c r="BG137" i="4"/>
  <c r="Y640" i="4"/>
  <c r="D111" i="4"/>
  <c r="F439" i="4"/>
  <c r="G439" i="4" s="1"/>
  <c r="I439" i="4"/>
  <c r="J439" i="4" s="1"/>
  <c r="V242" i="4"/>
  <c r="D400" i="4"/>
  <c r="U14" i="4"/>
  <c r="U650" i="4"/>
  <c r="AN155" i="4"/>
  <c r="D496" i="4"/>
  <c r="D527" i="4" s="1"/>
  <c r="F313" i="4"/>
  <c r="G313" i="4" s="1"/>
  <c r="I313" i="4"/>
  <c r="J313" i="4" s="1"/>
  <c r="I43" i="4"/>
  <c r="J43" i="4" s="1"/>
  <c r="F43" i="4"/>
  <c r="G43" i="4" s="1"/>
  <c r="I560" i="4"/>
  <c r="J560" i="4" s="1"/>
  <c r="F560" i="4"/>
  <c r="G560" i="4" s="1"/>
  <c r="AP672" i="4"/>
  <c r="AQ672" i="4" s="1"/>
  <c r="V681" i="4"/>
  <c r="I128" i="4"/>
  <c r="J128" i="4" s="1"/>
  <c r="F128" i="4"/>
  <c r="G128" i="4" s="1"/>
  <c r="F664" i="4"/>
  <c r="G664" i="4" s="1"/>
  <c r="I664" i="4"/>
  <c r="J664" i="4" s="1"/>
  <c r="AW115" i="4"/>
  <c r="AX115" i="4"/>
  <c r="BC115" i="4"/>
  <c r="D380" i="4"/>
  <c r="AN148" i="4"/>
  <c r="F338" i="4"/>
  <c r="G338" i="4" s="1"/>
  <c r="I338" i="4"/>
  <c r="J338" i="4" s="1"/>
  <c r="I176" i="4"/>
  <c r="J176" i="4" s="1"/>
  <c r="F176" i="4"/>
  <c r="G176" i="4" s="1"/>
  <c r="V120" i="4"/>
  <c r="W113" i="4"/>
  <c r="Y117" i="4"/>
  <c r="I47" i="4"/>
  <c r="J47" i="4" s="1"/>
  <c r="F47" i="4"/>
  <c r="G47" i="4" s="1"/>
  <c r="V90" i="4"/>
  <c r="W394" i="4"/>
  <c r="AN394" i="4" s="1"/>
  <c r="Y394" i="4"/>
  <c r="D394" i="4"/>
  <c r="F443" i="4"/>
  <c r="G443" i="4" s="1"/>
  <c r="I443" i="4"/>
  <c r="J443" i="4" s="1"/>
  <c r="AN497" i="4"/>
  <c r="AP497" i="4" s="1"/>
  <c r="AQ497" i="4" s="1"/>
  <c r="D53" i="4"/>
  <c r="I52" i="4"/>
  <c r="J52" i="4" s="1"/>
  <c r="F52" i="4"/>
  <c r="G52" i="4" s="1"/>
  <c r="F320" i="4"/>
  <c r="G320" i="4" s="1"/>
  <c r="I320" i="4"/>
  <c r="J320" i="4" s="1"/>
  <c r="W431" i="4"/>
  <c r="D431" i="4" s="1"/>
  <c r="D470" i="4"/>
  <c r="D473" i="4" s="1"/>
  <c r="I326" i="4"/>
  <c r="J326" i="4" s="1"/>
  <c r="F326" i="4"/>
  <c r="G326" i="4" s="1"/>
  <c r="AS14" i="4"/>
  <c r="AT14" i="4" s="1"/>
  <c r="AN217" i="4"/>
  <c r="AO706" i="4"/>
  <c r="AS683" i="4"/>
  <c r="AT683" i="4" s="1"/>
  <c r="F467" i="4"/>
  <c r="G467" i="4" s="1"/>
  <c r="I467" i="4"/>
  <c r="J467" i="4" s="1"/>
  <c r="Y138" i="4"/>
  <c r="Y395" i="4"/>
  <c r="Y673" i="4"/>
  <c r="Y148" i="4"/>
  <c r="AN79" i="4"/>
  <c r="D591" i="4"/>
  <c r="AN591" i="4"/>
  <c r="D636" i="4"/>
  <c r="AP34" i="4"/>
  <c r="AQ34" i="4" s="1"/>
  <c r="F234" i="4"/>
  <c r="G234" i="4" s="1"/>
  <c r="I234" i="4"/>
  <c r="J234" i="4" s="1"/>
  <c r="F644" i="4"/>
  <c r="G644" i="4" s="1"/>
  <c r="I644" i="4"/>
  <c r="J644" i="4" s="1"/>
  <c r="D217" i="4"/>
  <c r="I630" i="4"/>
  <c r="F630" i="4"/>
  <c r="G630" i="4" s="1"/>
  <c r="AN470" i="4"/>
  <c r="AP470" i="4" s="1"/>
  <c r="AQ470" i="4" s="1"/>
  <c r="W473" i="4"/>
  <c r="Y473" i="4" s="1"/>
  <c r="D138" i="4"/>
  <c r="D388" i="4"/>
  <c r="U566" i="4"/>
  <c r="Y80" i="4"/>
  <c r="D80" i="4"/>
  <c r="F303" i="4"/>
  <c r="G303" i="4" s="1"/>
  <c r="I303" i="4"/>
  <c r="J303" i="4" s="1"/>
  <c r="I594" i="4"/>
  <c r="J594" i="4" s="1"/>
  <c r="F594" i="4"/>
  <c r="G594" i="4" s="1"/>
  <c r="Y155" i="4"/>
  <c r="F201" i="4"/>
  <c r="G201" i="4" s="1"/>
  <c r="I201" i="4"/>
  <c r="J201" i="4" s="1"/>
  <c r="I366" i="4"/>
  <c r="J366" i="4" s="1"/>
  <c r="F366" i="4"/>
  <c r="G366" i="4" s="1"/>
  <c r="F635" i="4"/>
  <c r="G635" i="4" s="1"/>
  <c r="I635" i="4"/>
  <c r="J635" i="4" s="1"/>
  <c r="F536" i="4"/>
  <c r="G536" i="4" s="1"/>
  <c r="I536" i="4"/>
  <c r="J536" i="4" s="1"/>
  <c r="AO115" i="4"/>
  <c r="AR115" i="4"/>
  <c r="AV115" i="4"/>
  <c r="AV120" i="4" s="1"/>
  <c r="BI120" i="4"/>
  <c r="BA115" i="4"/>
  <c r="BB115" i="4"/>
  <c r="BG115" i="4"/>
  <c r="BS357" i="4"/>
  <c r="BO357" i="4"/>
  <c r="BK357" i="4"/>
  <c r="BR357" i="4"/>
  <c r="BN357" i="4"/>
  <c r="BJ357" i="4"/>
  <c r="F356" i="4"/>
  <c r="G356" i="4" s="1"/>
  <c r="BQ357" i="4"/>
  <c r="BM357" i="4"/>
  <c r="BI357" i="4"/>
  <c r="BT357" i="4"/>
  <c r="BP357" i="4"/>
  <c r="BL357" i="4"/>
  <c r="I356" i="4"/>
  <c r="J356" i="4" s="1"/>
  <c r="V374" i="4"/>
  <c r="Y374" i="4" s="1"/>
  <c r="AN370" i="4"/>
  <c r="F495" i="4"/>
  <c r="G495" i="4" s="1"/>
  <c r="I495" i="4"/>
  <c r="J495" i="4" s="1"/>
  <c r="I196" i="4"/>
  <c r="J196" i="4" s="1"/>
  <c r="F196" i="4"/>
  <c r="G196" i="4" s="1"/>
  <c r="I79" i="4"/>
  <c r="J79" i="4" s="1"/>
  <c r="F79" i="4"/>
  <c r="G79" i="4" s="1"/>
  <c r="Y228" i="4"/>
  <c r="W660" i="4"/>
  <c r="AN660" i="4" s="1"/>
  <c r="F512" i="4"/>
  <c r="G512" i="4" s="1"/>
  <c r="I512" i="4"/>
  <c r="J512" i="4" s="1"/>
  <c r="W360" i="4"/>
  <c r="Y360" i="4" s="1"/>
  <c r="Y497" i="4"/>
  <c r="I312" i="4"/>
  <c r="J312" i="4" s="1"/>
  <c r="F312" i="4"/>
  <c r="G312" i="4" s="1"/>
  <c r="AP461" i="4"/>
  <c r="AQ461" i="4" s="1"/>
  <c r="D63" i="4"/>
  <c r="Y135" i="4"/>
  <c r="V300" i="4"/>
  <c r="D360" i="4"/>
  <c r="AS15" i="4"/>
  <c r="AT15" i="4" s="1"/>
  <c r="Y301" i="4"/>
  <c r="U689" i="4"/>
  <c r="AN191" i="4"/>
  <c r="AP191" i="4" s="1"/>
  <c r="AQ191" i="4" s="1"/>
  <c r="I597" i="4"/>
  <c r="J597" i="4" s="1"/>
  <c r="F597" i="4"/>
  <c r="G597" i="4" s="1"/>
  <c r="Y44" i="4"/>
  <c r="F126" i="4"/>
  <c r="G126" i="4" s="1"/>
  <c r="I126" i="4"/>
  <c r="J126" i="4" s="1"/>
  <c r="Y312" i="4"/>
  <c r="I117" i="4"/>
  <c r="J117" i="4" s="1"/>
  <c r="F117" i="4"/>
  <c r="G117" i="4" s="1"/>
  <c r="I678" i="4"/>
  <c r="J678" i="4" s="1"/>
  <c r="F678" i="4"/>
  <c r="G678" i="4" s="1"/>
  <c r="Y191" i="4"/>
  <c r="I188" i="4"/>
  <c r="J188" i="4" s="1"/>
  <c r="F188" i="4"/>
  <c r="G188" i="4" s="1"/>
  <c r="F672" i="4"/>
  <c r="G672" i="4" s="1"/>
  <c r="I672" i="4"/>
  <c r="J672" i="4" s="1"/>
  <c r="D161" i="4"/>
  <c r="I323" i="4"/>
  <c r="J323" i="4" s="1"/>
  <c r="F323" i="4"/>
  <c r="G323" i="4" s="1"/>
  <c r="F46" i="4"/>
  <c r="G46" i="4" s="1"/>
  <c r="I46" i="4"/>
  <c r="J46" i="4" s="1"/>
  <c r="BE137" i="4"/>
  <c r="W120" i="4"/>
  <c r="W270" i="4"/>
  <c r="Y270" i="4"/>
  <c r="V331" i="4"/>
  <c r="I136" i="4"/>
  <c r="J136" i="4" s="1"/>
  <c r="F136" i="4"/>
  <c r="G136" i="4" s="1"/>
  <c r="I497" i="4"/>
  <c r="J497" i="4" s="1"/>
  <c r="F497" i="4"/>
  <c r="G497" i="4" s="1"/>
  <c r="F663" i="4"/>
  <c r="G663" i="4" s="1"/>
  <c r="I663" i="4"/>
  <c r="J663" i="4" s="1"/>
  <c r="V668" i="4"/>
  <c r="D48" i="4"/>
  <c r="AN130" i="4"/>
  <c r="W65" i="4"/>
  <c r="W90" i="4" s="1"/>
  <c r="AP261" i="4"/>
  <c r="AQ261" i="4" s="1"/>
  <c r="AN264" i="4"/>
  <c r="AP264" i="4" s="1"/>
  <c r="AQ264" i="4" s="1"/>
  <c r="I72" i="4"/>
  <c r="J72" i="4" s="1"/>
  <c r="F72" i="4"/>
  <c r="G72" i="4" s="1"/>
  <c r="F389" i="4"/>
  <c r="G389" i="4" s="1"/>
  <c r="I389" i="4"/>
  <c r="J389" i="4" s="1"/>
  <c r="Y219" i="4"/>
  <c r="D219" i="4"/>
  <c r="AY137" i="4"/>
  <c r="I39" i="4"/>
  <c r="J39" i="4" s="1"/>
  <c r="F39" i="4"/>
  <c r="G39" i="4" s="1"/>
  <c r="D382" i="4"/>
  <c r="F378" i="4"/>
  <c r="G378" i="4" s="1"/>
  <c r="I378" i="4"/>
  <c r="J378" i="4" s="1"/>
  <c r="I194" i="4"/>
  <c r="J194" i="4" s="1"/>
  <c r="F194" i="4"/>
  <c r="G194" i="4" s="1"/>
  <c r="F124" i="4"/>
  <c r="G124" i="4" s="1"/>
  <c r="I124" i="4"/>
  <c r="J124" i="4" s="1"/>
  <c r="AN729" i="4"/>
  <c r="AS55" i="4"/>
  <c r="AT55" i="4" s="1"/>
  <c r="F556" i="4"/>
  <c r="G556" i="4" s="1"/>
  <c r="I556" i="4"/>
  <c r="J556" i="4" s="1"/>
  <c r="I489" i="4"/>
  <c r="J489" i="4" s="1"/>
  <c r="F489" i="4"/>
  <c r="G489" i="4" s="1"/>
  <c r="I501" i="4"/>
  <c r="J501" i="4" s="1"/>
  <c r="F501" i="4"/>
  <c r="G501" i="4" s="1"/>
  <c r="Y169" i="4"/>
  <c r="AN72" i="4"/>
  <c r="Y72" i="4"/>
  <c r="Y34" i="4"/>
  <c r="D155" i="4"/>
  <c r="I261" i="4"/>
  <c r="J261" i="4" s="1"/>
  <c r="F261" i="4"/>
  <c r="G261" i="4" s="1"/>
  <c r="D264" i="4"/>
  <c r="AN496" i="4"/>
  <c r="AP496" i="4" s="1"/>
  <c r="AQ496" i="4" s="1"/>
  <c r="F486" i="4"/>
  <c r="G486" i="4" s="1"/>
  <c r="I486" i="4"/>
  <c r="J486" i="4" s="1"/>
  <c r="D673" i="4"/>
  <c r="T691" i="4"/>
  <c r="F69" i="4"/>
  <c r="G69" i="4" s="1"/>
  <c r="I69" i="4"/>
  <c r="J69" i="4" s="1"/>
  <c r="AZ115" i="4"/>
  <c r="BE115" i="4"/>
  <c r="BF115" i="4"/>
  <c r="I485" i="4"/>
  <c r="J485" i="4" s="1"/>
  <c r="F485" i="4"/>
  <c r="G485" i="4" s="1"/>
  <c r="AN296" i="4"/>
  <c r="AP296" i="4" s="1"/>
  <c r="AQ296" i="4" s="1"/>
  <c r="D296" i="4"/>
  <c r="AN431" i="4"/>
  <c r="AP431" i="4" s="1"/>
  <c r="AQ431" i="4" s="1"/>
  <c r="D41" i="4"/>
  <c r="D325" i="4"/>
  <c r="Y512" i="4"/>
  <c r="AN512" i="4"/>
  <c r="AP512" i="4" s="1"/>
  <c r="AQ512" i="4" s="1"/>
  <c r="F292" i="4"/>
  <c r="G292" i="4" s="1"/>
  <c r="I292" i="4"/>
  <c r="J292" i="4" s="1"/>
  <c r="AN482" i="4"/>
  <c r="D44" i="4"/>
  <c r="Y431" i="4"/>
  <c r="F262" i="4"/>
  <c r="G262" i="4" s="1"/>
  <c r="I262" i="4"/>
  <c r="J262" i="4" s="1"/>
  <c r="I141" i="4"/>
  <c r="J141" i="4" s="1"/>
  <c r="F141" i="4"/>
  <c r="G141" i="4" s="1"/>
  <c r="W583" i="4"/>
  <c r="Y320" i="4"/>
  <c r="D395" i="4"/>
  <c r="W674" i="4"/>
  <c r="Y164" i="4"/>
  <c r="AN501" i="4"/>
  <c r="AP501" i="4" s="1"/>
  <c r="AQ501" i="4" s="1"/>
  <c r="D228" i="4"/>
  <c r="AP43" i="4"/>
  <c r="AQ43" i="4" s="1"/>
  <c r="I26" i="4"/>
  <c r="J26" i="4" s="1"/>
  <c r="F26" i="4"/>
  <c r="G26" i="4" s="1"/>
  <c r="F675" i="4"/>
  <c r="G675" i="4" s="1"/>
  <c r="I675" i="4"/>
  <c r="J675" i="4" s="1"/>
  <c r="Y498" i="4"/>
  <c r="D498" i="4"/>
  <c r="I180" i="4"/>
  <c r="J180" i="4" s="1"/>
  <c r="F180" i="4"/>
  <c r="G180" i="4" s="1"/>
  <c r="U683" i="4"/>
  <c r="U15" i="4"/>
  <c r="AN41" i="4"/>
  <c r="AP41" i="4" s="1"/>
  <c r="AQ41" i="4" s="1"/>
  <c r="D374" i="4"/>
  <c r="F370" i="4"/>
  <c r="G370" i="4" s="1"/>
  <c r="I370" i="4"/>
  <c r="J370" i="4" s="1"/>
  <c r="I379" i="4"/>
  <c r="J379" i="4" s="1"/>
  <c r="F379" i="4"/>
  <c r="G379" i="4" s="1"/>
  <c r="F179" i="4"/>
  <c r="G179" i="4" s="1"/>
  <c r="I179" i="4"/>
  <c r="J179" i="4" s="1"/>
  <c r="D139" i="4"/>
  <c r="F27" i="4"/>
  <c r="G27" i="4" s="1"/>
  <c r="I27" i="4"/>
  <c r="J27" i="4" s="1"/>
  <c r="I442" i="4"/>
  <c r="J442" i="4" s="1"/>
  <c r="F442" i="4"/>
  <c r="G442" i="4" s="1"/>
  <c r="BI143" i="4"/>
  <c r="AO137" i="4"/>
  <c r="AR137" i="4"/>
  <c r="AV137" i="4"/>
  <c r="AV143" i="4" s="1"/>
  <c r="AW137" i="4"/>
  <c r="AX137" i="4"/>
  <c r="BC137" i="4"/>
  <c r="F135" i="4"/>
  <c r="G135" i="4" s="1"/>
  <c r="I135" i="4"/>
  <c r="J135" i="4" s="1"/>
  <c r="Y111" i="4"/>
  <c r="W242" i="4"/>
  <c r="Y242" i="4" s="1"/>
  <c r="W457" i="4"/>
  <c r="V547" i="4"/>
  <c r="W532" i="4"/>
  <c r="D532" i="4" s="1"/>
  <c r="AP552" i="4"/>
  <c r="AQ552" i="4" s="1"/>
  <c r="W50" i="4"/>
  <c r="Y50" i="4" s="1"/>
  <c r="V650" i="4"/>
  <c r="V14" i="4"/>
  <c r="I390" i="4"/>
  <c r="J390" i="4" s="1"/>
  <c r="F390" i="4"/>
  <c r="G390" i="4" s="1"/>
  <c r="I169" i="4"/>
  <c r="J169" i="4" s="1"/>
  <c r="F169" i="4"/>
  <c r="G169" i="4" s="1"/>
  <c r="F463" i="4"/>
  <c r="G463" i="4" s="1"/>
  <c r="I463" i="4"/>
  <c r="J463" i="4" s="1"/>
  <c r="D226" i="4"/>
  <c r="AN226" i="4"/>
  <c r="AN382" i="4"/>
  <c r="AP382" i="4" s="1"/>
  <c r="AQ382" i="4" s="1"/>
  <c r="AP378" i="4"/>
  <c r="AQ378" i="4" s="1"/>
  <c r="V527" i="4"/>
  <c r="BD115" i="4"/>
  <c r="AY115" i="4"/>
  <c r="I399" i="4"/>
  <c r="J399" i="4" s="1"/>
  <c r="F399" i="4"/>
  <c r="G399" i="4" s="1"/>
  <c r="I109" i="4"/>
  <c r="J109" i="4" s="1"/>
  <c r="F109" i="4"/>
  <c r="G109" i="4" s="1"/>
  <c r="I481" i="4"/>
  <c r="J481" i="4" s="1"/>
  <c r="F481" i="4"/>
  <c r="G481" i="4" s="1"/>
  <c r="I30" i="4"/>
  <c r="J30" i="4" s="1"/>
  <c r="F30" i="4"/>
  <c r="G30" i="4" s="1"/>
  <c r="F309" i="4"/>
  <c r="G309" i="4" s="1"/>
  <c r="I309" i="4"/>
  <c r="J309" i="4" s="1"/>
  <c r="I208" i="4"/>
  <c r="J208" i="4" s="1"/>
  <c r="F208" i="4"/>
  <c r="G208" i="4" s="1"/>
  <c r="W662" i="4"/>
  <c r="AN662" i="4" s="1"/>
  <c r="AP662" i="4" s="1"/>
  <c r="AQ662" i="4" s="1"/>
  <c r="Y522" i="4"/>
  <c r="AN522" i="4"/>
  <c r="Y564" i="4"/>
  <c r="Y161" i="4"/>
  <c r="AS382" i="4"/>
  <c r="AT382" i="4" s="1"/>
  <c r="W300" i="4"/>
  <c r="AN320" i="4"/>
  <c r="W634" i="4"/>
  <c r="AS650" i="4"/>
  <c r="AT650" i="4" s="1"/>
  <c r="AN169" i="4"/>
  <c r="AP169" i="4" s="1"/>
  <c r="AQ169" i="4" s="1"/>
  <c r="V457" i="4"/>
  <c r="AN640" i="4"/>
  <c r="AP640" i="4" s="1"/>
  <c r="AQ640" i="4" s="1"/>
  <c r="F315" i="4"/>
  <c r="G315" i="4" s="1"/>
  <c r="I315" i="4"/>
  <c r="J315" i="4" s="1"/>
  <c r="AN561" i="4"/>
  <c r="AN564" i="4" s="1"/>
  <c r="AN80" i="4"/>
  <c r="AP80" i="4" s="1"/>
  <c r="AQ80" i="4" s="1"/>
  <c r="Y662" i="4"/>
  <c r="D164" i="4"/>
  <c r="AN219" i="4"/>
  <c r="D34" i="4"/>
  <c r="D561" i="4"/>
  <c r="D314" i="4"/>
  <c r="BK558" i="1"/>
  <c r="BI552" i="1"/>
  <c r="BO552" i="1"/>
  <c r="K63" i="5" l="1"/>
  <c r="K70" i="5" s="1"/>
  <c r="I494" i="4"/>
  <c r="J494" i="4" s="1"/>
  <c r="F494" i="4"/>
  <c r="G494" i="4" s="1"/>
  <c r="I507" i="4"/>
  <c r="J507" i="4" s="1"/>
  <c r="F507" i="4"/>
  <c r="G507" i="4" s="1"/>
  <c r="AN50" i="4"/>
  <c r="AP50" i="4" s="1"/>
  <c r="AQ50" i="4" s="1"/>
  <c r="Y300" i="4"/>
  <c r="AN473" i="4"/>
  <c r="AN143" i="4"/>
  <c r="D50" i="4"/>
  <c r="W143" i="4"/>
  <c r="Y143" i="4" s="1"/>
  <c r="D130" i="4"/>
  <c r="Y130" i="4"/>
  <c r="I273" i="4"/>
  <c r="J273" i="4" s="1"/>
  <c r="F273" i="4"/>
  <c r="G273" i="4" s="1"/>
  <c r="I299" i="4"/>
  <c r="J299" i="4" s="1"/>
  <c r="F299" i="4"/>
  <c r="G299" i="4" s="1"/>
  <c r="Y120" i="4"/>
  <c r="AN360" i="4"/>
  <c r="AS531" i="4"/>
  <c r="AT531" i="4" s="1"/>
  <c r="AP531" i="4"/>
  <c r="AQ531" i="4" s="1"/>
  <c r="I99" i="4"/>
  <c r="J99" i="4" s="1"/>
  <c r="F99" i="4"/>
  <c r="G99" i="4" s="1"/>
  <c r="Y90" i="4"/>
  <c r="F431" i="4"/>
  <c r="G431" i="4" s="1"/>
  <c r="I431" i="4"/>
  <c r="J431" i="4" s="1"/>
  <c r="I527" i="4"/>
  <c r="J527" i="4" s="1"/>
  <c r="F527" i="4"/>
  <c r="G527" i="4" s="1"/>
  <c r="I532" i="4"/>
  <c r="J532" i="4" s="1"/>
  <c r="F532" i="4"/>
  <c r="G532" i="4" s="1"/>
  <c r="D547" i="4"/>
  <c r="F50" i="4"/>
  <c r="G50" i="4" s="1"/>
  <c r="I50" i="4"/>
  <c r="J50" i="4" s="1"/>
  <c r="F473" i="4"/>
  <c r="G473" i="4" s="1"/>
  <c r="I473" i="4"/>
  <c r="J473" i="4" s="1"/>
  <c r="F34" i="4"/>
  <c r="G34" i="4" s="1"/>
  <c r="D55" i="4"/>
  <c r="I34" i="4"/>
  <c r="J34" i="4" s="1"/>
  <c r="AP137" i="4"/>
  <c r="AQ137" i="4" s="1"/>
  <c r="AS137" i="4"/>
  <c r="AT137" i="4" s="1"/>
  <c r="I139" i="4"/>
  <c r="J139" i="4" s="1"/>
  <c r="F139" i="4"/>
  <c r="G139" i="4" s="1"/>
  <c r="I374" i="4"/>
  <c r="J374" i="4" s="1"/>
  <c r="F374" i="4"/>
  <c r="G374" i="4" s="1"/>
  <c r="W585" i="4"/>
  <c r="D583" i="4"/>
  <c r="F296" i="4"/>
  <c r="G296" i="4" s="1"/>
  <c r="I296" i="4"/>
  <c r="J296" i="4" s="1"/>
  <c r="I673" i="4"/>
  <c r="J673" i="4" s="1"/>
  <c r="F673" i="4"/>
  <c r="G673" i="4" s="1"/>
  <c r="I155" i="4"/>
  <c r="J155" i="4" s="1"/>
  <c r="F155" i="4"/>
  <c r="G155" i="4" s="1"/>
  <c r="F219" i="4"/>
  <c r="G219" i="4" s="1"/>
  <c r="I219" i="4"/>
  <c r="J219" i="4" s="1"/>
  <c r="F360" i="4"/>
  <c r="G360" i="4" s="1"/>
  <c r="I360" i="4"/>
  <c r="J360" i="4" s="1"/>
  <c r="W668" i="4"/>
  <c r="Y660" i="4"/>
  <c r="AN374" i="4"/>
  <c r="AP374" i="4" s="1"/>
  <c r="AQ374" i="4" s="1"/>
  <c r="AP370" i="4"/>
  <c r="AQ370" i="4" s="1"/>
  <c r="BC357" i="4"/>
  <c r="BD357" i="4"/>
  <c r="BE357" i="4"/>
  <c r="I138" i="4"/>
  <c r="J138" i="4" s="1"/>
  <c r="F138" i="4"/>
  <c r="G138" i="4" s="1"/>
  <c r="AN527" i="4"/>
  <c r="F636" i="4"/>
  <c r="G636" i="4" s="1"/>
  <c r="I636" i="4"/>
  <c r="J636" i="4" s="1"/>
  <c r="AN300" i="4"/>
  <c r="I380" i="4"/>
  <c r="J380" i="4" s="1"/>
  <c r="F380" i="4"/>
  <c r="G380" i="4" s="1"/>
  <c r="Y527" i="4"/>
  <c r="W648" i="4"/>
  <c r="AN634" i="4"/>
  <c r="Y634" i="4"/>
  <c r="Y457" i="4"/>
  <c r="W681" i="4"/>
  <c r="Y681" i="4" s="1"/>
  <c r="AN674" i="4"/>
  <c r="F325" i="4"/>
  <c r="G325" i="4" s="1"/>
  <c r="I325" i="4"/>
  <c r="J325" i="4" s="1"/>
  <c r="Y674" i="4"/>
  <c r="F264" i="4"/>
  <c r="G264" i="4" s="1"/>
  <c r="I264" i="4"/>
  <c r="J264" i="4" s="1"/>
  <c r="I48" i="4"/>
  <c r="J48" i="4" s="1"/>
  <c r="F48" i="4"/>
  <c r="G48" i="4" s="1"/>
  <c r="BG357" i="4"/>
  <c r="AX357" i="4"/>
  <c r="AP115" i="4"/>
  <c r="AQ115" i="4" s="1"/>
  <c r="AS115" i="4"/>
  <c r="AT115" i="4" s="1"/>
  <c r="U690" i="4"/>
  <c r="U691" i="4" s="1"/>
  <c r="U12" i="4"/>
  <c r="U11" i="4" s="1"/>
  <c r="U568" i="4"/>
  <c r="U616" i="4" s="1"/>
  <c r="J630" i="4"/>
  <c r="AP591" i="4"/>
  <c r="AQ591" i="4" s="1"/>
  <c r="AN606" i="4"/>
  <c r="V566" i="4"/>
  <c r="D113" i="4"/>
  <c r="Y113" i="4"/>
  <c r="AN113" i="4"/>
  <c r="F482" i="4"/>
  <c r="G482" i="4" s="1"/>
  <c r="I482" i="4"/>
  <c r="J482" i="4" s="1"/>
  <c r="F314" i="4"/>
  <c r="G314" i="4" s="1"/>
  <c r="I314" i="4"/>
  <c r="J314" i="4" s="1"/>
  <c r="I164" i="4"/>
  <c r="J164" i="4" s="1"/>
  <c r="F164" i="4"/>
  <c r="G164" i="4" s="1"/>
  <c r="I226" i="4"/>
  <c r="J226" i="4" s="1"/>
  <c r="F226" i="4"/>
  <c r="G226" i="4" s="1"/>
  <c r="Y583" i="4"/>
  <c r="Y585" i="4" s="1"/>
  <c r="Y13" i="4" s="1"/>
  <c r="I498" i="4"/>
  <c r="J498" i="4" s="1"/>
  <c r="F498" i="4"/>
  <c r="G498" i="4" s="1"/>
  <c r="I228" i="4"/>
  <c r="J228" i="4" s="1"/>
  <c r="F228" i="4"/>
  <c r="G228" i="4" s="1"/>
  <c r="I395" i="4"/>
  <c r="J395" i="4" s="1"/>
  <c r="F395" i="4"/>
  <c r="G395" i="4" s="1"/>
  <c r="F41" i="4"/>
  <c r="G41" i="4" s="1"/>
  <c r="I41" i="4"/>
  <c r="J41" i="4" s="1"/>
  <c r="W55" i="4"/>
  <c r="D634" i="4"/>
  <c r="D143" i="4"/>
  <c r="AN668" i="4"/>
  <c r="AP660" i="4"/>
  <c r="AQ660" i="4" s="1"/>
  <c r="W331" i="4"/>
  <c r="Y331" i="4" s="1"/>
  <c r="AN270" i="4"/>
  <c r="I161" i="4"/>
  <c r="J161" i="4" s="1"/>
  <c r="F161" i="4"/>
  <c r="G161" i="4" s="1"/>
  <c r="AO357" i="4"/>
  <c r="AR357" i="4"/>
  <c r="AV357" i="4"/>
  <c r="AV360" i="4" s="1"/>
  <c r="BI360" i="4"/>
  <c r="AW357" i="4"/>
  <c r="BB357" i="4"/>
  <c r="I591" i="4"/>
  <c r="J591" i="4" s="1"/>
  <c r="F591" i="4"/>
  <c r="G591" i="4" s="1"/>
  <c r="D606" i="4"/>
  <c r="F470" i="4"/>
  <c r="G470" i="4" s="1"/>
  <c r="I470" i="4"/>
  <c r="J470" i="4" s="1"/>
  <c r="I53" i="4"/>
  <c r="J53" i="4" s="1"/>
  <c r="F53" i="4"/>
  <c r="G53" i="4" s="1"/>
  <c r="F394" i="4"/>
  <c r="G394" i="4" s="1"/>
  <c r="I394" i="4"/>
  <c r="J394" i="4" s="1"/>
  <c r="F496" i="4"/>
  <c r="G496" i="4" s="1"/>
  <c r="I496" i="4"/>
  <c r="J496" i="4" s="1"/>
  <c r="F400" i="4"/>
  <c r="G400" i="4" s="1"/>
  <c r="I400" i="4"/>
  <c r="J400" i="4" s="1"/>
  <c r="I111" i="4"/>
  <c r="J111" i="4" s="1"/>
  <c r="F111" i="4"/>
  <c r="G111" i="4" s="1"/>
  <c r="D120" i="4"/>
  <c r="D65" i="4"/>
  <c r="D270" i="4"/>
  <c r="D242" i="4"/>
  <c r="D300" i="4"/>
  <c r="F561" i="4"/>
  <c r="G561" i="4" s="1"/>
  <c r="I561" i="4"/>
  <c r="J561" i="4" s="1"/>
  <c r="D564" i="4"/>
  <c r="W547" i="4"/>
  <c r="Y547" i="4" s="1"/>
  <c r="AN532" i="4"/>
  <c r="Y532" i="4"/>
  <c r="I44" i="4"/>
  <c r="J44" i="4" s="1"/>
  <c r="F44" i="4"/>
  <c r="G44" i="4" s="1"/>
  <c r="I382" i="4"/>
  <c r="J382" i="4" s="1"/>
  <c r="F382" i="4"/>
  <c r="G382" i="4" s="1"/>
  <c r="AN583" i="4"/>
  <c r="V683" i="4"/>
  <c r="V15" i="4"/>
  <c r="AN65" i="4"/>
  <c r="V689" i="4"/>
  <c r="I63" i="4"/>
  <c r="J63" i="4" s="1"/>
  <c r="F63" i="4"/>
  <c r="G63" i="4" s="1"/>
  <c r="D90" i="4"/>
  <c r="AY357" i="4"/>
  <c r="AZ357" i="4"/>
  <c r="BA357" i="4"/>
  <c r="BF357" i="4"/>
  <c r="D662" i="4"/>
  <c r="F80" i="4"/>
  <c r="G80" i="4" s="1"/>
  <c r="I80" i="4"/>
  <c r="J80" i="4" s="1"/>
  <c r="F388" i="4"/>
  <c r="G388" i="4" s="1"/>
  <c r="I388" i="4"/>
  <c r="J388" i="4" s="1"/>
  <c r="D457" i="4"/>
  <c r="F217" i="4"/>
  <c r="G217" i="4" s="1"/>
  <c r="I217" i="4"/>
  <c r="J217" i="4" s="1"/>
  <c r="AN242" i="4"/>
  <c r="D674" i="4"/>
  <c r="AN457" i="4"/>
  <c r="AN55" i="4"/>
  <c r="Y65" i="4"/>
  <c r="F240" i="4"/>
  <c r="G240" i="4" s="1"/>
  <c r="I240" i="4"/>
  <c r="J240" i="4" s="1"/>
  <c r="D660" i="4"/>
  <c r="J63" i="5"/>
  <c r="BJ31" i="1"/>
  <c r="BN31" i="1"/>
  <c r="BR31" i="1"/>
  <c r="BK31" i="1"/>
  <c r="BO31" i="1"/>
  <c r="BS31" i="1"/>
  <c r="BL31" i="1"/>
  <c r="BP31" i="1"/>
  <c r="BT31" i="1"/>
  <c r="BM31" i="1"/>
  <c r="BQ31" i="1"/>
  <c r="BI31" i="1"/>
  <c r="K64" i="5" l="1"/>
  <c r="K66" i="5" s="1"/>
  <c r="K68" i="5" s="1"/>
  <c r="F130" i="4"/>
  <c r="G130" i="4" s="1"/>
  <c r="I130" i="4"/>
  <c r="J130" i="4" s="1"/>
  <c r="J64" i="5"/>
  <c r="J66" i="5" s="1"/>
  <c r="J68" i="5" s="1"/>
  <c r="F120" i="4"/>
  <c r="G120" i="4" s="1"/>
  <c r="I120" i="4"/>
  <c r="J120" i="4" s="1"/>
  <c r="I674" i="4"/>
  <c r="J674" i="4" s="1"/>
  <c r="F674" i="4"/>
  <c r="G674" i="4" s="1"/>
  <c r="D668" i="4"/>
  <c r="I660" i="4"/>
  <c r="J660" i="4" s="1"/>
  <c r="F660" i="4"/>
  <c r="G660" i="4" s="1"/>
  <c r="D681" i="4"/>
  <c r="I564" i="4"/>
  <c r="J564" i="4" s="1"/>
  <c r="F564" i="4"/>
  <c r="G564" i="4" s="1"/>
  <c r="D648" i="4"/>
  <c r="I634" i="4"/>
  <c r="J634" i="4" s="1"/>
  <c r="F634" i="4"/>
  <c r="G634" i="4" s="1"/>
  <c r="F583" i="4"/>
  <c r="G583" i="4" s="1"/>
  <c r="D585" i="4"/>
  <c r="I583" i="4"/>
  <c r="J583" i="4" s="1"/>
  <c r="F55" i="4"/>
  <c r="G55" i="4" s="1"/>
  <c r="I55" i="4"/>
  <c r="AN725" i="4"/>
  <c r="AN727" i="4" s="1"/>
  <c r="AN731" i="4" s="1"/>
  <c r="AP55" i="4"/>
  <c r="AQ55" i="4" s="1"/>
  <c r="F457" i="4"/>
  <c r="G457" i="4" s="1"/>
  <c r="I457" i="4"/>
  <c r="J457" i="4" s="1"/>
  <c r="F90" i="4"/>
  <c r="G90" i="4" s="1"/>
  <c r="I90" i="4"/>
  <c r="J90" i="4" s="1"/>
  <c r="AN585" i="4"/>
  <c r="AN689" i="4" s="1"/>
  <c r="AP532" i="4"/>
  <c r="AQ532" i="4" s="1"/>
  <c r="AN547" i="4"/>
  <c r="F270" i="4"/>
  <c r="G270" i="4" s="1"/>
  <c r="I270" i="4"/>
  <c r="J270" i="4" s="1"/>
  <c r="D331" i="4"/>
  <c r="AP668" i="4"/>
  <c r="AQ668" i="4" s="1"/>
  <c r="W689" i="4"/>
  <c r="Y55" i="4"/>
  <c r="I113" i="4"/>
  <c r="J113" i="4" s="1"/>
  <c r="F113" i="4"/>
  <c r="G113" i="4" s="1"/>
  <c r="AP674" i="4"/>
  <c r="AQ674" i="4" s="1"/>
  <c r="AN681" i="4"/>
  <c r="AP681" i="4" s="1"/>
  <c r="AQ681" i="4" s="1"/>
  <c r="W608" i="4"/>
  <c r="Y608" i="4" s="1"/>
  <c r="W13" i="4"/>
  <c r="Y566" i="4"/>
  <c r="I300" i="4"/>
  <c r="J300" i="4" s="1"/>
  <c r="F300" i="4"/>
  <c r="G300" i="4" s="1"/>
  <c r="AS357" i="4"/>
  <c r="AT357" i="4" s="1"/>
  <c r="AP357" i="4"/>
  <c r="AQ357" i="4" s="1"/>
  <c r="AP113" i="4"/>
  <c r="AQ113" i="4" s="1"/>
  <c r="AN120" i="4"/>
  <c r="W14" i="4"/>
  <c r="Y648" i="4"/>
  <c r="Y14" i="4" s="1"/>
  <c r="W650" i="4"/>
  <c r="Y650" i="4" s="1"/>
  <c r="F242" i="4"/>
  <c r="G242" i="4" s="1"/>
  <c r="I242" i="4"/>
  <c r="J242" i="4" s="1"/>
  <c r="I662" i="4"/>
  <c r="J662" i="4" s="1"/>
  <c r="F662" i="4"/>
  <c r="G662" i="4" s="1"/>
  <c r="AP65" i="4"/>
  <c r="AQ65" i="4" s="1"/>
  <c r="AN90" i="4"/>
  <c r="I65" i="4"/>
  <c r="J65" i="4" s="1"/>
  <c r="F65" i="4"/>
  <c r="G65" i="4" s="1"/>
  <c r="F606" i="4"/>
  <c r="G606" i="4" s="1"/>
  <c r="I606" i="4"/>
  <c r="J606" i="4" s="1"/>
  <c r="AN331" i="4"/>
  <c r="I143" i="4"/>
  <c r="J143" i="4" s="1"/>
  <c r="F143" i="4"/>
  <c r="G143" i="4" s="1"/>
  <c r="V690" i="4"/>
  <c r="V691" i="4" s="1"/>
  <c r="V568" i="4"/>
  <c r="V616" i="4" s="1"/>
  <c r="V12" i="4"/>
  <c r="V11" i="4" s="1"/>
  <c r="AN648" i="4"/>
  <c r="AP634" i="4"/>
  <c r="AQ634" i="4" s="1"/>
  <c r="W683" i="4"/>
  <c r="Y683" i="4" s="1"/>
  <c r="W15" i="4"/>
  <c r="Y668" i="4"/>
  <c r="Y15" i="4" s="1"/>
  <c r="F547" i="4"/>
  <c r="G547" i="4" s="1"/>
  <c r="I547" i="4"/>
  <c r="J547" i="4" s="1"/>
  <c r="W566" i="4"/>
  <c r="W690" i="4" s="1"/>
  <c r="AR31" i="1"/>
  <c r="AO31" i="1"/>
  <c r="K198" i="2"/>
  <c r="K199" i="2"/>
  <c r="K200" i="2"/>
  <c r="K201" i="2"/>
  <c r="K197" i="2"/>
  <c r="BJ356" i="1"/>
  <c r="BK356" i="1"/>
  <c r="BL356" i="1"/>
  <c r="BM356" i="1"/>
  <c r="BN356" i="1"/>
  <c r="BO356" i="1"/>
  <c r="BP356" i="1"/>
  <c r="BQ356" i="1"/>
  <c r="BR356" i="1"/>
  <c r="BS356" i="1"/>
  <c r="BT356" i="1"/>
  <c r="BI356" i="1"/>
  <c r="BJ355" i="1"/>
  <c r="BK355" i="1"/>
  <c r="BL355" i="1"/>
  <c r="BM355" i="1"/>
  <c r="BN355" i="1"/>
  <c r="BO355" i="1"/>
  <c r="BP355" i="1"/>
  <c r="BQ355" i="1"/>
  <c r="BR355" i="1"/>
  <c r="BS355" i="1"/>
  <c r="BT355" i="1"/>
  <c r="BI355" i="1"/>
  <c r="BJ238" i="1"/>
  <c r="BK238" i="1"/>
  <c r="BL238" i="1"/>
  <c r="BM238" i="1"/>
  <c r="BN238" i="1"/>
  <c r="BO238" i="1"/>
  <c r="BP238" i="1"/>
  <c r="BQ238" i="1"/>
  <c r="BR238" i="1"/>
  <c r="BS238" i="1"/>
  <c r="BT238" i="1"/>
  <c r="BI238" i="1"/>
  <c r="BJ237" i="1"/>
  <c r="BK237" i="1"/>
  <c r="BL237" i="1"/>
  <c r="BM237" i="1"/>
  <c r="BN237" i="1"/>
  <c r="BO237" i="1"/>
  <c r="BP237" i="1"/>
  <c r="BQ237" i="1"/>
  <c r="BR237" i="1"/>
  <c r="BS237" i="1"/>
  <c r="BT237" i="1"/>
  <c r="BI237" i="1"/>
  <c r="BJ236" i="1"/>
  <c r="BK236" i="1"/>
  <c r="BL236" i="1"/>
  <c r="BM236" i="1"/>
  <c r="BN236" i="1"/>
  <c r="BO236" i="1"/>
  <c r="BP236" i="1"/>
  <c r="BQ236" i="1"/>
  <c r="BR236" i="1"/>
  <c r="BS236" i="1"/>
  <c r="BT236" i="1"/>
  <c r="BI236" i="1"/>
  <c r="AN650" i="4" l="1"/>
  <c r="AP650" i="4" s="1"/>
  <c r="AQ650" i="4" s="1"/>
  <c r="AN14" i="4"/>
  <c r="AP14" i="4" s="1"/>
  <c r="AQ14" i="4" s="1"/>
  <c r="AP648" i="4"/>
  <c r="AQ648" i="4" s="1"/>
  <c r="AN566" i="4"/>
  <c r="Y690" i="4"/>
  <c r="W691" i="4"/>
  <c r="F331" i="4"/>
  <c r="G331" i="4" s="1"/>
  <c r="I331" i="4"/>
  <c r="J331" i="4" s="1"/>
  <c r="F585" i="4"/>
  <c r="G585" i="4" s="1"/>
  <c r="D608" i="4"/>
  <c r="I585" i="4"/>
  <c r="D13" i="4"/>
  <c r="F13" i="4" s="1"/>
  <c r="G13" i="4" s="1"/>
  <c r="D683" i="4"/>
  <c r="I668" i="4"/>
  <c r="F668" i="4"/>
  <c r="G668" i="4" s="1"/>
  <c r="D15" i="4"/>
  <c r="F15" i="4" s="1"/>
  <c r="G15" i="4" s="1"/>
  <c r="Y689" i="4"/>
  <c r="Y691" i="4" s="1"/>
  <c r="Y568" i="4"/>
  <c r="Y616" i="4" s="1"/>
  <c r="Y12" i="4"/>
  <c r="Y11" i="4" s="1"/>
  <c r="BS561" i="4"/>
  <c r="BO561" i="4"/>
  <c r="BK561" i="4"/>
  <c r="BR561" i="4"/>
  <c r="BN561" i="4"/>
  <c r="BJ561" i="4"/>
  <c r="BQ561" i="4"/>
  <c r="BM561" i="4"/>
  <c r="BI561" i="4"/>
  <c r="BT561" i="4"/>
  <c r="BP561" i="4"/>
  <c r="BL561" i="4"/>
  <c r="I681" i="4"/>
  <c r="J681" i="4" s="1"/>
  <c r="F681" i="4"/>
  <c r="G681" i="4" s="1"/>
  <c r="W12" i="4"/>
  <c r="W11" i="4" s="1"/>
  <c r="AN15" i="4"/>
  <c r="AP15" i="4" s="1"/>
  <c r="AQ15" i="4" s="1"/>
  <c r="AN608" i="4"/>
  <c r="AN13" i="4"/>
  <c r="D566" i="4"/>
  <c r="D689" i="4"/>
  <c r="I648" i="4"/>
  <c r="F648" i="4"/>
  <c r="G648" i="4" s="1"/>
  <c r="D14" i="4"/>
  <c r="F14" i="4" s="1"/>
  <c r="G14" i="4" s="1"/>
  <c r="D650" i="4"/>
  <c r="W568" i="4"/>
  <c r="W616" i="4" s="1"/>
  <c r="AN683" i="4"/>
  <c r="AP683" i="4" s="1"/>
  <c r="AQ683" i="4" s="1"/>
  <c r="J55" i="4"/>
  <c r="AO355" i="1"/>
  <c r="AO356" i="1"/>
  <c r="BJ525" i="1"/>
  <c r="BK525" i="1"/>
  <c r="BL525" i="1"/>
  <c r="BM525" i="1"/>
  <c r="BN525" i="1"/>
  <c r="BO525" i="1"/>
  <c r="BP525" i="1"/>
  <c r="BQ525" i="1"/>
  <c r="BR525" i="1"/>
  <c r="BS525" i="1"/>
  <c r="BT525" i="1"/>
  <c r="BI525" i="1"/>
  <c r="AN170" i="1"/>
  <c r="BJ86" i="1"/>
  <c r="BK86" i="1"/>
  <c r="BL86" i="1"/>
  <c r="BM86" i="1"/>
  <c r="BN86" i="1"/>
  <c r="BO86" i="1"/>
  <c r="BP86" i="1"/>
  <c r="BQ86" i="1"/>
  <c r="BR86" i="1"/>
  <c r="BS86" i="1"/>
  <c r="BT86" i="1"/>
  <c r="BI86" i="1"/>
  <c r="BT126" i="1"/>
  <c r="BK126" i="1"/>
  <c r="BL126" i="1"/>
  <c r="BM126" i="1"/>
  <c r="BN126" i="1"/>
  <c r="BO126" i="1"/>
  <c r="BP126" i="1"/>
  <c r="BQ126" i="1"/>
  <c r="BR126" i="1"/>
  <c r="BS126" i="1"/>
  <c r="BJ126" i="1"/>
  <c r="BJ97" i="1"/>
  <c r="BK97" i="1"/>
  <c r="BT97" i="1"/>
  <c r="BL97" i="1"/>
  <c r="BM97" i="1"/>
  <c r="BN97" i="1"/>
  <c r="BO97" i="1"/>
  <c r="BP97" i="1"/>
  <c r="BQ97" i="1"/>
  <c r="BR97" i="1"/>
  <c r="BS97" i="1"/>
  <c r="BT65" i="1"/>
  <c r="BK65" i="1"/>
  <c r="BL65" i="1"/>
  <c r="BM65" i="1"/>
  <c r="BN65" i="1"/>
  <c r="BO65" i="1"/>
  <c r="BP65" i="1"/>
  <c r="BQ65" i="1"/>
  <c r="BR65" i="1"/>
  <c r="BS65" i="1"/>
  <c r="BJ65" i="1"/>
  <c r="P144" i="2"/>
  <c r="BJ39" i="1"/>
  <c r="BK39" i="1"/>
  <c r="BL39" i="1"/>
  <c r="BM39" i="1"/>
  <c r="BN39" i="1"/>
  <c r="BO39" i="1"/>
  <c r="BP39" i="1"/>
  <c r="BQ39" i="1"/>
  <c r="BR39" i="1"/>
  <c r="BS39" i="1"/>
  <c r="BT39" i="1"/>
  <c r="BI39" i="1"/>
  <c r="BT644" i="1"/>
  <c r="BN644" i="1"/>
  <c r="BJ28" i="1"/>
  <c r="BK28" i="1"/>
  <c r="BL28" i="1"/>
  <c r="BM28" i="1"/>
  <c r="BN28" i="1"/>
  <c r="BO28" i="1"/>
  <c r="BP28" i="1"/>
  <c r="BQ28" i="1"/>
  <c r="BR28" i="1"/>
  <c r="BS28" i="1"/>
  <c r="BT28" i="1"/>
  <c r="BI28" i="1"/>
  <c r="BP26" i="1"/>
  <c r="BM26" i="1"/>
  <c r="BJ26" i="1"/>
  <c r="BT95" i="1" l="1"/>
  <c r="BR125" i="4"/>
  <c r="BE125" i="4" s="1"/>
  <c r="BN125" i="4"/>
  <c r="BA125" i="4" s="1"/>
  <c r="BS95" i="4"/>
  <c r="BF95" i="4" s="1"/>
  <c r="BO95" i="4"/>
  <c r="BB95" i="4" s="1"/>
  <c r="BK95" i="4"/>
  <c r="BQ125" i="4"/>
  <c r="BD125" i="4" s="1"/>
  <c r="BM125" i="4"/>
  <c r="AZ125" i="4" s="1"/>
  <c r="BR95" i="4"/>
  <c r="BE95" i="4" s="1"/>
  <c r="BN95" i="4"/>
  <c r="BA95" i="4" s="1"/>
  <c r="BT125" i="4"/>
  <c r="BG125" i="4" s="1"/>
  <c r="BP125" i="4"/>
  <c r="BC125" i="4" s="1"/>
  <c r="BL125" i="4"/>
  <c r="AY125" i="4" s="1"/>
  <c r="BQ95" i="4"/>
  <c r="BD95" i="4" s="1"/>
  <c r="BM95" i="4"/>
  <c r="BS125" i="4"/>
  <c r="BF125" i="4" s="1"/>
  <c r="BO125" i="4"/>
  <c r="BB125" i="4" s="1"/>
  <c r="BK125" i="4"/>
  <c r="BT95" i="4"/>
  <c r="BG95" i="4" s="1"/>
  <c r="BS63" i="4"/>
  <c r="BF63" i="4" s="1"/>
  <c r="BO63" i="4"/>
  <c r="BB63" i="4" s="1"/>
  <c r="BK63" i="4"/>
  <c r="BP95" i="4"/>
  <c r="BC95" i="4" s="1"/>
  <c r="BR63" i="4"/>
  <c r="BE63" i="4" s="1"/>
  <c r="BN63" i="4"/>
  <c r="BA63" i="4" s="1"/>
  <c r="BL95" i="4"/>
  <c r="AY95" i="4" s="1"/>
  <c r="BQ63" i="4"/>
  <c r="BD63" i="4" s="1"/>
  <c r="BM63" i="4"/>
  <c r="AZ63" i="4" s="1"/>
  <c r="BT63" i="4"/>
  <c r="BG63" i="4" s="1"/>
  <c r="BP63" i="4"/>
  <c r="BC63" i="4" s="1"/>
  <c r="BL63" i="4"/>
  <c r="AY63" i="4" s="1"/>
  <c r="BC561" i="4"/>
  <c r="BC564" i="4" s="1"/>
  <c r="BP564" i="4"/>
  <c r="BD561" i="4"/>
  <c r="BD564" i="4" s="1"/>
  <c r="BQ564" i="4"/>
  <c r="AX561" i="4"/>
  <c r="AX564" i="4" s="1"/>
  <c r="BK564" i="4"/>
  <c r="J668" i="4"/>
  <c r="J15" i="4" s="1"/>
  <c r="I15" i="4"/>
  <c r="I608" i="4"/>
  <c r="J608" i="4" s="1"/>
  <c r="F608" i="4"/>
  <c r="G608" i="4" s="1"/>
  <c r="J648" i="4"/>
  <c r="J14" i="4" s="1"/>
  <c r="I14" i="4"/>
  <c r="BG561" i="4"/>
  <c r="AW561" i="4"/>
  <c r="AW564" i="4" s="1"/>
  <c r="BJ564" i="4"/>
  <c r="BB561" i="4"/>
  <c r="BB564" i="4" s="1"/>
  <c r="BO564" i="4"/>
  <c r="F683" i="4"/>
  <c r="G683" i="4" s="1"/>
  <c r="I683" i="4"/>
  <c r="J683" i="4" s="1"/>
  <c r="I650" i="4"/>
  <c r="J650" i="4" s="1"/>
  <c r="F650" i="4"/>
  <c r="G650" i="4" s="1"/>
  <c r="AO561" i="4"/>
  <c r="AR561" i="4"/>
  <c r="AV561" i="4"/>
  <c r="AV564" i="4" s="1"/>
  <c r="BI564" i="4"/>
  <c r="BA561" i="4"/>
  <c r="BA564" i="4" s="1"/>
  <c r="BN564" i="4"/>
  <c r="BF561" i="4"/>
  <c r="BF564" i="4" s="1"/>
  <c r="BS564" i="4"/>
  <c r="D690" i="4"/>
  <c r="D691" i="4" s="1"/>
  <c r="I566" i="4"/>
  <c r="F566" i="4"/>
  <c r="G566" i="4" s="1"/>
  <c r="D12" i="4"/>
  <c r="D568" i="4"/>
  <c r="AY561" i="4"/>
  <c r="AY564" i="4" s="1"/>
  <c r="BL564" i="4"/>
  <c r="AZ561" i="4"/>
  <c r="AZ564" i="4" s="1"/>
  <c r="BM564" i="4"/>
  <c r="BE561" i="4"/>
  <c r="BE564" i="4" s="1"/>
  <c r="BR564" i="4"/>
  <c r="J585" i="4"/>
  <c r="J13" i="4" s="1"/>
  <c r="I13" i="4"/>
  <c r="AN690" i="4"/>
  <c r="AN691" i="4" s="1"/>
  <c r="AN568" i="4"/>
  <c r="AN616" i="4" s="1"/>
  <c r="AN12" i="4"/>
  <c r="AN11" i="4" s="1"/>
  <c r="AO86" i="1"/>
  <c r="BQ63" i="1"/>
  <c r="BL95" i="1"/>
  <c r="BQ125" i="1"/>
  <c r="BP125" i="1"/>
  <c r="BT125" i="1"/>
  <c r="BK95" i="1"/>
  <c r="BQ95" i="1"/>
  <c r="BM95" i="1"/>
  <c r="BO63" i="1"/>
  <c r="BS63" i="1"/>
  <c r="BN125" i="1"/>
  <c r="BS125" i="1"/>
  <c r="BN95" i="1"/>
  <c r="BS95" i="1"/>
  <c r="BN63" i="1"/>
  <c r="BT63" i="1"/>
  <c r="BP63" i="1"/>
  <c r="BR95" i="1"/>
  <c r="BK125" i="1"/>
  <c r="BO125" i="1"/>
  <c r="BK63" i="1"/>
  <c r="BM63" i="1"/>
  <c r="BP95" i="1"/>
  <c r="BL125" i="1"/>
  <c r="BM125" i="1"/>
  <c r="BR63" i="1"/>
  <c r="BL63" i="1"/>
  <c r="BO95" i="1"/>
  <c r="BR125" i="1"/>
  <c r="AO525" i="1"/>
  <c r="AR95" i="4" l="1"/>
  <c r="AZ95" i="4"/>
  <c r="AX63" i="4"/>
  <c r="AR63" i="4"/>
  <c r="AO63" i="4"/>
  <c r="AX125" i="4"/>
  <c r="AR125" i="4"/>
  <c r="AO125" i="4"/>
  <c r="AO95" i="4"/>
  <c r="AX95" i="4"/>
  <c r="F12" i="4"/>
  <c r="G12" i="4" s="1"/>
  <c r="D11" i="4"/>
  <c r="F11" i="4" s="1"/>
  <c r="G11" i="4" s="1"/>
  <c r="J566" i="4"/>
  <c r="J12" i="4" s="1"/>
  <c r="J11" i="4" s="1"/>
  <c r="I12" i="4"/>
  <c r="I11" i="4" s="1"/>
  <c r="F568" i="4"/>
  <c r="G568" i="4" s="1"/>
  <c r="I568" i="4"/>
  <c r="J568" i="4" s="1"/>
  <c r="D616" i="4"/>
  <c r="AS561" i="4"/>
  <c r="AT561" i="4" s="1"/>
  <c r="AP561" i="4"/>
  <c r="AQ561" i="4" s="1"/>
  <c r="AO63" i="1"/>
  <c r="BI7" i="1"/>
  <c r="AO7" i="1" s="1"/>
  <c r="AP7" i="1" s="1"/>
  <c r="AQ7" i="1" s="1"/>
  <c r="AS95" i="4" l="1"/>
  <c r="AT95" i="4" s="1"/>
  <c r="AP95" i="4"/>
  <c r="AQ95" i="4" s="1"/>
  <c r="AS125" i="4"/>
  <c r="AT125" i="4" s="1"/>
  <c r="AP125" i="4"/>
  <c r="AQ125" i="4" s="1"/>
  <c r="AS63" i="4"/>
  <c r="AT63" i="4" s="1"/>
  <c r="AP63" i="4"/>
  <c r="AQ63" i="4" s="1"/>
  <c r="F616" i="4"/>
  <c r="G616" i="4" s="1"/>
  <c r="I616" i="4"/>
  <c r="J616" i="4" s="1"/>
  <c r="L302" i="2"/>
  <c r="B302" i="2"/>
  <c r="AA301" i="2"/>
  <c r="AB300" i="2"/>
  <c r="K300" i="2"/>
  <c r="AB299" i="2"/>
  <c r="K299" i="2"/>
  <c r="AB298" i="2"/>
  <c r="K298" i="2"/>
  <c r="AB297" i="2"/>
  <c r="K297" i="2"/>
  <c r="M297" i="2" s="1"/>
  <c r="P297" i="2" s="1"/>
  <c r="AB296" i="2"/>
  <c r="Y296" i="2"/>
  <c r="X296" i="2"/>
  <c r="K296" i="2"/>
  <c r="L311" i="2" s="1"/>
  <c r="AB295" i="2"/>
  <c r="Y295" i="2"/>
  <c r="X295" i="2"/>
  <c r="X293" i="2" s="1"/>
  <c r="X294" i="2" s="1"/>
  <c r="K295" i="2"/>
  <c r="K294" i="2"/>
  <c r="M294" i="2" s="1"/>
  <c r="Y293" i="2"/>
  <c r="Y294" i="2" s="1"/>
  <c r="K293" i="2"/>
  <c r="M293" i="2" s="1"/>
  <c r="AB292" i="2"/>
  <c r="Y292" i="2"/>
  <c r="X292" i="2"/>
  <c r="M292" i="2"/>
  <c r="P292" i="2" s="1"/>
  <c r="J292" i="2"/>
  <c r="L289" i="2"/>
  <c r="B289" i="2"/>
  <c r="AB287" i="2"/>
  <c r="Y287" i="2"/>
  <c r="X287" i="2"/>
  <c r="K287" i="2"/>
  <c r="J287" i="2"/>
  <c r="BL394" i="4" s="1"/>
  <c r="AB286" i="2"/>
  <c r="Y286" i="2"/>
  <c r="Y289" i="2" s="1"/>
  <c r="X286" i="2"/>
  <c r="K286" i="2"/>
  <c r="M286" i="2" s="1"/>
  <c r="P286" i="2" s="1"/>
  <c r="J286" i="2"/>
  <c r="BL393" i="4" s="1"/>
  <c r="L283" i="2"/>
  <c r="B283" i="2"/>
  <c r="P282" i="2"/>
  <c r="Z279" i="2"/>
  <c r="AA279" i="2" s="1"/>
  <c r="U279" i="2"/>
  <c r="T279" i="2"/>
  <c r="S279" i="2"/>
  <c r="R279" i="2"/>
  <c r="Q279" i="2"/>
  <c r="M279" i="2"/>
  <c r="AB278" i="2"/>
  <c r="Y278" i="2"/>
  <c r="X278" i="2"/>
  <c r="K278" i="2"/>
  <c r="M278" i="2" s="1"/>
  <c r="P278" i="2" s="1"/>
  <c r="T278" i="2" s="1"/>
  <c r="AB277" i="2"/>
  <c r="Y277" i="2"/>
  <c r="X277" i="2"/>
  <c r="K277" i="2"/>
  <c r="AB276" i="2"/>
  <c r="Y276" i="2"/>
  <c r="X276" i="2"/>
  <c r="X283" i="2" s="1"/>
  <c r="K276" i="2"/>
  <c r="M276" i="2" s="1"/>
  <c r="L273" i="2"/>
  <c r="B273" i="2"/>
  <c r="AA272" i="2"/>
  <c r="AB269" i="2"/>
  <c r="AB273" i="2" s="1"/>
  <c r="Y269" i="2"/>
  <c r="Y273" i="2" s="1"/>
  <c r="X269" i="2"/>
  <c r="X273" i="2" s="1"/>
  <c r="M269" i="2"/>
  <c r="P269" i="2" s="1"/>
  <c r="J269" i="2"/>
  <c r="L267" i="2"/>
  <c r="B267" i="2"/>
  <c r="AA266" i="2"/>
  <c r="AB263" i="2"/>
  <c r="AB267" i="2" s="1"/>
  <c r="Y263" i="2"/>
  <c r="Y267" i="2" s="1"/>
  <c r="X263" i="2"/>
  <c r="X267" i="2" s="1"/>
  <c r="M263" i="2"/>
  <c r="P263" i="2" s="1"/>
  <c r="J263" i="2"/>
  <c r="L260" i="2"/>
  <c r="B260" i="2"/>
  <c r="AA259" i="2"/>
  <c r="AB256" i="2"/>
  <c r="Y256" i="2"/>
  <c r="X256" i="2"/>
  <c r="M256" i="2"/>
  <c r="P256" i="2" s="1"/>
  <c r="Q256" i="2" s="1"/>
  <c r="J256" i="2"/>
  <c r="AB255" i="2"/>
  <c r="Y255" i="2"/>
  <c r="X255" i="2"/>
  <c r="M255" i="2"/>
  <c r="P255" i="2" s="1"/>
  <c r="J255" i="2"/>
  <c r="L252" i="2"/>
  <c r="AA251" i="2"/>
  <c r="J251" i="2"/>
  <c r="K251" i="2" s="1"/>
  <c r="P251" i="2" s="1"/>
  <c r="AB248" i="2"/>
  <c r="Y248" i="2"/>
  <c r="X248" i="2"/>
  <c r="M248" i="2"/>
  <c r="P248" i="2" s="1"/>
  <c r="U248" i="2" s="1"/>
  <c r="B248" i="2"/>
  <c r="Y247" i="2"/>
  <c r="Y252" i="2" s="1"/>
  <c r="X247" i="2"/>
  <c r="M247" i="2"/>
  <c r="P247" i="2" s="1"/>
  <c r="B247" i="2"/>
  <c r="B252" i="2" s="1"/>
  <c r="AB246" i="2"/>
  <c r="Y246" i="2"/>
  <c r="X246" i="2"/>
  <c r="K246" i="2"/>
  <c r="M246" i="2" s="1"/>
  <c r="AB243" i="2"/>
  <c r="W243" i="2"/>
  <c r="L243" i="2"/>
  <c r="B243" i="2"/>
  <c r="P242" i="2"/>
  <c r="Z239" i="2"/>
  <c r="Y239" i="2"/>
  <c r="X239" i="2"/>
  <c r="U239" i="2"/>
  <c r="T239" i="2"/>
  <c r="S239" i="2"/>
  <c r="R239" i="2"/>
  <c r="Q239" i="2"/>
  <c r="O239" i="2"/>
  <c r="M239" i="2"/>
  <c r="Z238" i="2"/>
  <c r="Y238" i="2"/>
  <c r="X238" i="2"/>
  <c r="U238" i="2"/>
  <c r="T238" i="2"/>
  <c r="S238" i="2"/>
  <c r="R238" i="2"/>
  <c r="Q238" i="2"/>
  <c r="O238" i="2"/>
  <c r="M238" i="2"/>
  <c r="Y237" i="2"/>
  <c r="X237" i="2"/>
  <c r="M237" i="2"/>
  <c r="P237" i="2" s="1"/>
  <c r="R237" i="2" s="1"/>
  <c r="M236" i="2"/>
  <c r="P236" i="2" s="1"/>
  <c r="L233" i="2"/>
  <c r="B233" i="2"/>
  <c r="AA232" i="2"/>
  <c r="AB229" i="2"/>
  <c r="Y229" i="2"/>
  <c r="X229" i="2"/>
  <c r="K229" i="2"/>
  <c r="J229" i="2"/>
  <c r="AB228" i="2"/>
  <c r="Y228" i="2"/>
  <c r="X228" i="2"/>
  <c r="M228" i="2"/>
  <c r="P228" i="2" s="1"/>
  <c r="J228" i="2"/>
  <c r="AB227" i="2"/>
  <c r="Y227" i="2"/>
  <c r="X227" i="2"/>
  <c r="M227" i="2"/>
  <c r="P227" i="2" s="1"/>
  <c r="J227" i="2"/>
  <c r="BL277" i="4" s="1"/>
  <c r="AB226" i="2"/>
  <c r="Y226" i="2"/>
  <c r="X226" i="2"/>
  <c r="M226" i="2"/>
  <c r="P226" i="2" s="1"/>
  <c r="J226" i="2"/>
  <c r="BL276" i="4" s="1"/>
  <c r="L223" i="2"/>
  <c r="B223" i="2"/>
  <c r="AA222" i="2"/>
  <c r="AB219" i="2"/>
  <c r="Z219" i="2"/>
  <c r="Y219" i="2"/>
  <c r="X219" i="2"/>
  <c r="W219" i="2"/>
  <c r="U219" i="2"/>
  <c r="T219" i="2"/>
  <c r="S219" i="2"/>
  <c r="R219" i="2"/>
  <c r="Q219" i="2"/>
  <c r="J219" i="2"/>
  <c r="AB218" i="2"/>
  <c r="Y218" i="2"/>
  <c r="X218" i="2"/>
  <c r="M218" i="2"/>
  <c r="P218" i="2" s="1"/>
  <c r="J218" i="2"/>
  <c r="BL411" i="4" s="1"/>
  <c r="AB217" i="2"/>
  <c r="Y217" i="2"/>
  <c r="X217" i="2"/>
  <c r="M217" i="2"/>
  <c r="P217" i="2" s="1"/>
  <c r="J217" i="2"/>
  <c r="BL410" i="4" s="1"/>
  <c r="AB216" i="2"/>
  <c r="Y216" i="2"/>
  <c r="X216" i="2"/>
  <c r="M216" i="2"/>
  <c r="P216" i="2" s="1"/>
  <c r="J216" i="2"/>
  <c r="AB215" i="2"/>
  <c r="Y215" i="2"/>
  <c r="X215" i="2"/>
  <c r="M215" i="2"/>
  <c r="P215" i="2" s="1"/>
  <c r="J215" i="2"/>
  <c r="AB212" i="2"/>
  <c r="B212" i="2"/>
  <c r="AA211" i="2"/>
  <c r="Y207" i="2"/>
  <c r="Y212" i="2" s="1"/>
  <c r="X207" i="2"/>
  <c r="X212" i="2" s="1"/>
  <c r="P207" i="2"/>
  <c r="J207" i="2"/>
  <c r="Y204" i="2"/>
  <c r="X204" i="2"/>
  <c r="L204" i="2"/>
  <c r="B204" i="2"/>
  <c r="AB201" i="2"/>
  <c r="AB200" i="2"/>
  <c r="M200" i="2"/>
  <c r="P200" i="2" s="1"/>
  <c r="AB199" i="2"/>
  <c r="AB198" i="2"/>
  <c r="AB197" i="2"/>
  <c r="K196" i="2"/>
  <c r="M196" i="2" s="1"/>
  <c r="AB193" i="2"/>
  <c r="AA193" i="2"/>
  <c r="Z193" i="2"/>
  <c r="Y193" i="2"/>
  <c r="X193" i="2"/>
  <c r="W193" i="2"/>
  <c r="V193" i="2"/>
  <c r="U193" i="2"/>
  <c r="T193" i="2"/>
  <c r="S193" i="2"/>
  <c r="R193" i="2"/>
  <c r="Q193" i="2"/>
  <c r="P193" i="2"/>
  <c r="L193" i="2"/>
  <c r="B193" i="2"/>
  <c r="Y188" i="2"/>
  <c r="X188" i="2"/>
  <c r="L188" i="2"/>
  <c r="B188" i="2"/>
  <c r="K185" i="2"/>
  <c r="M185" i="2" s="1"/>
  <c r="K184" i="2"/>
  <c r="M184" i="2" s="1"/>
  <c r="P184" i="2" s="1"/>
  <c r="K183" i="2"/>
  <c r="AB182" i="2"/>
  <c r="AB188" i="2" s="1"/>
  <c r="K182" i="2"/>
  <c r="L179" i="2"/>
  <c r="B179" i="2"/>
  <c r="AB176" i="2"/>
  <c r="K176" i="2"/>
  <c r="M176" i="2" s="1"/>
  <c r="AB175" i="2"/>
  <c r="K175" i="2"/>
  <c r="M175" i="2" s="1"/>
  <c r="AB174" i="2"/>
  <c r="K174" i="2"/>
  <c r="M174" i="2" s="1"/>
  <c r="P174" i="2" s="1"/>
  <c r="K173" i="2"/>
  <c r="AB172" i="2"/>
  <c r="K172" i="2"/>
  <c r="AB171" i="2"/>
  <c r="K171" i="2"/>
  <c r="Y170" i="2"/>
  <c r="Y179" i="2" s="1"/>
  <c r="X170" i="2"/>
  <c r="X179" i="2" s="1"/>
  <c r="M170" i="2"/>
  <c r="P170" i="2" s="1"/>
  <c r="AB167" i="2"/>
  <c r="W167" i="2"/>
  <c r="L167" i="2"/>
  <c r="B167" i="2"/>
  <c r="Y165" i="2"/>
  <c r="X165" i="2"/>
  <c r="M165" i="2"/>
  <c r="P165" i="2" s="1"/>
  <c r="Y164" i="2"/>
  <c r="X164" i="2"/>
  <c r="M164" i="2"/>
  <c r="P164" i="2" s="1"/>
  <c r="Y163" i="2"/>
  <c r="X163" i="2"/>
  <c r="M163" i="2"/>
  <c r="P163" i="2" s="1"/>
  <c r="U163" i="2" s="1"/>
  <c r="M162" i="2"/>
  <c r="P162" i="2" s="1"/>
  <c r="AD161" i="2"/>
  <c r="AE161" i="2" s="1"/>
  <c r="AE160" i="2"/>
  <c r="AB160" i="2"/>
  <c r="Y160" i="2"/>
  <c r="X160" i="2"/>
  <c r="W160" i="2"/>
  <c r="L160" i="2"/>
  <c r="B160" i="2"/>
  <c r="K158" i="2"/>
  <c r="M158" i="2" s="1"/>
  <c r="P158" i="2" s="1"/>
  <c r="T158" i="2" s="1"/>
  <c r="K157" i="2"/>
  <c r="K156" i="2"/>
  <c r="M156" i="2" s="1"/>
  <c r="K155" i="2"/>
  <c r="M155" i="2" s="1"/>
  <c r="P155" i="2" s="1"/>
  <c r="AA154" i="2"/>
  <c r="K154" i="2"/>
  <c r="M154" i="2" s="1"/>
  <c r="P154" i="2" s="1"/>
  <c r="Y151" i="2"/>
  <c r="X151" i="2"/>
  <c r="W151" i="2"/>
  <c r="P149" i="2"/>
  <c r="T149" i="2" s="1"/>
  <c r="T151" i="2" s="1"/>
  <c r="Z146" i="2"/>
  <c r="Y146" i="2"/>
  <c r="X146" i="2"/>
  <c r="W146" i="2"/>
  <c r="S146" i="2"/>
  <c r="B146" i="2"/>
  <c r="AB145" i="2"/>
  <c r="Y145" i="2"/>
  <c r="X145" i="2"/>
  <c r="AB144" i="2"/>
  <c r="AB146" i="2" s="1"/>
  <c r="AA144" i="2"/>
  <c r="AA146" i="2" s="1"/>
  <c r="B141" i="2"/>
  <c r="AA140" i="2"/>
  <c r="P140" i="2"/>
  <c r="Y139" i="2"/>
  <c r="X139" i="2"/>
  <c r="W139" i="2"/>
  <c r="W141" i="2" s="1"/>
  <c r="P139" i="2"/>
  <c r="AB139" i="2" s="1"/>
  <c r="Y138" i="2"/>
  <c r="Y141" i="2" s="1"/>
  <c r="X138" i="2"/>
  <c r="M138" i="2"/>
  <c r="P138" i="2" s="1"/>
  <c r="L125" i="2"/>
  <c r="B125" i="2"/>
  <c r="AA124" i="2"/>
  <c r="U124" i="2"/>
  <c r="R124" i="2"/>
  <c r="Q124" i="2"/>
  <c r="AB122" i="2"/>
  <c r="Y122" i="2"/>
  <c r="X122" i="2"/>
  <c r="M122" i="2"/>
  <c r="P122" i="2" s="1"/>
  <c r="J122" i="2"/>
  <c r="AB121" i="2"/>
  <c r="Y121" i="2"/>
  <c r="X121" i="2"/>
  <c r="M121" i="2"/>
  <c r="P121" i="2" s="1"/>
  <c r="J121" i="2"/>
  <c r="L118" i="2"/>
  <c r="B118" i="2"/>
  <c r="AA117" i="2"/>
  <c r="U117" i="2"/>
  <c r="R117" i="2"/>
  <c r="Q117" i="2"/>
  <c r="AB115" i="2"/>
  <c r="Y115" i="2"/>
  <c r="X115" i="2"/>
  <c r="M115" i="2"/>
  <c r="P115" i="2" s="1"/>
  <c r="J115" i="2"/>
  <c r="BL212" i="4" s="1"/>
  <c r="AB114" i="2"/>
  <c r="Y114" i="2"/>
  <c r="X114" i="2"/>
  <c r="M114" i="2"/>
  <c r="P114" i="2" s="1"/>
  <c r="R114" i="2" s="1"/>
  <c r="J114" i="2"/>
  <c r="D114" i="2"/>
  <c r="D115" i="2" s="1"/>
  <c r="AB113" i="2"/>
  <c r="Y113" i="2"/>
  <c r="X113" i="2"/>
  <c r="M113" i="2"/>
  <c r="P113" i="2" s="1"/>
  <c r="J113" i="2"/>
  <c r="L110" i="2"/>
  <c r="B110" i="2"/>
  <c r="AA109" i="2"/>
  <c r="U109" i="2"/>
  <c r="R109" i="2"/>
  <c r="Q109" i="2"/>
  <c r="AB107" i="2"/>
  <c r="Y107" i="2"/>
  <c r="X107" i="2"/>
  <c r="M107" i="2"/>
  <c r="P107" i="2" s="1"/>
  <c r="J107" i="2"/>
  <c r="BL194" i="4" s="1"/>
  <c r="AB106" i="2"/>
  <c r="Y106" i="2"/>
  <c r="X106" i="2"/>
  <c r="M106" i="2"/>
  <c r="P106" i="2" s="1"/>
  <c r="J106" i="2"/>
  <c r="L103" i="2"/>
  <c r="AA102" i="2"/>
  <c r="U102" i="2"/>
  <c r="R102" i="2"/>
  <c r="Q102" i="2"/>
  <c r="J102" i="2"/>
  <c r="K102" i="2" s="1"/>
  <c r="B101" i="2"/>
  <c r="B100" i="2"/>
  <c r="B99" i="2"/>
  <c r="B98" i="2"/>
  <c r="AB97" i="2"/>
  <c r="Y97" i="2"/>
  <c r="X97" i="2"/>
  <c r="J97" i="2"/>
  <c r="AB96" i="2"/>
  <c r="Z96" i="2"/>
  <c r="Y96" i="2"/>
  <c r="X96" i="2"/>
  <c r="M96" i="2"/>
  <c r="P96" i="2" s="1"/>
  <c r="J96" i="2"/>
  <c r="AB95" i="2"/>
  <c r="Y95" i="2"/>
  <c r="X95" i="2"/>
  <c r="M95" i="2"/>
  <c r="P95" i="2" s="1"/>
  <c r="S95" i="2" s="1"/>
  <c r="J95" i="2"/>
  <c r="AB94" i="2"/>
  <c r="Y94" i="2"/>
  <c r="X94" i="2"/>
  <c r="M94" i="2"/>
  <c r="P94" i="2" s="1"/>
  <c r="T94" i="2" s="1"/>
  <c r="J94" i="2"/>
  <c r="AB93" i="2"/>
  <c r="Y93" i="2"/>
  <c r="X93" i="2"/>
  <c r="M93" i="2"/>
  <c r="P93" i="2" s="1"/>
  <c r="Q93" i="2" s="1"/>
  <c r="J93" i="2"/>
  <c r="AB92" i="2"/>
  <c r="Y92" i="2"/>
  <c r="X92" i="2"/>
  <c r="M92" i="2"/>
  <c r="P92" i="2" s="1"/>
  <c r="T92" i="2" s="1"/>
  <c r="J92" i="2"/>
  <c r="AB91" i="2"/>
  <c r="Y91" i="2"/>
  <c r="X91" i="2"/>
  <c r="M91" i="2"/>
  <c r="P91" i="2" s="1"/>
  <c r="J91" i="2"/>
  <c r="AB90" i="2"/>
  <c r="Y90" i="2"/>
  <c r="X90" i="2"/>
  <c r="M90" i="2"/>
  <c r="P90" i="2" s="1"/>
  <c r="J90" i="2"/>
  <c r="AB89" i="2"/>
  <c r="Y89" i="2"/>
  <c r="X89" i="2"/>
  <c r="M89" i="2"/>
  <c r="P89" i="2" s="1"/>
  <c r="J89" i="2"/>
  <c r="D89" i="2"/>
  <c r="D90" i="2" s="1"/>
  <c r="D91" i="2" s="1"/>
  <c r="D92" i="2" s="1"/>
  <c r="D93" i="2" s="1"/>
  <c r="D94" i="2" s="1"/>
  <c r="D95" i="2" s="1"/>
  <c r="D96" i="2" s="1"/>
  <c r="D97" i="2" s="1"/>
  <c r="L86" i="2"/>
  <c r="AA85" i="2"/>
  <c r="B84" i="2"/>
  <c r="B83" i="2"/>
  <c r="B82" i="2"/>
  <c r="B81" i="2"/>
  <c r="Y80" i="2"/>
  <c r="X80" i="2"/>
  <c r="W80" i="2"/>
  <c r="P80" i="2"/>
  <c r="AB80" i="2" s="1"/>
  <c r="AB78" i="2"/>
  <c r="Y78" i="2"/>
  <c r="X78" i="2"/>
  <c r="J78" i="2"/>
  <c r="AB77" i="2"/>
  <c r="Y77" i="2"/>
  <c r="X77" i="2"/>
  <c r="J77" i="2"/>
  <c r="AB76" i="2"/>
  <c r="Y76" i="2"/>
  <c r="X76" i="2"/>
  <c r="J76" i="2"/>
  <c r="AB75" i="2"/>
  <c r="Y75" i="2"/>
  <c r="X75" i="2"/>
  <c r="J75" i="2"/>
  <c r="AB74" i="2"/>
  <c r="Y74" i="2"/>
  <c r="X74" i="2"/>
  <c r="M74" i="2"/>
  <c r="P74" i="2" s="1"/>
  <c r="J74" i="2"/>
  <c r="AB73" i="2"/>
  <c r="Y73" i="2"/>
  <c r="X73" i="2"/>
  <c r="M73" i="2"/>
  <c r="P73" i="2" s="1"/>
  <c r="AB72" i="2"/>
  <c r="Y72" i="2"/>
  <c r="X72" i="2"/>
  <c r="M72" i="2"/>
  <c r="P72" i="2" s="1"/>
  <c r="R72" i="2" s="1"/>
  <c r="J72" i="2"/>
  <c r="AB71" i="2"/>
  <c r="Y71" i="2"/>
  <c r="X71" i="2"/>
  <c r="M71" i="2"/>
  <c r="P71" i="2" s="1"/>
  <c r="J71" i="2"/>
  <c r="D71" i="2"/>
  <c r="D72" i="2" s="1"/>
  <c r="D73" i="2" s="1"/>
  <c r="D74" i="2" s="1"/>
  <c r="D75" i="2" s="1"/>
  <c r="D76" i="2" s="1"/>
  <c r="D77" i="2" s="1"/>
  <c r="D78" i="2" s="1"/>
  <c r="J69" i="2"/>
  <c r="L68" i="2"/>
  <c r="AB67" i="2"/>
  <c r="Y67" i="2"/>
  <c r="X67" i="2"/>
  <c r="W67" i="2"/>
  <c r="B66" i="2"/>
  <c r="B65" i="2"/>
  <c r="B64" i="2"/>
  <c r="Y63" i="2"/>
  <c r="X63" i="2"/>
  <c r="W63" i="2"/>
  <c r="P63" i="2"/>
  <c r="AB61" i="2"/>
  <c r="Y61" i="2"/>
  <c r="X61" i="2"/>
  <c r="M61" i="2"/>
  <c r="P61" i="2" s="1"/>
  <c r="Q61" i="2" s="1"/>
  <c r="J61" i="2"/>
  <c r="AB60" i="2"/>
  <c r="Y60" i="2"/>
  <c r="X60" i="2"/>
  <c r="M60" i="2"/>
  <c r="P60" i="2" s="1"/>
  <c r="Q60" i="2" s="1"/>
  <c r="J60" i="2"/>
  <c r="AB59" i="2"/>
  <c r="Y59" i="2"/>
  <c r="X59" i="2"/>
  <c r="M59" i="2"/>
  <c r="P59" i="2" s="1"/>
  <c r="O59" i="2" s="1"/>
  <c r="J59" i="2"/>
  <c r="AB58" i="2"/>
  <c r="Y58" i="2"/>
  <c r="X58" i="2"/>
  <c r="M58" i="2"/>
  <c r="P58" i="2" s="1"/>
  <c r="S58" i="2" s="1"/>
  <c r="J58" i="2"/>
  <c r="Y57" i="2"/>
  <c r="X57" i="2"/>
  <c r="M57" i="2"/>
  <c r="P57" i="2" s="1"/>
  <c r="S57" i="2" s="1"/>
  <c r="J57" i="2"/>
  <c r="AB56" i="2"/>
  <c r="Y56" i="2"/>
  <c r="X56" i="2"/>
  <c r="M56" i="2"/>
  <c r="P56" i="2" s="1"/>
  <c r="J56" i="2"/>
  <c r="AB55" i="2"/>
  <c r="Y55" i="2"/>
  <c r="X55" i="2"/>
  <c r="M55" i="2"/>
  <c r="P55" i="2" s="1"/>
  <c r="J55" i="2"/>
  <c r="AB54" i="2"/>
  <c r="Y54" i="2"/>
  <c r="X54" i="2"/>
  <c r="M54" i="2"/>
  <c r="P54" i="2" s="1"/>
  <c r="Z54" i="2" s="1"/>
  <c r="J54" i="2"/>
  <c r="AB53" i="2"/>
  <c r="Y53" i="2"/>
  <c r="X53" i="2"/>
  <c r="M53" i="2"/>
  <c r="P53" i="2" s="1"/>
  <c r="W53" i="2" s="1"/>
  <c r="J53" i="2"/>
  <c r="AB52" i="2"/>
  <c r="Y52" i="2"/>
  <c r="X52" i="2"/>
  <c r="M52" i="2"/>
  <c r="P52" i="2" s="1"/>
  <c r="J52" i="2"/>
  <c r="Y51" i="2"/>
  <c r="X51" i="2"/>
  <c r="M51" i="2"/>
  <c r="P51" i="2" s="1"/>
  <c r="AB50" i="2"/>
  <c r="Y50" i="2"/>
  <c r="X50" i="2"/>
  <c r="M50" i="2"/>
  <c r="P50" i="2" s="1"/>
  <c r="J50" i="2"/>
  <c r="AB49" i="2"/>
  <c r="Y49" i="2"/>
  <c r="X49" i="2"/>
  <c r="M49" i="2"/>
  <c r="P49" i="2" s="1"/>
  <c r="J49" i="2"/>
  <c r="D49" i="2"/>
  <c r="D50" i="2" s="1"/>
  <c r="D51" i="2" s="1"/>
  <c r="D52" i="2" s="1"/>
  <c r="D53" i="2" s="1"/>
  <c r="D54" i="2" s="1"/>
  <c r="D55" i="2" s="1"/>
  <c r="D56" i="2" s="1"/>
  <c r="D57" i="2" s="1"/>
  <c r="D58" i="2" s="1"/>
  <c r="D59" i="2" s="1"/>
  <c r="D60" i="2" s="1"/>
  <c r="D61" i="2" s="1"/>
  <c r="AB48" i="2"/>
  <c r="Y48" i="2"/>
  <c r="X48" i="2"/>
  <c r="M48" i="2"/>
  <c r="P48" i="2" s="1"/>
  <c r="J48" i="2"/>
  <c r="D48" i="2"/>
  <c r="L45" i="2"/>
  <c r="AB44" i="2"/>
  <c r="Y44" i="2"/>
  <c r="X44" i="2"/>
  <c r="W44" i="2"/>
  <c r="B43" i="2"/>
  <c r="B42" i="2"/>
  <c r="B41" i="2"/>
  <c r="B40" i="2"/>
  <c r="B39" i="2"/>
  <c r="B38" i="2"/>
  <c r="AB36" i="2"/>
  <c r="Y36" i="2"/>
  <c r="X36" i="2"/>
  <c r="M36" i="2"/>
  <c r="P36" i="2" s="1"/>
  <c r="Q36" i="2" s="1"/>
  <c r="J36" i="2"/>
  <c r="Y35" i="2"/>
  <c r="X35" i="2"/>
  <c r="M35" i="2"/>
  <c r="P35" i="2" s="1"/>
  <c r="J35" i="2"/>
  <c r="Y34" i="2"/>
  <c r="X34" i="2"/>
  <c r="M34" i="2"/>
  <c r="P34" i="2" s="1"/>
  <c r="J34" i="2"/>
  <c r="AB33" i="2"/>
  <c r="AB34" i="2" s="1"/>
  <c r="AB35" i="2" s="1"/>
  <c r="Y33" i="2"/>
  <c r="X33" i="2"/>
  <c r="M33" i="2"/>
  <c r="P33" i="2" s="1"/>
  <c r="J33" i="2"/>
  <c r="Y32" i="2"/>
  <c r="X32" i="2"/>
  <c r="M32" i="2"/>
  <c r="P32" i="2" s="1"/>
  <c r="J32" i="2"/>
  <c r="Y31" i="2"/>
  <c r="X31" i="2"/>
  <c r="M31" i="2"/>
  <c r="P31" i="2" s="1"/>
  <c r="J31" i="2"/>
  <c r="AB30" i="2"/>
  <c r="AB31" i="2" s="1"/>
  <c r="AB32" i="2" s="1"/>
  <c r="Y30" i="2"/>
  <c r="X30" i="2"/>
  <c r="K30" i="2"/>
  <c r="M30" i="2" s="1"/>
  <c r="P30" i="2" s="1"/>
  <c r="J30" i="2"/>
  <c r="AB29" i="2"/>
  <c r="Y29" i="2"/>
  <c r="X29" i="2"/>
  <c r="M29" i="2"/>
  <c r="P29" i="2" s="1"/>
  <c r="T29" i="2" s="1"/>
  <c r="J29" i="2"/>
  <c r="Y28" i="2"/>
  <c r="X28" i="2"/>
  <c r="M28" i="2"/>
  <c r="P28" i="2" s="1"/>
  <c r="Q28" i="2" s="1"/>
  <c r="J28" i="2"/>
  <c r="AB27" i="2"/>
  <c r="AB28" i="2" s="1"/>
  <c r="Y27" i="2"/>
  <c r="X27" i="2"/>
  <c r="M27" i="2"/>
  <c r="P27" i="2" s="1"/>
  <c r="T27" i="2" s="1"/>
  <c r="J27" i="2"/>
  <c r="AB26" i="2"/>
  <c r="Y26" i="2"/>
  <c r="X26" i="2"/>
  <c r="M26" i="2"/>
  <c r="P26" i="2" s="1"/>
  <c r="J26" i="2"/>
  <c r="D26" i="2"/>
  <c r="D27" i="2" s="1"/>
  <c r="D28" i="2" s="1"/>
  <c r="D29" i="2" s="1"/>
  <c r="D30" i="2" s="1"/>
  <c r="D31" i="2" s="1"/>
  <c r="D32" i="2" s="1"/>
  <c r="D33" i="2" s="1"/>
  <c r="D34" i="2" s="1"/>
  <c r="D35" i="2" s="1"/>
  <c r="D36" i="2" s="1"/>
  <c r="AB25" i="2"/>
  <c r="Y25" i="2"/>
  <c r="X25" i="2"/>
  <c r="M25" i="2"/>
  <c r="P25" i="2" s="1"/>
  <c r="J25" i="2"/>
  <c r="Y24" i="2"/>
  <c r="X24" i="2"/>
  <c r="M24" i="2"/>
  <c r="P24" i="2" s="1"/>
  <c r="AB23" i="2"/>
  <c r="Y23" i="2"/>
  <c r="X23" i="2"/>
  <c r="M23" i="2"/>
  <c r="P23" i="2" s="1"/>
  <c r="J23" i="2"/>
  <c r="Y22" i="2"/>
  <c r="X22" i="2"/>
  <c r="M22" i="2"/>
  <c r="P22" i="2" s="1"/>
  <c r="J22" i="2"/>
  <c r="AB21" i="2"/>
  <c r="AB22" i="2" s="1"/>
  <c r="Y21" i="2"/>
  <c r="X21" i="2"/>
  <c r="M21" i="2"/>
  <c r="P21" i="2" s="1"/>
  <c r="J21" i="2"/>
  <c r="AB20" i="2"/>
  <c r="Y20" i="2"/>
  <c r="X20" i="2"/>
  <c r="T20" i="2"/>
  <c r="M20" i="2"/>
  <c r="P20" i="2" s="1"/>
  <c r="J20" i="2"/>
  <c r="AB19" i="2"/>
  <c r="Y19" i="2"/>
  <c r="X19" i="2"/>
  <c r="M19" i="2"/>
  <c r="P19" i="2" s="1"/>
  <c r="J19" i="2"/>
  <c r="AB18" i="2"/>
  <c r="Y18" i="2"/>
  <c r="X18" i="2"/>
  <c r="M18" i="2"/>
  <c r="P18" i="2" s="1"/>
  <c r="T18" i="2" s="1"/>
  <c r="J18" i="2"/>
  <c r="AB17" i="2"/>
  <c r="Y17" i="2"/>
  <c r="X17" i="2"/>
  <c r="M17" i="2"/>
  <c r="P17" i="2" s="1"/>
  <c r="J17" i="2"/>
  <c r="AB16" i="2"/>
  <c r="Y16" i="2"/>
  <c r="X16" i="2"/>
  <c r="M16" i="2"/>
  <c r="P16" i="2" s="1"/>
  <c r="J16" i="2"/>
  <c r="AB15" i="2"/>
  <c r="Y15" i="2"/>
  <c r="X15" i="2"/>
  <c r="M15" i="2"/>
  <c r="P15" i="2" s="1"/>
  <c r="J15" i="2"/>
  <c r="AB14" i="2"/>
  <c r="Y14" i="2"/>
  <c r="X14" i="2"/>
  <c r="M14" i="2"/>
  <c r="P14" i="2" s="1"/>
  <c r="J14" i="2"/>
  <c r="Y13" i="2"/>
  <c r="X13" i="2"/>
  <c r="M13" i="2"/>
  <c r="P13" i="2" s="1"/>
  <c r="U13" i="2" s="1"/>
  <c r="J13" i="2"/>
  <c r="AB12" i="2"/>
  <c r="AB13" i="2" s="1"/>
  <c r="Y12" i="2"/>
  <c r="X12" i="2"/>
  <c r="M12" i="2"/>
  <c r="P12" i="2" s="1"/>
  <c r="J12" i="2"/>
  <c r="Y11" i="2"/>
  <c r="X11" i="2"/>
  <c r="M11" i="2"/>
  <c r="P11" i="2" s="1"/>
  <c r="Q11" i="2" s="1"/>
  <c r="J11" i="2"/>
  <c r="Y10" i="2"/>
  <c r="X10" i="2"/>
  <c r="M10" i="2"/>
  <c r="P10" i="2" s="1"/>
  <c r="J10" i="2"/>
  <c r="AB9" i="2"/>
  <c r="AB10" i="2" s="1"/>
  <c r="AB11" i="2" s="1"/>
  <c r="Y9" i="2"/>
  <c r="X9" i="2"/>
  <c r="M9" i="2"/>
  <c r="P9" i="2" s="1"/>
  <c r="U9" i="2" s="1"/>
  <c r="J9" i="2"/>
  <c r="AB8" i="2"/>
  <c r="Y8" i="2"/>
  <c r="X8" i="2"/>
  <c r="M8" i="2"/>
  <c r="P8" i="2" s="1"/>
  <c r="S8" i="2" s="1"/>
  <c r="J8" i="2"/>
  <c r="Y7" i="2"/>
  <c r="X7" i="2"/>
  <c r="M7" i="2"/>
  <c r="P7" i="2" s="1"/>
  <c r="J7" i="2"/>
  <c r="Y6" i="2"/>
  <c r="X6" i="2"/>
  <c r="M6" i="2"/>
  <c r="P6" i="2" s="1"/>
  <c r="J6" i="2"/>
  <c r="AB5" i="2"/>
  <c r="AB6" i="2" s="1"/>
  <c r="AB7" i="2" s="1"/>
  <c r="Y5" i="2"/>
  <c r="X5" i="2"/>
  <c r="M5" i="2"/>
  <c r="P5" i="2" s="1"/>
  <c r="J5" i="2"/>
  <c r="D5" i="2"/>
  <c r="D6" i="2" s="1"/>
  <c r="D7" i="2" s="1"/>
  <c r="D8" i="2" s="1"/>
  <c r="D9" i="2" s="1"/>
  <c r="D10" i="2" s="1"/>
  <c r="D11" i="2" s="1"/>
  <c r="D12" i="2" s="1"/>
  <c r="D13" i="2" s="1"/>
  <c r="D14" i="2" s="1"/>
  <c r="D15" i="2" s="1"/>
  <c r="D16" i="2" s="1"/>
  <c r="D17" i="2" s="1"/>
  <c r="D18" i="2" s="1"/>
  <c r="D19" i="2" s="1"/>
  <c r="D20" i="2" s="1"/>
  <c r="D21" i="2" s="1"/>
  <c r="D22" i="2" s="1"/>
  <c r="D23" i="2" s="1"/>
  <c r="BT696" i="1"/>
  <c r="BS696" i="1"/>
  <c r="BS364" i="1" s="1"/>
  <c r="BR696" i="1"/>
  <c r="BR174" i="1" s="1"/>
  <c r="BE174" i="1" s="1"/>
  <c r="BQ696" i="1"/>
  <c r="BP696" i="1"/>
  <c r="BO696" i="1"/>
  <c r="BO233" i="1" s="1"/>
  <c r="BB233" i="1" s="1"/>
  <c r="BN696" i="1"/>
  <c r="BN234" i="1" s="1"/>
  <c r="BA234" i="1" s="1"/>
  <c r="BM696" i="1"/>
  <c r="BM175" i="1" s="1"/>
  <c r="AZ175" i="1" s="1"/>
  <c r="BL696" i="1"/>
  <c r="BK696" i="1"/>
  <c r="BK451" i="1" s="1"/>
  <c r="AX451" i="1" s="1"/>
  <c r="BJ696" i="1"/>
  <c r="BJ451" i="1" s="1"/>
  <c r="AW451" i="1" s="1"/>
  <c r="BI696" i="1"/>
  <c r="BI176" i="1" s="1"/>
  <c r="AV176" i="1" s="1"/>
  <c r="H681" i="1"/>
  <c r="E681" i="1"/>
  <c r="BT679" i="1"/>
  <c r="BS679" i="1"/>
  <c r="BR679" i="1"/>
  <c r="BE679" i="1" s="1"/>
  <c r="BQ679" i="1"/>
  <c r="BD679" i="1" s="1"/>
  <c r="BP679" i="1"/>
  <c r="BC679" i="1" s="1"/>
  <c r="BO679" i="1"/>
  <c r="BB679" i="1" s="1"/>
  <c r="BN679" i="1"/>
  <c r="BA679" i="1" s="1"/>
  <c r="BM679" i="1"/>
  <c r="AZ679" i="1" s="1"/>
  <c r="BL679" i="1"/>
  <c r="AY679" i="1" s="1"/>
  <c r="BK679" i="1"/>
  <c r="AX679" i="1" s="1"/>
  <c r="BJ679" i="1"/>
  <c r="BI679" i="1"/>
  <c r="AV679" i="1" s="1"/>
  <c r="BG679" i="1"/>
  <c r="BF679" i="1"/>
  <c r="AW679" i="1"/>
  <c r="AL679" i="1"/>
  <c r="AK679" i="1"/>
  <c r="AJ679" i="1"/>
  <c r="AI679" i="1"/>
  <c r="AH679" i="1"/>
  <c r="AG679" i="1"/>
  <c r="AF679" i="1"/>
  <c r="AE679" i="1"/>
  <c r="AD679" i="1"/>
  <c r="AC679" i="1"/>
  <c r="AB679" i="1"/>
  <c r="AA679" i="1"/>
  <c r="BT678" i="1"/>
  <c r="BS678" i="1"/>
  <c r="BR678" i="1"/>
  <c r="BQ678" i="1"/>
  <c r="BP678" i="1"/>
  <c r="BO678" i="1"/>
  <c r="BN678" i="1"/>
  <c r="BM678" i="1"/>
  <c r="BL678" i="1"/>
  <c r="BK678" i="1"/>
  <c r="BJ678" i="1"/>
  <c r="BI678" i="1"/>
  <c r="AV678" i="1" s="1"/>
  <c r="BG678" i="1"/>
  <c r="BF678" i="1"/>
  <c r="BE678" i="1"/>
  <c r="BD678" i="1"/>
  <c r="BC678" i="1"/>
  <c r="BB678" i="1"/>
  <c r="BA678" i="1"/>
  <c r="AZ678" i="1"/>
  <c r="AY678" i="1"/>
  <c r="AX678" i="1"/>
  <c r="AW678" i="1"/>
  <c r="AL678" i="1"/>
  <c r="AK678" i="1"/>
  <c r="AJ678" i="1"/>
  <c r="AI678" i="1"/>
  <c r="AH678" i="1"/>
  <c r="AG678" i="1"/>
  <c r="AF678" i="1"/>
  <c r="AE678" i="1"/>
  <c r="AD678" i="1"/>
  <c r="AC678" i="1"/>
  <c r="AB678" i="1"/>
  <c r="AA678" i="1"/>
  <c r="BT677" i="1"/>
  <c r="BS677" i="1"/>
  <c r="BR677" i="1"/>
  <c r="BQ677" i="1"/>
  <c r="BP677" i="1"/>
  <c r="BO677" i="1"/>
  <c r="BN677" i="1"/>
  <c r="BM677" i="1"/>
  <c r="BL677" i="1"/>
  <c r="BK677" i="1"/>
  <c r="BJ677" i="1"/>
  <c r="BI677" i="1"/>
  <c r="AV677" i="1" s="1"/>
  <c r="BG677" i="1"/>
  <c r="BF677" i="1"/>
  <c r="BE677" i="1"/>
  <c r="BD677" i="1"/>
  <c r="BC677" i="1"/>
  <c r="BB677" i="1"/>
  <c r="BA677" i="1"/>
  <c r="AZ677" i="1"/>
  <c r="AY677" i="1"/>
  <c r="AX677" i="1"/>
  <c r="AW677" i="1"/>
  <c r="AL677" i="1"/>
  <c r="AK677" i="1"/>
  <c r="AJ677" i="1"/>
  <c r="AI677" i="1"/>
  <c r="AH677" i="1"/>
  <c r="AG677" i="1"/>
  <c r="AF677" i="1"/>
  <c r="AE677" i="1"/>
  <c r="AD677" i="1"/>
  <c r="AC677" i="1"/>
  <c r="AB677" i="1"/>
  <c r="AA677" i="1"/>
  <c r="AL676" i="1"/>
  <c r="AK676" i="1"/>
  <c r="AJ676" i="1"/>
  <c r="AI676" i="1"/>
  <c r="AH676" i="1"/>
  <c r="AG676" i="1"/>
  <c r="AF676" i="1"/>
  <c r="AE676" i="1"/>
  <c r="AD676" i="1"/>
  <c r="AC676" i="1"/>
  <c r="AB676" i="1"/>
  <c r="AA676" i="1"/>
  <c r="BT675" i="1"/>
  <c r="BG675" i="1" s="1"/>
  <c r="BS675" i="1"/>
  <c r="BF675" i="1" s="1"/>
  <c r="BR675" i="1"/>
  <c r="BE675" i="1" s="1"/>
  <c r="BQ675" i="1"/>
  <c r="BD675" i="1" s="1"/>
  <c r="BP675" i="1"/>
  <c r="BC675" i="1" s="1"/>
  <c r="BO675" i="1"/>
  <c r="BB675" i="1" s="1"/>
  <c r="BN675" i="1"/>
  <c r="BA675" i="1" s="1"/>
  <c r="BM675" i="1"/>
  <c r="AZ675" i="1" s="1"/>
  <c r="BL675" i="1"/>
  <c r="AY675" i="1" s="1"/>
  <c r="BK675" i="1"/>
  <c r="AX675" i="1" s="1"/>
  <c r="BJ675" i="1"/>
  <c r="AW675" i="1" s="1"/>
  <c r="BI675" i="1"/>
  <c r="AV675" i="1" s="1"/>
  <c r="AL675" i="1"/>
  <c r="AK675" i="1"/>
  <c r="AJ675" i="1"/>
  <c r="AI675" i="1"/>
  <c r="AH675" i="1"/>
  <c r="AG675" i="1"/>
  <c r="AF675" i="1"/>
  <c r="AE675" i="1"/>
  <c r="AD675" i="1"/>
  <c r="AC675" i="1"/>
  <c r="AB675" i="1"/>
  <c r="AA675" i="1"/>
  <c r="BT674" i="1"/>
  <c r="BS674" i="1"/>
  <c r="BR674" i="1"/>
  <c r="BQ674" i="1"/>
  <c r="BP674" i="1"/>
  <c r="BO674" i="1"/>
  <c r="BN674" i="1"/>
  <c r="BM674" i="1"/>
  <c r="BL674" i="1"/>
  <c r="AY674" i="1" s="1"/>
  <c r="BK674" i="1"/>
  <c r="AX674" i="1" s="1"/>
  <c r="BJ674" i="1"/>
  <c r="AW674" i="1" s="1"/>
  <c r="BI674" i="1"/>
  <c r="AV674" i="1" s="1"/>
  <c r="BG674" i="1"/>
  <c r="BF674" i="1"/>
  <c r="BE674" i="1"/>
  <c r="BD674" i="1"/>
  <c r="BC674" i="1"/>
  <c r="BB674" i="1"/>
  <c r="BA674" i="1"/>
  <c r="AZ674" i="1"/>
  <c r="AL674" i="1"/>
  <c r="AK674" i="1"/>
  <c r="AJ674" i="1"/>
  <c r="AI674" i="1"/>
  <c r="AH674" i="1"/>
  <c r="AG674" i="1"/>
  <c r="AF674" i="1"/>
  <c r="AE674" i="1"/>
  <c r="AD674" i="1"/>
  <c r="AC674" i="1"/>
  <c r="AB674" i="1"/>
  <c r="AA674" i="1"/>
  <c r="BT673" i="1"/>
  <c r="BS673" i="1"/>
  <c r="BR673" i="1"/>
  <c r="BE673" i="1" s="1"/>
  <c r="BQ673" i="1"/>
  <c r="BP673" i="1"/>
  <c r="BC673" i="1" s="1"/>
  <c r="BO673" i="1"/>
  <c r="BB673" i="1" s="1"/>
  <c r="BN673" i="1"/>
  <c r="BA673" i="1" s="1"/>
  <c r="BM673" i="1"/>
  <c r="BL673" i="1"/>
  <c r="AY673" i="1" s="1"/>
  <c r="BK673" i="1"/>
  <c r="AX673" i="1" s="1"/>
  <c r="BJ673" i="1"/>
  <c r="AW673" i="1" s="1"/>
  <c r="BI673" i="1"/>
  <c r="AV673" i="1" s="1"/>
  <c r="BG673" i="1"/>
  <c r="BF673" i="1"/>
  <c r="BD673" i="1"/>
  <c r="AZ673" i="1"/>
  <c r="AL673" i="1"/>
  <c r="AK673" i="1"/>
  <c r="AJ673" i="1"/>
  <c r="AI673" i="1"/>
  <c r="AH673" i="1"/>
  <c r="AG673" i="1"/>
  <c r="AF673" i="1"/>
  <c r="AE673" i="1"/>
  <c r="AD673" i="1"/>
  <c r="AC673" i="1"/>
  <c r="AB673" i="1"/>
  <c r="AA673" i="1"/>
  <c r="BT672" i="1"/>
  <c r="BS672" i="1"/>
  <c r="BR672" i="1"/>
  <c r="BQ672" i="1"/>
  <c r="BP672" i="1"/>
  <c r="BO672" i="1"/>
  <c r="BN672" i="1"/>
  <c r="BM672" i="1"/>
  <c r="BL672" i="1"/>
  <c r="AY672" i="1" s="1"/>
  <c r="BK672" i="1"/>
  <c r="AX672" i="1" s="1"/>
  <c r="BJ672" i="1"/>
  <c r="AW672" i="1" s="1"/>
  <c r="BI672" i="1"/>
  <c r="AV672" i="1" s="1"/>
  <c r="BG672" i="1"/>
  <c r="BF672" i="1"/>
  <c r="BE672" i="1"/>
  <c r="BD672" i="1"/>
  <c r="BC672" i="1"/>
  <c r="BB672" i="1"/>
  <c r="BA672" i="1"/>
  <c r="AZ672" i="1"/>
  <c r="AL672" i="1"/>
  <c r="AK672" i="1"/>
  <c r="AJ672" i="1"/>
  <c r="AI672" i="1"/>
  <c r="AH672" i="1"/>
  <c r="AG672" i="1"/>
  <c r="AF672" i="1"/>
  <c r="AE672" i="1"/>
  <c r="AD672" i="1"/>
  <c r="AC672" i="1"/>
  <c r="AB672" i="1"/>
  <c r="AA672" i="1"/>
  <c r="BT671" i="1"/>
  <c r="BS671" i="1"/>
  <c r="BR671" i="1"/>
  <c r="BQ671" i="1"/>
  <c r="BP671" i="1"/>
  <c r="BO671" i="1"/>
  <c r="BN671" i="1"/>
  <c r="BM671" i="1"/>
  <c r="BL671" i="1"/>
  <c r="AY671" i="1" s="1"/>
  <c r="BK671" i="1"/>
  <c r="AX671" i="1" s="1"/>
  <c r="BJ671" i="1"/>
  <c r="AW671" i="1" s="1"/>
  <c r="BI671" i="1"/>
  <c r="AV671" i="1" s="1"/>
  <c r="BG671" i="1"/>
  <c r="BF671" i="1"/>
  <c r="BE671" i="1"/>
  <c r="BD671" i="1"/>
  <c r="BC671" i="1"/>
  <c r="BB671" i="1"/>
  <c r="BA671" i="1"/>
  <c r="AZ671" i="1"/>
  <c r="AL671" i="1"/>
  <c r="AK671" i="1"/>
  <c r="AJ671" i="1"/>
  <c r="AI671" i="1"/>
  <c r="AH671" i="1"/>
  <c r="AG671" i="1"/>
  <c r="AF671" i="1"/>
  <c r="AE671" i="1"/>
  <c r="AD671" i="1"/>
  <c r="AC671" i="1"/>
  <c r="AB671" i="1"/>
  <c r="AA671" i="1"/>
  <c r="H668" i="1"/>
  <c r="E668" i="1"/>
  <c r="AL666" i="1"/>
  <c r="AK666" i="1"/>
  <c r="AJ666" i="1"/>
  <c r="AI666" i="1"/>
  <c r="AH666" i="1"/>
  <c r="AG666" i="1"/>
  <c r="AF666" i="1"/>
  <c r="AE666" i="1"/>
  <c r="AD666" i="1"/>
  <c r="AC666" i="1"/>
  <c r="AB666" i="1"/>
  <c r="AA666" i="1"/>
  <c r="BT665" i="1"/>
  <c r="BS665" i="1"/>
  <c r="BR665" i="1"/>
  <c r="BQ665" i="1"/>
  <c r="BP665" i="1"/>
  <c r="BO665" i="1"/>
  <c r="BN665" i="1"/>
  <c r="BM665" i="1"/>
  <c r="BL665" i="1"/>
  <c r="BK665" i="1"/>
  <c r="BJ665" i="1"/>
  <c r="AW665" i="1" s="1"/>
  <c r="BI665" i="1"/>
  <c r="AV665" i="1" s="1"/>
  <c r="BG665" i="1"/>
  <c r="BF665" i="1"/>
  <c r="BE665" i="1"/>
  <c r="BD665" i="1"/>
  <c r="BC665" i="1"/>
  <c r="BB665" i="1"/>
  <c r="BA665" i="1"/>
  <c r="AZ665" i="1"/>
  <c r="AY665" i="1"/>
  <c r="AX665" i="1"/>
  <c r="AL665" i="1"/>
  <c r="AK665" i="1"/>
  <c r="AJ665" i="1"/>
  <c r="AI665" i="1"/>
  <c r="AH665" i="1"/>
  <c r="AG665" i="1"/>
  <c r="AF665" i="1"/>
  <c r="AE665" i="1"/>
  <c r="AD665" i="1"/>
  <c r="AC665" i="1"/>
  <c r="AB665" i="1"/>
  <c r="AA665" i="1"/>
  <c r="BT664" i="1"/>
  <c r="BS664" i="1"/>
  <c r="BR664" i="1"/>
  <c r="BQ664" i="1"/>
  <c r="BP664" i="1"/>
  <c r="BO664" i="1"/>
  <c r="BN664" i="1"/>
  <c r="BM664" i="1"/>
  <c r="BL664" i="1"/>
  <c r="BK664" i="1"/>
  <c r="AX664" i="1" s="1"/>
  <c r="BJ664" i="1"/>
  <c r="AW664" i="1" s="1"/>
  <c r="BI664" i="1"/>
  <c r="AV664" i="1" s="1"/>
  <c r="BG664" i="1"/>
  <c r="BF664" i="1"/>
  <c r="BE664" i="1"/>
  <c r="BD664" i="1"/>
  <c r="BC664" i="1"/>
  <c r="BB664" i="1"/>
  <c r="BA664" i="1"/>
  <c r="AZ664" i="1"/>
  <c r="AY664" i="1"/>
  <c r="AL664" i="1"/>
  <c r="AK664" i="1"/>
  <c r="AJ664" i="1"/>
  <c r="AI664" i="1"/>
  <c r="AH664" i="1"/>
  <c r="AG664" i="1"/>
  <c r="AF664" i="1"/>
  <c r="AE664" i="1"/>
  <c r="AD664" i="1"/>
  <c r="AC664" i="1"/>
  <c r="AB664" i="1"/>
  <c r="AA664" i="1"/>
  <c r="BT663" i="1"/>
  <c r="BS663" i="1"/>
  <c r="BR663" i="1"/>
  <c r="BQ663" i="1"/>
  <c r="BP663" i="1"/>
  <c r="BO663" i="1"/>
  <c r="BN663" i="1"/>
  <c r="BM663" i="1"/>
  <c r="BL663" i="1"/>
  <c r="BK663" i="1"/>
  <c r="BJ663" i="1"/>
  <c r="BI663" i="1"/>
  <c r="BG663" i="1"/>
  <c r="BF663" i="1"/>
  <c r="BE663" i="1"/>
  <c r="BD663" i="1"/>
  <c r="BC663" i="1"/>
  <c r="BB663" i="1"/>
  <c r="BA663" i="1"/>
  <c r="AZ663" i="1"/>
  <c r="AY663" i="1"/>
  <c r="AX663" i="1"/>
  <c r="AW663" i="1"/>
  <c r="AV663" i="1"/>
  <c r="AL663" i="1"/>
  <c r="AK663" i="1"/>
  <c r="AJ663" i="1"/>
  <c r="AI663" i="1"/>
  <c r="AH663" i="1"/>
  <c r="AG663" i="1"/>
  <c r="AF663" i="1"/>
  <c r="AE663" i="1"/>
  <c r="AD663" i="1"/>
  <c r="AC663" i="1"/>
  <c r="AB663" i="1"/>
  <c r="AA663" i="1"/>
  <c r="BT662" i="1"/>
  <c r="BS662" i="1"/>
  <c r="BR662" i="1"/>
  <c r="BQ662" i="1"/>
  <c r="BP662" i="1"/>
  <c r="BC662" i="1" s="1"/>
  <c r="BO662" i="1"/>
  <c r="BB662" i="1" s="1"/>
  <c r="BN662" i="1"/>
  <c r="BA662" i="1" s="1"/>
  <c r="BM662" i="1"/>
  <c r="AZ662" i="1" s="1"/>
  <c r="BL662" i="1"/>
  <c r="AY662" i="1" s="1"/>
  <c r="BK662" i="1"/>
  <c r="AX662" i="1" s="1"/>
  <c r="BJ662" i="1"/>
  <c r="BI662" i="1"/>
  <c r="AV662" i="1" s="1"/>
  <c r="BG662" i="1"/>
  <c r="BF662" i="1"/>
  <c r="BE662" i="1"/>
  <c r="BD662" i="1"/>
  <c r="AW662" i="1"/>
  <c r="AL662" i="1"/>
  <c r="AK662" i="1"/>
  <c r="AJ662" i="1"/>
  <c r="AI662" i="1"/>
  <c r="AH662" i="1"/>
  <c r="AG662" i="1"/>
  <c r="AF662" i="1"/>
  <c r="AE662" i="1"/>
  <c r="AD662" i="1"/>
  <c r="AC662" i="1"/>
  <c r="AB662" i="1"/>
  <c r="AA662" i="1"/>
  <c r="BT661" i="1"/>
  <c r="BS661" i="1"/>
  <c r="BF661" i="1" s="1"/>
  <c r="BR661" i="1"/>
  <c r="BE661" i="1" s="1"/>
  <c r="BQ661" i="1"/>
  <c r="BD661" i="1" s="1"/>
  <c r="BP661" i="1"/>
  <c r="BC661" i="1" s="1"/>
  <c r="BO661" i="1"/>
  <c r="BB661" i="1" s="1"/>
  <c r="BN661" i="1"/>
  <c r="BA661" i="1" s="1"/>
  <c r="BM661" i="1"/>
  <c r="AZ661" i="1" s="1"/>
  <c r="BL661" i="1"/>
  <c r="AY661" i="1" s="1"/>
  <c r="BK661" i="1"/>
  <c r="AX661" i="1" s="1"/>
  <c r="BJ661" i="1"/>
  <c r="AW661" i="1" s="1"/>
  <c r="BI661" i="1"/>
  <c r="AV661" i="1" s="1"/>
  <c r="BG661" i="1"/>
  <c r="AL661" i="1"/>
  <c r="AK661" i="1"/>
  <c r="AJ661" i="1"/>
  <c r="AI661" i="1"/>
  <c r="AH661" i="1"/>
  <c r="AG661" i="1"/>
  <c r="AF661" i="1"/>
  <c r="AE661" i="1"/>
  <c r="AD661" i="1"/>
  <c r="AC661" i="1"/>
  <c r="AB661" i="1"/>
  <c r="AA661" i="1"/>
  <c r="BT660" i="1"/>
  <c r="BS660" i="1"/>
  <c r="BR660" i="1"/>
  <c r="BQ660" i="1"/>
  <c r="BP660" i="1"/>
  <c r="BO660" i="1"/>
  <c r="BN660" i="1"/>
  <c r="BM660" i="1"/>
  <c r="BL660" i="1"/>
  <c r="AY660" i="1" s="1"/>
  <c r="BK660" i="1"/>
  <c r="AX660" i="1" s="1"/>
  <c r="BJ660" i="1"/>
  <c r="AW660" i="1" s="1"/>
  <c r="BI660" i="1"/>
  <c r="AV660" i="1" s="1"/>
  <c r="BG660" i="1"/>
  <c r="BF660" i="1"/>
  <c r="BE660" i="1"/>
  <c r="BD660" i="1"/>
  <c r="BC660" i="1"/>
  <c r="BB660" i="1"/>
  <c r="BA660" i="1"/>
  <c r="AZ660" i="1"/>
  <c r="AL660" i="1"/>
  <c r="AK660" i="1"/>
  <c r="AJ660" i="1"/>
  <c r="AI660" i="1"/>
  <c r="AH660" i="1"/>
  <c r="AG660" i="1"/>
  <c r="AF660" i="1"/>
  <c r="AE660" i="1"/>
  <c r="AD660" i="1"/>
  <c r="AC660" i="1"/>
  <c r="AB660" i="1"/>
  <c r="AA660" i="1"/>
  <c r="H648" i="1"/>
  <c r="E648" i="1"/>
  <c r="E14" i="1" s="1"/>
  <c r="AL646" i="1"/>
  <c r="AK646" i="1"/>
  <c r="AJ646" i="1"/>
  <c r="AI646" i="1"/>
  <c r="AH646" i="1"/>
  <c r="AG646" i="1"/>
  <c r="AF646" i="1"/>
  <c r="AE646" i="1"/>
  <c r="AD646" i="1"/>
  <c r="AC646" i="1"/>
  <c r="AB646" i="1"/>
  <c r="AA646" i="1"/>
  <c r="BT645" i="1"/>
  <c r="BS645" i="1"/>
  <c r="BR645" i="1"/>
  <c r="BQ645" i="1"/>
  <c r="BP645" i="1"/>
  <c r="BO645" i="1"/>
  <c r="BN645" i="1"/>
  <c r="BM645" i="1"/>
  <c r="BL645" i="1"/>
  <c r="BK645" i="1"/>
  <c r="BJ645" i="1"/>
  <c r="BI645" i="1"/>
  <c r="BG645" i="1"/>
  <c r="BF645" i="1"/>
  <c r="BE645" i="1"/>
  <c r="BD645" i="1"/>
  <c r="BC645" i="1"/>
  <c r="BB645" i="1"/>
  <c r="BA645" i="1"/>
  <c r="AZ645" i="1"/>
  <c r="AY645" i="1"/>
  <c r="AX645" i="1"/>
  <c r="AW645" i="1"/>
  <c r="AV645" i="1"/>
  <c r="AL645" i="1"/>
  <c r="AK645" i="1"/>
  <c r="AJ645" i="1"/>
  <c r="AI645" i="1"/>
  <c r="AH645" i="1"/>
  <c r="AG645" i="1"/>
  <c r="AF645" i="1"/>
  <c r="AE645" i="1"/>
  <c r="AD645" i="1"/>
  <c r="AC645" i="1"/>
  <c r="AB645" i="1"/>
  <c r="AA645" i="1"/>
  <c r="BG644" i="1"/>
  <c r="AO644" i="1"/>
  <c r="BF644" i="1"/>
  <c r="BE644" i="1"/>
  <c r="BD644" i="1"/>
  <c r="BC644" i="1"/>
  <c r="BB644" i="1"/>
  <c r="AZ644" i="1"/>
  <c r="AY644" i="1"/>
  <c r="AX644" i="1"/>
  <c r="AW644" i="1"/>
  <c r="AV644" i="1"/>
  <c r="AL644" i="1"/>
  <c r="AK644" i="1"/>
  <c r="AJ644" i="1"/>
  <c r="AI644" i="1"/>
  <c r="AH644" i="1"/>
  <c r="AG644" i="1"/>
  <c r="AF644" i="1"/>
  <c r="AE644" i="1"/>
  <c r="AD644" i="1"/>
  <c r="AC644" i="1"/>
  <c r="AB644" i="1"/>
  <c r="AA644" i="1"/>
  <c r="BT643" i="1"/>
  <c r="BS643" i="1"/>
  <c r="BR643" i="1"/>
  <c r="BQ643" i="1"/>
  <c r="BP643" i="1"/>
  <c r="BO643" i="1"/>
  <c r="BN643" i="1"/>
  <c r="BM643" i="1"/>
  <c r="BL643" i="1"/>
  <c r="BK643" i="1"/>
  <c r="BJ643" i="1"/>
  <c r="BI643" i="1"/>
  <c r="BG643" i="1"/>
  <c r="BF643" i="1"/>
  <c r="BE643" i="1"/>
  <c r="BD643" i="1"/>
  <c r="BC643" i="1"/>
  <c r="BB643" i="1"/>
  <c r="BA643" i="1"/>
  <c r="AZ643" i="1"/>
  <c r="AY643" i="1"/>
  <c r="AX643" i="1"/>
  <c r="AW643" i="1"/>
  <c r="AV643" i="1"/>
  <c r="AL643" i="1"/>
  <c r="AK643" i="1"/>
  <c r="AJ643" i="1"/>
  <c r="AI643" i="1"/>
  <c r="AH643" i="1"/>
  <c r="AG643" i="1"/>
  <c r="AF643" i="1"/>
  <c r="AE643" i="1"/>
  <c r="AD643" i="1"/>
  <c r="AC643" i="1"/>
  <c r="AB643" i="1"/>
  <c r="AA643" i="1"/>
  <c r="BT642" i="1"/>
  <c r="BS642" i="1"/>
  <c r="BR642" i="1"/>
  <c r="BQ642" i="1"/>
  <c r="BP642" i="1"/>
  <c r="BO642" i="1"/>
  <c r="BN642" i="1"/>
  <c r="BM642" i="1"/>
  <c r="BL642" i="1"/>
  <c r="BK642" i="1"/>
  <c r="BJ642" i="1"/>
  <c r="BI642" i="1"/>
  <c r="BG642" i="1"/>
  <c r="BF642" i="1"/>
  <c r="BE642" i="1"/>
  <c r="BD642" i="1"/>
  <c r="BC642" i="1"/>
  <c r="BB642" i="1"/>
  <c r="BA642" i="1"/>
  <c r="AZ642" i="1"/>
  <c r="AY642" i="1"/>
  <c r="AX642" i="1"/>
  <c r="AW642" i="1"/>
  <c r="AV642" i="1"/>
  <c r="AL642" i="1"/>
  <c r="AK642" i="1"/>
  <c r="AJ642" i="1"/>
  <c r="AI642" i="1"/>
  <c r="AH642" i="1"/>
  <c r="AG642" i="1"/>
  <c r="AF642" i="1"/>
  <c r="AE642" i="1"/>
  <c r="AD642" i="1"/>
  <c r="AC642" i="1"/>
  <c r="AB642" i="1"/>
  <c r="AA642" i="1"/>
  <c r="BT641" i="1"/>
  <c r="BS641" i="1"/>
  <c r="BR641" i="1"/>
  <c r="BQ641" i="1"/>
  <c r="BP641" i="1"/>
  <c r="BO641" i="1"/>
  <c r="BN641" i="1"/>
  <c r="BM641" i="1"/>
  <c r="BL641" i="1"/>
  <c r="BK641" i="1"/>
  <c r="BJ641" i="1"/>
  <c r="BI641" i="1"/>
  <c r="BG641" i="1"/>
  <c r="BF641" i="1"/>
  <c r="BE641" i="1"/>
  <c r="BD641" i="1"/>
  <c r="BC641" i="1"/>
  <c r="BB641" i="1"/>
  <c r="BA641" i="1"/>
  <c r="AZ641" i="1"/>
  <c r="AY641" i="1"/>
  <c r="AX641" i="1"/>
  <c r="AW641" i="1"/>
  <c r="AV641" i="1"/>
  <c r="AL641" i="1"/>
  <c r="AK641" i="1"/>
  <c r="AJ641" i="1"/>
  <c r="AI641" i="1"/>
  <c r="AH641" i="1"/>
  <c r="AG641" i="1"/>
  <c r="AF641" i="1"/>
  <c r="AE641" i="1"/>
  <c r="AD641" i="1"/>
  <c r="AC641" i="1"/>
  <c r="AB641" i="1"/>
  <c r="AA641" i="1"/>
  <c r="BT640" i="1"/>
  <c r="BS640" i="1"/>
  <c r="BR640" i="1"/>
  <c r="BQ640" i="1"/>
  <c r="BP640" i="1"/>
  <c r="BO640" i="1"/>
  <c r="BN640" i="1"/>
  <c r="BM640" i="1"/>
  <c r="BL640" i="1"/>
  <c r="BK640" i="1"/>
  <c r="BJ640" i="1"/>
  <c r="BI640" i="1"/>
  <c r="BG640" i="1"/>
  <c r="BF640" i="1"/>
  <c r="BE640" i="1"/>
  <c r="BD640" i="1"/>
  <c r="BC640" i="1"/>
  <c r="BB640" i="1"/>
  <c r="BA640" i="1"/>
  <c r="AZ640" i="1"/>
  <c r="AY640" i="1"/>
  <c r="AX640" i="1"/>
  <c r="AW640" i="1"/>
  <c r="AV640" i="1"/>
  <c r="AL640" i="1"/>
  <c r="AK640" i="1"/>
  <c r="AJ640" i="1"/>
  <c r="AI640" i="1"/>
  <c r="AH640" i="1"/>
  <c r="AG640" i="1"/>
  <c r="AF640" i="1"/>
  <c r="AE640" i="1"/>
  <c r="AD640" i="1"/>
  <c r="AC640" i="1"/>
  <c r="AB640" i="1"/>
  <c r="AA640" i="1"/>
  <c r="BG639" i="1"/>
  <c r="BF639" i="1"/>
  <c r="BE639" i="1"/>
  <c r="BD639" i="1"/>
  <c r="BC639" i="1"/>
  <c r="BB639" i="1"/>
  <c r="BA639" i="1"/>
  <c r="AZ639" i="1"/>
  <c r="AY639" i="1"/>
  <c r="AX639" i="1"/>
  <c r="AW639" i="1"/>
  <c r="AV639" i="1"/>
  <c r="AL639" i="1"/>
  <c r="AK639" i="1"/>
  <c r="AJ639" i="1"/>
  <c r="AI639" i="1"/>
  <c r="AH639" i="1"/>
  <c r="AG639" i="1"/>
  <c r="AF639" i="1"/>
  <c r="AE639" i="1"/>
  <c r="AD639" i="1"/>
  <c r="AC639" i="1"/>
  <c r="AB639" i="1"/>
  <c r="AA639" i="1"/>
  <c r="BB638" i="1"/>
  <c r="AX638" i="1"/>
  <c r="BG638" i="1"/>
  <c r="BF638" i="1"/>
  <c r="BE638" i="1"/>
  <c r="BD638" i="1"/>
  <c r="BC638" i="1"/>
  <c r="BA638" i="1"/>
  <c r="AZ638" i="1"/>
  <c r="AY638" i="1"/>
  <c r="AW638" i="1"/>
  <c r="AV638" i="1"/>
  <c r="AL638" i="1"/>
  <c r="AK638" i="1"/>
  <c r="AJ638" i="1"/>
  <c r="AI638" i="1"/>
  <c r="AH638" i="1"/>
  <c r="AG638" i="1"/>
  <c r="AF638" i="1"/>
  <c r="AE638" i="1"/>
  <c r="AD638" i="1"/>
  <c r="AC638" i="1"/>
  <c r="AB638" i="1"/>
  <c r="AA638" i="1"/>
  <c r="BT637" i="1"/>
  <c r="BS637" i="1"/>
  <c r="BR637" i="1"/>
  <c r="BQ637" i="1"/>
  <c r="BP637" i="1"/>
  <c r="BO637" i="1"/>
  <c r="BN637" i="1"/>
  <c r="BM637" i="1"/>
  <c r="BL637" i="1"/>
  <c r="BK637" i="1"/>
  <c r="BJ637" i="1"/>
  <c r="BI637" i="1"/>
  <c r="BG637" i="1"/>
  <c r="BF637" i="1"/>
  <c r="BE637" i="1"/>
  <c r="BD637" i="1"/>
  <c r="BC637" i="1"/>
  <c r="BB637" i="1"/>
  <c r="BA637" i="1"/>
  <c r="AZ637" i="1"/>
  <c r="AY637" i="1"/>
  <c r="AX637" i="1"/>
  <c r="AW637" i="1"/>
  <c r="AV637" i="1"/>
  <c r="AL637" i="1"/>
  <c r="AK637" i="1"/>
  <c r="AJ637" i="1"/>
  <c r="AI637" i="1"/>
  <c r="AH637" i="1"/>
  <c r="AG637" i="1"/>
  <c r="AF637" i="1"/>
  <c r="AE637" i="1"/>
  <c r="AD637" i="1"/>
  <c r="AC637" i="1"/>
  <c r="AB637" i="1"/>
  <c r="AA637" i="1"/>
  <c r="BT636" i="1"/>
  <c r="BS636" i="1"/>
  <c r="BR636" i="1"/>
  <c r="BQ636" i="1"/>
  <c r="BP636" i="1"/>
  <c r="BO636" i="1"/>
  <c r="BN636" i="1"/>
  <c r="BM636" i="1"/>
  <c r="BL636" i="1"/>
  <c r="BK636" i="1"/>
  <c r="AX636" i="1" s="1"/>
  <c r="BJ636" i="1"/>
  <c r="BI636" i="1"/>
  <c r="AV636" i="1" s="1"/>
  <c r="BG636" i="1"/>
  <c r="BF636" i="1"/>
  <c r="BE636" i="1"/>
  <c r="BD636" i="1"/>
  <c r="BC636" i="1"/>
  <c r="BB636" i="1"/>
  <c r="BA636" i="1"/>
  <c r="AZ636" i="1"/>
  <c r="AY636" i="1"/>
  <c r="AW636" i="1"/>
  <c r="AL636" i="1"/>
  <c r="AK636" i="1"/>
  <c r="AJ636" i="1"/>
  <c r="AI636" i="1"/>
  <c r="AH636" i="1"/>
  <c r="AG636" i="1"/>
  <c r="AF636" i="1"/>
  <c r="AE636" i="1"/>
  <c r="AD636" i="1"/>
  <c r="AC636" i="1"/>
  <c r="AB636" i="1"/>
  <c r="AA636" i="1"/>
  <c r="BT635" i="1"/>
  <c r="BS635" i="1"/>
  <c r="BF635" i="1" s="1"/>
  <c r="BR635" i="1"/>
  <c r="BE635" i="1" s="1"/>
  <c r="BQ635" i="1"/>
  <c r="BD635" i="1" s="1"/>
  <c r="BP635" i="1"/>
  <c r="BC635" i="1" s="1"/>
  <c r="BO635" i="1"/>
  <c r="BN635" i="1"/>
  <c r="BM635" i="1"/>
  <c r="AZ635" i="1" s="1"/>
  <c r="BL635" i="1"/>
  <c r="AY635" i="1" s="1"/>
  <c r="BK635" i="1"/>
  <c r="AX635" i="1" s="1"/>
  <c r="BJ635" i="1"/>
  <c r="AW635" i="1" s="1"/>
  <c r="BI635" i="1"/>
  <c r="AV635" i="1" s="1"/>
  <c r="BG635" i="1"/>
  <c r="BB635" i="1"/>
  <c r="BA635" i="1"/>
  <c r="AL635" i="1"/>
  <c r="AK635" i="1"/>
  <c r="AJ635" i="1"/>
  <c r="AI635" i="1"/>
  <c r="AH635" i="1"/>
  <c r="AG635" i="1"/>
  <c r="AF635" i="1"/>
  <c r="AE635" i="1"/>
  <c r="AD635" i="1"/>
  <c r="AC635" i="1"/>
  <c r="AB635" i="1"/>
  <c r="AA635" i="1"/>
  <c r="BT634" i="1"/>
  <c r="BS634" i="1"/>
  <c r="BR634" i="1"/>
  <c r="BQ634" i="1"/>
  <c r="BP634" i="1"/>
  <c r="BC634" i="1" s="1"/>
  <c r="BO634" i="1"/>
  <c r="BB634" i="1" s="1"/>
  <c r="BN634" i="1"/>
  <c r="BA634" i="1" s="1"/>
  <c r="BM634" i="1"/>
  <c r="AZ634" i="1" s="1"/>
  <c r="BL634" i="1"/>
  <c r="AY634" i="1" s="1"/>
  <c r="BK634" i="1"/>
  <c r="AX634" i="1" s="1"/>
  <c r="BJ634" i="1"/>
  <c r="AW634" i="1" s="1"/>
  <c r="BI634" i="1"/>
  <c r="AV634" i="1" s="1"/>
  <c r="BG634" i="1"/>
  <c r="BF634" i="1"/>
  <c r="BE634" i="1"/>
  <c r="BD634" i="1"/>
  <c r="AL634" i="1"/>
  <c r="AK634" i="1"/>
  <c r="AJ634" i="1"/>
  <c r="AI634" i="1"/>
  <c r="AH634" i="1"/>
  <c r="AG634" i="1"/>
  <c r="AF634" i="1"/>
  <c r="AE634" i="1"/>
  <c r="AD634" i="1"/>
  <c r="AC634" i="1"/>
  <c r="AB634" i="1"/>
  <c r="AA634" i="1"/>
  <c r="H630" i="1"/>
  <c r="H14" i="1" s="1"/>
  <c r="E630" i="1"/>
  <c r="AL628" i="1"/>
  <c r="AK628" i="1"/>
  <c r="AJ628" i="1"/>
  <c r="AI628" i="1"/>
  <c r="AH628" i="1"/>
  <c r="AG628" i="1"/>
  <c r="AF628" i="1"/>
  <c r="AE628" i="1"/>
  <c r="AD628" i="1"/>
  <c r="AC628" i="1"/>
  <c r="AB628" i="1"/>
  <c r="AA628" i="1"/>
  <c r="AL627" i="1"/>
  <c r="AL630" i="1" s="1"/>
  <c r="AK627" i="1"/>
  <c r="AK630" i="1" s="1"/>
  <c r="AJ627" i="1"/>
  <c r="AJ630" i="1" s="1"/>
  <c r="AI627" i="1"/>
  <c r="AI630" i="1" s="1"/>
  <c r="AH627" i="1"/>
  <c r="AH630" i="1" s="1"/>
  <c r="AG627" i="1"/>
  <c r="AG630" i="1" s="1"/>
  <c r="AF627" i="1"/>
  <c r="AF630" i="1" s="1"/>
  <c r="AE627" i="1"/>
  <c r="AD627" i="1"/>
  <c r="AC627" i="1"/>
  <c r="AC630" i="1" s="1"/>
  <c r="AB627" i="1"/>
  <c r="AB630" i="1" s="1"/>
  <c r="AA627" i="1"/>
  <c r="AA630" i="1" s="1"/>
  <c r="M630" i="1"/>
  <c r="BT606" i="1"/>
  <c r="BI606" i="1"/>
  <c r="H606" i="1"/>
  <c r="E606" i="1"/>
  <c r="BG597" i="1"/>
  <c r="BF597" i="1"/>
  <c r="BE597" i="1"/>
  <c r="BD597" i="1"/>
  <c r="BC597" i="1"/>
  <c r="BB597" i="1"/>
  <c r="BA597" i="1"/>
  <c r="AZ597" i="1"/>
  <c r="AY597" i="1"/>
  <c r="AX597" i="1"/>
  <c r="AW597" i="1"/>
  <c r="AV597" i="1"/>
  <c r="AR597" i="1"/>
  <c r="AO597" i="1"/>
  <c r="AL597" i="1"/>
  <c r="AK597" i="1"/>
  <c r="AJ597" i="1"/>
  <c r="AI597" i="1"/>
  <c r="AH597" i="1"/>
  <c r="AG597" i="1"/>
  <c r="AF597" i="1"/>
  <c r="AE597" i="1"/>
  <c r="AD597" i="1"/>
  <c r="AC597" i="1"/>
  <c r="AB597" i="1"/>
  <c r="AA597" i="1"/>
  <c r="BG596" i="1"/>
  <c r="AV596" i="1"/>
  <c r="AL596" i="1"/>
  <c r="AK596" i="1"/>
  <c r="AJ596" i="1"/>
  <c r="AI596" i="1"/>
  <c r="AH596" i="1"/>
  <c r="AG596" i="1"/>
  <c r="AF596" i="1"/>
  <c r="AE596" i="1"/>
  <c r="AD596" i="1"/>
  <c r="AC596" i="1"/>
  <c r="AB596" i="1"/>
  <c r="AA596" i="1"/>
  <c r="BG595" i="1"/>
  <c r="BF595" i="1"/>
  <c r="BE595" i="1"/>
  <c r="BD595" i="1"/>
  <c r="BC595" i="1"/>
  <c r="BB595" i="1"/>
  <c r="BA595" i="1"/>
  <c r="AZ595" i="1"/>
  <c r="AY595" i="1"/>
  <c r="AX595" i="1"/>
  <c r="AW595" i="1"/>
  <c r="AV595" i="1"/>
  <c r="AR595" i="1"/>
  <c r="AO595" i="1"/>
  <c r="AL595" i="1"/>
  <c r="AK595" i="1"/>
  <c r="AJ595" i="1"/>
  <c r="AI595" i="1"/>
  <c r="AH595" i="1"/>
  <c r="AG595" i="1"/>
  <c r="AF595" i="1"/>
  <c r="AE595" i="1"/>
  <c r="AD595" i="1"/>
  <c r="AC595" i="1"/>
  <c r="AB595" i="1"/>
  <c r="AA595" i="1"/>
  <c r="BG594" i="1"/>
  <c r="AV594" i="1"/>
  <c r="AL594" i="1"/>
  <c r="AK594" i="1"/>
  <c r="AJ594" i="1"/>
  <c r="AI594" i="1"/>
  <c r="AH594" i="1"/>
  <c r="AG594" i="1"/>
  <c r="AF594" i="1"/>
  <c r="AE594" i="1"/>
  <c r="AD594" i="1"/>
  <c r="AC594" i="1"/>
  <c r="AB594" i="1"/>
  <c r="AA594" i="1"/>
  <c r="BG593" i="1"/>
  <c r="BF593" i="1"/>
  <c r="BE593" i="1"/>
  <c r="BD593" i="1"/>
  <c r="BC593" i="1"/>
  <c r="BB593" i="1"/>
  <c r="BA593" i="1"/>
  <c r="AZ593" i="1"/>
  <c r="AY593" i="1"/>
  <c r="AX593" i="1"/>
  <c r="AW593" i="1"/>
  <c r="AV593" i="1"/>
  <c r="AR593" i="1"/>
  <c r="AO593" i="1"/>
  <c r="AL593" i="1"/>
  <c r="AK593" i="1"/>
  <c r="AJ593" i="1"/>
  <c r="AI593" i="1"/>
  <c r="AH593" i="1"/>
  <c r="AG593" i="1"/>
  <c r="AF593" i="1"/>
  <c r="AE593" i="1"/>
  <c r="AD593" i="1"/>
  <c r="AC593" i="1"/>
  <c r="AB593" i="1"/>
  <c r="AA593" i="1"/>
  <c r="BG592" i="1"/>
  <c r="AV592" i="1"/>
  <c r="AL592" i="1"/>
  <c r="AK592" i="1"/>
  <c r="AJ592" i="1"/>
  <c r="AI592" i="1"/>
  <c r="AH592" i="1"/>
  <c r="AG592" i="1"/>
  <c r="AF592" i="1"/>
  <c r="AE592" i="1"/>
  <c r="AD592" i="1"/>
  <c r="AC592" i="1"/>
  <c r="AB592" i="1"/>
  <c r="AA592" i="1"/>
  <c r="BG591" i="1"/>
  <c r="BF591" i="1"/>
  <c r="BE591" i="1"/>
  <c r="BD591" i="1"/>
  <c r="BC591" i="1"/>
  <c r="BB591" i="1"/>
  <c r="BA591" i="1"/>
  <c r="AZ591" i="1"/>
  <c r="AY591" i="1"/>
  <c r="AX591" i="1"/>
  <c r="AW591" i="1"/>
  <c r="AV591" i="1"/>
  <c r="AR591" i="1"/>
  <c r="AO591" i="1"/>
  <c r="AL591" i="1"/>
  <c r="AK591" i="1"/>
  <c r="AJ591" i="1"/>
  <c r="AI591" i="1"/>
  <c r="AH591" i="1"/>
  <c r="AG591" i="1"/>
  <c r="AF591" i="1"/>
  <c r="AE591" i="1"/>
  <c r="AD591" i="1"/>
  <c r="AC591" i="1"/>
  <c r="AB591" i="1"/>
  <c r="AA591" i="1"/>
  <c r="BG590" i="1"/>
  <c r="BF590" i="1"/>
  <c r="BE590" i="1"/>
  <c r="BD590" i="1"/>
  <c r="BC590" i="1"/>
  <c r="BB590" i="1"/>
  <c r="BA590" i="1"/>
  <c r="AZ590" i="1"/>
  <c r="AY590" i="1"/>
  <c r="AX590" i="1"/>
  <c r="AW590" i="1"/>
  <c r="AV590" i="1"/>
  <c r="AR590" i="1"/>
  <c r="AO590" i="1"/>
  <c r="AL590" i="1"/>
  <c r="AK590" i="1"/>
  <c r="AJ590" i="1"/>
  <c r="AI590" i="1"/>
  <c r="AH590" i="1"/>
  <c r="AG590" i="1"/>
  <c r="AF590" i="1"/>
  <c r="AE590" i="1"/>
  <c r="AD590" i="1"/>
  <c r="AC590" i="1"/>
  <c r="AB590" i="1"/>
  <c r="AA590" i="1"/>
  <c r="BG589" i="1"/>
  <c r="AV589" i="1"/>
  <c r="AL589" i="1"/>
  <c r="AK589" i="1"/>
  <c r="AJ589" i="1"/>
  <c r="AI589" i="1"/>
  <c r="AH589" i="1"/>
  <c r="AG589" i="1"/>
  <c r="AF589" i="1"/>
  <c r="AE589" i="1"/>
  <c r="AD589" i="1"/>
  <c r="AC589" i="1"/>
  <c r="AB589" i="1"/>
  <c r="AA589" i="1"/>
  <c r="L585" i="1"/>
  <c r="H585" i="1"/>
  <c r="H13" i="1" s="1"/>
  <c r="E585" i="1"/>
  <c r="Y584" i="1"/>
  <c r="BS583" i="1"/>
  <c r="BR583" i="1"/>
  <c r="BR585" i="1" s="1"/>
  <c r="BQ583" i="1"/>
  <c r="BP583" i="1"/>
  <c r="BO583" i="1"/>
  <c r="BN583" i="1"/>
  <c r="BM583" i="1"/>
  <c r="AZ583" i="1" s="1"/>
  <c r="AZ585" i="1" s="1"/>
  <c r="BL583" i="1"/>
  <c r="AY583" i="1" s="1"/>
  <c r="AY585" i="1" s="1"/>
  <c r="BK583" i="1"/>
  <c r="BJ583" i="1"/>
  <c r="BJ585" i="1" s="1"/>
  <c r="BI583" i="1"/>
  <c r="AL583" i="1"/>
  <c r="AL585" i="1" s="1"/>
  <c r="AK583" i="1"/>
  <c r="AK585" i="1" s="1"/>
  <c r="AJ583" i="1"/>
  <c r="AJ585" i="1" s="1"/>
  <c r="AI583" i="1"/>
  <c r="AI585" i="1" s="1"/>
  <c r="AH583" i="1"/>
  <c r="AH585" i="1" s="1"/>
  <c r="AG583" i="1"/>
  <c r="AG585" i="1" s="1"/>
  <c r="AF583" i="1"/>
  <c r="AF585" i="1" s="1"/>
  <c r="AE583" i="1"/>
  <c r="AE585" i="1" s="1"/>
  <c r="AD583" i="1"/>
  <c r="AD585" i="1" s="1"/>
  <c r="AC583" i="1"/>
  <c r="AC585" i="1" s="1"/>
  <c r="AB583" i="1"/>
  <c r="AB585" i="1" s="1"/>
  <c r="AA583" i="1"/>
  <c r="AA585" i="1" s="1"/>
  <c r="H564" i="1"/>
  <c r="E564" i="1"/>
  <c r="AR562" i="1"/>
  <c r="AL561" i="1"/>
  <c r="AK561" i="1"/>
  <c r="AJ561" i="1"/>
  <c r="AI561" i="1"/>
  <c r="AH561" i="1"/>
  <c r="AG561" i="1"/>
  <c r="AF561" i="1"/>
  <c r="AE561" i="1"/>
  <c r="AD561" i="1"/>
  <c r="AC561" i="1"/>
  <c r="AB561" i="1"/>
  <c r="AA561" i="1"/>
  <c r="BT560" i="1"/>
  <c r="BS560" i="1"/>
  <c r="BR560" i="1"/>
  <c r="BE560" i="1" s="1"/>
  <c r="BQ560" i="1"/>
  <c r="BD560" i="1" s="1"/>
  <c r="BP560" i="1"/>
  <c r="BC560" i="1" s="1"/>
  <c r="BO560" i="1"/>
  <c r="BB560" i="1" s="1"/>
  <c r="BN560" i="1"/>
  <c r="BA560" i="1" s="1"/>
  <c r="BM560" i="1"/>
  <c r="AZ560" i="1" s="1"/>
  <c r="BL560" i="1"/>
  <c r="AY560" i="1" s="1"/>
  <c r="BK560" i="1"/>
  <c r="AX560" i="1" s="1"/>
  <c r="BJ560" i="1"/>
  <c r="AW560" i="1" s="1"/>
  <c r="BI560" i="1"/>
  <c r="AV560" i="1" s="1"/>
  <c r="BG560" i="1"/>
  <c r="BF560" i="1"/>
  <c r="AL560" i="1"/>
  <c r="AK560" i="1"/>
  <c r="AJ560" i="1"/>
  <c r="AI560" i="1"/>
  <c r="AH560" i="1"/>
  <c r="AG560" i="1"/>
  <c r="AF560" i="1"/>
  <c r="AE560" i="1"/>
  <c r="AD560" i="1"/>
  <c r="AC560" i="1"/>
  <c r="AB560" i="1"/>
  <c r="AA560" i="1"/>
  <c r="BT559" i="1"/>
  <c r="BS559" i="1"/>
  <c r="BR559" i="1"/>
  <c r="BQ559" i="1"/>
  <c r="BP559" i="1"/>
  <c r="BO559" i="1"/>
  <c r="BN559" i="1"/>
  <c r="BA559" i="1" s="1"/>
  <c r="BM559" i="1"/>
  <c r="AZ559" i="1" s="1"/>
  <c r="BL559" i="1"/>
  <c r="AY559" i="1" s="1"/>
  <c r="BK559" i="1"/>
  <c r="AX559" i="1" s="1"/>
  <c r="BJ559" i="1"/>
  <c r="AW559" i="1" s="1"/>
  <c r="BI559" i="1"/>
  <c r="AV559" i="1" s="1"/>
  <c r="BG559" i="1"/>
  <c r="BF559" i="1"/>
  <c r="BE559" i="1"/>
  <c r="BD559" i="1"/>
  <c r="BC559" i="1"/>
  <c r="BB559" i="1"/>
  <c r="AL559" i="1"/>
  <c r="AK559" i="1"/>
  <c r="AJ559" i="1"/>
  <c r="AI559" i="1"/>
  <c r="AH559" i="1"/>
  <c r="AG559" i="1"/>
  <c r="AF559" i="1"/>
  <c r="AE559" i="1"/>
  <c r="AD559" i="1"/>
  <c r="AC559" i="1"/>
  <c r="AB559" i="1"/>
  <c r="AA559" i="1"/>
  <c r="BT558" i="1"/>
  <c r="BG558" i="1" s="1"/>
  <c r="BS558" i="1"/>
  <c r="BF558" i="1" s="1"/>
  <c r="BR558" i="1"/>
  <c r="BE558" i="1" s="1"/>
  <c r="BQ558" i="1"/>
  <c r="BD558" i="1" s="1"/>
  <c r="BP558" i="1"/>
  <c r="BC558" i="1" s="1"/>
  <c r="BO558" i="1"/>
  <c r="BB558" i="1" s="1"/>
  <c r="BN558" i="1"/>
  <c r="BA558" i="1" s="1"/>
  <c r="BM558" i="1"/>
  <c r="AZ558" i="1" s="1"/>
  <c r="BL558" i="1"/>
  <c r="AY558" i="1" s="1"/>
  <c r="BJ558" i="1"/>
  <c r="AW558" i="1" s="1"/>
  <c r="BI558" i="1"/>
  <c r="AV558" i="1" s="1"/>
  <c r="AX558" i="1"/>
  <c r="AL558" i="1"/>
  <c r="AK558" i="1"/>
  <c r="AJ558" i="1"/>
  <c r="AI558" i="1"/>
  <c r="AH558" i="1"/>
  <c r="AG558" i="1"/>
  <c r="AF558" i="1"/>
  <c r="AE558" i="1"/>
  <c r="AD558" i="1"/>
  <c r="AC558" i="1"/>
  <c r="AB558" i="1"/>
  <c r="AA558" i="1"/>
  <c r="BT557" i="1"/>
  <c r="BG557" i="1" s="1"/>
  <c r="BS557" i="1"/>
  <c r="BF557" i="1" s="1"/>
  <c r="BR557" i="1"/>
  <c r="BE557" i="1" s="1"/>
  <c r="BQ557" i="1"/>
  <c r="BD557" i="1" s="1"/>
  <c r="BP557" i="1"/>
  <c r="BC557" i="1" s="1"/>
  <c r="BO557" i="1"/>
  <c r="BB557" i="1" s="1"/>
  <c r="BN557" i="1"/>
  <c r="BA557" i="1" s="1"/>
  <c r="BM557" i="1"/>
  <c r="AZ557" i="1" s="1"/>
  <c r="BL557" i="1"/>
  <c r="AY557" i="1" s="1"/>
  <c r="BK557" i="1"/>
  <c r="AX557" i="1" s="1"/>
  <c r="BJ557" i="1"/>
  <c r="AW557" i="1" s="1"/>
  <c r="BI557" i="1"/>
  <c r="AV557" i="1" s="1"/>
  <c r="AL557" i="1"/>
  <c r="AK557" i="1"/>
  <c r="AJ557" i="1"/>
  <c r="AI557" i="1"/>
  <c r="AH557" i="1"/>
  <c r="AG557" i="1"/>
  <c r="AF557" i="1"/>
  <c r="AE557" i="1"/>
  <c r="AD557" i="1"/>
  <c r="AC557" i="1"/>
  <c r="AB557" i="1"/>
  <c r="AA557" i="1"/>
  <c r="BF556" i="1"/>
  <c r="BE556" i="1"/>
  <c r="BD556" i="1"/>
  <c r="BC556" i="1"/>
  <c r="BB556" i="1"/>
  <c r="BA556" i="1"/>
  <c r="AZ556" i="1"/>
  <c r="AY556" i="1"/>
  <c r="AX556" i="1"/>
  <c r="AW556" i="1"/>
  <c r="AV556" i="1"/>
  <c r="AL556" i="1"/>
  <c r="AK556" i="1"/>
  <c r="AJ556" i="1"/>
  <c r="AI556" i="1"/>
  <c r="AH556" i="1"/>
  <c r="AG556" i="1"/>
  <c r="AF556" i="1"/>
  <c r="AE556" i="1"/>
  <c r="AD556" i="1"/>
  <c r="AC556" i="1"/>
  <c r="AB556" i="1"/>
  <c r="AA556" i="1"/>
  <c r="BG555" i="1"/>
  <c r="BF555" i="1"/>
  <c r="BE555" i="1"/>
  <c r="BD555" i="1"/>
  <c r="BC555" i="1"/>
  <c r="BB555" i="1"/>
  <c r="BA555" i="1"/>
  <c r="AZ555" i="1"/>
  <c r="AY555" i="1"/>
  <c r="AX555" i="1"/>
  <c r="AW555" i="1"/>
  <c r="AV555" i="1"/>
  <c r="AL555" i="1"/>
  <c r="AK555" i="1"/>
  <c r="AJ555" i="1"/>
  <c r="AI555" i="1"/>
  <c r="AH555" i="1"/>
  <c r="AG555" i="1"/>
  <c r="AF555" i="1"/>
  <c r="AE555" i="1"/>
  <c r="AD555" i="1"/>
  <c r="AC555" i="1"/>
  <c r="AB555" i="1"/>
  <c r="AA555" i="1"/>
  <c r="BT554" i="1"/>
  <c r="BS554" i="1"/>
  <c r="BR554" i="1"/>
  <c r="BQ554" i="1"/>
  <c r="BP554" i="1"/>
  <c r="BO554" i="1"/>
  <c r="BN554" i="1"/>
  <c r="BM554" i="1"/>
  <c r="AZ554" i="1" s="1"/>
  <c r="BL554" i="1"/>
  <c r="AY554" i="1" s="1"/>
  <c r="BK554" i="1"/>
  <c r="AX554" i="1" s="1"/>
  <c r="BJ554" i="1"/>
  <c r="AW554" i="1" s="1"/>
  <c r="BI554" i="1"/>
  <c r="AV554" i="1" s="1"/>
  <c r="BG554" i="1"/>
  <c r="BF554" i="1"/>
  <c r="BE554" i="1"/>
  <c r="BD554" i="1"/>
  <c r="BC554" i="1"/>
  <c r="BB554" i="1"/>
  <c r="BA554" i="1"/>
  <c r="AL554" i="1"/>
  <c r="AK554" i="1"/>
  <c r="AJ554" i="1"/>
  <c r="AI554" i="1"/>
  <c r="AH554" i="1"/>
  <c r="AG554" i="1"/>
  <c r="AF554" i="1"/>
  <c r="AE554" i="1"/>
  <c r="AD554" i="1"/>
  <c r="AC554" i="1"/>
  <c r="AB554" i="1"/>
  <c r="AA554" i="1"/>
  <c r="BT553" i="1"/>
  <c r="BS553" i="1"/>
  <c r="BR553" i="1"/>
  <c r="BQ553" i="1"/>
  <c r="BP553" i="1"/>
  <c r="BO553" i="1"/>
  <c r="BN553" i="1"/>
  <c r="BM553" i="1"/>
  <c r="BL553" i="1"/>
  <c r="BK553" i="1"/>
  <c r="AX553" i="1" s="1"/>
  <c r="BJ553" i="1"/>
  <c r="AW553" i="1" s="1"/>
  <c r="BI553" i="1"/>
  <c r="AV553" i="1" s="1"/>
  <c r="BG553" i="1"/>
  <c r="BF553" i="1"/>
  <c r="BE553" i="1"/>
  <c r="BD553" i="1"/>
  <c r="BC553" i="1"/>
  <c r="BB553" i="1"/>
  <c r="BA553" i="1"/>
  <c r="AZ553" i="1"/>
  <c r="AY553" i="1"/>
  <c r="AL553" i="1"/>
  <c r="AK553" i="1"/>
  <c r="AJ553" i="1"/>
  <c r="AI553" i="1"/>
  <c r="AH553" i="1"/>
  <c r="AG553" i="1"/>
  <c r="AF553" i="1"/>
  <c r="AE553" i="1"/>
  <c r="AD553" i="1"/>
  <c r="AC553" i="1"/>
  <c r="AB553" i="1"/>
  <c r="AA553" i="1"/>
  <c r="BT552" i="1"/>
  <c r="BG552" i="1" s="1"/>
  <c r="BS552" i="1"/>
  <c r="BF552" i="1" s="1"/>
  <c r="BR552" i="1"/>
  <c r="BQ552" i="1"/>
  <c r="BD552" i="1" s="1"/>
  <c r="BP552" i="1"/>
  <c r="BC552" i="1" s="1"/>
  <c r="BN552" i="1"/>
  <c r="BA552" i="1" s="1"/>
  <c r="BM552" i="1"/>
  <c r="AZ552" i="1" s="1"/>
  <c r="BL552" i="1"/>
  <c r="AY552" i="1" s="1"/>
  <c r="BK552" i="1"/>
  <c r="AX552" i="1" s="1"/>
  <c r="BJ552" i="1"/>
  <c r="AW552" i="1" s="1"/>
  <c r="BE552" i="1"/>
  <c r="BB552" i="1"/>
  <c r="AL552" i="1"/>
  <c r="AK552" i="1"/>
  <c r="AJ552" i="1"/>
  <c r="AI552" i="1"/>
  <c r="AH552" i="1"/>
  <c r="AG552" i="1"/>
  <c r="AF552" i="1"/>
  <c r="AE552" i="1"/>
  <c r="AD552" i="1"/>
  <c r="AC552" i="1"/>
  <c r="AB552" i="1"/>
  <c r="AA552" i="1"/>
  <c r="BG551" i="1"/>
  <c r="BF551" i="1"/>
  <c r="BE551" i="1"/>
  <c r="BD551" i="1"/>
  <c r="BC551" i="1"/>
  <c r="BB551" i="1"/>
  <c r="BA551" i="1"/>
  <c r="AZ551" i="1"/>
  <c r="AY551" i="1"/>
  <c r="AX551" i="1"/>
  <c r="AW551" i="1"/>
  <c r="AV551" i="1"/>
  <c r="AL551" i="1"/>
  <c r="AK551" i="1"/>
  <c r="AJ551" i="1"/>
  <c r="AI551" i="1"/>
  <c r="AH551" i="1"/>
  <c r="AG551" i="1"/>
  <c r="AF551" i="1"/>
  <c r="AE551" i="1"/>
  <c r="AD551" i="1"/>
  <c r="AC551" i="1"/>
  <c r="AB551" i="1"/>
  <c r="AA551" i="1"/>
  <c r="H547" i="1"/>
  <c r="E547" i="1"/>
  <c r="AL541" i="1"/>
  <c r="AK541" i="1"/>
  <c r="AJ541" i="1"/>
  <c r="AI541" i="1"/>
  <c r="AH541" i="1"/>
  <c r="AG541" i="1"/>
  <c r="AF541" i="1"/>
  <c r="AE541" i="1"/>
  <c r="AD541" i="1"/>
  <c r="AC541" i="1"/>
  <c r="AB541" i="1"/>
  <c r="AA541" i="1"/>
  <c r="BT540" i="1"/>
  <c r="BS540" i="1"/>
  <c r="BF540" i="1" s="1"/>
  <c r="BR540" i="1"/>
  <c r="BE540" i="1" s="1"/>
  <c r="BQ540" i="1"/>
  <c r="BD540" i="1" s="1"/>
  <c r="BP540" i="1"/>
  <c r="BC540" i="1" s="1"/>
  <c r="BO540" i="1"/>
  <c r="BB540" i="1" s="1"/>
  <c r="BN540" i="1"/>
  <c r="BA540" i="1" s="1"/>
  <c r="BM540" i="1"/>
  <c r="AZ540" i="1" s="1"/>
  <c r="BL540" i="1"/>
  <c r="AY540" i="1" s="1"/>
  <c r="BK540" i="1"/>
  <c r="AX540" i="1" s="1"/>
  <c r="BJ540" i="1"/>
  <c r="AW540" i="1" s="1"/>
  <c r="BI540" i="1"/>
  <c r="AV540" i="1" s="1"/>
  <c r="BG540" i="1"/>
  <c r="AL540" i="1"/>
  <c r="AK540" i="1"/>
  <c r="AJ540" i="1"/>
  <c r="AI540" i="1"/>
  <c r="AH540" i="1"/>
  <c r="AG540" i="1"/>
  <c r="AF540" i="1"/>
  <c r="AE540" i="1"/>
  <c r="AD540" i="1"/>
  <c r="AC540" i="1"/>
  <c r="AB540" i="1"/>
  <c r="AA540" i="1"/>
  <c r="BT539" i="1"/>
  <c r="BS539" i="1"/>
  <c r="BR539" i="1"/>
  <c r="BQ539" i="1"/>
  <c r="BP539" i="1"/>
  <c r="BO539" i="1"/>
  <c r="BN539" i="1"/>
  <c r="BM539" i="1"/>
  <c r="BL539" i="1"/>
  <c r="BK539" i="1"/>
  <c r="BJ539" i="1"/>
  <c r="BI539" i="1"/>
  <c r="BG539" i="1"/>
  <c r="BF539" i="1"/>
  <c r="BE539" i="1"/>
  <c r="BD539" i="1"/>
  <c r="BC539" i="1"/>
  <c r="BB539" i="1"/>
  <c r="BA539" i="1"/>
  <c r="AZ539" i="1"/>
  <c r="AY539" i="1"/>
  <c r="AX539" i="1"/>
  <c r="AW539" i="1"/>
  <c r="AV539" i="1"/>
  <c r="AL539" i="1"/>
  <c r="AK539" i="1"/>
  <c r="AJ539" i="1"/>
  <c r="AI539" i="1"/>
  <c r="AH539" i="1"/>
  <c r="AG539" i="1"/>
  <c r="AF539" i="1"/>
  <c r="AE539" i="1"/>
  <c r="AD539" i="1"/>
  <c r="AC539" i="1"/>
  <c r="AB539" i="1"/>
  <c r="AA539" i="1"/>
  <c r="BG538" i="1"/>
  <c r="BF538" i="1"/>
  <c r="BE538" i="1"/>
  <c r="BD538" i="1"/>
  <c r="BC538" i="1"/>
  <c r="BB538" i="1"/>
  <c r="BA538" i="1"/>
  <c r="AZ538" i="1"/>
  <c r="AY538" i="1"/>
  <c r="AX538" i="1"/>
  <c r="AW538" i="1"/>
  <c r="AV538" i="1"/>
  <c r="AR538" i="1"/>
  <c r="AO538" i="1"/>
  <c r="AL538" i="1"/>
  <c r="AK538" i="1"/>
  <c r="AJ538" i="1"/>
  <c r="AI538" i="1"/>
  <c r="AH538" i="1"/>
  <c r="AG538" i="1"/>
  <c r="AF538" i="1"/>
  <c r="AE538" i="1"/>
  <c r="AD538" i="1"/>
  <c r="AC538" i="1"/>
  <c r="AB538" i="1"/>
  <c r="AA538" i="1"/>
  <c r="BG537" i="1"/>
  <c r="BF537" i="1"/>
  <c r="BE537" i="1"/>
  <c r="BD537" i="1"/>
  <c r="BC537" i="1"/>
  <c r="BB537" i="1"/>
  <c r="BA537" i="1"/>
  <c r="AZ537" i="1"/>
  <c r="AY537" i="1"/>
  <c r="AX537" i="1"/>
  <c r="AW537" i="1"/>
  <c r="AV537" i="1"/>
  <c r="AR537" i="1"/>
  <c r="AO537" i="1"/>
  <c r="AL537" i="1"/>
  <c r="AK537" i="1"/>
  <c r="AJ537" i="1"/>
  <c r="AI537" i="1"/>
  <c r="AH537" i="1"/>
  <c r="AG537" i="1"/>
  <c r="AF537" i="1"/>
  <c r="AE537" i="1"/>
  <c r="AD537" i="1"/>
  <c r="AC537" i="1"/>
  <c r="AB537" i="1"/>
  <c r="AA537" i="1"/>
  <c r="BG536" i="1"/>
  <c r="BF536" i="1"/>
  <c r="BE536" i="1"/>
  <c r="BD536" i="1"/>
  <c r="BC536" i="1"/>
  <c r="BB536" i="1"/>
  <c r="BA536" i="1"/>
  <c r="AZ536" i="1"/>
  <c r="AY536" i="1"/>
  <c r="AX536" i="1"/>
  <c r="AW536" i="1"/>
  <c r="AV536" i="1"/>
  <c r="AR536" i="1"/>
  <c r="AO536" i="1"/>
  <c r="AL536" i="1"/>
  <c r="AK536" i="1"/>
  <c r="AJ536" i="1"/>
  <c r="AI536" i="1"/>
  <c r="AH536" i="1"/>
  <c r="AG536" i="1"/>
  <c r="AF536" i="1"/>
  <c r="AE536" i="1"/>
  <c r="AD536" i="1"/>
  <c r="AC536" i="1"/>
  <c r="AB536" i="1"/>
  <c r="AA536" i="1"/>
  <c r="BG535" i="1"/>
  <c r="BF535" i="1"/>
  <c r="BE535" i="1"/>
  <c r="BD535" i="1"/>
  <c r="BC535" i="1"/>
  <c r="BB535" i="1"/>
  <c r="BA535" i="1"/>
  <c r="AZ535" i="1"/>
  <c r="AY535" i="1"/>
  <c r="AX535" i="1"/>
  <c r="AW535" i="1"/>
  <c r="AV535" i="1"/>
  <c r="AR535" i="1"/>
  <c r="AO535" i="1"/>
  <c r="AL535" i="1"/>
  <c r="AK535" i="1"/>
  <c r="AJ535" i="1"/>
  <c r="AI535" i="1"/>
  <c r="AH535" i="1"/>
  <c r="AG535" i="1"/>
  <c r="AF535" i="1"/>
  <c r="AE535" i="1"/>
  <c r="AD535" i="1"/>
  <c r="AC535" i="1"/>
  <c r="AB535" i="1"/>
  <c r="AA535" i="1"/>
  <c r="BT534" i="1"/>
  <c r="BS534" i="1"/>
  <c r="BR534" i="1"/>
  <c r="BQ534" i="1"/>
  <c r="BP534" i="1"/>
  <c r="BO534" i="1"/>
  <c r="BN534" i="1"/>
  <c r="BM534" i="1"/>
  <c r="AZ534" i="1" s="1"/>
  <c r="BL534" i="1"/>
  <c r="AY534" i="1" s="1"/>
  <c r="BK534" i="1"/>
  <c r="AX534" i="1" s="1"/>
  <c r="BJ534" i="1"/>
  <c r="AW534" i="1" s="1"/>
  <c r="BI534" i="1"/>
  <c r="AV534" i="1" s="1"/>
  <c r="BG534" i="1"/>
  <c r="BF534" i="1"/>
  <c r="BE534" i="1"/>
  <c r="BD534" i="1"/>
  <c r="BC534" i="1"/>
  <c r="BB534" i="1"/>
  <c r="BA534" i="1"/>
  <c r="AL534" i="1"/>
  <c r="AK534" i="1"/>
  <c r="AJ534" i="1"/>
  <c r="AI534" i="1"/>
  <c r="AH534" i="1"/>
  <c r="AG534" i="1"/>
  <c r="AF534" i="1"/>
  <c r="AE534" i="1"/>
  <c r="AD534" i="1"/>
  <c r="AC534" i="1"/>
  <c r="AB534" i="1"/>
  <c r="AA534" i="1"/>
  <c r="BT533" i="1"/>
  <c r="BS533" i="1"/>
  <c r="BR533" i="1"/>
  <c r="BQ533" i="1"/>
  <c r="BP533" i="1"/>
  <c r="BO533" i="1"/>
  <c r="BN533" i="1"/>
  <c r="BM533" i="1"/>
  <c r="BL533" i="1"/>
  <c r="BK533" i="1"/>
  <c r="BJ533" i="1"/>
  <c r="BI533" i="1"/>
  <c r="BG533" i="1"/>
  <c r="BF533" i="1"/>
  <c r="BE533" i="1"/>
  <c r="BD533" i="1"/>
  <c r="BC533" i="1"/>
  <c r="BB533" i="1"/>
  <c r="BA533" i="1"/>
  <c r="AZ533" i="1"/>
  <c r="AY533" i="1"/>
  <c r="AX533" i="1"/>
  <c r="AW533" i="1"/>
  <c r="AV533" i="1"/>
  <c r="AL533" i="1"/>
  <c r="AK533" i="1"/>
  <c r="AJ533" i="1"/>
  <c r="AI533" i="1"/>
  <c r="AH533" i="1"/>
  <c r="AG533" i="1"/>
  <c r="AF533" i="1"/>
  <c r="AE533" i="1"/>
  <c r="AD533" i="1"/>
  <c r="AC533" i="1"/>
  <c r="AB533" i="1"/>
  <c r="AA533" i="1"/>
  <c r="BT532" i="1"/>
  <c r="BS532" i="1"/>
  <c r="BR532" i="1"/>
  <c r="BQ532" i="1"/>
  <c r="BP532" i="1"/>
  <c r="BC532" i="1" s="1"/>
  <c r="BO532" i="1"/>
  <c r="BN532" i="1"/>
  <c r="BA532" i="1" s="1"/>
  <c r="BM532" i="1"/>
  <c r="AZ532" i="1" s="1"/>
  <c r="BL532" i="1"/>
  <c r="AY532" i="1" s="1"/>
  <c r="BK532" i="1"/>
  <c r="BJ532" i="1"/>
  <c r="AW532" i="1" s="1"/>
  <c r="BI532" i="1"/>
  <c r="AV532" i="1" s="1"/>
  <c r="BG532" i="1"/>
  <c r="BF532" i="1"/>
  <c r="BE532" i="1"/>
  <c r="BD532" i="1"/>
  <c r="BB532" i="1"/>
  <c r="AX532" i="1"/>
  <c r="AL532" i="1"/>
  <c r="AK532" i="1"/>
  <c r="AJ532" i="1"/>
  <c r="AI532" i="1"/>
  <c r="AH532" i="1"/>
  <c r="AG532" i="1"/>
  <c r="AF532" i="1"/>
  <c r="AE532" i="1"/>
  <c r="AD532" i="1"/>
  <c r="AC532" i="1"/>
  <c r="AB532" i="1"/>
  <c r="AA532" i="1"/>
  <c r="AL531" i="1"/>
  <c r="AK531" i="1"/>
  <c r="AJ531" i="1"/>
  <c r="AI531" i="1"/>
  <c r="AH531" i="1"/>
  <c r="AG531" i="1"/>
  <c r="AF531" i="1"/>
  <c r="AE531" i="1"/>
  <c r="AD531" i="1"/>
  <c r="AC531" i="1"/>
  <c r="AB531" i="1"/>
  <c r="AA531" i="1"/>
  <c r="H527" i="1"/>
  <c r="E527" i="1"/>
  <c r="BG525" i="1"/>
  <c r="BF525" i="1"/>
  <c r="BE525" i="1"/>
  <c r="BD525" i="1"/>
  <c r="BC525" i="1"/>
  <c r="BB525" i="1"/>
  <c r="BA525" i="1"/>
  <c r="AZ525" i="1"/>
  <c r="AY525" i="1"/>
  <c r="AX525" i="1"/>
  <c r="AW525" i="1"/>
  <c r="AV525" i="1"/>
  <c r="AL525" i="1"/>
  <c r="AK525" i="1"/>
  <c r="AJ525" i="1"/>
  <c r="AI525" i="1"/>
  <c r="AH525" i="1"/>
  <c r="AG525" i="1"/>
  <c r="AF525" i="1"/>
  <c r="AE525" i="1"/>
  <c r="AD525" i="1"/>
  <c r="AC525" i="1"/>
  <c r="AB525" i="1"/>
  <c r="AA525" i="1"/>
  <c r="BT524" i="1"/>
  <c r="BS524" i="1"/>
  <c r="BR524" i="1"/>
  <c r="BQ524" i="1"/>
  <c r="BP524" i="1"/>
  <c r="BO524" i="1"/>
  <c r="BN524" i="1"/>
  <c r="BM524" i="1"/>
  <c r="BL524" i="1"/>
  <c r="BK524" i="1"/>
  <c r="BJ524" i="1"/>
  <c r="BI524" i="1"/>
  <c r="BG524" i="1"/>
  <c r="BF524" i="1"/>
  <c r="BE524" i="1"/>
  <c r="BD524" i="1"/>
  <c r="BC524" i="1"/>
  <c r="BB524" i="1"/>
  <c r="BA524" i="1"/>
  <c r="AZ524" i="1"/>
  <c r="AY524" i="1"/>
  <c r="AX524" i="1"/>
  <c r="AW524" i="1"/>
  <c r="AV524" i="1"/>
  <c r="AL524" i="1"/>
  <c r="AK524" i="1"/>
  <c r="AJ524" i="1"/>
  <c r="AI524" i="1"/>
  <c r="AH524" i="1"/>
  <c r="AG524" i="1"/>
  <c r="AF524" i="1"/>
  <c r="AE524" i="1"/>
  <c r="AD524" i="1"/>
  <c r="AC524" i="1"/>
  <c r="AB524" i="1"/>
  <c r="AA524" i="1"/>
  <c r="AL523" i="1"/>
  <c r="AK523" i="1"/>
  <c r="AJ523" i="1"/>
  <c r="AI523" i="1"/>
  <c r="AH523" i="1"/>
  <c r="AG523" i="1"/>
  <c r="AF523" i="1"/>
  <c r="AE523" i="1"/>
  <c r="AD523" i="1"/>
  <c r="AC523" i="1"/>
  <c r="AB523" i="1"/>
  <c r="AA523" i="1"/>
  <c r="AL522" i="1"/>
  <c r="AK522" i="1"/>
  <c r="AJ522" i="1"/>
  <c r="AI522" i="1"/>
  <c r="AH522" i="1"/>
  <c r="AG522" i="1"/>
  <c r="AF522" i="1"/>
  <c r="AE522" i="1"/>
  <c r="AD522" i="1"/>
  <c r="AC522" i="1"/>
  <c r="AB522" i="1"/>
  <c r="AA522" i="1"/>
  <c r="AL521" i="1"/>
  <c r="AK521" i="1"/>
  <c r="AJ521" i="1"/>
  <c r="AI521" i="1"/>
  <c r="AH521" i="1"/>
  <c r="AG521" i="1"/>
  <c r="AF521" i="1"/>
  <c r="AE521" i="1"/>
  <c r="AD521" i="1"/>
  <c r="AC521" i="1"/>
  <c r="AB521" i="1"/>
  <c r="AA521" i="1"/>
  <c r="BT520" i="1"/>
  <c r="BS520" i="1"/>
  <c r="BR520" i="1"/>
  <c r="BQ520" i="1"/>
  <c r="BP520" i="1"/>
  <c r="BO520" i="1"/>
  <c r="BN520" i="1"/>
  <c r="BM520" i="1"/>
  <c r="BL520" i="1"/>
  <c r="AY520" i="1" s="1"/>
  <c r="BK520" i="1"/>
  <c r="BJ520" i="1"/>
  <c r="BI520" i="1"/>
  <c r="BG520" i="1"/>
  <c r="BF520" i="1"/>
  <c r="BE520" i="1"/>
  <c r="BD520" i="1"/>
  <c r="BC520" i="1"/>
  <c r="BB520" i="1"/>
  <c r="BA520" i="1"/>
  <c r="AZ520" i="1"/>
  <c r="AX520" i="1"/>
  <c r="AW520" i="1"/>
  <c r="AV520" i="1"/>
  <c r="AL520" i="1"/>
  <c r="AK520" i="1"/>
  <c r="AJ520" i="1"/>
  <c r="AI520" i="1"/>
  <c r="AH520" i="1"/>
  <c r="AG520" i="1"/>
  <c r="AF520" i="1"/>
  <c r="AE520" i="1"/>
  <c r="AD520" i="1"/>
  <c r="AC520" i="1"/>
  <c r="AB520" i="1"/>
  <c r="AA520" i="1"/>
  <c r="BT519" i="1"/>
  <c r="BS519" i="1"/>
  <c r="BR519" i="1"/>
  <c r="BQ519" i="1"/>
  <c r="BP519" i="1"/>
  <c r="BO519" i="1"/>
  <c r="BN519" i="1"/>
  <c r="BM519" i="1"/>
  <c r="BL519" i="1"/>
  <c r="BK519" i="1"/>
  <c r="BJ519" i="1"/>
  <c r="BI519" i="1"/>
  <c r="BG519" i="1"/>
  <c r="BF519" i="1"/>
  <c r="BE519" i="1"/>
  <c r="BD519" i="1"/>
  <c r="BC519" i="1"/>
  <c r="BB519" i="1"/>
  <c r="BA519" i="1"/>
  <c r="AZ519" i="1"/>
  <c r="AY519" i="1"/>
  <c r="AX519" i="1"/>
  <c r="AW519" i="1"/>
  <c r="AV519" i="1"/>
  <c r="AL519" i="1"/>
  <c r="AK519" i="1"/>
  <c r="AJ519" i="1"/>
  <c r="AI519" i="1"/>
  <c r="AH519" i="1"/>
  <c r="AG519" i="1"/>
  <c r="AF519" i="1"/>
  <c r="AE519" i="1"/>
  <c r="AD519" i="1"/>
  <c r="AC519" i="1"/>
  <c r="AB519" i="1"/>
  <c r="AA519" i="1"/>
  <c r="R519" i="1"/>
  <c r="BT518" i="1"/>
  <c r="BS518" i="1"/>
  <c r="BR518" i="1"/>
  <c r="BE518" i="1" s="1"/>
  <c r="BQ518" i="1"/>
  <c r="BD518" i="1" s="1"/>
  <c r="BP518" i="1"/>
  <c r="BC518" i="1" s="1"/>
  <c r="BO518" i="1"/>
  <c r="BB518" i="1" s="1"/>
  <c r="BN518" i="1"/>
  <c r="BA518" i="1" s="1"/>
  <c r="BM518" i="1"/>
  <c r="AZ518" i="1" s="1"/>
  <c r="BL518" i="1"/>
  <c r="BK518" i="1"/>
  <c r="AX518" i="1" s="1"/>
  <c r="BJ518" i="1"/>
  <c r="AW518" i="1" s="1"/>
  <c r="BI518" i="1"/>
  <c r="AV518" i="1" s="1"/>
  <c r="BG518" i="1"/>
  <c r="BF518" i="1"/>
  <c r="AY518" i="1"/>
  <c r="AL518" i="1"/>
  <c r="AK518" i="1"/>
  <c r="AJ518" i="1"/>
  <c r="AI518" i="1"/>
  <c r="AH518" i="1"/>
  <c r="AG518" i="1"/>
  <c r="AF518" i="1"/>
  <c r="AE518" i="1"/>
  <c r="AD518" i="1"/>
  <c r="AC518" i="1"/>
  <c r="AB518" i="1"/>
  <c r="AA518" i="1"/>
  <c r="BT517" i="1"/>
  <c r="BS517" i="1"/>
  <c r="BR517" i="1"/>
  <c r="BE517" i="1" s="1"/>
  <c r="BQ517" i="1"/>
  <c r="BD517" i="1" s="1"/>
  <c r="BP517" i="1"/>
  <c r="BC517" i="1" s="1"/>
  <c r="BO517" i="1"/>
  <c r="BB517" i="1" s="1"/>
  <c r="BN517" i="1"/>
  <c r="BA517" i="1" s="1"/>
  <c r="BM517" i="1"/>
  <c r="BL517" i="1"/>
  <c r="AY517" i="1" s="1"/>
  <c r="BK517" i="1"/>
  <c r="BJ517" i="1"/>
  <c r="AW517" i="1" s="1"/>
  <c r="BI517" i="1"/>
  <c r="AV517" i="1" s="1"/>
  <c r="BG517" i="1"/>
  <c r="BF517" i="1"/>
  <c r="AZ517" i="1"/>
  <c r="AX517" i="1"/>
  <c r="AL517" i="1"/>
  <c r="AK517" i="1"/>
  <c r="AJ517" i="1"/>
  <c r="AI517" i="1"/>
  <c r="AH517" i="1"/>
  <c r="AG517" i="1"/>
  <c r="AF517" i="1"/>
  <c r="AE517" i="1"/>
  <c r="AD517" i="1"/>
  <c r="AC517" i="1"/>
  <c r="AB517" i="1"/>
  <c r="AA517" i="1"/>
  <c r="R517" i="1"/>
  <c r="BT516" i="1"/>
  <c r="BS516" i="1"/>
  <c r="BR516" i="1"/>
  <c r="BQ516" i="1"/>
  <c r="BP516" i="1"/>
  <c r="BO516" i="1"/>
  <c r="BN516" i="1"/>
  <c r="BM516" i="1"/>
  <c r="BL516" i="1"/>
  <c r="AY516" i="1" s="1"/>
  <c r="BK516" i="1"/>
  <c r="AX516" i="1" s="1"/>
  <c r="BJ516" i="1"/>
  <c r="BI516" i="1"/>
  <c r="AV516" i="1" s="1"/>
  <c r="BG516" i="1"/>
  <c r="BF516" i="1"/>
  <c r="BE516" i="1"/>
  <c r="BD516" i="1"/>
  <c r="BC516" i="1"/>
  <c r="BB516" i="1"/>
  <c r="BA516" i="1"/>
  <c r="AZ516" i="1"/>
  <c r="AW516" i="1"/>
  <c r="AL516" i="1"/>
  <c r="AK516" i="1"/>
  <c r="AJ516" i="1"/>
  <c r="AI516" i="1"/>
  <c r="AH516" i="1"/>
  <c r="AG516" i="1"/>
  <c r="AF516" i="1"/>
  <c r="AE516" i="1"/>
  <c r="AD516" i="1"/>
  <c r="AC516" i="1"/>
  <c r="AB516" i="1"/>
  <c r="AA516" i="1"/>
  <c r="BT515" i="1"/>
  <c r="BS515" i="1"/>
  <c r="BR515" i="1"/>
  <c r="BQ515" i="1"/>
  <c r="BP515" i="1"/>
  <c r="BO515" i="1"/>
  <c r="BN515" i="1"/>
  <c r="BM515" i="1"/>
  <c r="BL515" i="1"/>
  <c r="BK515" i="1"/>
  <c r="BJ515" i="1"/>
  <c r="BI515" i="1"/>
  <c r="BG515" i="1"/>
  <c r="BF515" i="1"/>
  <c r="BE515" i="1"/>
  <c r="BD515" i="1"/>
  <c r="BC515" i="1"/>
  <c r="BB515" i="1"/>
  <c r="BA515" i="1"/>
  <c r="AZ515" i="1"/>
  <c r="AY515" i="1"/>
  <c r="AX515" i="1"/>
  <c r="AW515" i="1"/>
  <c r="AV515" i="1"/>
  <c r="AL515" i="1"/>
  <c r="AK515" i="1"/>
  <c r="AJ515" i="1"/>
  <c r="AI515" i="1"/>
  <c r="AH515" i="1"/>
  <c r="AG515" i="1"/>
  <c r="AF515" i="1"/>
  <c r="AE515" i="1"/>
  <c r="AD515" i="1"/>
  <c r="AC515" i="1"/>
  <c r="AB515" i="1"/>
  <c r="AA515" i="1"/>
  <c r="R515" i="1"/>
  <c r="BT514" i="1"/>
  <c r="BG514" i="1" s="1"/>
  <c r="BS514" i="1"/>
  <c r="BF514" i="1" s="1"/>
  <c r="BR514" i="1"/>
  <c r="BE514" i="1" s="1"/>
  <c r="BQ514" i="1"/>
  <c r="BD514" i="1" s="1"/>
  <c r="BP514" i="1"/>
  <c r="BO514" i="1"/>
  <c r="BB514" i="1" s="1"/>
  <c r="BN514" i="1"/>
  <c r="BA514" i="1" s="1"/>
  <c r="BM514" i="1"/>
  <c r="AZ514" i="1" s="1"/>
  <c r="BL514" i="1"/>
  <c r="AY514" i="1" s="1"/>
  <c r="BK514" i="1"/>
  <c r="AX514" i="1" s="1"/>
  <c r="BJ514" i="1"/>
  <c r="BI514" i="1"/>
  <c r="AV514" i="1" s="1"/>
  <c r="BC514" i="1"/>
  <c r="AW514" i="1"/>
  <c r="AL514" i="1"/>
  <c r="AK514" i="1"/>
  <c r="AJ514" i="1"/>
  <c r="AI514" i="1"/>
  <c r="AH514" i="1"/>
  <c r="AG514" i="1"/>
  <c r="AF514" i="1"/>
  <c r="AE514" i="1"/>
  <c r="AD514" i="1"/>
  <c r="AC514" i="1"/>
  <c r="AB514" i="1"/>
  <c r="AA514" i="1"/>
  <c r="BT513" i="1"/>
  <c r="BS513" i="1"/>
  <c r="BR513" i="1"/>
  <c r="BQ513" i="1"/>
  <c r="BP513" i="1"/>
  <c r="BO513" i="1"/>
  <c r="BN513" i="1"/>
  <c r="BM513" i="1"/>
  <c r="BL513" i="1"/>
  <c r="BK513" i="1"/>
  <c r="BJ513" i="1"/>
  <c r="BI513" i="1"/>
  <c r="BG513" i="1"/>
  <c r="BF513" i="1"/>
  <c r="BE513" i="1"/>
  <c r="BD513" i="1"/>
  <c r="BC513" i="1"/>
  <c r="BB513" i="1"/>
  <c r="BA513" i="1"/>
  <c r="AZ513" i="1"/>
  <c r="AY513" i="1"/>
  <c r="AX513" i="1"/>
  <c r="AW513" i="1"/>
  <c r="AV513" i="1"/>
  <c r="AL513" i="1"/>
  <c r="AK513" i="1"/>
  <c r="AJ513" i="1"/>
  <c r="AI513" i="1"/>
  <c r="AH513" i="1"/>
  <c r="AG513" i="1"/>
  <c r="AF513" i="1"/>
  <c r="AE513" i="1"/>
  <c r="AD513" i="1"/>
  <c r="AC513" i="1"/>
  <c r="AB513" i="1"/>
  <c r="AA513" i="1"/>
  <c r="R513" i="1"/>
  <c r="BT512" i="1"/>
  <c r="BS512" i="1"/>
  <c r="BR512" i="1"/>
  <c r="BQ512" i="1"/>
  <c r="BP512" i="1"/>
  <c r="BO512" i="1"/>
  <c r="BN512" i="1"/>
  <c r="BM512" i="1"/>
  <c r="BL512" i="1"/>
  <c r="BK512" i="1"/>
  <c r="BJ512" i="1"/>
  <c r="BI512" i="1"/>
  <c r="BG512" i="1"/>
  <c r="BF512" i="1"/>
  <c r="BE512" i="1"/>
  <c r="BD512" i="1"/>
  <c r="BC512" i="1"/>
  <c r="BB512" i="1"/>
  <c r="BA512" i="1"/>
  <c r="AZ512" i="1"/>
  <c r="AY512" i="1"/>
  <c r="AX512" i="1"/>
  <c r="AW512" i="1"/>
  <c r="AV512" i="1"/>
  <c r="AL512" i="1"/>
  <c r="AK512" i="1"/>
  <c r="AJ512" i="1"/>
  <c r="AI512" i="1"/>
  <c r="AH512" i="1"/>
  <c r="AG512" i="1"/>
  <c r="AF512" i="1"/>
  <c r="AE512" i="1"/>
  <c r="AD512" i="1"/>
  <c r="AC512" i="1"/>
  <c r="AB512" i="1"/>
  <c r="AA512" i="1"/>
  <c r="BT511" i="1"/>
  <c r="BS511" i="1"/>
  <c r="BR511" i="1"/>
  <c r="BQ511" i="1"/>
  <c r="BP511" i="1"/>
  <c r="BO511" i="1"/>
  <c r="BN511" i="1"/>
  <c r="BM511" i="1"/>
  <c r="BL511" i="1"/>
  <c r="BK511" i="1"/>
  <c r="BJ511" i="1"/>
  <c r="BI511" i="1"/>
  <c r="BG511" i="1"/>
  <c r="BF511" i="1"/>
  <c r="BE511" i="1"/>
  <c r="BD511" i="1"/>
  <c r="BC511" i="1"/>
  <c r="BB511" i="1"/>
  <c r="BA511" i="1"/>
  <c r="AZ511" i="1"/>
  <c r="AY511" i="1"/>
  <c r="AX511" i="1"/>
  <c r="AW511" i="1"/>
  <c r="AV511" i="1"/>
  <c r="AL511" i="1"/>
  <c r="AK511" i="1"/>
  <c r="AJ511" i="1"/>
  <c r="AI511" i="1"/>
  <c r="AH511" i="1"/>
  <c r="AG511" i="1"/>
  <c r="AF511" i="1"/>
  <c r="AE511" i="1"/>
  <c r="AD511" i="1"/>
  <c r="AC511" i="1"/>
  <c r="AB511" i="1"/>
  <c r="AA511" i="1"/>
  <c r="AL510" i="1"/>
  <c r="AK510" i="1"/>
  <c r="AJ510" i="1"/>
  <c r="AI510" i="1"/>
  <c r="AH510" i="1"/>
  <c r="AG510" i="1"/>
  <c r="AF510" i="1"/>
  <c r="AE510" i="1"/>
  <c r="AD510" i="1"/>
  <c r="AC510" i="1"/>
  <c r="AB510" i="1"/>
  <c r="AA510" i="1"/>
  <c r="AL509" i="1"/>
  <c r="AK509" i="1"/>
  <c r="AJ509" i="1"/>
  <c r="AI509" i="1"/>
  <c r="AH509" i="1"/>
  <c r="AG509" i="1"/>
  <c r="AF509" i="1"/>
  <c r="AE509" i="1"/>
  <c r="AD509" i="1"/>
  <c r="AC509" i="1"/>
  <c r="AB509" i="1"/>
  <c r="AA509" i="1"/>
  <c r="BT508" i="1"/>
  <c r="BS508" i="1"/>
  <c r="BR508" i="1"/>
  <c r="BQ508" i="1"/>
  <c r="BP508" i="1"/>
  <c r="BO508" i="1"/>
  <c r="BN508" i="1"/>
  <c r="BM508" i="1"/>
  <c r="BL508" i="1"/>
  <c r="BK508" i="1"/>
  <c r="BJ508" i="1"/>
  <c r="BI508" i="1"/>
  <c r="BG508" i="1"/>
  <c r="BF508" i="1"/>
  <c r="BE508" i="1"/>
  <c r="BD508" i="1"/>
  <c r="BC508" i="1"/>
  <c r="BB508" i="1"/>
  <c r="BA508" i="1"/>
  <c r="AZ508" i="1"/>
  <c r="AY508" i="1"/>
  <c r="AX508" i="1"/>
  <c r="AW508" i="1"/>
  <c r="AV508" i="1"/>
  <c r="AL508" i="1"/>
  <c r="AK508" i="1"/>
  <c r="AJ508" i="1"/>
  <c r="AI508" i="1"/>
  <c r="AH508" i="1"/>
  <c r="AG508" i="1"/>
  <c r="AF508" i="1"/>
  <c r="AE508" i="1"/>
  <c r="AD508" i="1"/>
  <c r="AC508" i="1"/>
  <c r="AB508" i="1"/>
  <c r="AA508" i="1"/>
  <c r="BT507" i="1"/>
  <c r="BS507" i="1"/>
  <c r="BR507" i="1"/>
  <c r="BQ507" i="1"/>
  <c r="BP507" i="1"/>
  <c r="BO507" i="1"/>
  <c r="BN507" i="1"/>
  <c r="BM507" i="1"/>
  <c r="BL507" i="1"/>
  <c r="BK507" i="1"/>
  <c r="BJ507" i="1"/>
  <c r="BI507" i="1"/>
  <c r="BG507" i="1"/>
  <c r="BF507" i="1"/>
  <c r="BE507" i="1"/>
  <c r="BD507" i="1"/>
  <c r="BC507" i="1"/>
  <c r="BB507" i="1"/>
  <c r="BA507" i="1"/>
  <c r="AZ507" i="1"/>
  <c r="AY507" i="1"/>
  <c r="AX507" i="1"/>
  <c r="AW507" i="1"/>
  <c r="AV507" i="1"/>
  <c r="AL507" i="1"/>
  <c r="AK507" i="1"/>
  <c r="AJ507" i="1"/>
  <c r="AI507" i="1"/>
  <c r="AH507" i="1"/>
  <c r="AG507" i="1"/>
  <c r="AF507" i="1"/>
  <c r="AE507" i="1"/>
  <c r="AD507" i="1"/>
  <c r="AC507" i="1"/>
  <c r="AB507" i="1"/>
  <c r="AA507" i="1"/>
  <c r="R507" i="1"/>
  <c r="BT506" i="1"/>
  <c r="BS506" i="1"/>
  <c r="BR506" i="1"/>
  <c r="BQ506" i="1"/>
  <c r="BP506" i="1"/>
  <c r="BO506" i="1"/>
  <c r="BN506" i="1"/>
  <c r="BM506" i="1"/>
  <c r="BL506" i="1"/>
  <c r="BK506" i="1"/>
  <c r="AX506" i="1" s="1"/>
  <c r="BJ506" i="1"/>
  <c r="BI506" i="1"/>
  <c r="BG506" i="1"/>
  <c r="BF506" i="1"/>
  <c r="BE506" i="1"/>
  <c r="BD506" i="1"/>
  <c r="BC506" i="1"/>
  <c r="BB506" i="1"/>
  <c r="BA506" i="1"/>
  <c r="AZ506" i="1"/>
  <c r="AY506" i="1"/>
  <c r="AW506" i="1"/>
  <c r="AV506" i="1"/>
  <c r="AL506" i="1"/>
  <c r="AK506" i="1"/>
  <c r="AJ506" i="1"/>
  <c r="AI506" i="1"/>
  <c r="AH506" i="1"/>
  <c r="AG506" i="1"/>
  <c r="AF506" i="1"/>
  <c r="AE506" i="1"/>
  <c r="AD506" i="1"/>
  <c r="AC506" i="1"/>
  <c r="AB506" i="1"/>
  <c r="AA506" i="1"/>
  <c r="BT505" i="1"/>
  <c r="BS505" i="1"/>
  <c r="BR505" i="1"/>
  <c r="BE505" i="1" s="1"/>
  <c r="BQ505" i="1"/>
  <c r="BD505" i="1" s="1"/>
  <c r="BP505" i="1"/>
  <c r="BO505" i="1"/>
  <c r="BB505" i="1" s="1"/>
  <c r="BN505" i="1"/>
  <c r="BA505" i="1" s="1"/>
  <c r="BM505" i="1"/>
  <c r="AZ505" i="1" s="1"/>
  <c r="BL505" i="1"/>
  <c r="BK505" i="1"/>
  <c r="AX505" i="1" s="1"/>
  <c r="BJ505" i="1"/>
  <c r="AW505" i="1" s="1"/>
  <c r="BI505" i="1"/>
  <c r="AV505" i="1" s="1"/>
  <c r="BG505" i="1"/>
  <c r="BF505" i="1"/>
  <c r="BC505" i="1"/>
  <c r="AY505" i="1"/>
  <c r="AL505" i="1"/>
  <c r="AK505" i="1"/>
  <c r="AJ505" i="1"/>
  <c r="AI505" i="1"/>
  <c r="AH505" i="1"/>
  <c r="AG505" i="1"/>
  <c r="AF505" i="1"/>
  <c r="AE505" i="1"/>
  <c r="AD505" i="1"/>
  <c r="AC505" i="1"/>
  <c r="AB505" i="1"/>
  <c r="AA505" i="1"/>
  <c r="AL504" i="1"/>
  <c r="AK504" i="1"/>
  <c r="AJ504" i="1"/>
  <c r="AI504" i="1"/>
  <c r="AH504" i="1"/>
  <c r="AG504" i="1"/>
  <c r="AF504" i="1"/>
  <c r="AE504" i="1"/>
  <c r="AD504" i="1"/>
  <c r="AC504" i="1"/>
  <c r="AB504" i="1"/>
  <c r="AA504" i="1"/>
  <c r="BT503" i="1"/>
  <c r="BS503" i="1"/>
  <c r="BR503" i="1"/>
  <c r="BQ503" i="1"/>
  <c r="BP503" i="1"/>
  <c r="BO503" i="1"/>
  <c r="BN503" i="1"/>
  <c r="BM503" i="1"/>
  <c r="BL503" i="1"/>
  <c r="BK503" i="1"/>
  <c r="BJ503" i="1"/>
  <c r="BI503" i="1"/>
  <c r="AV503" i="1" s="1"/>
  <c r="BG503" i="1"/>
  <c r="BF503" i="1"/>
  <c r="BE503" i="1"/>
  <c r="BD503" i="1"/>
  <c r="BC503" i="1"/>
  <c r="BB503" i="1"/>
  <c r="BA503" i="1"/>
  <c r="AZ503" i="1"/>
  <c r="AY503" i="1"/>
  <c r="AX503" i="1"/>
  <c r="AW503" i="1"/>
  <c r="AL503" i="1"/>
  <c r="AK503" i="1"/>
  <c r="AJ503" i="1"/>
  <c r="AI503" i="1"/>
  <c r="AH503" i="1"/>
  <c r="AG503" i="1"/>
  <c r="AF503" i="1"/>
  <c r="AE503" i="1"/>
  <c r="AD503" i="1"/>
  <c r="AC503" i="1"/>
  <c r="AB503" i="1"/>
  <c r="AA503" i="1"/>
  <c r="BT502" i="1"/>
  <c r="BS502" i="1"/>
  <c r="BR502" i="1"/>
  <c r="BQ502" i="1"/>
  <c r="BD502" i="1" s="1"/>
  <c r="BP502" i="1"/>
  <c r="BC502" i="1" s="1"/>
  <c r="BO502" i="1"/>
  <c r="BB502" i="1" s="1"/>
  <c r="BN502" i="1"/>
  <c r="BA502" i="1" s="1"/>
  <c r="BM502" i="1"/>
  <c r="AZ502" i="1" s="1"/>
  <c r="BL502" i="1"/>
  <c r="AY502" i="1" s="1"/>
  <c r="BK502" i="1"/>
  <c r="AX502" i="1" s="1"/>
  <c r="BJ502" i="1"/>
  <c r="AW502" i="1" s="1"/>
  <c r="BI502" i="1"/>
  <c r="AV502" i="1" s="1"/>
  <c r="BG502" i="1"/>
  <c r="BF502" i="1"/>
  <c r="BE502" i="1"/>
  <c r="AL502" i="1"/>
  <c r="AK502" i="1"/>
  <c r="AJ502" i="1"/>
  <c r="AI502" i="1"/>
  <c r="AH502" i="1"/>
  <c r="AG502" i="1"/>
  <c r="AF502" i="1"/>
  <c r="AE502" i="1"/>
  <c r="AD502" i="1"/>
  <c r="AC502" i="1"/>
  <c r="AB502" i="1"/>
  <c r="AA502" i="1"/>
  <c r="R502" i="1"/>
  <c r="BT501" i="1"/>
  <c r="BS501" i="1"/>
  <c r="BR501" i="1"/>
  <c r="BQ501" i="1"/>
  <c r="BP501" i="1"/>
  <c r="BO501" i="1"/>
  <c r="BN501" i="1"/>
  <c r="BM501" i="1"/>
  <c r="BL501" i="1"/>
  <c r="BK501" i="1"/>
  <c r="BJ501" i="1"/>
  <c r="BI501" i="1"/>
  <c r="BG501" i="1"/>
  <c r="BF501" i="1"/>
  <c r="BE501" i="1"/>
  <c r="BD501" i="1"/>
  <c r="BC501" i="1"/>
  <c r="BB501" i="1"/>
  <c r="BA501" i="1"/>
  <c r="AZ501" i="1"/>
  <c r="AY501" i="1"/>
  <c r="AX501" i="1"/>
  <c r="AW501" i="1"/>
  <c r="AV501" i="1"/>
  <c r="AL501" i="1"/>
  <c r="AK501" i="1"/>
  <c r="AJ501" i="1"/>
  <c r="AI501" i="1"/>
  <c r="AH501" i="1"/>
  <c r="AG501" i="1"/>
  <c r="AF501" i="1"/>
  <c r="AE501" i="1"/>
  <c r="AD501" i="1"/>
  <c r="AC501" i="1"/>
  <c r="AB501" i="1"/>
  <c r="AA501" i="1"/>
  <c r="BT500" i="1"/>
  <c r="BS500" i="1"/>
  <c r="BR500" i="1"/>
  <c r="BQ500" i="1"/>
  <c r="BP500" i="1"/>
  <c r="BO500" i="1"/>
  <c r="BN500" i="1"/>
  <c r="BM500" i="1"/>
  <c r="BL500" i="1"/>
  <c r="BK500" i="1"/>
  <c r="BJ500" i="1"/>
  <c r="BI500" i="1"/>
  <c r="BG500" i="1"/>
  <c r="BF500" i="1"/>
  <c r="BE500" i="1"/>
  <c r="BD500" i="1"/>
  <c r="BC500" i="1"/>
  <c r="BB500" i="1"/>
  <c r="BA500" i="1"/>
  <c r="AZ500" i="1"/>
  <c r="AY500" i="1"/>
  <c r="AX500" i="1"/>
  <c r="AW500" i="1"/>
  <c r="AV500" i="1"/>
  <c r="AL500" i="1"/>
  <c r="AK500" i="1"/>
  <c r="AJ500" i="1"/>
  <c r="AI500" i="1"/>
  <c r="AH500" i="1"/>
  <c r="AG500" i="1"/>
  <c r="AF500" i="1"/>
  <c r="AE500" i="1"/>
  <c r="AD500" i="1"/>
  <c r="AC500" i="1"/>
  <c r="AB500" i="1"/>
  <c r="AA500" i="1"/>
  <c r="R500" i="1"/>
  <c r="BT499" i="1"/>
  <c r="BS499" i="1"/>
  <c r="BR499" i="1"/>
  <c r="BQ499" i="1"/>
  <c r="BP499" i="1"/>
  <c r="BO499" i="1"/>
  <c r="BN499" i="1"/>
  <c r="BM499" i="1"/>
  <c r="BL499" i="1"/>
  <c r="BK499" i="1"/>
  <c r="BJ499" i="1"/>
  <c r="BI499" i="1"/>
  <c r="BG499" i="1"/>
  <c r="BF499" i="1"/>
  <c r="BE499" i="1"/>
  <c r="BD499" i="1"/>
  <c r="BC499" i="1"/>
  <c r="BB499" i="1"/>
  <c r="BA499" i="1"/>
  <c r="AZ499" i="1"/>
  <c r="AY499" i="1"/>
  <c r="AX499" i="1"/>
  <c r="AW499" i="1"/>
  <c r="AV499" i="1"/>
  <c r="AL499" i="1"/>
  <c r="AK499" i="1"/>
  <c r="AJ499" i="1"/>
  <c r="AI499" i="1"/>
  <c r="AH499" i="1"/>
  <c r="AG499" i="1"/>
  <c r="AF499" i="1"/>
  <c r="AE499" i="1"/>
  <c r="AD499" i="1"/>
  <c r="AC499" i="1"/>
  <c r="AB499" i="1"/>
  <c r="AA499" i="1"/>
  <c r="BG498" i="1"/>
  <c r="BF498" i="1"/>
  <c r="BE498" i="1"/>
  <c r="BD498" i="1"/>
  <c r="BC498" i="1"/>
  <c r="BB498" i="1"/>
  <c r="BA498" i="1"/>
  <c r="AZ498" i="1"/>
  <c r="AY498" i="1"/>
  <c r="AX498" i="1"/>
  <c r="AW498" i="1"/>
  <c r="AV498" i="1"/>
  <c r="AR498" i="1"/>
  <c r="AO498" i="1"/>
  <c r="AL498" i="1"/>
  <c r="AK498" i="1"/>
  <c r="AJ498" i="1"/>
  <c r="AI498" i="1"/>
  <c r="AH498" i="1"/>
  <c r="AG498" i="1"/>
  <c r="AF498" i="1"/>
  <c r="AE498" i="1"/>
  <c r="AD498" i="1"/>
  <c r="AC498" i="1"/>
  <c r="AB498" i="1"/>
  <c r="AA498" i="1"/>
  <c r="R498" i="1"/>
  <c r="BG497" i="1"/>
  <c r="BF497" i="1"/>
  <c r="BE497" i="1"/>
  <c r="BD497" i="1"/>
  <c r="BC497" i="1"/>
  <c r="BB497" i="1"/>
  <c r="BA497" i="1"/>
  <c r="AZ497" i="1"/>
  <c r="AY497" i="1"/>
  <c r="AX497" i="1"/>
  <c r="AW497" i="1"/>
  <c r="AV497" i="1"/>
  <c r="AR497" i="1"/>
  <c r="AO497" i="1"/>
  <c r="AL497" i="1"/>
  <c r="AK497" i="1"/>
  <c r="AJ497" i="1"/>
  <c r="AI497" i="1"/>
  <c r="AH497" i="1"/>
  <c r="AG497" i="1"/>
  <c r="AF497" i="1"/>
  <c r="AE497" i="1"/>
  <c r="AD497" i="1"/>
  <c r="AC497" i="1"/>
  <c r="AB497" i="1"/>
  <c r="AA497" i="1"/>
  <c r="R497" i="1"/>
  <c r="BG496" i="1"/>
  <c r="BF496" i="1"/>
  <c r="BE496" i="1"/>
  <c r="BD496" i="1"/>
  <c r="BC496" i="1"/>
  <c r="BB496" i="1"/>
  <c r="BA496" i="1"/>
  <c r="AZ496" i="1"/>
  <c r="AY496" i="1"/>
  <c r="AX496" i="1"/>
  <c r="AW496" i="1"/>
  <c r="AV496" i="1"/>
  <c r="AR496" i="1"/>
  <c r="AO496" i="1"/>
  <c r="AL496" i="1"/>
  <c r="AK496" i="1"/>
  <c r="AJ496" i="1"/>
  <c r="AI496" i="1"/>
  <c r="AH496" i="1"/>
  <c r="AG496" i="1"/>
  <c r="AF496" i="1"/>
  <c r="AE496" i="1"/>
  <c r="AD496" i="1"/>
  <c r="AC496" i="1"/>
  <c r="AB496" i="1"/>
  <c r="AA496" i="1"/>
  <c r="R496" i="1"/>
  <c r="BG495" i="1"/>
  <c r="BF495" i="1"/>
  <c r="BE495" i="1"/>
  <c r="BD495" i="1"/>
  <c r="BC495" i="1"/>
  <c r="BB495" i="1"/>
  <c r="BA495" i="1"/>
  <c r="AZ495" i="1"/>
  <c r="AY495" i="1"/>
  <c r="AX495" i="1"/>
  <c r="AW495" i="1"/>
  <c r="AV495" i="1"/>
  <c r="AR495" i="1"/>
  <c r="AO495" i="1"/>
  <c r="AL495" i="1"/>
  <c r="AK495" i="1"/>
  <c r="AJ495" i="1"/>
  <c r="AI495" i="1"/>
  <c r="AH495" i="1"/>
  <c r="AG495" i="1"/>
  <c r="AF495" i="1"/>
  <c r="AE495" i="1"/>
  <c r="AD495" i="1"/>
  <c r="AC495" i="1"/>
  <c r="AB495" i="1"/>
  <c r="AA495" i="1"/>
  <c r="R495" i="1"/>
  <c r="S495" i="1" s="1"/>
  <c r="BG494" i="1"/>
  <c r="BF494" i="1"/>
  <c r="BE494" i="1"/>
  <c r="BD494" i="1"/>
  <c r="BC494" i="1"/>
  <c r="BB494" i="1"/>
  <c r="BA494" i="1"/>
  <c r="AZ494" i="1"/>
  <c r="AY494" i="1"/>
  <c r="AX494" i="1"/>
  <c r="AW494" i="1"/>
  <c r="AV494" i="1"/>
  <c r="AR494" i="1"/>
  <c r="AO494" i="1"/>
  <c r="AL494" i="1"/>
  <c r="AK494" i="1"/>
  <c r="AJ494" i="1"/>
  <c r="AI494" i="1"/>
  <c r="AH494" i="1"/>
  <c r="AG494" i="1"/>
  <c r="AF494" i="1"/>
  <c r="AE494" i="1"/>
  <c r="AD494" i="1"/>
  <c r="AC494" i="1"/>
  <c r="AB494" i="1"/>
  <c r="AA494" i="1"/>
  <c r="R494" i="1"/>
  <c r="AL493" i="1"/>
  <c r="AK493" i="1"/>
  <c r="AJ493" i="1"/>
  <c r="AI493" i="1"/>
  <c r="AH493" i="1"/>
  <c r="AG493" i="1"/>
  <c r="AF493" i="1"/>
  <c r="AE493" i="1"/>
  <c r="AD493" i="1"/>
  <c r="AC493" i="1"/>
  <c r="AB493" i="1"/>
  <c r="AA493" i="1"/>
  <c r="R493" i="1"/>
  <c r="AL492" i="1"/>
  <c r="AK492" i="1"/>
  <c r="AJ492" i="1"/>
  <c r="AI492" i="1"/>
  <c r="AH492" i="1"/>
  <c r="AG492" i="1"/>
  <c r="AF492" i="1"/>
  <c r="AE492" i="1"/>
  <c r="AD492" i="1"/>
  <c r="AC492" i="1"/>
  <c r="AB492" i="1"/>
  <c r="AA492" i="1"/>
  <c r="R492" i="1"/>
  <c r="S492" i="1" s="1"/>
  <c r="AL491" i="1"/>
  <c r="AK491" i="1"/>
  <c r="AJ491" i="1"/>
  <c r="AI491" i="1"/>
  <c r="AH491" i="1"/>
  <c r="AG491" i="1"/>
  <c r="AF491" i="1"/>
  <c r="AE491" i="1"/>
  <c r="AD491" i="1"/>
  <c r="AC491" i="1"/>
  <c r="AB491" i="1"/>
  <c r="AA491" i="1"/>
  <c r="R491" i="1"/>
  <c r="BL490" i="1"/>
  <c r="AY490" i="1" s="1"/>
  <c r="BG490" i="1"/>
  <c r="BF490" i="1"/>
  <c r="BE490" i="1"/>
  <c r="BD490" i="1"/>
  <c r="BC490" i="1"/>
  <c r="BB490" i="1"/>
  <c r="BA490" i="1"/>
  <c r="AZ490" i="1"/>
  <c r="AX490" i="1"/>
  <c r="AW490" i="1"/>
  <c r="AV490" i="1"/>
  <c r="AL490" i="1"/>
  <c r="AK490" i="1"/>
  <c r="AJ490" i="1"/>
  <c r="AI490" i="1"/>
  <c r="AH490" i="1"/>
  <c r="AG490" i="1"/>
  <c r="AF490" i="1"/>
  <c r="AE490" i="1"/>
  <c r="AD490" i="1"/>
  <c r="AC490" i="1"/>
  <c r="AB490" i="1"/>
  <c r="AA490" i="1"/>
  <c r="R490" i="1"/>
  <c r="BT489" i="1"/>
  <c r="BS489" i="1"/>
  <c r="BR489" i="1"/>
  <c r="BE489" i="1" s="1"/>
  <c r="BQ489" i="1"/>
  <c r="BD489" i="1" s="1"/>
  <c r="BP489" i="1"/>
  <c r="BC489" i="1" s="1"/>
  <c r="BO489" i="1"/>
  <c r="BN489" i="1"/>
  <c r="BA489" i="1" s="1"/>
  <c r="BM489" i="1"/>
  <c r="AZ489" i="1" s="1"/>
  <c r="BL489" i="1"/>
  <c r="AY489" i="1" s="1"/>
  <c r="BK489" i="1"/>
  <c r="BJ489" i="1"/>
  <c r="AW489" i="1" s="1"/>
  <c r="BI489" i="1"/>
  <c r="AV489" i="1" s="1"/>
  <c r="BG489" i="1"/>
  <c r="BF489" i="1"/>
  <c r="BB489" i="1"/>
  <c r="AX489" i="1"/>
  <c r="AL489" i="1"/>
  <c r="AK489" i="1"/>
  <c r="AJ489" i="1"/>
  <c r="AI489" i="1"/>
  <c r="AH489" i="1"/>
  <c r="AG489" i="1"/>
  <c r="AF489" i="1"/>
  <c r="AE489" i="1"/>
  <c r="AD489" i="1"/>
  <c r="AC489" i="1"/>
  <c r="AB489" i="1"/>
  <c r="AA489" i="1"/>
  <c r="R489" i="1"/>
  <c r="AL488" i="1"/>
  <c r="AK488" i="1"/>
  <c r="AJ488" i="1"/>
  <c r="AI488" i="1"/>
  <c r="AH488" i="1"/>
  <c r="AG488" i="1"/>
  <c r="AF488" i="1"/>
  <c r="AE488" i="1"/>
  <c r="AD488" i="1"/>
  <c r="AC488" i="1"/>
  <c r="AB488" i="1"/>
  <c r="AA488" i="1"/>
  <c r="AL487" i="1"/>
  <c r="AK487" i="1"/>
  <c r="AJ487" i="1"/>
  <c r="AI487" i="1"/>
  <c r="AH487" i="1"/>
  <c r="AG487" i="1"/>
  <c r="AF487" i="1"/>
  <c r="AE487" i="1"/>
  <c r="AD487" i="1"/>
  <c r="AC487" i="1"/>
  <c r="AB487" i="1"/>
  <c r="AA487" i="1"/>
  <c r="BG486" i="1"/>
  <c r="BF486" i="1"/>
  <c r="BE486" i="1"/>
  <c r="BD486" i="1"/>
  <c r="BC486" i="1"/>
  <c r="BB486" i="1"/>
  <c r="BA486" i="1"/>
  <c r="AZ486" i="1"/>
  <c r="AY486" i="1"/>
  <c r="AX486" i="1"/>
  <c r="AW486" i="1"/>
  <c r="AV486" i="1"/>
  <c r="AR486" i="1"/>
  <c r="AO486" i="1"/>
  <c r="AL486" i="1"/>
  <c r="AK486" i="1"/>
  <c r="AJ486" i="1"/>
  <c r="AI486" i="1"/>
  <c r="AH486" i="1"/>
  <c r="AG486" i="1"/>
  <c r="AF486" i="1"/>
  <c r="AE486" i="1"/>
  <c r="AD486" i="1"/>
  <c r="AC486" i="1"/>
  <c r="AB486" i="1"/>
  <c r="AA486" i="1"/>
  <c r="BG485" i="1"/>
  <c r="BF485" i="1"/>
  <c r="BE485" i="1"/>
  <c r="BD485" i="1"/>
  <c r="BC485" i="1"/>
  <c r="BB485" i="1"/>
  <c r="BA485" i="1"/>
  <c r="AZ485" i="1"/>
  <c r="AY485" i="1"/>
  <c r="AX485" i="1"/>
  <c r="AW485" i="1"/>
  <c r="AV485" i="1"/>
  <c r="AR485" i="1"/>
  <c r="AO485" i="1"/>
  <c r="AL485" i="1"/>
  <c r="AK485" i="1"/>
  <c r="AJ485" i="1"/>
  <c r="AI485" i="1"/>
  <c r="AH485" i="1"/>
  <c r="AG485" i="1"/>
  <c r="AF485" i="1"/>
  <c r="AE485" i="1"/>
  <c r="AD485" i="1"/>
  <c r="AC485" i="1"/>
  <c r="AB485" i="1"/>
  <c r="AA485" i="1"/>
  <c r="AL484" i="1"/>
  <c r="AK484" i="1"/>
  <c r="AJ484" i="1"/>
  <c r="AI484" i="1"/>
  <c r="AH484" i="1"/>
  <c r="AG484" i="1"/>
  <c r="AF484" i="1"/>
  <c r="AE484" i="1"/>
  <c r="AD484" i="1"/>
  <c r="AC484" i="1"/>
  <c r="AB484" i="1"/>
  <c r="AA484" i="1"/>
  <c r="AL483" i="1"/>
  <c r="AK483" i="1"/>
  <c r="AJ483" i="1"/>
  <c r="AI483" i="1"/>
  <c r="AH483" i="1"/>
  <c r="AG483" i="1"/>
  <c r="AF483" i="1"/>
  <c r="AE483" i="1"/>
  <c r="AD483" i="1"/>
  <c r="AC483" i="1"/>
  <c r="AB483" i="1"/>
  <c r="AA483" i="1"/>
  <c r="AL482" i="1"/>
  <c r="AK482" i="1"/>
  <c r="AJ482" i="1"/>
  <c r="AI482" i="1"/>
  <c r="AH482" i="1"/>
  <c r="AG482" i="1"/>
  <c r="AF482" i="1"/>
  <c r="AE482" i="1"/>
  <c r="AD482" i="1"/>
  <c r="AC482" i="1"/>
  <c r="AB482" i="1"/>
  <c r="AA482" i="1"/>
  <c r="AL481" i="1"/>
  <c r="AK481" i="1"/>
  <c r="AJ481" i="1"/>
  <c r="AI481" i="1"/>
  <c r="AH481" i="1"/>
  <c r="AG481" i="1"/>
  <c r="AF481" i="1"/>
  <c r="AE481" i="1"/>
  <c r="AD481" i="1"/>
  <c r="AC481" i="1"/>
  <c r="AB481" i="1"/>
  <c r="AA481" i="1"/>
  <c r="BG480" i="1"/>
  <c r="BF480" i="1"/>
  <c r="BE480" i="1"/>
  <c r="BD480" i="1"/>
  <c r="BC480" i="1"/>
  <c r="BB480" i="1"/>
  <c r="BA480" i="1"/>
  <c r="AZ480" i="1"/>
  <c r="AY480" i="1"/>
  <c r="AX480" i="1"/>
  <c r="AW480" i="1"/>
  <c r="AV480" i="1"/>
  <c r="AR480" i="1"/>
  <c r="AO480" i="1"/>
  <c r="AL480" i="1"/>
  <c r="AK480" i="1"/>
  <c r="AJ480" i="1"/>
  <c r="AI480" i="1"/>
  <c r="AH480" i="1"/>
  <c r="AG480" i="1"/>
  <c r="AF480" i="1"/>
  <c r="AE480" i="1"/>
  <c r="AD480" i="1"/>
  <c r="AC480" i="1"/>
  <c r="AB480" i="1"/>
  <c r="AA480" i="1"/>
  <c r="BG479" i="1"/>
  <c r="BF479" i="1"/>
  <c r="BE479" i="1"/>
  <c r="BD479" i="1"/>
  <c r="BC479" i="1"/>
  <c r="BB479" i="1"/>
  <c r="BA479" i="1"/>
  <c r="AZ479" i="1"/>
  <c r="AY479" i="1"/>
  <c r="AX479" i="1"/>
  <c r="AW479" i="1"/>
  <c r="AV479" i="1"/>
  <c r="AR479" i="1"/>
  <c r="AO479" i="1"/>
  <c r="AL479" i="1"/>
  <c r="AK479" i="1"/>
  <c r="AJ479" i="1"/>
  <c r="AI479" i="1"/>
  <c r="AH479" i="1"/>
  <c r="AG479" i="1"/>
  <c r="AF479" i="1"/>
  <c r="AE479" i="1"/>
  <c r="AD479" i="1"/>
  <c r="AC479" i="1"/>
  <c r="AB479" i="1"/>
  <c r="AA479" i="1"/>
  <c r="AL478" i="1"/>
  <c r="AK478" i="1"/>
  <c r="AJ478" i="1"/>
  <c r="AI478" i="1"/>
  <c r="AH478" i="1"/>
  <c r="AG478" i="1"/>
  <c r="AF478" i="1"/>
  <c r="AE478" i="1"/>
  <c r="AD478" i="1"/>
  <c r="AC478" i="1"/>
  <c r="AB478" i="1"/>
  <c r="AA478" i="1"/>
  <c r="AL477" i="1"/>
  <c r="AK477" i="1"/>
  <c r="AJ477" i="1"/>
  <c r="AI477" i="1"/>
  <c r="AH477" i="1"/>
  <c r="AG477" i="1"/>
  <c r="AF477" i="1"/>
  <c r="AE477" i="1"/>
  <c r="AD477" i="1"/>
  <c r="AC477" i="1"/>
  <c r="AB477" i="1"/>
  <c r="AA477" i="1"/>
  <c r="H473" i="1"/>
  <c r="E473" i="1"/>
  <c r="BG471" i="1"/>
  <c r="BF471" i="1"/>
  <c r="BE471" i="1"/>
  <c r="BD471" i="1"/>
  <c r="BC471" i="1"/>
  <c r="BB471" i="1"/>
  <c r="BA471" i="1"/>
  <c r="AZ471" i="1"/>
  <c r="AY471" i="1"/>
  <c r="AX471" i="1"/>
  <c r="AW471" i="1"/>
  <c r="AV471" i="1"/>
  <c r="AR471" i="1"/>
  <c r="AO471" i="1"/>
  <c r="AL471" i="1"/>
  <c r="AK471" i="1"/>
  <c r="AJ471" i="1"/>
  <c r="AI471" i="1"/>
  <c r="AH471" i="1"/>
  <c r="AG471" i="1"/>
  <c r="AF471" i="1"/>
  <c r="AE471" i="1"/>
  <c r="AD471" i="1"/>
  <c r="AC471" i="1"/>
  <c r="AB471" i="1"/>
  <c r="AA471" i="1"/>
  <c r="BT470" i="1"/>
  <c r="BS470" i="1"/>
  <c r="BR470" i="1"/>
  <c r="BQ470" i="1"/>
  <c r="BD470" i="1" s="1"/>
  <c r="BP470" i="1"/>
  <c r="BC470" i="1" s="1"/>
  <c r="BO470" i="1"/>
  <c r="BB470" i="1" s="1"/>
  <c r="BN470" i="1"/>
  <c r="BA470" i="1" s="1"/>
  <c r="BM470" i="1"/>
  <c r="AZ470" i="1" s="1"/>
  <c r="BL470" i="1"/>
  <c r="BK470" i="1"/>
  <c r="AX470" i="1" s="1"/>
  <c r="BJ470" i="1"/>
  <c r="AW470" i="1" s="1"/>
  <c r="BI470" i="1"/>
  <c r="AV470" i="1" s="1"/>
  <c r="BG470" i="1"/>
  <c r="BF470" i="1"/>
  <c r="BE470" i="1"/>
  <c r="AY470" i="1"/>
  <c r="AL470" i="1"/>
  <c r="AK470" i="1"/>
  <c r="AJ470" i="1"/>
  <c r="AI470" i="1"/>
  <c r="AH470" i="1"/>
  <c r="AG470" i="1"/>
  <c r="AF470" i="1"/>
  <c r="AE470" i="1"/>
  <c r="AD470" i="1"/>
  <c r="AC470" i="1"/>
  <c r="AB470" i="1"/>
  <c r="AA470" i="1"/>
  <c r="BT469" i="1"/>
  <c r="BS469" i="1"/>
  <c r="BR469" i="1"/>
  <c r="BQ469" i="1"/>
  <c r="BP469" i="1"/>
  <c r="BO469" i="1"/>
  <c r="BN469" i="1"/>
  <c r="BM469" i="1"/>
  <c r="BL469" i="1"/>
  <c r="BK469" i="1"/>
  <c r="BJ469" i="1"/>
  <c r="BI469" i="1"/>
  <c r="BG469" i="1"/>
  <c r="BF469" i="1"/>
  <c r="BE469" i="1"/>
  <c r="BD469" i="1"/>
  <c r="BC469" i="1"/>
  <c r="BB469" i="1"/>
  <c r="BA469" i="1"/>
  <c r="AZ469" i="1"/>
  <c r="AY469" i="1"/>
  <c r="AX469" i="1"/>
  <c r="AW469" i="1"/>
  <c r="AV469" i="1"/>
  <c r="AL469" i="1"/>
  <c r="AK469" i="1"/>
  <c r="AJ469" i="1"/>
  <c r="AI469" i="1"/>
  <c r="AH469" i="1"/>
  <c r="AG469" i="1"/>
  <c r="AF469" i="1"/>
  <c r="AE469" i="1"/>
  <c r="AD469" i="1"/>
  <c r="AC469" i="1"/>
  <c r="AB469" i="1"/>
  <c r="AA469" i="1"/>
  <c r="AL468" i="1"/>
  <c r="AK468" i="1"/>
  <c r="AJ468" i="1"/>
  <c r="AI468" i="1"/>
  <c r="AH468" i="1"/>
  <c r="AG468" i="1"/>
  <c r="AF468" i="1"/>
  <c r="AE468" i="1"/>
  <c r="AD468" i="1"/>
  <c r="AC468" i="1"/>
  <c r="AB468" i="1"/>
  <c r="AA468" i="1"/>
  <c r="BG467" i="1"/>
  <c r="BF467" i="1"/>
  <c r="BE467" i="1"/>
  <c r="BD467" i="1"/>
  <c r="BC467" i="1"/>
  <c r="BB467" i="1"/>
  <c r="BA467" i="1"/>
  <c r="AZ467" i="1"/>
  <c r="AY467" i="1"/>
  <c r="AX467" i="1"/>
  <c r="AW467" i="1"/>
  <c r="AV467" i="1"/>
  <c r="AR467" i="1"/>
  <c r="AO467" i="1"/>
  <c r="AL467" i="1"/>
  <c r="AK467" i="1"/>
  <c r="AJ467" i="1"/>
  <c r="AI467" i="1"/>
  <c r="AH467" i="1"/>
  <c r="AG467" i="1"/>
  <c r="AF467" i="1"/>
  <c r="AE467" i="1"/>
  <c r="AD467" i="1"/>
  <c r="AC467" i="1"/>
  <c r="AB467" i="1"/>
  <c r="AA467" i="1"/>
  <c r="BG466" i="1"/>
  <c r="BF466" i="1"/>
  <c r="BE466" i="1"/>
  <c r="BD466" i="1"/>
  <c r="BC466" i="1"/>
  <c r="BB466" i="1"/>
  <c r="BA466" i="1"/>
  <c r="AZ466" i="1"/>
  <c r="AY466" i="1"/>
  <c r="AX466" i="1"/>
  <c r="AW466" i="1"/>
  <c r="AV466" i="1"/>
  <c r="AR466" i="1"/>
  <c r="AO466" i="1"/>
  <c r="AL466" i="1"/>
  <c r="AK466" i="1"/>
  <c r="AJ466" i="1"/>
  <c r="AI466" i="1"/>
  <c r="AH466" i="1"/>
  <c r="AG466" i="1"/>
  <c r="AF466" i="1"/>
  <c r="AE466" i="1"/>
  <c r="AD466" i="1"/>
  <c r="AC466" i="1"/>
  <c r="AB466" i="1"/>
  <c r="AA466" i="1"/>
  <c r="AL465" i="1"/>
  <c r="AK465" i="1"/>
  <c r="AJ465" i="1"/>
  <c r="AI465" i="1"/>
  <c r="AH465" i="1"/>
  <c r="AG465" i="1"/>
  <c r="AF465" i="1"/>
  <c r="AE465" i="1"/>
  <c r="AD465" i="1"/>
  <c r="AC465" i="1"/>
  <c r="AB465" i="1"/>
  <c r="AA465" i="1"/>
  <c r="AL464" i="1"/>
  <c r="AK464" i="1"/>
  <c r="AJ464" i="1"/>
  <c r="AI464" i="1"/>
  <c r="AH464" i="1"/>
  <c r="AG464" i="1"/>
  <c r="AF464" i="1"/>
  <c r="AE464" i="1"/>
  <c r="AD464" i="1"/>
  <c r="AC464" i="1"/>
  <c r="AB464" i="1"/>
  <c r="AA464" i="1"/>
  <c r="BL463" i="1"/>
  <c r="BG463" i="1"/>
  <c r="BF463" i="1"/>
  <c r="BE463" i="1"/>
  <c r="BD463" i="1"/>
  <c r="BC463" i="1"/>
  <c r="BB463" i="1"/>
  <c r="BA463" i="1"/>
  <c r="AZ463" i="1"/>
  <c r="AX463" i="1"/>
  <c r="AW463" i="1"/>
  <c r="AV463" i="1"/>
  <c r="AL463" i="1"/>
  <c r="AK463" i="1"/>
  <c r="AJ463" i="1"/>
  <c r="AI463" i="1"/>
  <c r="AH463" i="1"/>
  <c r="AG463" i="1"/>
  <c r="AF463" i="1"/>
  <c r="AE463" i="1"/>
  <c r="AD463" i="1"/>
  <c r="AC463" i="1"/>
  <c r="AB463" i="1"/>
  <c r="AA463" i="1"/>
  <c r="BS462" i="1"/>
  <c r="BO462" i="1"/>
  <c r="BB462" i="1" s="1"/>
  <c r="BK462" i="1"/>
  <c r="AX462" i="1" s="1"/>
  <c r="BF462" i="1"/>
  <c r="AL462" i="1"/>
  <c r="AK462" i="1"/>
  <c r="AJ462" i="1"/>
  <c r="AI462" i="1"/>
  <c r="AH462" i="1"/>
  <c r="AG462" i="1"/>
  <c r="AF462" i="1"/>
  <c r="AE462" i="1"/>
  <c r="AD462" i="1"/>
  <c r="AC462" i="1"/>
  <c r="AB462" i="1"/>
  <c r="AA462" i="1"/>
  <c r="BT461" i="1"/>
  <c r="BS461" i="1"/>
  <c r="BR461" i="1"/>
  <c r="BQ461" i="1"/>
  <c r="BP461" i="1"/>
  <c r="BO461" i="1"/>
  <c r="BN461" i="1"/>
  <c r="BM461" i="1"/>
  <c r="BL461" i="1"/>
  <c r="BK461" i="1"/>
  <c r="BJ461" i="1"/>
  <c r="BI461" i="1"/>
  <c r="BG461" i="1"/>
  <c r="BF461" i="1"/>
  <c r="BE461" i="1"/>
  <c r="BD461" i="1"/>
  <c r="BC461" i="1"/>
  <c r="BB461" i="1"/>
  <c r="BA461" i="1"/>
  <c r="AZ461" i="1"/>
  <c r="AY461" i="1"/>
  <c r="AX461" i="1"/>
  <c r="AW461" i="1"/>
  <c r="AV461" i="1"/>
  <c r="AL461" i="1"/>
  <c r="AK461" i="1"/>
  <c r="AJ461" i="1"/>
  <c r="AI461" i="1"/>
  <c r="AH461" i="1"/>
  <c r="AG461" i="1"/>
  <c r="AF461" i="1"/>
  <c r="AE461" i="1"/>
  <c r="AD461" i="1"/>
  <c r="AC461" i="1"/>
  <c r="AB461" i="1"/>
  <c r="AA461" i="1"/>
  <c r="E457" i="1"/>
  <c r="BT455" i="1"/>
  <c r="BS455" i="1"/>
  <c r="BF455" i="1" s="1"/>
  <c r="BR455" i="1"/>
  <c r="BE455" i="1" s="1"/>
  <c r="BQ455" i="1"/>
  <c r="BD455" i="1" s="1"/>
  <c r="BP455" i="1"/>
  <c r="BC455" i="1" s="1"/>
  <c r="BO455" i="1"/>
  <c r="BB455" i="1" s="1"/>
  <c r="BN455" i="1"/>
  <c r="BA455" i="1" s="1"/>
  <c r="BM455" i="1"/>
  <c r="AZ455" i="1" s="1"/>
  <c r="BL455" i="1"/>
  <c r="AY455" i="1" s="1"/>
  <c r="BK455" i="1"/>
  <c r="AX455" i="1" s="1"/>
  <c r="BJ455" i="1"/>
  <c r="AW455" i="1" s="1"/>
  <c r="BI455" i="1"/>
  <c r="AV455" i="1" s="1"/>
  <c r="BG455" i="1"/>
  <c r="AL455" i="1"/>
  <c r="AK455" i="1"/>
  <c r="AJ455" i="1"/>
  <c r="AI455" i="1"/>
  <c r="AH455" i="1"/>
  <c r="AG455" i="1"/>
  <c r="AF455" i="1"/>
  <c r="AE455" i="1"/>
  <c r="AD455" i="1"/>
  <c r="AC455" i="1"/>
  <c r="AB455" i="1"/>
  <c r="AA455" i="1"/>
  <c r="BT454" i="1"/>
  <c r="BS454" i="1"/>
  <c r="BR454" i="1"/>
  <c r="BQ454" i="1"/>
  <c r="BD454" i="1" s="1"/>
  <c r="BP454" i="1"/>
  <c r="BC454" i="1" s="1"/>
  <c r="BO454" i="1"/>
  <c r="BB454" i="1" s="1"/>
  <c r="BN454" i="1"/>
  <c r="BA454" i="1" s="1"/>
  <c r="BM454" i="1"/>
  <c r="AZ454" i="1" s="1"/>
  <c r="BL454" i="1"/>
  <c r="AY454" i="1" s="1"/>
  <c r="BK454" i="1"/>
  <c r="AX454" i="1" s="1"/>
  <c r="BJ454" i="1"/>
  <c r="AW454" i="1" s="1"/>
  <c r="BI454" i="1"/>
  <c r="AV454" i="1" s="1"/>
  <c r="BG454" i="1"/>
  <c r="BF454" i="1"/>
  <c r="BE454" i="1"/>
  <c r="AL454" i="1"/>
  <c r="AK454" i="1"/>
  <c r="AJ454" i="1"/>
  <c r="AI454" i="1"/>
  <c r="AH454" i="1"/>
  <c r="AG454" i="1"/>
  <c r="AF454" i="1"/>
  <c r="AE454" i="1"/>
  <c r="AD454" i="1"/>
  <c r="AC454" i="1"/>
  <c r="AB454" i="1"/>
  <c r="AA454" i="1"/>
  <c r="BT453" i="1"/>
  <c r="BS453" i="1"/>
  <c r="BR453" i="1"/>
  <c r="BQ453" i="1"/>
  <c r="BP453" i="1"/>
  <c r="BC453" i="1" s="1"/>
  <c r="BO453" i="1"/>
  <c r="BB453" i="1" s="1"/>
  <c r="BN453" i="1"/>
  <c r="BA453" i="1" s="1"/>
  <c r="BM453" i="1"/>
  <c r="AZ453" i="1" s="1"/>
  <c r="BL453" i="1"/>
  <c r="AY453" i="1" s="1"/>
  <c r="BK453" i="1"/>
  <c r="AX453" i="1" s="1"/>
  <c r="BJ453" i="1"/>
  <c r="AW453" i="1" s="1"/>
  <c r="BI453" i="1"/>
  <c r="AV453" i="1" s="1"/>
  <c r="BG453" i="1"/>
  <c r="BF453" i="1"/>
  <c r="BE453" i="1"/>
  <c r="BD453" i="1"/>
  <c r="AL453" i="1"/>
  <c r="AK453" i="1"/>
  <c r="AJ453" i="1"/>
  <c r="AI453" i="1"/>
  <c r="AH453" i="1"/>
  <c r="AG453" i="1"/>
  <c r="AF453" i="1"/>
  <c r="AE453" i="1"/>
  <c r="AD453" i="1"/>
  <c r="AC453" i="1"/>
  <c r="AB453" i="1"/>
  <c r="AA453" i="1"/>
  <c r="BP452" i="1"/>
  <c r="BC452" i="1" s="1"/>
  <c r="BL452" i="1"/>
  <c r="AY452" i="1" s="1"/>
  <c r="AL452" i="1"/>
  <c r="AK452" i="1"/>
  <c r="AJ452" i="1"/>
  <c r="AI452" i="1"/>
  <c r="AH452" i="1"/>
  <c r="AG452" i="1"/>
  <c r="AF452" i="1"/>
  <c r="AE452" i="1"/>
  <c r="AD452" i="1"/>
  <c r="AC452" i="1"/>
  <c r="AB452" i="1"/>
  <c r="AA452" i="1"/>
  <c r="BN451" i="1"/>
  <c r="BA451" i="1" s="1"/>
  <c r="AL451" i="1"/>
  <c r="AK451" i="1"/>
  <c r="AJ451" i="1"/>
  <c r="AI451" i="1"/>
  <c r="AH451" i="1"/>
  <c r="AG451" i="1"/>
  <c r="AF451" i="1"/>
  <c r="AE451" i="1"/>
  <c r="AD451" i="1"/>
  <c r="AC451" i="1"/>
  <c r="AB451" i="1"/>
  <c r="AA451" i="1"/>
  <c r="AL450" i="1"/>
  <c r="AK450" i="1"/>
  <c r="AJ450" i="1"/>
  <c r="AI450" i="1"/>
  <c r="AH450" i="1"/>
  <c r="AG450" i="1"/>
  <c r="AF450" i="1"/>
  <c r="AE450" i="1"/>
  <c r="AD450" i="1"/>
  <c r="AC450" i="1"/>
  <c r="AB450" i="1"/>
  <c r="AA450" i="1"/>
  <c r="AL449" i="1"/>
  <c r="AK449" i="1"/>
  <c r="AJ449" i="1"/>
  <c r="AI449" i="1"/>
  <c r="AH449" i="1"/>
  <c r="AG449" i="1"/>
  <c r="AF449" i="1"/>
  <c r="AE449" i="1"/>
  <c r="AD449" i="1"/>
  <c r="AC449" i="1"/>
  <c r="AB449" i="1"/>
  <c r="AA449" i="1"/>
  <c r="BT448" i="1"/>
  <c r="BS448" i="1"/>
  <c r="BR448" i="1"/>
  <c r="BQ448" i="1"/>
  <c r="BP448" i="1"/>
  <c r="BO448" i="1"/>
  <c r="BN448" i="1"/>
  <c r="BM448" i="1"/>
  <c r="BL448" i="1"/>
  <c r="BK448" i="1"/>
  <c r="BJ448" i="1"/>
  <c r="BI448" i="1"/>
  <c r="AV448" i="1" s="1"/>
  <c r="BG448" i="1"/>
  <c r="BF448" i="1"/>
  <c r="BE448" i="1"/>
  <c r="BD448" i="1"/>
  <c r="BC448" i="1"/>
  <c r="BB448" i="1"/>
  <c r="BA448" i="1"/>
  <c r="AZ448" i="1"/>
  <c r="AY448" i="1"/>
  <c r="AX448" i="1"/>
  <c r="AW448" i="1"/>
  <c r="AL448" i="1"/>
  <c r="AK448" i="1"/>
  <c r="AJ448" i="1"/>
  <c r="AI448" i="1"/>
  <c r="AH448" i="1"/>
  <c r="AG448" i="1"/>
  <c r="AF448" i="1"/>
  <c r="AE448" i="1"/>
  <c r="AD448" i="1"/>
  <c r="AC448" i="1"/>
  <c r="AB448" i="1"/>
  <c r="AA448" i="1"/>
  <c r="BT447" i="1"/>
  <c r="BS447" i="1"/>
  <c r="BR447" i="1"/>
  <c r="BQ447" i="1"/>
  <c r="BP447" i="1"/>
  <c r="BO447" i="1"/>
  <c r="BN447" i="1"/>
  <c r="BM447" i="1"/>
  <c r="BL447" i="1"/>
  <c r="BK447" i="1"/>
  <c r="BJ447" i="1"/>
  <c r="BI447" i="1"/>
  <c r="BG447" i="1"/>
  <c r="BF447" i="1"/>
  <c r="BE447" i="1"/>
  <c r="BD447" i="1"/>
  <c r="BC447" i="1"/>
  <c r="BB447" i="1"/>
  <c r="BA447" i="1"/>
  <c r="AZ447" i="1"/>
  <c r="AY447" i="1"/>
  <c r="AX447" i="1"/>
  <c r="AW447" i="1"/>
  <c r="AV447" i="1"/>
  <c r="AL447" i="1"/>
  <c r="AK447" i="1"/>
  <c r="AJ447" i="1"/>
  <c r="AI447" i="1"/>
  <c r="AH447" i="1"/>
  <c r="AG447" i="1"/>
  <c r="AF447" i="1"/>
  <c r="AE447" i="1"/>
  <c r="AD447" i="1"/>
  <c r="AC447" i="1"/>
  <c r="AB447" i="1"/>
  <c r="AA447" i="1"/>
  <c r="BT446" i="1"/>
  <c r="BS446" i="1"/>
  <c r="BR446" i="1"/>
  <c r="BE446" i="1" s="1"/>
  <c r="BQ446" i="1"/>
  <c r="BD446" i="1" s="1"/>
  <c r="BP446" i="1"/>
  <c r="BO446" i="1"/>
  <c r="BB446" i="1" s="1"/>
  <c r="BN446" i="1"/>
  <c r="BA446" i="1" s="1"/>
  <c r="BM446" i="1"/>
  <c r="AZ446" i="1" s="1"/>
  <c r="BL446" i="1"/>
  <c r="AY446" i="1" s="1"/>
  <c r="BK446" i="1"/>
  <c r="AX446" i="1" s="1"/>
  <c r="BJ446" i="1"/>
  <c r="AW446" i="1" s="1"/>
  <c r="BI446" i="1"/>
  <c r="AV446" i="1" s="1"/>
  <c r="BG446" i="1"/>
  <c r="BF446" i="1"/>
  <c r="BC446" i="1"/>
  <c r="AL446" i="1"/>
  <c r="AK446" i="1"/>
  <c r="AJ446" i="1"/>
  <c r="AI446" i="1"/>
  <c r="AH446" i="1"/>
  <c r="AG446" i="1"/>
  <c r="AF446" i="1"/>
  <c r="AE446" i="1"/>
  <c r="AD446" i="1"/>
  <c r="AC446" i="1"/>
  <c r="AB446" i="1"/>
  <c r="AA446" i="1"/>
  <c r="BT445" i="1"/>
  <c r="BS445" i="1"/>
  <c r="BR445" i="1"/>
  <c r="BQ445" i="1"/>
  <c r="BP445" i="1"/>
  <c r="BC445" i="1" s="1"/>
  <c r="BO445" i="1"/>
  <c r="BB445" i="1" s="1"/>
  <c r="BN445" i="1"/>
  <c r="BA445" i="1" s="1"/>
  <c r="BM445" i="1"/>
  <c r="AZ445" i="1" s="1"/>
  <c r="BL445" i="1"/>
  <c r="AY445" i="1" s="1"/>
  <c r="BK445" i="1"/>
  <c r="AX445" i="1" s="1"/>
  <c r="BJ445" i="1"/>
  <c r="AW445" i="1" s="1"/>
  <c r="BI445" i="1"/>
  <c r="AV445" i="1" s="1"/>
  <c r="BG445" i="1"/>
  <c r="BF445" i="1"/>
  <c r="BE445" i="1"/>
  <c r="BD445" i="1"/>
  <c r="AL445" i="1"/>
  <c r="AK445" i="1"/>
  <c r="AJ445" i="1"/>
  <c r="AI445" i="1"/>
  <c r="AH445" i="1"/>
  <c r="AG445" i="1"/>
  <c r="AF445" i="1"/>
  <c r="AE445" i="1"/>
  <c r="AD445" i="1"/>
  <c r="AC445" i="1"/>
  <c r="AB445" i="1"/>
  <c r="AA445" i="1"/>
  <c r="BG444" i="1"/>
  <c r="BF444" i="1"/>
  <c r="BE444" i="1"/>
  <c r="BD444" i="1"/>
  <c r="BC444" i="1"/>
  <c r="BB444" i="1"/>
  <c r="BA444" i="1"/>
  <c r="AZ444" i="1"/>
  <c r="AY444" i="1"/>
  <c r="AX444" i="1"/>
  <c r="AW444" i="1"/>
  <c r="AV444" i="1"/>
  <c r="AR444" i="1"/>
  <c r="AO444" i="1"/>
  <c r="AL444" i="1"/>
  <c r="AK444" i="1"/>
  <c r="AJ444" i="1"/>
  <c r="AI444" i="1"/>
  <c r="AH444" i="1"/>
  <c r="AG444" i="1"/>
  <c r="AF444" i="1"/>
  <c r="AE444" i="1"/>
  <c r="AD444" i="1"/>
  <c r="AC444" i="1"/>
  <c r="AB444" i="1"/>
  <c r="AA444" i="1"/>
  <c r="AL443" i="1"/>
  <c r="AK443" i="1"/>
  <c r="AJ443" i="1"/>
  <c r="AI443" i="1"/>
  <c r="AH443" i="1"/>
  <c r="AG443" i="1"/>
  <c r="AF443" i="1"/>
  <c r="AE443" i="1"/>
  <c r="AD443" i="1"/>
  <c r="AC443" i="1"/>
  <c r="AB443" i="1"/>
  <c r="AA443" i="1"/>
  <c r="BG442" i="1"/>
  <c r="BF442" i="1"/>
  <c r="BE442" i="1"/>
  <c r="BD442" i="1"/>
  <c r="BC442" i="1"/>
  <c r="BB442" i="1"/>
  <c r="BA442" i="1"/>
  <c r="AZ442" i="1"/>
  <c r="AY442" i="1"/>
  <c r="AX442" i="1"/>
  <c r="AW442" i="1"/>
  <c r="AV442" i="1"/>
  <c r="AR442" i="1"/>
  <c r="AO442" i="1"/>
  <c r="AL442" i="1"/>
  <c r="AK442" i="1"/>
  <c r="AJ442" i="1"/>
  <c r="AI442" i="1"/>
  <c r="AH442" i="1"/>
  <c r="AG442" i="1"/>
  <c r="AF442" i="1"/>
  <c r="AE442" i="1"/>
  <c r="AD442" i="1"/>
  <c r="AC442" i="1"/>
  <c r="AB442" i="1"/>
  <c r="AA442" i="1"/>
  <c r="AL441" i="1"/>
  <c r="AK441" i="1"/>
  <c r="AJ441" i="1"/>
  <c r="AI441" i="1"/>
  <c r="AH441" i="1"/>
  <c r="AG441" i="1"/>
  <c r="AF441" i="1"/>
  <c r="AE441" i="1"/>
  <c r="AD441" i="1"/>
  <c r="AC441" i="1"/>
  <c r="AB441" i="1"/>
  <c r="AA441" i="1"/>
  <c r="AL440" i="1"/>
  <c r="AK440" i="1"/>
  <c r="AJ440" i="1"/>
  <c r="AI440" i="1"/>
  <c r="AH440" i="1"/>
  <c r="AG440" i="1"/>
  <c r="AF440" i="1"/>
  <c r="AE440" i="1"/>
  <c r="AD440" i="1"/>
  <c r="AC440" i="1"/>
  <c r="AB440" i="1"/>
  <c r="AA440" i="1"/>
  <c r="AL439" i="1"/>
  <c r="AK439" i="1"/>
  <c r="AJ439" i="1"/>
  <c r="AI439" i="1"/>
  <c r="AH439" i="1"/>
  <c r="AG439" i="1"/>
  <c r="AF439" i="1"/>
  <c r="AE439" i="1"/>
  <c r="AD439" i="1"/>
  <c r="AC439" i="1"/>
  <c r="AB439" i="1"/>
  <c r="AA439" i="1"/>
  <c r="AL438" i="1"/>
  <c r="AK438" i="1"/>
  <c r="AJ438" i="1"/>
  <c r="AI438" i="1"/>
  <c r="AH438" i="1"/>
  <c r="AG438" i="1"/>
  <c r="AF438" i="1"/>
  <c r="AE438" i="1"/>
  <c r="AD438" i="1"/>
  <c r="AC438" i="1"/>
  <c r="AB438" i="1"/>
  <c r="AA438" i="1"/>
  <c r="BG437" i="1"/>
  <c r="BF437" i="1"/>
  <c r="BE437" i="1"/>
  <c r="BD437" i="1"/>
  <c r="BC437" i="1"/>
  <c r="BB437" i="1"/>
  <c r="BA437" i="1"/>
  <c r="AZ437" i="1"/>
  <c r="AY437" i="1"/>
  <c r="AX437" i="1"/>
  <c r="AW437" i="1"/>
  <c r="AV437" i="1"/>
  <c r="AR437" i="1"/>
  <c r="AO437" i="1"/>
  <c r="AL437" i="1"/>
  <c r="AK437" i="1"/>
  <c r="AJ437" i="1"/>
  <c r="AI437" i="1"/>
  <c r="AH437" i="1"/>
  <c r="AG437" i="1"/>
  <c r="AF437" i="1"/>
  <c r="AE437" i="1"/>
  <c r="AD437" i="1"/>
  <c r="AC437" i="1"/>
  <c r="AB437" i="1"/>
  <c r="AA437" i="1"/>
  <c r="BG436" i="1"/>
  <c r="BF436" i="1"/>
  <c r="BE436" i="1"/>
  <c r="BD436" i="1"/>
  <c r="BC436" i="1"/>
  <c r="BB436" i="1"/>
  <c r="BA436" i="1"/>
  <c r="AZ436" i="1"/>
  <c r="AY436" i="1"/>
  <c r="AX436" i="1"/>
  <c r="AW436" i="1"/>
  <c r="AV436" i="1"/>
  <c r="AR436" i="1"/>
  <c r="AO436" i="1"/>
  <c r="AL436" i="1"/>
  <c r="AK436" i="1"/>
  <c r="AJ436" i="1"/>
  <c r="AI436" i="1"/>
  <c r="AH436" i="1"/>
  <c r="AG436" i="1"/>
  <c r="AF436" i="1"/>
  <c r="AE436" i="1"/>
  <c r="AD436" i="1"/>
  <c r="AC436" i="1"/>
  <c r="AB436" i="1"/>
  <c r="AA436" i="1"/>
  <c r="BG435" i="1"/>
  <c r="BF435" i="1"/>
  <c r="BE435" i="1"/>
  <c r="BD435" i="1"/>
  <c r="BC435" i="1"/>
  <c r="BB435" i="1"/>
  <c r="BA435" i="1"/>
  <c r="AZ435" i="1"/>
  <c r="AY435" i="1"/>
  <c r="AX435" i="1"/>
  <c r="AW435" i="1"/>
  <c r="AV435" i="1"/>
  <c r="AR435" i="1"/>
  <c r="AO435" i="1"/>
  <c r="AL435" i="1"/>
  <c r="AK435" i="1"/>
  <c r="AJ435" i="1"/>
  <c r="AI435" i="1"/>
  <c r="AH435" i="1"/>
  <c r="AG435" i="1"/>
  <c r="AF435" i="1"/>
  <c r="AE435" i="1"/>
  <c r="AD435" i="1"/>
  <c r="AC435" i="1"/>
  <c r="AB435" i="1"/>
  <c r="AA435" i="1"/>
  <c r="BG434" i="1"/>
  <c r="BF434" i="1"/>
  <c r="BE434" i="1"/>
  <c r="BD434" i="1"/>
  <c r="BC434" i="1"/>
  <c r="BB434" i="1"/>
  <c r="BA434" i="1"/>
  <c r="AZ434" i="1"/>
  <c r="AY434" i="1"/>
  <c r="AX434" i="1"/>
  <c r="AW434" i="1"/>
  <c r="AV434" i="1"/>
  <c r="AR434" i="1"/>
  <c r="AO434" i="1"/>
  <c r="AL434" i="1"/>
  <c r="AK434" i="1"/>
  <c r="AJ434" i="1"/>
  <c r="AI434" i="1"/>
  <c r="AH434" i="1"/>
  <c r="AG434" i="1"/>
  <c r="AF434" i="1"/>
  <c r="AE434" i="1"/>
  <c r="AD434" i="1"/>
  <c r="AC434" i="1"/>
  <c r="AB434" i="1"/>
  <c r="AA434" i="1"/>
  <c r="BG433" i="1"/>
  <c r="BF433" i="1"/>
  <c r="BE433" i="1"/>
  <c r="BD433" i="1"/>
  <c r="BC433" i="1"/>
  <c r="BB433" i="1"/>
  <c r="BA433" i="1"/>
  <c r="AZ433" i="1"/>
  <c r="AY433" i="1"/>
  <c r="AX433" i="1"/>
  <c r="AW433" i="1"/>
  <c r="AV433" i="1"/>
  <c r="AR433" i="1"/>
  <c r="AO433" i="1"/>
  <c r="AL433" i="1"/>
  <c r="AK433" i="1"/>
  <c r="AJ433" i="1"/>
  <c r="AI433" i="1"/>
  <c r="AH433" i="1"/>
  <c r="AG433" i="1"/>
  <c r="AF433" i="1"/>
  <c r="AE433" i="1"/>
  <c r="AD433" i="1"/>
  <c r="AC433" i="1"/>
  <c r="AB433" i="1"/>
  <c r="AA433" i="1"/>
  <c r="BG432" i="1"/>
  <c r="BF432" i="1"/>
  <c r="BE432" i="1"/>
  <c r="BD432" i="1"/>
  <c r="BC432" i="1"/>
  <c r="BB432" i="1"/>
  <c r="BA432" i="1"/>
  <c r="AZ432" i="1"/>
  <c r="AY432" i="1"/>
  <c r="AX432" i="1"/>
  <c r="AW432" i="1"/>
  <c r="AV432" i="1"/>
  <c r="AR432" i="1"/>
  <c r="AO432" i="1"/>
  <c r="AL432" i="1"/>
  <c r="AK432" i="1"/>
  <c r="AJ432" i="1"/>
  <c r="AI432" i="1"/>
  <c r="AH432" i="1"/>
  <c r="AG432" i="1"/>
  <c r="AF432" i="1"/>
  <c r="AE432" i="1"/>
  <c r="AD432" i="1"/>
  <c r="AC432" i="1"/>
  <c r="AB432" i="1"/>
  <c r="AA432" i="1"/>
  <c r="BG431" i="1"/>
  <c r="BF431" i="1"/>
  <c r="BE431" i="1"/>
  <c r="BD431" i="1"/>
  <c r="BC431" i="1"/>
  <c r="BB431" i="1"/>
  <c r="BA431" i="1"/>
  <c r="AZ431" i="1"/>
  <c r="AY431" i="1"/>
  <c r="AX431" i="1"/>
  <c r="AW431" i="1"/>
  <c r="AV431" i="1"/>
  <c r="AR431" i="1"/>
  <c r="AO431" i="1"/>
  <c r="AL431" i="1"/>
  <c r="AK431" i="1"/>
  <c r="AJ431" i="1"/>
  <c r="AI431" i="1"/>
  <c r="AH431" i="1"/>
  <c r="AG431" i="1"/>
  <c r="AF431" i="1"/>
  <c r="AE431" i="1"/>
  <c r="AD431" i="1"/>
  <c r="AC431" i="1"/>
  <c r="AB431" i="1"/>
  <c r="AA431" i="1"/>
  <c r="AL430" i="1"/>
  <c r="AK430" i="1"/>
  <c r="AJ430" i="1"/>
  <c r="AI430" i="1"/>
  <c r="AH430" i="1"/>
  <c r="AG430" i="1"/>
  <c r="AF430" i="1"/>
  <c r="AE430" i="1"/>
  <c r="AD430" i="1"/>
  <c r="AC430" i="1"/>
  <c r="AB430" i="1"/>
  <c r="AA430" i="1"/>
  <c r="BG429" i="1"/>
  <c r="BF429" i="1"/>
  <c r="BE429" i="1"/>
  <c r="BD429" i="1"/>
  <c r="BC429" i="1"/>
  <c r="BB429" i="1"/>
  <c r="BA429" i="1"/>
  <c r="AZ429" i="1"/>
  <c r="AY429" i="1"/>
  <c r="AX429" i="1"/>
  <c r="AW429" i="1"/>
  <c r="AV429" i="1"/>
  <c r="AR429" i="1"/>
  <c r="AO429" i="1"/>
  <c r="AL429" i="1"/>
  <c r="AK429" i="1"/>
  <c r="AJ429" i="1"/>
  <c r="AI429" i="1"/>
  <c r="AH429" i="1"/>
  <c r="AG429" i="1"/>
  <c r="AF429" i="1"/>
  <c r="AE429" i="1"/>
  <c r="AD429" i="1"/>
  <c r="AC429" i="1"/>
  <c r="AB429" i="1"/>
  <c r="AA429" i="1"/>
  <c r="AL428" i="1"/>
  <c r="AK428" i="1"/>
  <c r="AJ428" i="1"/>
  <c r="AI428" i="1"/>
  <c r="AH428" i="1"/>
  <c r="AG428" i="1"/>
  <c r="AF428" i="1"/>
  <c r="AE428" i="1"/>
  <c r="AD428" i="1"/>
  <c r="AC428" i="1"/>
  <c r="AB428" i="1"/>
  <c r="AA428" i="1"/>
  <c r="AL427" i="1"/>
  <c r="AK427" i="1"/>
  <c r="AJ427" i="1"/>
  <c r="AI427" i="1"/>
  <c r="AH427" i="1"/>
  <c r="AG427" i="1"/>
  <c r="AF427" i="1"/>
  <c r="AE427" i="1"/>
  <c r="AD427" i="1"/>
  <c r="AC427" i="1"/>
  <c r="AB427" i="1"/>
  <c r="AA427" i="1"/>
  <c r="AL426" i="1"/>
  <c r="AK426" i="1"/>
  <c r="AJ426" i="1"/>
  <c r="AI426" i="1"/>
  <c r="AH426" i="1"/>
  <c r="AG426" i="1"/>
  <c r="AF426" i="1"/>
  <c r="AE426" i="1"/>
  <c r="AD426" i="1"/>
  <c r="AC426" i="1"/>
  <c r="AB426" i="1"/>
  <c r="AA426" i="1"/>
  <c r="AL425" i="1"/>
  <c r="AK425" i="1"/>
  <c r="AJ425" i="1"/>
  <c r="AI425" i="1"/>
  <c r="AH425" i="1"/>
  <c r="AG425" i="1"/>
  <c r="AF425" i="1"/>
  <c r="AE425" i="1"/>
  <c r="AD425" i="1"/>
  <c r="AC425" i="1"/>
  <c r="AB425" i="1"/>
  <c r="AA425" i="1"/>
  <c r="AL424" i="1"/>
  <c r="AK424" i="1"/>
  <c r="AJ424" i="1"/>
  <c r="AI424" i="1"/>
  <c r="AH424" i="1"/>
  <c r="AG424" i="1"/>
  <c r="AF424" i="1"/>
  <c r="AE424" i="1"/>
  <c r="AD424" i="1"/>
  <c r="AC424" i="1"/>
  <c r="AB424" i="1"/>
  <c r="AA424" i="1"/>
  <c r="AL423" i="1"/>
  <c r="AK423" i="1"/>
  <c r="AJ423" i="1"/>
  <c r="AI423" i="1"/>
  <c r="AH423" i="1"/>
  <c r="AG423" i="1"/>
  <c r="AF423" i="1"/>
  <c r="AE423" i="1"/>
  <c r="AD423" i="1"/>
  <c r="AC423" i="1"/>
  <c r="AB423" i="1"/>
  <c r="AA423" i="1"/>
  <c r="AL422" i="1"/>
  <c r="AK422" i="1"/>
  <c r="AJ422" i="1"/>
  <c r="AI422" i="1"/>
  <c r="AH422" i="1"/>
  <c r="AG422" i="1"/>
  <c r="AF422" i="1"/>
  <c r="AE422" i="1"/>
  <c r="AD422" i="1"/>
  <c r="AC422" i="1"/>
  <c r="AB422" i="1"/>
  <c r="AA422" i="1"/>
  <c r="BG421" i="1"/>
  <c r="BF421" i="1"/>
  <c r="BE421" i="1"/>
  <c r="BD421" i="1"/>
  <c r="BC421" i="1"/>
  <c r="BB421" i="1"/>
  <c r="BA421" i="1"/>
  <c r="AZ421" i="1"/>
  <c r="AY421" i="1"/>
  <c r="AX421" i="1"/>
  <c r="AW421" i="1"/>
  <c r="AV421" i="1"/>
  <c r="AR421" i="1"/>
  <c r="AO421" i="1"/>
  <c r="AL421" i="1"/>
  <c r="AK421" i="1"/>
  <c r="AJ421" i="1"/>
  <c r="AI421" i="1"/>
  <c r="AH421" i="1"/>
  <c r="AG421" i="1"/>
  <c r="AF421" i="1"/>
  <c r="AE421" i="1"/>
  <c r="AD421" i="1"/>
  <c r="AC421" i="1"/>
  <c r="AB421" i="1"/>
  <c r="AA421" i="1"/>
  <c r="AL420" i="1"/>
  <c r="AK420" i="1"/>
  <c r="AJ420" i="1"/>
  <c r="AI420" i="1"/>
  <c r="AH420" i="1"/>
  <c r="AG420" i="1"/>
  <c r="AF420" i="1"/>
  <c r="AE420" i="1"/>
  <c r="AD420" i="1"/>
  <c r="AC420" i="1"/>
  <c r="AB420" i="1"/>
  <c r="AA420" i="1"/>
  <c r="AL419" i="1"/>
  <c r="AK419" i="1"/>
  <c r="AJ419" i="1"/>
  <c r="AI419" i="1"/>
  <c r="AH419" i="1"/>
  <c r="AG419" i="1"/>
  <c r="AF419" i="1"/>
  <c r="AE419" i="1"/>
  <c r="AD419" i="1"/>
  <c r="AC419" i="1"/>
  <c r="AB419" i="1"/>
  <c r="AA419" i="1"/>
  <c r="AL418" i="1"/>
  <c r="AK418" i="1"/>
  <c r="AJ418" i="1"/>
  <c r="AI418" i="1"/>
  <c r="AH418" i="1"/>
  <c r="AG418" i="1"/>
  <c r="AF418" i="1"/>
  <c r="AE418" i="1"/>
  <c r="AD418" i="1"/>
  <c r="AC418" i="1"/>
  <c r="AB418" i="1"/>
  <c r="AA418" i="1"/>
  <c r="BT417" i="1"/>
  <c r="BG417" i="1" s="1"/>
  <c r="BS417" i="1"/>
  <c r="BF417" i="1" s="1"/>
  <c r="BR417" i="1"/>
  <c r="BE417" i="1" s="1"/>
  <c r="BQ417" i="1"/>
  <c r="BP417" i="1"/>
  <c r="BC417" i="1" s="1"/>
  <c r="BO417" i="1"/>
  <c r="BN417" i="1"/>
  <c r="BA417" i="1" s="1"/>
  <c r="BM417" i="1"/>
  <c r="BL417" i="1"/>
  <c r="AY417" i="1" s="1"/>
  <c r="BK417" i="1"/>
  <c r="AX417" i="1" s="1"/>
  <c r="BJ417" i="1"/>
  <c r="AW417" i="1" s="1"/>
  <c r="BI417" i="1"/>
  <c r="AV417" i="1" s="1"/>
  <c r="BD417" i="1"/>
  <c r="BB417" i="1"/>
  <c r="AZ417" i="1"/>
  <c r="AL417" i="1"/>
  <c r="AK417" i="1"/>
  <c r="AJ417" i="1"/>
  <c r="AI417" i="1"/>
  <c r="AH417" i="1"/>
  <c r="AG417" i="1"/>
  <c r="AF417" i="1"/>
  <c r="AE417" i="1"/>
  <c r="AD417" i="1"/>
  <c r="AC417" i="1"/>
  <c r="AB417" i="1"/>
  <c r="AA417" i="1"/>
  <c r="BG416" i="1"/>
  <c r="BF416" i="1"/>
  <c r="BE416" i="1"/>
  <c r="BD416" i="1"/>
  <c r="BC416" i="1"/>
  <c r="BB416" i="1"/>
  <c r="BA416" i="1"/>
  <c r="AZ416" i="1"/>
  <c r="AY416" i="1"/>
  <c r="AX416" i="1"/>
  <c r="AW416" i="1"/>
  <c r="AV416" i="1"/>
  <c r="AR416" i="1"/>
  <c r="AO416" i="1"/>
  <c r="AL416" i="1"/>
  <c r="AK416" i="1"/>
  <c r="AJ416" i="1"/>
  <c r="AI416" i="1"/>
  <c r="AH416" i="1"/>
  <c r="AG416" i="1"/>
  <c r="AF416" i="1"/>
  <c r="AE416" i="1"/>
  <c r="AD416" i="1"/>
  <c r="AC416" i="1"/>
  <c r="AB416" i="1"/>
  <c r="AA416" i="1"/>
  <c r="BG415" i="1"/>
  <c r="BF415" i="1"/>
  <c r="BE415" i="1"/>
  <c r="BD415" i="1"/>
  <c r="BC415" i="1"/>
  <c r="BB415" i="1"/>
  <c r="BA415" i="1"/>
  <c r="AZ415" i="1"/>
  <c r="AY415" i="1"/>
  <c r="AX415" i="1"/>
  <c r="AW415" i="1"/>
  <c r="AV415" i="1"/>
  <c r="AR415" i="1"/>
  <c r="AO415" i="1"/>
  <c r="AL415" i="1"/>
  <c r="AK415" i="1"/>
  <c r="AJ415" i="1"/>
  <c r="AI415" i="1"/>
  <c r="AH415" i="1"/>
  <c r="AG415" i="1"/>
  <c r="AF415" i="1"/>
  <c r="AE415" i="1"/>
  <c r="AD415" i="1"/>
  <c r="AC415" i="1"/>
  <c r="AB415" i="1"/>
  <c r="AA415" i="1"/>
  <c r="BG414" i="1"/>
  <c r="BF414" i="1"/>
  <c r="BE414" i="1"/>
  <c r="BD414" i="1"/>
  <c r="BC414" i="1"/>
  <c r="BB414" i="1"/>
  <c r="BA414" i="1"/>
  <c r="AZ414" i="1"/>
  <c r="AY414" i="1"/>
  <c r="AX414" i="1"/>
  <c r="AW414" i="1"/>
  <c r="AV414" i="1"/>
  <c r="AR414" i="1"/>
  <c r="AO414" i="1"/>
  <c r="AL414" i="1"/>
  <c r="AK414" i="1"/>
  <c r="AJ414" i="1"/>
  <c r="AI414" i="1"/>
  <c r="AH414" i="1"/>
  <c r="AG414" i="1"/>
  <c r="AF414" i="1"/>
  <c r="AE414" i="1"/>
  <c r="AD414" i="1"/>
  <c r="AC414" i="1"/>
  <c r="AB414" i="1"/>
  <c r="AA414" i="1"/>
  <c r="BL413" i="1"/>
  <c r="BG413" i="1"/>
  <c r="BF413" i="1"/>
  <c r="BE413" i="1"/>
  <c r="BD413" i="1"/>
  <c r="BC413" i="1"/>
  <c r="BB413" i="1"/>
  <c r="BA413" i="1"/>
  <c r="AZ413" i="1"/>
  <c r="AX413" i="1"/>
  <c r="AW413" i="1"/>
  <c r="AV413" i="1"/>
  <c r="AR413" i="1"/>
  <c r="AL413" i="1"/>
  <c r="AK413" i="1"/>
  <c r="AJ413" i="1"/>
  <c r="AI413" i="1"/>
  <c r="AH413" i="1"/>
  <c r="AG413" i="1"/>
  <c r="AF413" i="1"/>
  <c r="AE413" i="1"/>
  <c r="AD413" i="1"/>
  <c r="AC413" i="1"/>
  <c r="AB413" i="1"/>
  <c r="AA413" i="1"/>
  <c r="BG412" i="1"/>
  <c r="BF412" i="1"/>
  <c r="BE412" i="1"/>
  <c r="BD412" i="1"/>
  <c r="BC412" i="1"/>
  <c r="BB412" i="1"/>
  <c r="BA412" i="1"/>
  <c r="AZ412" i="1"/>
  <c r="AY412" i="1"/>
  <c r="AX412" i="1"/>
  <c r="AW412" i="1"/>
  <c r="AV412" i="1"/>
  <c r="AR412" i="1"/>
  <c r="AO412" i="1"/>
  <c r="AL412" i="1"/>
  <c r="AK412" i="1"/>
  <c r="AJ412" i="1"/>
  <c r="AI412" i="1"/>
  <c r="AH412" i="1"/>
  <c r="AG412" i="1"/>
  <c r="AF412" i="1"/>
  <c r="AE412" i="1"/>
  <c r="AD412" i="1"/>
  <c r="AC412" i="1"/>
  <c r="AB412" i="1"/>
  <c r="AA412" i="1"/>
  <c r="BL411" i="1"/>
  <c r="AY411" i="1" s="1"/>
  <c r="BG411" i="1"/>
  <c r="BF411" i="1"/>
  <c r="BE411" i="1"/>
  <c r="BD411" i="1"/>
  <c r="BC411" i="1"/>
  <c r="BB411" i="1"/>
  <c r="BA411" i="1"/>
  <c r="AZ411" i="1"/>
  <c r="AX411" i="1"/>
  <c r="AW411" i="1"/>
  <c r="AV411" i="1"/>
  <c r="AL411" i="1"/>
  <c r="AK411" i="1"/>
  <c r="AJ411" i="1"/>
  <c r="AI411" i="1"/>
  <c r="AH411" i="1"/>
  <c r="AG411" i="1"/>
  <c r="AF411" i="1"/>
  <c r="AE411" i="1"/>
  <c r="AD411" i="1"/>
  <c r="AC411" i="1"/>
  <c r="AB411" i="1"/>
  <c r="AA411" i="1"/>
  <c r="BL410" i="1"/>
  <c r="AY410" i="1" s="1"/>
  <c r="BG410" i="1"/>
  <c r="BF410" i="1"/>
  <c r="BE410" i="1"/>
  <c r="BD410" i="1"/>
  <c r="BC410" i="1"/>
  <c r="BB410" i="1"/>
  <c r="BA410" i="1"/>
  <c r="AZ410" i="1"/>
  <c r="AX410" i="1"/>
  <c r="AW410" i="1"/>
  <c r="AV410" i="1"/>
  <c r="AO410" i="1"/>
  <c r="AL410" i="1"/>
  <c r="AK410" i="1"/>
  <c r="AJ410" i="1"/>
  <c r="AI410" i="1"/>
  <c r="AH410" i="1"/>
  <c r="AG410" i="1"/>
  <c r="AF410" i="1"/>
  <c r="AE410" i="1"/>
  <c r="AD410" i="1"/>
  <c r="AC410" i="1"/>
  <c r="AB410" i="1"/>
  <c r="AA410" i="1"/>
  <c r="BG409" i="1"/>
  <c r="BF409" i="1"/>
  <c r="BE409" i="1"/>
  <c r="BD409" i="1"/>
  <c r="BC409" i="1"/>
  <c r="BB409" i="1"/>
  <c r="BA409" i="1"/>
  <c r="AZ409" i="1"/>
  <c r="AX409" i="1"/>
  <c r="AW409" i="1"/>
  <c r="AV409" i="1"/>
  <c r="AL409" i="1"/>
  <c r="AK409" i="1"/>
  <c r="AJ409" i="1"/>
  <c r="AI409" i="1"/>
  <c r="AH409" i="1"/>
  <c r="AG409" i="1"/>
  <c r="AF409" i="1"/>
  <c r="AE409" i="1"/>
  <c r="AD409" i="1"/>
  <c r="AC409" i="1"/>
  <c r="AB409" i="1"/>
  <c r="AA409" i="1"/>
  <c r="BG408" i="1"/>
  <c r="BF408" i="1"/>
  <c r="BE408" i="1"/>
  <c r="BD408" i="1"/>
  <c r="BC408" i="1"/>
  <c r="BB408" i="1"/>
  <c r="BA408" i="1"/>
  <c r="AZ408" i="1"/>
  <c r="AX408" i="1"/>
  <c r="AW408" i="1"/>
  <c r="AV408" i="1"/>
  <c r="AL408" i="1"/>
  <c r="AK408" i="1"/>
  <c r="AJ408" i="1"/>
  <c r="AI408" i="1"/>
  <c r="AH408" i="1"/>
  <c r="AG408" i="1"/>
  <c r="AF408" i="1"/>
  <c r="AE408" i="1"/>
  <c r="AD408" i="1"/>
  <c r="AC408" i="1"/>
  <c r="AB408" i="1"/>
  <c r="AA408" i="1"/>
  <c r="BG407" i="1"/>
  <c r="BF407" i="1"/>
  <c r="BE407" i="1"/>
  <c r="BD407" i="1"/>
  <c r="BC407" i="1"/>
  <c r="BB407" i="1"/>
  <c r="BA407" i="1"/>
  <c r="AZ407" i="1"/>
  <c r="AY407" i="1"/>
  <c r="AX407" i="1"/>
  <c r="AW407" i="1"/>
  <c r="AV407" i="1"/>
  <c r="AR407" i="1"/>
  <c r="AO407" i="1"/>
  <c r="AL407" i="1"/>
  <c r="AK407" i="1"/>
  <c r="AJ407" i="1"/>
  <c r="AI407" i="1"/>
  <c r="AH407" i="1"/>
  <c r="AG407" i="1"/>
  <c r="AF407" i="1"/>
  <c r="AE407" i="1"/>
  <c r="AD407" i="1"/>
  <c r="AC407" i="1"/>
  <c r="AB407" i="1"/>
  <c r="AA407" i="1"/>
  <c r="AL406" i="1"/>
  <c r="AK406" i="1"/>
  <c r="AJ406" i="1"/>
  <c r="AI406" i="1"/>
  <c r="AH406" i="1"/>
  <c r="AG406" i="1"/>
  <c r="AF406" i="1"/>
  <c r="AE406" i="1"/>
  <c r="AD406" i="1"/>
  <c r="AC406" i="1"/>
  <c r="AB406" i="1"/>
  <c r="AA406" i="1"/>
  <c r="BG405" i="1"/>
  <c r="BF405" i="1"/>
  <c r="BE405" i="1"/>
  <c r="BD405" i="1"/>
  <c r="BC405" i="1"/>
  <c r="BB405" i="1"/>
  <c r="BA405" i="1"/>
  <c r="AZ405" i="1"/>
  <c r="AY405" i="1"/>
  <c r="AX405" i="1"/>
  <c r="AW405" i="1"/>
  <c r="AV405" i="1"/>
  <c r="AR405" i="1"/>
  <c r="AO405" i="1"/>
  <c r="AL405" i="1"/>
  <c r="AK405" i="1"/>
  <c r="AJ405" i="1"/>
  <c r="AI405" i="1"/>
  <c r="AH405" i="1"/>
  <c r="AG405" i="1"/>
  <c r="AF405" i="1"/>
  <c r="AE405" i="1"/>
  <c r="AD405" i="1"/>
  <c r="AC405" i="1"/>
  <c r="AB405" i="1"/>
  <c r="AA405" i="1"/>
  <c r="BQ404" i="1"/>
  <c r="BD404" i="1" s="1"/>
  <c r="BM404" i="1"/>
  <c r="AZ404" i="1" s="1"/>
  <c r="BI404" i="1"/>
  <c r="AV404" i="1" s="1"/>
  <c r="AL404" i="1"/>
  <c r="AK404" i="1"/>
  <c r="AJ404" i="1"/>
  <c r="AI404" i="1"/>
  <c r="AH404" i="1"/>
  <c r="AG404" i="1"/>
  <c r="AF404" i="1"/>
  <c r="AE404" i="1"/>
  <c r="AD404" i="1"/>
  <c r="AC404" i="1"/>
  <c r="AB404" i="1"/>
  <c r="AA404" i="1"/>
  <c r="BT403" i="1"/>
  <c r="BG403" i="1" s="1"/>
  <c r="BM403" i="1"/>
  <c r="AZ403" i="1" s="1"/>
  <c r="BI403" i="1"/>
  <c r="AL403" i="1"/>
  <c r="AK403" i="1"/>
  <c r="AJ403" i="1"/>
  <c r="AI403" i="1"/>
  <c r="AH403" i="1"/>
  <c r="AG403" i="1"/>
  <c r="AF403" i="1"/>
  <c r="AE403" i="1"/>
  <c r="AD403" i="1"/>
  <c r="AC403" i="1"/>
  <c r="AB403" i="1"/>
  <c r="AA403" i="1"/>
  <c r="AL402" i="1"/>
  <c r="AK402" i="1"/>
  <c r="AJ402" i="1"/>
  <c r="AI402" i="1"/>
  <c r="AH402" i="1"/>
  <c r="AG402" i="1"/>
  <c r="AF402" i="1"/>
  <c r="AE402" i="1"/>
  <c r="AD402" i="1"/>
  <c r="AC402" i="1"/>
  <c r="AB402" i="1"/>
  <c r="AA402" i="1"/>
  <c r="BI401" i="1"/>
  <c r="AV401" i="1" s="1"/>
  <c r="AL401" i="1"/>
  <c r="AK401" i="1"/>
  <c r="AJ401" i="1"/>
  <c r="AI401" i="1"/>
  <c r="AH401" i="1"/>
  <c r="AG401" i="1"/>
  <c r="AF401" i="1"/>
  <c r="AE401" i="1"/>
  <c r="AD401" i="1"/>
  <c r="AC401" i="1"/>
  <c r="AB401" i="1"/>
  <c r="AA401" i="1"/>
  <c r="AL400" i="1"/>
  <c r="AK400" i="1"/>
  <c r="AJ400" i="1"/>
  <c r="AI400" i="1"/>
  <c r="AH400" i="1"/>
  <c r="AG400" i="1"/>
  <c r="AF400" i="1"/>
  <c r="AE400" i="1"/>
  <c r="AD400" i="1"/>
  <c r="AC400" i="1"/>
  <c r="AB400" i="1"/>
  <c r="AA400" i="1"/>
  <c r="AL399" i="1"/>
  <c r="AK399" i="1"/>
  <c r="AJ399" i="1"/>
  <c r="AI399" i="1"/>
  <c r="AH399" i="1"/>
  <c r="AG399" i="1"/>
  <c r="AF399" i="1"/>
  <c r="AE399" i="1"/>
  <c r="AD399" i="1"/>
  <c r="AC399" i="1"/>
  <c r="AB399" i="1"/>
  <c r="AA399" i="1"/>
  <c r="AL398" i="1"/>
  <c r="AK398" i="1"/>
  <c r="AJ398" i="1"/>
  <c r="AI398" i="1"/>
  <c r="AH398" i="1"/>
  <c r="AG398" i="1"/>
  <c r="AF398" i="1"/>
  <c r="AE398" i="1"/>
  <c r="AD398" i="1"/>
  <c r="AC398" i="1"/>
  <c r="AB398" i="1"/>
  <c r="AA398" i="1"/>
  <c r="AL397" i="1"/>
  <c r="AK397" i="1"/>
  <c r="AJ397" i="1"/>
  <c r="AI397" i="1"/>
  <c r="AH397" i="1"/>
  <c r="AG397" i="1"/>
  <c r="AF397" i="1"/>
  <c r="AE397" i="1"/>
  <c r="AD397" i="1"/>
  <c r="AC397" i="1"/>
  <c r="AB397" i="1"/>
  <c r="AA397" i="1"/>
  <c r="AL396" i="1"/>
  <c r="AK396" i="1"/>
  <c r="AJ396" i="1"/>
  <c r="AI396" i="1"/>
  <c r="AH396" i="1"/>
  <c r="AG396" i="1"/>
  <c r="AF396" i="1"/>
  <c r="AE396" i="1"/>
  <c r="AD396" i="1"/>
  <c r="AC396" i="1"/>
  <c r="AB396" i="1"/>
  <c r="AA396" i="1"/>
  <c r="AL395" i="1"/>
  <c r="AK395" i="1"/>
  <c r="AJ395" i="1"/>
  <c r="AI395" i="1"/>
  <c r="AH395" i="1"/>
  <c r="AG395" i="1"/>
  <c r="AF395" i="1"/>
  <c r="AE395" i="1"/>
  <c r="AD395" i="1"/>
  <c r="AC395" i="1"/>
  <c r="AB395" i="1"/>
  <c r="AA395" i="1"/>
  <c r="BL394" i="1"/>
  <c r="AY394" i="1" s="1"/>
  <c r="BG394" i="1"/>
  <c r="BF394" i="1"/>
  <c r="BE394" i="1"/>
  <c r="BD394" i="1"/>
  <c r="BC394" i="1"/>
  <c r="BB394" i="1"/>
  <c r="BA394" i="1"/>
  <c r="AZ394" i="1"/>
  <c r="AX394" i="1"/>
  <c r="AW394" i="1"/>
  <c r="AV394" i="1"/>
  <c r="AL394" i="1"/>
  <c r="AK394" i="1"/>
  <c r="AJ394" i="1"/>
  <c r="AI394" i="1"/>
  <c r="AH394" i="1"/>
  <c r="AG394" i="1"/>
  <c r="AF394" i="1"/>
  <c r="AE394" i="1"/>
  <c r="AD394" i="1"/>
  <c r="AC394" i="1"/>
  <c r="AB394" i="1"/>
  <c r="AA394" i="1"/>
  <c r="BL393" i="1"/>
  <c r="AY393" i="1" s="1"/>
  <c r="BG393" i="1"/>
  <c r="BF393" i="1"/>
  <c r="BE393" i="1"/>
  <c r="BD393" i="1"/>
  <c r="BC393" i="1"/>
  <c r="BB393" i="1"/>
  <c r="BA393" i="1"/>
  <c r="AZ393" i="1"/>
  <c r="AX393" i="1"/>
  <c r="AW393" i="1"/>
  <c r="AV393" i="1"/>
  <c r="AR393" i="1"/>
  <c r="AL393" i="1"/>
  <c r="AK393" i="1"/>
  <c r="AJ393" i="1"/>
  <c r="AI393" i="1"/>
  <c r="AH393" i="1"/>
  <c r="AG393" i="1"/>
  <c r="AF393" i="1"/>
  <c r="AE393" i="1"/>
  <c r="AD393" i="1"/>
  <c r="AC393" i="1"/>
  <c r="AB393" i="1"/>
  <c r="AA393" i="1"/>
  <c r="AL392" i="1"/>
  <c r="AK392" i="1"/>
  <c r="AJ392" i="1"/>
  <c r="AI392" i="1"/>
  <c r="AH392" i="1"/>
  <c r="AG392" i="1"/>
  <c r="AF392" i="1"/>
  <c r="AE392" i="1"/>
  <c r="AD392" i="1"/>
  <c r="AC392" i="1"/>
  <c r="AB392" i="1"/>
  <c r="AA392" i="1"/>
  <c r="BT391" i="1"/>
  <c r="BG391" i="1" s="1"/>
  <c r="BS391" i="1"/>
  <c r="BF391" i="1" s="1"/>
  <c r="BR391" i="1"/>
  <c r="BE391" i="1" s="1"/>
  <c r="BQ391" i="1"/>
  <c r="BD391" i="1" s="1"/>
  <c r="BP391" i="1"/>
  <c r="BC391" i="1" s="1"/>
  <c r="BO391" i="1"/>
  <c r="BB391" i="1" s="1"/>
  <c r="BN391" i="1"/>
  <c r="BA391" i="1" s="1"/>
  <c r="BM391" i="1"/>
  <c r="AZ391" i="1" s="1"/>
  <c r="BL391" i="1"/>
  <c r="AY391" i="1" s="1"/>
  <c r="BK391" i="1"/>
  <c r="AX391" i="1" s="1"/>
  <c r="BJ391" i="1"/>
  <c r="AW391" i="1" s="1"/>
  <c r="BI391" i="1"/>
  <c r="AV391" i="1" s="1"/>
  <c r="AL391" i="1"/>
  <c r="AK391" i="1"/>
  <c r="AJ391" i="1"/>
  <c r="AI391" i="1"/>
  <c r="AH391" i="1"/>
  <c r="AG391" i="1"/>
  <c r="AF391" i="1"/>
  <c r="AE391" i="1"/>
  <c r="AD391" i="1"/>
  <c r="AC391" i="1"/>
  <c r="AB391" i="1"/>
  <c r="AA391" i="1"/>
  <c r="AL390" i="1"/>
  <c r="AK390" i="1"/>
  <c r="AJ390" i="1"/>
  <c r="AI390" i="1"/>
  <c r="AH390" i="1"/>
  <c r="AG390" i="1"/>
  <c r="AF390" i="1"/>
  <c r="AE390" i="1"/>
  <c r="AD390" i="1"/>
  <c r="AC390" i="1"/>
  <c r="AB390" i="1"/>
  <c r="AA390" i="1"/>
  <c r="H389" i="1"/>
  <c r="AB389" i="1" s="1"/>
  <c r="AL388" i="1"/>
  <c r="AK388" i="1"/>
  <c r="AJ388" i="1"/>
  <c r="AI388" i="1"/>
  <c r="AH388" i="1"/>
  <c r="AG388" i="1"/>
  <c r="AF388" i="1"/>
  <c r="AE388" i="1"/>
  <c r="AD388" i="1"/>
  <c r="AC388" i="1"/>
  <c r="AB388" i="1"/>
  <c r="AA388" i="1"/>
  <c r="BL387" i="1"/>
  <c r="BG387" i="1"/>
  <c r="BF387" i="1"/>
  <c r="BE387" i="1"/>
  <c r="BD387" i="1"/>
  <c r="BC387" i="1"/>
  <c r="BB387" i="1"/>
  <c r="BA387" i="1"/>
  <c r="AZ387" i="1"/>
  <c r="AX387" i="1"/>
  <c r="AW387" i="1"/>
  <c r="AV387" i="1"/>
  <c r="AR387" i="1"/>
  <c r="AL387" i="1"/>
  <c r="AK387" i="1"/>
  <c r="AJ387" i="1"/>
  <c r="AI387" i="1"/>
  <c r="AH387" i="1"/>
  <c r="AG387" i="1"/>
  <c r="AF387" i="1"/>
  <c r="AE387" i="1"/>
  <c r="AD387" i="1"/>
  <c r="AC387" i="1"/>
  <c r="AB387" i="1"/>
  <c r="AA387" i="1"/>
  <c r="BQ386" i="1"/>
  <c r="BD386" i="1" s="1"/>
  <c r="BM386" i="1"/>
  <c r="AZ386" i="1" s="1"/>
  <c r="BI386" i="1"/>
  <c r="AV386" i="1" s="1"/>
  <c r="AL386" i="1"/>
  <c r="AK386" i="1"/>
  <c r="AJ386" i="1"/>
  <c r="AI386" i="1"/>
  <c r="AH386" i="1"/>
  <c r="AG386" i="1"/>
  <c r="AF386" i="1"/>
  <c r="AE386" i="1"/>
  <c r="AD386" i="1"/>
  <c r="AC386" i="1"/>
  <c r="AB386" i="1"/>
  <c r="AA386" i="1"/>
  <c r="H382" i="1"/>
  <c r="E382" i="1"/>
  <c r="AL380" i="1"/>
  <c r="AK380" i="1"/>
  <c r="AJ380" i="1"/>
  <c r="AI380" i="1"/>
  <c r="AH380" i="1"/>
  <c r="AG380" i="1"/>
  <c r="AF380" i="1"/>
  <c r="AE380" i="1"/>
  <c r="AD380" i="1"/>
  <c r="AC380" i="1"/>
  <c r="AB380" i="1"/>
  <c r="AA380" i="1"/>
  <c r="BT379" i="1"/>
  <c r="BS379" i="1"/>
  <c r="BR379" i="1"/>
  <c r="BQ379" i="1"/>
  <c r="BP379" i="1"/>
  <c r="BO379" i="1"/>
  <c r="BN379" i="1"/>
  <c r="BM379" i="1"/>
  <c r="BL379" i="1"/>
  <c r="BK379" i="1"/>
  <c r="BJ379" i="1"/>
  <c r="BI379" i="1"/>
  <c r="BG379" i="1"/>
  <c r="BF379" i="1"/>
  <c r="BE379" i="1"/>
  <c r="BD379" i="1"/>
  <c r="BC379" i="1"/>
  <c r="BB379" i="1"/>
  <c r="BA379" i="1"/>
  <c r="AZ379" i="1"/>
  <c r="AY379" i="1"/>
  <c r="AX379" i="1"/>
  <c r="AW379" i="1"/>
  <c r="AV379" i="1"/>
  <c r="AL379" i="1"/>
  <c r="AK379" i="1"/>
  <c r="AJ379" i="1"/>
  <c r="AI379" i="1"/>
  <c r="AH379" i="1"/>
  <c r="AG379" i="1"/>
  <c r="AF379" i="1"/>
  <c r="AE379" i="1"/>
  <c r="AD379" i="1"/>
  <c r="AC379" i="1"/>
  <c r="AB379" i="1"/>
  <c r="AA379" i="1"/>
  <c r="BT378" i="1"/>
  <c r="BG378" i="1" s="1"/>
  <c r="BS378" i="1"/>
  <c r="BF378" i="1" s="1"/>
  <c r="BR378" i="1"/>
  <c r="BE378" i="1" s="1"/>
  <c r="BQ378" i="1"/>
  <c r="BP378" i="1"/>
  <c r="BC378" i="1" s="1"/>
  <c r="BO378" i="1"/>
  <c r="BB378" i="1" s="1"/>
  <c r="BN378" i="1"/>
  <c r="BA378" i="1" s="1"/>
  <c r="BM378" i="1"/>
  <c r="BL378" i="1"/>
  <c r="AY378" i="1" s="1"/>
  <c r="BK378" i="1"/>
  <c r="AX378" i="1" s="1"/>
  <c r="BJ378" i="1"/>
  <c r="AW378" i="1" s="1"/>
  <c r="BI378" i="1"/>
  <c r="BD378" i="1"/>
  <c r="AZ378" i="1"/>
  <c r="AV378" i="1"/>
  <c r="AL378" i="1"/>
  <c r="AK378" i="1"/>
  <c r="AJ378" i="1"/>
  <c r="AI378" i="1"/>
  <c r="AH378" i="1"/>
  <c r="AG378" i="1"/>
  <c r="AF378" i="1"/>
  <c r="AE378" i="1"/>
  <c r="AD378" i="1"/>
  <c r="AC378" i="1"/>
  <c r="AB378" i="1"/>
  <c r="AA378" i="1"/>
  <c r="H374" i="1"/>
  <c r="E374" i="1"/>
  <c r="BT372" i="1"/>
  <c r="BS372" i="1"/>
  <c r="BR372" i="1"/>
  <c r="BQ372" i="1"/>
  <c r="BP372" i="1"/>
  <c r="BO372" i="1"/>
  <c r="BN372" i="1"/>
  <c r="BM372" i="1"/>
  <c r="BL372" i="1"/>
  <c r="BK372" i="1"/>
  <c r="BJ372" i="1"/>
  <c r="BI372" i="1"/>
  <c r="BG372" i="1"/>
  <c r="BF372" i="1"/>
  <c r="BE372" i="1"/>
  <c r="BD372" i="1"/>
  <c r="BC372" i="1"/>
  <c r="BB372" i="1"/>
  <c r="BA372" i="1"/>
  <c r="AZ372" i="1"/>
  <c r="AY372" i="1"/>
  <c r="AX372" i="1"/>
  <c r="AW372" i="1"/>
  <c r="AV372" i="1"/>
  <c r="AL372" i="1"/>
  <c r="AK372" i="1"/>
  <c r="AJ372" i="1"/>
  <c r="AI372" i="1"/>
  <c r="AH372" i="1"/>
  <c r="AG372" i="1"/>
  <c r="AF372" i="1"/>
  <c r="AE372" i="1"/>
  <c r="AD372" i="1"/>
  <c r="AC372" i="1"/>
  <c r="AB372" i="1"/>
  <c r="AA372" i="1"/>
  <c r="BT371" i="1"/>
  <c r="BS371" i="1"/>
  <c r="BR371" i="1"/>
  <c r="BE371" i="1" s="1"/>
  <c r="BQ371" i="1"/>
  <c r="BD371" i="1" s="1"/>
  <c r="BP371" i="1"/>
  <c r="BC371" i="1" s="1"/>
  <c r="BO371" i="1"/>
  <c r="BB371" i="1" s="1"/>
  <c r="BN371" i="1"/>
  <c r="BA371" i="1" s="1"/>
  <c r="BM371" i="1"/>
  <c r="AZ371" i="1" s="1"/>
  <c r="BL371" i="1"/>
  <c r="AY371" i="1" s="1"/>
  <c r="BK371" i="1"/>
  <c r="AX371" i="1" s="1"/>
  <c r="BJ371" i="1"/>
  <c r="AW371" i="1" s="1"/>
  <c r="BI371" i="1"/>
  <c r="AV371" i="1" s="1"/>
  <c r="BG371" i="1"/>
  <c r="BF371" i="1"/>
  <c r="AL371" i="1"/>
  <c r="AK371" i="1"/>
  <c r="AJ371" i="1"/>
  <c r="AI371" i="1"/>
  <c r="AH371" i="1"/>
  <c r="AG371" i="1"/>
  <c r="AF371" i="1"/>
  <c r="AE371" i="1"/>
  <c r="AD371" i="1"/>
  <c r="AC371" i="1"/>
  <c r="AB371" i="1"/>
  <c r="AA371" i="1"/>
  <c r="BT370" i="1"/>
  <c r="BS370" i="1"/>
  <c r="BR370" i="1"/>
  <c r="BQ370" i="1"/>
  <c r="BP370" i="1"/>
  <c r="BO370" i="1"/>
  <c r="BN370" i="1"/>
  <c r="BM370" i="1"/>
  <c r="BL370" i="1"/>
  <c r="BK370" i="1"/>
  <c r="BJ370" i="1"/>
  <c r="AW370" i="1" s="1"/>
  <c r="BI370" i="1"/>
  <c r="AV370" i="1" s="1"/>
  <c r="BG370" i="1"/>
  <c r="BF370" i="1"/>
  <c r="BE370" i="1"/>
  <c r="BD370" i="1"/>
  <c r="BC370" i="1"/>
  <c r="BB370" i="1"/>
  <c r="BA370" i="1"/>
  <c r="AZ370" i="1"/>
  <c r="AY370" i="1"/>
  <c r="AX370" i="1"/>
  <c r="AL370" i="1"/>
  <c r="AK370" i="1"/>
  <c r="AJ370" i="1"/>
  <c r="AI370" i="1"/>
  <c r="AH370" i="1"/>
  <c r="AG370" i="1"/>
  <c r="AF370" i="1"/>
  <c r="AE370" i="1"/>
  <c r="AD370" i="1"/>
  <c r="AC370" i="1"/>
  <c r="AB370" i="1"/>
  <c r="AA370" i="1"/>
  <c r="L366" i="1"/>
  <c r="H366" i="1"/>
  <c r="E366" i="1"/>
  <c r="BK364" i="1"/>
  <c r="AL364" i="1"/>
  <c r="AL366" i="1" s="1"/>
  <c r="AK364" i="1"/>
  <c r="AK366" i="1" s="1"/>
  <c r="AJ364" i="1"/>
  <c r="AJ366" i="1" s="1"/>
  <c r="AI364" i="1"/>
  <c r="AI366" i="1" s="1"/>
  <c r="AH364" i="1"/>
  <c r="AH366" i="1" s="1"/>
  <c r="AG364" i="1"/>
  <c r="AG366" i="1" s="1"/>
  <c r="AF364" i="1"/>
  <c r="AF366" i="1" s="1"/>
  <c r="AE364" i="1"/>
  <c r="AE366" i="1" s="1"/>
  <c r="AD364" i="1"/>
  <c r="AD366" i="1" s="1"/>
  <c r="AC364" i="1"/>
  <c r="AC366" i="1" s="1"/>
  <c r="AB364" i="1"/>
  <c r="AB366" i="1" s="1"/>
  <c r="AA364" i="1"/>
  <c r="AA366" i="1" s="1"/>
  <c r="M366" i="1"/>
  <c r="H360" i="1"/>
  <c r="E360" i="1"/>
  <c r="AL358" i="1"/>
  <c r="AK358" i="1"/>
  <c r="AJ358" i="1"/>
  <c r="AI358" i="1"/>
  <c r="AH358" i="1"/>
  <c r="AG358" i="1"/>
  <c r="AF358" i="1"/>
  <c r="AE358" i="1"/>
  <c r="AD358" i="1"/>
  <c r="AC358" i="1"/>
  <c r="AB358" i="1"/>
  <c r="AA358" i="1"/>
  <c r="AL357" i="1"/>
  <c r="AK357" i="1"/>
  <c r="AJ357" i="1"/>
  <c r="AI357" i="1"/>
  <c r="AH357" i="1"/>
  <c r="AG357" i="1"/>
  <c r="AF357" i="1"/>
  <c r="AE357" i="1"/>
  <c r="AD357" i="1"/>
  <c r="AC357" i="1"/>
  <c r="AB357" i="1"/>
  <c r="AA357" i="1"/>
  <c r="AV356" i="1"/>
  <c r="BG356" i="1"/>
  <c r="BF356" i="1"/>
  <c r="BE356" i="1"/>
  <c r="BD356" i="1"/>
  <c r="BC356" i="1"/>
  <c r="BB356" i="1"/>
  <c r="BA356" i="1"/>
  <c r="AZ356" i="1"/>
  <c r="AY356" i="1"/>
  <c r="AX356" i="1"/>
  <c r="AW356" i="1"/>
  <c r="AL356" i="1"/>
  <c r="AK356" i="1"/>
  <c r="AJ356" i="1"/>
  <c r="AI356" i="1"/>
  <c r="AH356" i="1"/>
  <c r="AG356" i="1"/>
  <c r="AF356" i="1"/>
  <c r="AE356" i="1"/>
  <c r="AD356" i="1"/>
  <c r="AC356" i="1"/>
  <c r="AB356" i="1"/>
  <c r="AA356" i="1"/>
  <c r="BG355" i="1"/>
  <c r="BF355" i="1"/>
  <c r="BE355" i="1"/>
  <c r="BD355" i="1"/>
  <c r="BC355" i="1"/>
  <c r="BB355" i="1"/>
  <c r="BA355" i="1"/>
  <c r="AZ355" i="1"/>
  <c r="AY355" i="1"/>
  <c r="AX355" i="1"/>
  <c r="AW355" i="1"/>
  <c r="AV355" i="1"/>
  <c r="AL355" i="1"/>
  <c r="AK355" i="1"/>
  <c r="AJ355" i="1"/>
  <c r="AI355" i="1"/>
  <c r="AH355" i="1"/>
  <c r="AG355" i="1"/>
  <c r="AF355" i="1"/>
  <c r="AE355" i="1"/>
  <c r="AD355" i="1"/>
  <c r="AC355" i="1"/>
  <c r="AB355" i="1"/>
  <c r="AA355" i="1"/>
  <c r="AV354" i="1"/>
  <c r="AL354" i="1"/>
  <c r="AK354" i="1"/>
  <c r="AJ354" i="1"/>
  <c r="AI354" i="1"/>
  <c r="AH354" i="1"/>
  <c r="AG354" i="1"/>
  <c r="AF354" i="1"/>
  <c r="AE354" i="1"/>
  <c r="AD354" i="1"/>
  <c r="AC354" i="1"/>
  <c r="AB354" i="1"/>
  <c r="AA354" i="1"/>
  <c r="BG353" i="1"/>
  <c r="BF353" i="1"/>
  <c r="BE353" i="1"/>
  <c r="BD353" i="1"/>
  <c r="BC353" i="1"/>
  <c r="BB353" i="1"/>
  <c r="BA353" i="1"/>
  <c r="AZ353" i="1"/>
  <c r="AY353" i="1"/>
  <c r="AX353" i="1"/>
  <c r="AW353" i="1"/>
  <c r="AV353" i="1"/>
  <c r="AR353" i="1"/>
  <c r="AO353" i="1"/>
  <c r="AL353" i="1"/>
  <c r="AK353" i="1"/>
  <c r="AJ353" i="1"/>
  <c r="AI353" i="1"/>
  <c r="AH353" i="1"/>
  <c r="AG353" i="1"/>
  <c r="AF353" i="1"/>
  <c r="AE353" i="1"/>
  <c r="AD353" i="1"/>
  <c r="AC353" i="1"/>
  <c r="AB353" i="1"/>
  <c r="AA353" i="1"/>
  <c r="BG352" i="1"/>
  <c r="BF352" i="1"/>
  <c r="BE352" i="1"/>
  <c r="BD352" i="1"/>
  <c r="BC352" i="1"/>
  <c r="BB352" i="1"/>
  <c r="BA352" i="1"/>
  <c r="AZ352" i="1"/>
  <c r="AY352" i="1"/>
  <c r="AX352" i="1"/>
  <c r="AW352" i="1"/>
  <c r="AV352" i="1"/>
  <c r="AR352" i="1"/>
  <c r="AO352" i="1"/>
  <c r="AL352" i="1"/>
  <c r="AK352" i="1"/>
  <c r="AJ352" i="1"/>
  <c r="AI352" i="1"/>
  <c r="AH352" i="1"/>
  <c r="AG352" i="1"/>
  <c r="AF352" i="1"/>
  <c r="AE352" i="1"/>
  <c r="AD352" i="1"/>
  <c r="AC352" i="1"/>
  <c r="AB352" i="1"/>
  <c r="AA352" i="1"/>
  <c r="BG351" i="1"/>
  <c r="BF351" i="1"/>
  <c r="BE351" i="1"/>
  <c r="BD351" i="1"/>
  <c r="BC351" i="1"/>
  <c r="BB351" i="1"/>
  <c r="BA351" i="1"/>
  <c r="AZ351" i="1"/>
  <c r="AY351" i="1"/>
  <c r="AX351" i="1"/>
  <c r="AW351" i="1"/>
  <c r="AV351" i="1"/>
  <c r="AR351" i="1"/>
  <c r="AO351" i="1"/>
  <c r="AL351" i="1"/>
  <c r="AK351" i="1"/>
  <c r="AJ351" i="1"/>
  <c r="AI351" i="1"/>
  <c r="AH351" i="1"/>
  <c r="AG351" i="1"/>
  <c r="AF351" i="1"/>
  <c r="AE351" i="1"/>
  <c r="AD351" i="1"/>
  <c r="AC351" i="1"/>
  <c r="AB351" i="1"/>
  <c r="AA351" i="1"/>
  <c r="BG350" i="1"/>
  <c r="BF350" i="1"/>
  <c r="BE350" i="1"/>
  <c r="BD350" i="1"/>
  <c r="BC350" i="1"/>
  <c r="BB350" i="1"/>
  <c r="BA350" i="1"/>
  <c r="AZ350" i="1"/>
  <c r="AY350" i="1"/>
  <c r="AX350" i="1"/>
  <c r="AW350" i="1"/>
  <c r="AV350" i="1"/>
  <c r="AR350" i="1"/>
  <c r="AO350" i="1"/>
  <c r="AL350" i="1"/>
  <c r="AK350" i="1"/>
  <c r="AJ350" i="1"/>
  <c r="AI350" i="1"/>
  <c r="AH350" i="1"/>
  <c r="AG350" i="1"/>
  <c r="AF350" i="1"/>
  <c r="AE350" i="1"/>
  <c r="AD350" i="1"/>
  <c r="AC350" i="1"/>
  <c r="AB350" i="1"/>
  <c r="AA350" i="1"/>
  <c r="BG349" i="1"/>
  <c r="BF349" i="1"/>
  <c r="BE349" i="1"/>
  <c r="BD349" i="1"/>
  <c r="BC349" i="1"/>
  <c r="BB349" i="1"/>
  <c r="BA349" i="1"/>
  <c r="AZ349" i="1"/>
  <c r="AY349" i="1"/>
  <c r="AX349" i="1"/>
  <c r="AW349" i="1"/>
  <c r="AV349" i="1"/>
  <c r="AR349" i="1"/>
  <c r="AO349" i="1"/>
  <c r="AL349" i="1"/>
  <c r="AK349" i="1"/>
  <c r="AJ349" i="1"/>
  <c r="AI349" i="1"/>
  <c r="AH349" i="1"/>
  <c r="AG349" i="1"/>
  <c r="AF349" i="1"/>
  <c r="AE349" i="1"/>
  <c r="AD349" i="1"/>
  <c r="AC349" i="1"/>
  <c r="AB349" i="1"/>
  <c r="AA349" i="1"/>
  <c r="AV348" i="1"/>
  <c r="AL348" i="1"/>
  <c r="AK348" i="1"/>
  <c r="AJ348" i="1"/>
  <c r="AI348" i="1"/>
  <c r="AH348" i="1"/>
  <c r="AG348" i="1"/>
  <c r="AF348" i="1"/>
  <c r="AE348" i="1"/>
  <c r="AD348" i="1"/>
  <c r="AC348" i="1"/>
  <c r="AB348" i="1"/>
  <c r="AA348" i="1"/>
  <c r="BG347" i="1"/>
  <c r="BF347" i="1"/>
  <c r="BE347" i="1"/>
  <c r="BD347" i="1"/>
  <c r="BC347" i="1"/>
  <c r="BB347" i="1"/>
  <c r="BA347" i="1"/>
  <c r="AZ347" i="1"/>
  <c r="AY347" i="1"/>
  <c r="AX347" i="1"/>
  <c r="AW347" i="1"/>
  <c r="AV347" i="1"/>
  <c r="AR347" i="1"/>
  <c r="AO347" i="1"/>
  <c r="AL347" i="1"/>
  <c r="AK347" i="1"/>
  <c r="AJ347" i="1"/>
  <c r="AI347" i="1"/>
  <c r="AH347" i="1"/>
  <c r="AG347" i="1"/>
  <c r="AF347" i="1"/>
  <c r="AE347" i="1"/>
  <c r="AD347" i="1"/>
  <c r="AC347" i="1"/>
  <c r="AB347" i="1"/>
  <c r="AA347" i="1"/>
  <c r="BG346" i="1"/>
  <c r="BF346" i="1"/>
  <c r="BE346" i="1"/>
  <c r="BD346" i="1"/>
  <c r="BC346" i="1"/>
  <c r="BB346" i="1"/>
  <c r="BA346" i="1"/>
  <c r="AZ346" i="1"/>
  <c r="AY346" i="1"/>
  <c r="AX346" i="1"/>
  <c r="AW346" i="1"/>
  <c r="AV346" i="1"/>
  <c r="AR346" i="1"/>
  <c r="AO346" i="1"/>
  <c r="AL346" i="1"/>
  <c r="AK346" i="1"/>
  <c r="AJ346" i="1"/>
  <c r="AI346" i="1"/>
  <c r="AH346" i="1"/>
  <c r="AG346" i="1"/>
  <c r="AF346" i="1"/>
  <c r="AE346" i="1"/>
  <c r="AD346" i="1"/>
  <c r="AC346" i="1"/>
  <c r="AB346" i="1"/>
  <c r="AA346" i="1"/>
  <c r="AV345" i="1"/>
  <c r="AL345" i="1"/>
  <c r="AK345" i="1"/>
  <c r="AJ345" i="1"/>
  <c r="AI345" i="1"/>
  <c r="AH345" i="1"/>
  <c r="AG345" i="1"/>
  <c r="AF345" i="1"/>
  <c r="AE345" i="1"/>
  <c r="AD345" i="1"/>
  <c r="AC345" i="1"/>
  <c r="AB345" i="1"/>
  <c r="AA345" i="1"/>
  <c r="BG344" i="1"/>
  <c r="BF344" i="1"/>
  <c r="BE344" i="1"/>
  <c r="BD344" i="1"/>
  <c r="BC344" i="1"/>
  <c r="BB344" i="1"/>
  <c r="BA344" i="1"/>
  <c r="AZ344" i="1"/>
  <c r="AY344" i="1"/>
  <c r="AX344" i="1"/>
  <c r="AW344" i="1"/>
  <c r="AV344" i="1"/>
  <c r="AR344" i="1"/>
  <c r="AO344" i="1"/>
  <c r="AL344" i="1"/>
  <c r="AK344" i="1"/>
  <c r="AJ344" i="1"/>
  <c r="AI344" i="1"/>
  <c r="AH344" i="1"/>
  <c r="AG344" i="1"/>
  <c r="AF344" i="1"/>
  <c r="AE344" i="1"/>
  <c r="AD344" i="1"/>
  <c r="AC344" i="1"/>
  <c r="AB344" i="1"/>
  <c r="AA344" i="1"/>
  <c r="BG343" i="1"/>
  <c r="BF343" i="1"/>
  <c r="BE343" i="1"/>
  <c r="BD343" i="1"/>
  <c r="BC343" i="1"/>
  <c r="BB343" i="1"/>
  <c r="BA343" i="1"/>
  <c r="AZ343" i="1"/>
  <c r="AY343" i="1"/>
  <c r="AX343" i="1"/>
  <c r="AW343" i="1"/>
  <c r="AV343" i="1"/>
  <c r="AR343" i="1"/>
  <c r="AO343" i="1"/>
  <c r="AL343" i="1"/>
  <c r="AK343" i="1"/>
  <c r="AJ343" i="1"/>
  <c r="AI343" i="1"/>
  <c r="AH343" i="1"/>
  <c r="AG343" i="1"/>
  <c r="AF343" i="1"/>
  <c r="AE343" i="1"/>
  <c r="AD343" i="1"/>
  <c r="AC343" i="1"/>
  <c r="AB343" i="1"/>
  <c r="AA343" i="1"/>
  <c r="BG342" i="1"/>
  <c r="BF342" i="1"/>
  <c r="BE342" i="1"/>
  <c r="BD342" i="1"/>
  <c r="BC342" i="1"/>
  <c r="BB342" i="1"/>
  <c r="BA342" i="1"/>
  <c r="AZ342" i="1"/>
  <c r="AY342" i="1"/>
  <c r="AX342" i="1"/>
  <c r="AW342" i="1"/>
  <c r="AV342" i="1"/>
  <c r="AR342" i="1"/>
  <c r="AO342" i="1"/>
  <c r="AL342" i="1"/>
  <c r="AK342" i="1"/>
  <c r="AJ342" i="1"/>
  <c r="AI342" i="1"/>
  <c r="AH342" i="1"/>
  <c r="AG342" i="1"/>
  <c r="AF342" i="1"/>
  <c r="AE342" i="1"/>
  <c r="AD342" i="1"/>
  <c r="AC342" i="1"/>
  <c r="AB342" i="1"/>
  <c r="AA342" i="1"/>
  <c r="BG341" i="1"/>
  <c r="BF341" i="1"/>
  <c r="BE341" i="1"/>
  <c r="BD341" i="1"/>
  <c r="BC341" i="1"/>
  <c r="BB341" i="1"/>
  <c r="BA341" i="1"/>
  <c r="AZ341" i="1"/>
  <c r="AY341" i="1"/>
  <c r="AX341" i="1"/>
  <c r="AW341" i="1"/>
  <c r="AV341" i="1"/>
  <c r="AR341" i="1"/>
  <c r="AO341" i="1"/>
  <c r="AL341" i="1"/>
  <c r="AK341" i="1"/>
  <c r="AJ341" i="1"/>
  <c r="AI341" i="1"/>
  <c r="AH341" i="1"/>
  <c r="AG341" i="1"/>
  <c r="AF341" i="1"/>
  <c r="AE341" i="1"/>
  <c r="AD341" i="1"/>
  <c r="AC341" i="1"/>
  <c r="AB341" i="1"/>
  <c r="AA341" i="1"/>
  <c r="BL340" i="1"/>
  <c r="BG340" i="1"/>
  <c r="BF340" i="1"/>
  <c r="BE340" i="1"/>
  <c r="BD340" i="1"/>
  <c r="BC340" i="1"/>
  <c r="BB340" i="1"/>
  <c r="BA340" i="1"/>
  <c r="AZ340" i="1"/>
  <c r="AX340" i="1"/>
  <c r="AW340" i="1"/>
  <c r="AV340" i="1"/>
  <c r="AL340" i="1"/>
  <c r="AK340" i="1"/>
  <c r="AJ340" i="1"/>
  <c r="AI340" i="1"/>
  <c r="AH340" i="1"/>
  <c r="AG340" i="1"/>
  <c r="AF340" i="1"/>
  <c r="AE340" i="1"/>
  <c r="AD340" i="1"/>
  <c r="AC340" i="1"/>
  <c r="AB340" i="1"/>
  <c r="AA340" i="1"/>
  <c r="BG339" i="1"/>
  <c r="BF339" i="1"/>
  <c r="BE339" i="1"/>
  <c r="BD339" i="1"/>
  <c r="BC339" i="1"/>
  <c r="BB339" i="1"/>
  <c r="BA339" i="1"/>
  <c r="AZ339" i="1"/>
  <c r="AY339" i="1"/>
  <c r="AX339" i="1"/>
  <c r="AW339" i="1"/>
  <c r="AV339" i="1"/>
  <c r="AR339" i="1"/>
  <c r="AO339" i="1"/>
  <c r="AL339" i="1"/>
  <c r="AK339" i="1"/>
  <c r="AJ339" i="1"/>
  <c r="AI339" i="1"/>
  <c r="AH339" i="1"/>
  <c r="AG339" i="1"/>
  <c r="AF339" i="1"/>
  <c r="AE339" i="1"/>
  <c r="AD339" i="1"/>
  <c r="AC339" i="1"/>
  <c r="AB339" i="1"/>
  <c r="AA339" i="1"/>
  <c r="BT338" i="1"/>
  <c r="BG338" i="1" s="1"/>
  <c r="BS338" i="1"/>
  <c r="BF338" i="1" s="1"/>
  <c r="BR338" i="1"/>
  <c r="BE338" i="1" s="1"/>
  <c r="BQ338" i="1"/>
  <c r="BD338" i="1" s="1"/>
  <c r="BP338" i="1"/>
  <c r="BC338" i="1" s="1"/>
  <c r="BO338" i="1"/>
  <c r="BB338" i="1" s="1"/>
  <c r="BN338" i="1"/>
  <c r="BA338" i="1" s="1"/>
  <c r="BM338" i="1"/>
  <c r="AZ338" i="1" s="1"/>
  <c r="BL338" i="1"/>
  <c r="AY338" i="1" s="1"/>
  <c r="BK338" i="1"/>
  <c r="AX338" i="1" s="1"/>
  <c r="BJ338" i="1"/>
  <c r="AW338" i="1" s="1"/>
  <c r="BI338" i="1"/>
  <c r="AV338" i="1"/>
  <c r="AL338" i="1"/>
  <c r="AK338" i="1"/>
  <c r="AJ338" i="1"/>
  <c r="AI338" i="1"/>
  <c r="AH338" i="1"/>
  <c r="AG338" i="1"/>
  <c r="AF338" i="1"/>
  <c r="AE338" i="1"/>
  <c r="AD338" i="1"/>
  <c r="AC338" i="1"/>
  <c r="AB338" i="1"/>
  <c r="AA338" i="1"/>
  <c r="AV337" i="1"/>
  <c r="AL337" i="1"/>
  <c r="AK337" i="1"/>
  <c r="AJ337" i="1"/>
  <c r="AI337" i="1"/>
  <c r="AH337" i="1"/>
  <c r="AG337" i="1"/>
  <c r="AF337" i="1"/>
  <c r="AE337" i="1"/>
  <c r="AD337" i="1"/>
  <c r="AC337" i="1"/>
  <c r="AB337" i="1"/>
  <c r="AA337" i="1"/>
  <c r="BG336" i="1"/>
  <c r="BF336" i="1"/>
  <c r="BE336" i="1"/>
  <c r="BD336" i="1"/>
  <c r="BC336" i="1"/>
  <c r="BB336" i="1"/>
  <c r="BA336" i="1"/>
  <c r="AZ336" i="1"/>
  <c r="AY336" i="1"/>
  <c r="AX336" i="1"/>
  <c r="AW336" i="1"/>
  <c r="AV336" i="1"/>
  <c r="AR336" i="1"/>
  <c r="AO336" i="1"/>
  <c r="AL336" i="1"/>
  <c r="AK336" i="1"/>
  <c r="AJ336" i="1"/>
  <c r="AI336" i="1"/>
  <c r="AH336" i="1"/>
  <c r="AG336" i="1"/>
  <c r="AF336" i="1"/>
  <c r="AE336" i="1"/>
  <c r="AD336" i="1"/>
  <c r="AC336" i="1"/>
  <c r="AB336" i="1"/>
  <c r="AA336" i="1"/>
  <c r="AL335" i="1"/>
  <c r="AK335" i="1"/>
  <c r="AJ335" i="1"/>
  <c r="AI335" i="1"/>
  <c r="AH335" i="1"/>
  <c r="AG335" i="1"/>
  <c r="AF335" i="1"/>
  <c r="AE335" i="1"/>
  <c r="AD335" i="1"/>
  <c r="AC335" i="1"/>
  <c r="AB335" i="1"/>
  <c r="AA335" i="1"/>
  <c r="E331" i="1"/>
  <c r="BT329" i="1"/>
  <c r="BG329" i="1" s="1"/>
  <c r="BS329" i="1"/>
  <c r="BF329" i="1" s="1"/>
  <c r="BR329" i="1"/>
  <c r="BE329" i="1" s="1"/>
  <c r="BQ329" i="1"/>
  <c r="BD329" i="1" s="1"/>
  <c r="BP329" i="1"/>
  <c r="BO329" i="1"/>
  <c r="BB329" i="1" s="1"/>
  <c r="BN329" i="1"/>
  <c r="BA329" i="1" s="1"/>
  <c r="BM329" i="1"/>
  <c r="AZ329" i="1" s="1"/>
  <c r="BL329" i="1"/>
  <c r="AY329" i="1" s="1"/>
  <c r="BK329" i="1"/>
  <c r="AX329" i="1" s="1"/>
  <c r="BJ329" i="1"/>
  <c r="AW329" i="1" s="1"/>
  <c r="BI329" i="1"/>
  <c r="AV329" i="1" s="1"/>
  <c r="BC329" i="1"/>
  <c r="AL329" i="1"/>
  <c r="AK329" i="1"/>
  <c r="AJ329" i="1"/>
  <c r="AI329" i="1"/>
  <c r="AH329" i="1"/>
  <c r="AG329" i="1"/>
  <c r="AF329" i="1"/>
  <c r="AE329" i="1"/>
  <c r="AD329" i="1"/>
  <c r="AC329" i="1"/>
  <c r="AB329" i="1"/>
  <c r="AA329" i="1"/>
  <c r="AL328" i="1"/>
  <c r="AK328" i="1"/>
  <c r="AJ328" i="1"/>
  <c r="AI328" i="1"/>
  <c r="AH328" i="1"/>
  <c r="AG328" i="1"/>
  <c r="AF328" i="1"/>
  <c r="AE328" i="1"/>
  <c r="AD328" i="1"/>
  <c r="AC328" i="1"/>
  <c r="AB328" i="1"/>
  <c r="AA328" i="1"/>
  <c r="BG327" i="1"/>
  <c r="BF327" i="1"/>
  <c r="BE327" i="1"/>
  <c r="BD327" i="1"/>
  <c r="BC327" i="1"/>
  <c r="BB327" i="1"/>
  <c r="BA327" i="1"/>
  <c r="AZ327" i="1"/>
  <c r="AY327" i="1"/>
  <c r="AX327" i="1"/>
  <c r="AW327" i="1"/>
  <c r="AV327" i="1"/>
  <c r="AR327" i="1"/>
  <c r="AO327" i="1"/>
  <c r="AL327" i="1"/>
  <c r="AK327" i="1"/>
  <c r="AJ327" i="1"/>
  <c r="AI327" i="1"/>
  <c r="AH327" i="1"/>
  <c r="AG327" i="1"/>
  <c r="AF327" i="1"/>
  <c r="AE327" i="1"/>
  <c r="AD327" i="1"/>
  <c r="AC327" i="1"/>
  <c r="AB327" i="1"/>
  <c r="AA327" i="1"/>
  <c r="BG326" i="1"/>
  <c r="BF326" i="1"/>
  <c r="BE326" i="1"/>
  <c r="BD326" i="1"/>
  <c r="BC326" i="1"/>
  <c r="BB326" i="1"/>
  <c r="BA326" i="1"/>
  <c r="AZ326" i="1"/>
  <c r="AY326" i="1"/>
  <c r="AX326" i="1"/>
  <c r="AW326" i="1"/>
  <c r="AV326" i="1"/>
  <c r="AR326" i="1"/>
  <c r="AO326" i="1"/>
  <c r="AL326" i="1"/>
  <c r="AK326" i="1"/>
  <c r="AJ326" i="1"/>
  <c r="AI326" i="1"/>
  <c r="AH326" i="1"/>
  <c r="AG326" i="1"/>
  <c r="AF326" i="1"/>
  <c r="AE326" i="1"/>
  <c r="AD326" i="1"/>
  <c r="AC326" i="1"/>
  <c r="AB326" i="1"/>
  <c r="AA326" i="1"/>
  <c r="BG325" i="1"/>
  <c r="BF325" i="1"/>
  <c r="BE325" i="1"/>
  <c r="BD325" i="1"/>
  <c r="BC325" i="1"/>
  <c r="BB325" i="1"/>
  <c r="BA325" i="1"/>
  <c r="AZ325" i="1"/>
  <c r="AY325" i="1"/>
  <c r="AX325" i="1"/>
  <c r="AW325" i="1"/>
  <c r="AV325" i="1"/>
  <c r="AR325" i="1"/>
  <c r="AO325" i="1"/>
  <c r="AL325" i="1"/>
  <c r="AK325" i="1"/>
  <c r="AJ325" i="1"/>
  <c r="AI325" i="1"/>
  <c r="AH325" i="1"/>
  <c r="AG325" i="1"/>
  <c r="AF325" i="1"/>
  <c r="AE325" i="1"/>
  <c r="AD325" i="1"/>
  <c r="AC325" i="1"/>
  <c r="AB325" i="1"/>
  <c r="AA325" i="1"/>
  <c r="BG324" i="1"/>
  <c r="BF324" i="1"/>
  <c r="BE324" i="1"/>
  <c r="BD324" i="1"/>
  <c r="BC324" i="1"/>
  <c r="BB324" i="1"/>
  <c r="BA324" i="1"/>
  <c r="AZ324" i="1"/>
  <c r="AY324" i="1"/>
  <c r="AX324" i="1"/>
  <c r="AW324" i="1"/>
  <c r="AV324" i="1"/>
  <c r="AR324" i="1"/>
  <c r="AO324" i="1"/>
  <c r="AL324" i="1"/>
  <c r="AK324" i="1"/>
  <c r="AJ324" i="1"/>
  <c r="AI324" i="1"/>
  <c r="AH324" i="1"/>
  <c r="AG324" i="1"/>
  <c r="AF324" i="1"/>
  <c r="AE324" i="1"/>
  <c r="AD324" i="1"/>
  <c r="AC324" i="1"/>
  <c r="AB324" i="1"/>
  <c r="AA324" i="1"/>
  <c r="BG323" i="1"/>
  <c r="BF323" i="1"/>
  <c r="BE323" i="1"/>
  <c r="BD323" i="1"/>
  <c r="BC323" i="1"/>
  <c r="BB323" i="1"/>
  <c r="BA323" i="1"/>
  <c r="AZ323" i="1"/>
  <c r="AY323" i="1"/>
  <c r="AX323" i="1"/>
  <c r="AW323" i="1"/>
  <c r="AV323" i="1"/>
  <c r="AR323" i="1"/>
  <c r="AO323" i="1"/>
  <c r="AL323" i="1"/>
  <c r="AK323" i="1"/>
  <c r="AJ323" i="1"/>
  <c r="AI323" i="1"/>
  <c r="AH323" i="1"/>
  <c r="AG323" i="1"/>
  <c r="AF323" i="1"/>
  <c r="AE323" i="1"/>
  <c r="AD323" i="1"/>
  <c r="AC323" i="1"/>
  <c r="AB323" i="1"/>
  <c r="AA323" i="1"/>
  <c r="BG322" i="1"/>
  <c r="BF322" i="1"/>
  <c r="BE322" i="1"/>
  <c r="BD322" i="1"/>
  <c r="BC322" i="1"/>
  <c r="BB322" i="1"/>
  <c r="BA322" i="1"/>
  <c r="AZ322" i="1"/>
  <c r="AY322" i="1"/>
  <c r="AX322" i="1"/>
  <c r="AW322" i="1"/>
  <c r="AV322" i="1"/>
  <c r="AR322" i="1"/>
  <c r="AO322" i="1"/>
  <c r="AL322" i="1"/>
  <c r="AK322" i="1"/>
  <c r="AJ322" i="1"/>
  <c r="AI322" i="1"/>
  <c r="AH322" i="1"/>
  <c r="AG322" i="1"/>
  <c r="AF322" i="1"/>
  <c r="AE322" i="1"/>
  <c r="AD322" i="1"/>
  <c r="AC322" i="1"/>
  <c r="AB322" i="1"/>
  <c r="AA322" i="1"/>
  <c r="BG321" i="1"/>
  <c r="BF321" i="1"/>
  <c r="BE321" i="1"/>
  <c r="BD321" i="1"/>
  <c r="BC321" i="1"/>
  <c r="BB321" i="1"/>
  <c r="BA321" i="1"/>
  <c r="AZ321" i="1"/>
  <c r="AY321" i="1"/>
  <c r="AX321" i="1"/>
  <c r="AW321" i="1"/>
  <c r="AV321" i="1"/>
  <c r="AR321" i="1"/>
  <c r="AO321" i="1"/>
  <c r="AL321" i="1"/>
  <c r="AK321" i="1"/>
  <c r="AJ321" i="1"/>
  <c r="AI321" i="1"/>
  <c r="AH321" i="1"/>
  <c r="AG321" i="1"/>
  <c r="AF321" i="1"/>
  <c r="AE321" i="1"/>
  <c r="AD321" i="1"/>
  <c r="AC321" i="1"/>
  <c r="AB321" i="1"/>
  <c r="AA321" i="1"/>
  <c r="AL320" i="1"/>
  <c r="AK320" i="1"/>
  <c r="AJ320" i="1"/>
  <c r="AI320" i="1"/>
  <c r="AH320" i="1"/>
  <c r="AG320" i="1"/>
  <c r="AF320" i="1"/>
  <c r="AE320" i="1"/>
  <c r="AD320" i="1"/>
  <c r="AC320" i="1"/>
  <c r="AB320" i="1"/>
  <c r="AA320" i="1"/>
  <c r="BG319" i="1"/>
  <c r="BF319" i="1"/>
  <c r="BE319" i="1"/>
  <c r="BD319" i="1"/>
  <c r="BC319" i="1"/>
  <c r="BB319" i="1"/>
  <c r="BA319" i="1"/>
  <c r="AZ319" i="1"/>
  <c r="AY319" i="1"/>
  <c r="AX319" i="1"/>
  <c r="AW319" i="1"/>
  <c r="AV319" i="1"/>
  <c r="AR319" i="1"/>
  <c r="AO319" i="1"/>
  <c r="AL319" i="1"/>
  <c r="AK319" i="1"/>
  <c r="AJ319" i="1"/>
  <c r="AI319" i="1"/>
  <c r="AH319" i="1"/>
  <c r="AG319" i="1"/>
  <c r="AF319" i="1"/>
  <c r="AE319" i="1"/>
  <c r="AD319" i="1"/>
  <c r="AC319" i="1"/>
  <c r="AB319" i="1"/>
  <c r="AA319" i="1"/>
  <c r="BG318" i="1"/>
  <c r="BF318" i="1"/>
  <c r="BE318" i="1"/>
  <c r="BD318" i="1"/>
  <c r="BC318" i="1"/>
  <c r="BB318" i="1"/>
  <c r="BA318" i="1"/>
  <c r="AZ318" i="1"/>
  <c r="AY318" i="1"/>
  <c r="AX318" i="1"/>
  <c r="AW318" i="1"/>
  <c r="AV318" i="1"/>
  <c r="AR318" i="1"/>
  <c r="AO318" i="1"/>
  <c r="AL318" i="1"/>
  <c r="AK318" i="1"/>
  <c r="AJ318" i="1"/>
  <c r="AI318" i="1"/>
  <c r="AH318" i="1"/>
  <c r="AG318" i="1"/>
  <c r="AF318" i="1"/>
  <c r="AE318" i="1"/>
  <c r="AD318" i="1"/>
  <c r="AC318" i="1"/>
  <c r="AB318" i="1"/>
  <c r="AA318" i="1"/>
  <c r="BG317" i="1"/>
  <c r="BF317" i="1"/>
  <c r="BE317" i="1"/>
  <c r="BD317" i="1"/>
  <c r="BC317" i="1"/>
  <c r="BB317" i="1"/>
  <c r="BA317" i="1"/>
  <c r="AZ317" i="1"/>
  <c r="AY317" i="1"/>
  <c r="AX317" i="1"/>
  <c r="AW317" i="1"/>
  <c r="AV317" i="1"/>
  <c r="AR317" i="1"/>
  <c r="AO317" i="1"/>
  <c r="AL317" i="1"/>
  <c r="AK317" i="1"/>
  <c r="AJ317" i="1"/>
  <c r="AI317" i="1"/>
  <c r="AH317" i="1"/>
  <c r="AG317" i="1"/>
  <c r="AF317" i="1"/>
  <c r="AE317" i="1"/>
  <c r="AD317" i="1"/>
  <c r="AC317" i="1"/>
  <c r="AB317" i="1"/>
  <c r="AA317" i="1"/>
  <c r="BG316" i="1"/>
  <c r="BF316" i="1"/>
  <c r="BE316" i="1"/>
  <c r="BD316" i="1"/>
  <c r="BC316" i="1"/>
  <c r="BB316" i="1"/>
  <c r="BA316" i="1"/>
  <c r="AZ316" i="1"/>
  <c r="AY316" i="1"/>
  <c r="AX316" i="1"/>
  <c r="AW316" i="1"/>
  <c r="AV316" i="1"/>
  <c r="AR316" i="1"/>
  <c r="AO316" i="1"/>
  <c r="AL316" i="1"/>
  <c r="AK316" i="1"/>
  <c r="AJ316" i="1"/>
  <c r="AI316" i="1"/>
  <c r="AH316" i="1"/>
  <c r="AG316" i="1"/>
  <c r="AF316" i="1"/>
  <c r="AE316" i="1"/>
  <c r="AD316" i="1"/>
  <c r="AC316" i="1"/>
  <c r="AB316" i="1"/>
  <c r="AA316" i="1"/>
  <c r="BG315" i="1"/>
  <c r="BF315" i="1"/>
  <c r="BE315" i="1"/>
  <c r="BD315" i="1"/>
  <c r="BC315" i="1"/>
  <c r="BB315" i="1"/>
  <c r="BA315" i="1"/>
  <c r="AZ315" i="1"/>
  <c r="AY315" i="1"/>
  <c r="AX315" i="1"/>
  <c r="AW315" i="1"/>
  <c r="AV315" i="1"/>
  <c r="AR315" i="1"/>
  <c r="AO315" i="1"/>
  <c r="AL315" i="1"/>
  <c r="AK315" i="1"/>
  <c r="AJ315" i="1"/>
  <c r="AI315" i="1"/>
  <c r="AH315" i="1"/>
  <c r="AG315" i="1"/>
  <c r="AF315" i="1"/>
  <c r="AE315" i="1"/>
  <c r="AD315" i="1"/>
  <c r="AC315" i="1"/>
  <c r="AB315" i="1"/>
  <c r="AA315" i="1"/>
  <c r="H314" i="1"/>
  <c r="BG313" i="1"/>
  <c r="BF313" i="1"/>
  <c r="BE313" i="1"/>
  <c r="BD313" i="1"/>
  <c r="BC313" i="1"/>
  <c r="BB313" i="1"/>
  <c r="BA313" i="1"/>
  <c r="AZ313" i="1"/>
  <c r="AY313" i="1"/>
  <c r="AX313" i="1"/>
  <c r="AW313" i="1"/>
  <c r="AV313" i="1"/>
  <c r="AR313" i="1"/>
  <c r="AO313" i="1"/>
  <c r="H313" i="1"/>
  <c r="AG313" i="1" s="1"/>
  <c r="AL312" i="1"/>
  <c r="AK312" i="1"/>
  <c r="AJ312" i="1"/>
  <c r="AI312" i="1"/>
  <c r="AH312" i="1"/>
  <c r="AG312" i="1"/>
  <c r="AF312" i="1"/>
  <c r="AE312" i="1"/>
  <c r="AD312" i="1"/>
  <c r="AC312" i="1"/>
  <c r="AB312" i="1"/>
  <c r="AA312" i="1"/>
  <c r="BG311" i="1"/>
  <c r="BF311" i="1"/>
  <c r="BE311" i="1"/>
  <c r="BD311" i="1"/>
  <c r="BC311" i="1"/>
  <c r="BB311" i="1"/>
  <c r="BA311" i="1"/>
  <c r="AZ311" i="1"/>
  <c r="AY311" i="1"/>
  <c r="AX311" i="1"/>
  <c r="AW311" i="1"/>
  <c r="AV311" i="1"/>
  <c r="AR311" i="1"/>
  <c r="AO311" i="1"/>
  <c r="AL311" i="1"/>
  <c r="AK311" i="1"/>
  <c r="AJ311" i="1"/>
  <c r="AI311" i="1"/>
  <c r="AH311" i="1"/>
  <c r="AG311" i="1"/>
  <c r="AF311" i="1"/>
  <c r="AE311" i="1"/>
  <c r="AD311" i="1"/>
  <c r="AC311" i="1"/>
  <c r="AB311" i="1"/>
  <c r="AA311" i="1"/>
  <c r="BG310" i="1"/>
  <c r="BF310" i="1"/>
  <c r="BE310" i="1"/>
  <c r="BD310" i="1"/>
  <c r="BC310" i="1"/>
  <c r="BB310" i="1"/>
  <c r="BA310" i="1"/>
  <c r="AZ310" i="1"/>
  <c r="AY310" i="1"/>
  <c r="AX310" i="1"/>
  <c r="AW310" i="1"/>
  <c r="AV310" i="1"/>
  <c r="AR310" i="1"/>
  <c r="AO310" i="1"/>
  <c r="AL310" i="1"/>
  <c r="AK310" i="1"/>
  <c r="AJ310" i="1"/>
  <c r="AI310" i="1"/>
  <c r="AH310" i="1"/>
  <c r="AG310" i="1"/>
  <c r="AF310" i="1"/>
  <c r="AE310" i="1"/>
  <c r="AD310" i="1"/>
  <c r="AC310" i="1"/>
  <c r="AB310" i="1"/>
  <c r="AA310" i="1"/>
  <c r="BL309" i="1"/>
  <c r="BG309" i="1"/>
  <c r="BF309" i="1"/>
  <c r="BE309" i="1"/>
  <c r="BD309" i="1"/>
  <c r="BC309" i="1"/>
  <c r="BB309" i="1"/>
  <c r="BA309" i="1"/>
  <c r="AZ309" i="1"/>
  <c r="AX309" i="1"/>
  <c r="AW309" i="1"/>
  <c r="AV309" i="1"/>
  <c r="AL309" i="1"/>
  <c r="AK309" i="1"/>
  <c r="AJ309" i="1"/>
  <c r="AI309" i="1"/>
  <c r="AH309" i="1"/>
  <c r="AG309" i="1"/>
  <c r="AF309" i="1"/>
  <c r="AE309" i="1"/>
  <c r="AD309" i="1"/>
  <c r="AC309" i="1"/>
  <c r="AB309" i="1"/>
  <c r="AA309" i="1"/>
  <c r="BG308" i="1"/>
  <c r="BF308" i="1"/>
  <c r="BE308" i="1"/>
  <c r="BD308" i="1"/>
  <c r="BC308" i="1"/>
  <c r="BB308" i="1"/>
  <c r="BA308" i="1"/>
  <c r="AZ308" i="1"/>
  <c r="AY308" i="1"/>
  <c r="AX308" i="1"/>
  <c r="AW308" i="1"/>
  <c r="AV308" i="1"/>
  <c r="AR308" i="1"/>
  <c r="AO308" i="1"/>
  <c r="AL308" i="1"/>
  <c r="AK308" i="1"/>
  <c r="AJ308" i="1"/>
  <c r="AI308" i="1"/>
  <c r="AH308" i="1"/>
  <c r="AG308" i="1"/>
  <c r="AF308" i="1"/>
  <c r="AE308" i="1"/>
  <c r="AD308" i="1"/>
  <c r="AC308" i="1"/>
  <c r="AB308" i="1"/>
  <c r="AA308" i="1"/>
  <c r="BG307" i="1"/>
  <c r="BF307" i="1"/>
  <c r="BE307" i="1"/>
  <c r="BD307" i="1"/>
  <c r="BC307" i="1"/>
  <c r="BB307" i="1"/>
  <c r="BA307" i="1"/>
  <c r="AZ307" i="1"/>
  <c r="AY307" i="1"/>
  <c r="AX307" i="1"/>
  <c r="AW307" i="1"/>
  <c r="AV307" i="1"/>
  <c r="AR307" i="1"/>
  <c r="AO307" i="1"/>
  <c r="AL307" i="1"/>
  <c r="AK307" i="1"/>
  <c r="AJ307" i="1"/>
  <c r="AI307" i="1"/>
  <c r="AH307" i="1"/>
  <c r="AG307" i="1"/>
  <c r="AF307" i="1"/>
  <c r="AE307" i="1"/>
  <c r="AD307" i="1"/>
  <c r="AC307" i="1"/>
  <c r="AB307" i="1"/>
  <c r="AA307" i="1"/>
  <c r="BT306" i="1"/>
  <c r="BG306" i="1" s="1"/>
  <c r="BS306" i="1"/>
  <c r="BF306" i="1" s="1"/>
  <c r="BR306" i="1"/>
  <c r="BE306" i="1" s="1"/>
  <c r="BQ306" i="1"/>
  <c r="BP306" i="1"/>
  <c r="BC306" i="1" s="1"/>
  <c r="BO306" i="1"/>
  <c r="BB306" i="1" s="1"/>
  <c r="BN306" i="1"/>
  <c r="BM306" i="1"/>
  <c r="BL306" i="1"/>
  <c r="AY306" i="1" s="1"/>
  <c r="BK306" i="1"/>
  <c r="AX306" i="1" s="1"/>
  <c r="BJ306" i="1"/>
  <c r="AW306" i="1" s="1"/>
  <c r="BI306" i="1"/>
  <c r="AV306" i="1" s="1"/>
  <c r="BD306" i="1"/>
  <c r="BA306" i="1"/>
  <c r="AZ306" i="1"/>
  <c r="AL306" i="1"/>
  <c r="AK306" i="1"/>
  <c r="AJ306" i="1"/>
  <c r="AI306" i="1"/>
  <c r="AH306" i="1"/>
  <c r="AG306" i="1"/>
  <c r="AF306" i="1"/>
  <c r="AE306" i="1"/>
  <c r="AD306" i="1"/>
  <c r="AC306" i="1"/>
  <c r="AB306" i="1"/>
  <c r="AA306" i="1"/>
  <c r="BG305" i="1"/>
  <c r="BF305" i="1"/>
  <c r="BE305" i="1"/>
  <c r="BD305" i="1"/>
  <c r="BC305" i="1"/>
  <c r="BB305" i="1"/>
  <c r="BA305" i="1"/>
  <c r="AZ305" i="1"/>
  <c r="AY305" i="1"/>
  <c r="AX305" i="1"/>
  <c r="AW305" i="1"/>
  <c r="AV305" i="1"/>
  <c r="AR305" i="1"/>
  <c r="AO305" i="1"/>
  <c r="AL305" i="1"/>
  <c r="AK305" i="1"/>
  <c r="AJ305" i="1"/>
  <c r="AI305" i="1"/>
  <c r="AH305" i="1"/>
  <c r="AG305" i="1"/>
  <c r="AF305" i="1"/>
  <c r="AE305" i="1"/>
  <c r="AD305" i="1"/>
  <c r="AC305" i="1"/>
  <c r="AB305" i="1"/>
  <c r="AA305" i="1"/>
  <c r="BG304" i="1"/>
  <c r="BF304" i="1"/>
  <c r="BE304" i="1"/>
  <c r="BD304" i="1"/>
  <c r="BC304" i="1"/>
  <c r="BB304" i="1"/>
  <c r="BA304" i="1"/>
  <c r="AZ304" i="1"/>
  <c r="AY304" i="1"/>
  <c r="AX304" i="1"/>
  <c r="AW304" i="1"/>
  <c r="AV304" i="1"/>
  <c r="AR304" i="1"/>
  <c r="AO304" i="1"/>
  <c r="AL304" i="1"/>
  <c r="AK304" i="1"/>
  <c r="AJ304" i="1"/>
  <c r="AI304" i="1"/>
  <c r="AH304" i="1"/>
  <c r="AG304" i="1"/>
  <c r="AF304" i="1"/>
  <c r="AE304" i="1"/>
  <c r="AD304" i="1"/>
  <c r="AC304" i="1"/>
  <c r="AB304" i="1"/>
  <c r="AA304" i="1"/>
  <c r="AL303" i="1"/>
  <c r="AK303" i="1"/>
  <c r="AJ303" i="1"/>
  <c r="AI303" i="1"/>
  <c r="AH303" i="1"/>
  <c r="AG303" i="1"/>
  <c r="AF303" i="1"/>
  <c r="AE303" i="1"/>
  <c r="AD303" i="1"/>
  <c r="AC303" i="1"/>
  <c r="AB303" i="1"/>
  <c r="AA303" i="1"/>
  <c r="BG302" i="1"/>
  <c r="BF302" i="1"/>
  <c r="BE302" i="1"/>
  <c r="BD302" i="1"/>
  <c r="BC302" i="1"/>
  <c r="BB302" i="1"/>
  <c r="BA302" i="1"/>
  <c r="AZ302" i="1"/>
  <c r="AY302" i="1"/>
  <c r="AX302" i="1"/>
  <c r="AW302" i="1"/>
  <c r="AV302" i="1"/>
  <c r="AR302" i="1"/>
  <c r="AO302" i="1"/>
  <c r="AL302" i="1"/>
  <c r="AK302" i="1"/>
  <c r="AJ302" i="1"/>
  <c r="AI302" i="1"/>
  <c r="AH302" i="1"/>
  <c r="AG302" i="1"/>
  <c r="AF302" i="1"/>
  <c r="AE302" i="1"/>
  <c r="AD302" i="1"/>
  <c r="AC302" i="1"/>
  <c r="AB302" i="1"/>
  <c r="AA302" i="1"/>
  <c r="AL301" i="1"/>
  <c r="AK301" i="1"/>
  <c r="AJ301" i="1"/>
  <c r="AI301" i="1"/>
  <c r="AH301" i="1"/>
  <c r="AG301" i="1"/>
  <c r="AF301" i="1"/>
  <c r="AE301" i="1"/>
  <c r="AD301" i="1"/>
  <c r="AC301" i="1"/>
  <c r="AB301" i="1"/>
  <c r="AA301" i="1"/>
  <c r="H300" i="1"/>
  <c r="AB300" i="1" s="1"/>
  <c r="H299" i="1"/>
  <c r="BG298" i="1"/>
  <c r="BF298" i="1"/>
  <c r="BE298" i="1"/>
  <c r="BD298" i="1"/>
  <c r="BC298" i="1"/>
  <c r="BB298" i="1"/>
  <c r="BA298" i="1"/>
  <c r="AZ298" i="1"/>
  <c r="AY298" i="1"/>
  <c r="AX298" i="1"/>
  <c r="AW298" i="1"/>
  <c r="AV298" i="1"/>
  <c r="AR298" i="1"/>
  <c r="AO298" i="1"/>
  <c r="AL298" i="1"/>
  <c r="AK298" i="1"/>
  <c r="AJ298" i="1"/>
  <c r="AI298" i="1"/>
  <c r="AH298" i="1"/>
  <c r="AG298" i="1"/>
  <c r="AF298" i="1"/>
  <c r="AE298" i="1"/>
  <c r="AD298" i="1"/>
  <c r="AC298" i="1"/>
  <c r="AB298" i="1"/>
  <c r="AA298" i="1"/>
  <c r="BG297" i="1"/>
  <c r="BF297" i="1"/>
  <c r="BE297" i="1"/>
  <c r="BD297" i="1"/>
  <c r="BC297" i="1"/>
  <c r="BB297" i="1"/>
  <c r="BA297" i="1"/>
  <c r="AZ297" i="1"/>
  <c r="AY297" i="1"/>
  <c r="AX297" i="1"/>
  <c r="AW297" i="1"/>
  <c r="AV297" i="1"/>
  <c r="AR297" i="1"/>
  <c r="AO297" i="1"/>
  <c r="AL297" i="1"/>
  <c r="AK297" i="1"/>
  <c r="AJ297" i="1"/>
  <c r="AI297" i="1"/>
  <c r="AH297" i="1"/>
  <c r="AG297" i="1"/>
  <c r="AF297" i="1"/>
  <c r="AE297" i="1"/>
  <c r="AD297" i="1"/>
  <c r="AC297" i="1"/>
  <c r="AB297" i="1"/>
  <c r="AA297" i="1"/>
  <c r="BG296" i="1"/>
  <c r="BF296" i="1"/>
  <c r="BE296" i="1"/>
  <c r="BD296" i="1"/>
  <c r="BC296" i="1"/>
  <c r="BB296" i="1"/>
  <c r="BA296" i="1"/>
  <c r="AZ296" i="1"/>
  <c r="AY296" i="1"/>
  <c r="AX296" i="1"/>
  <c r="AW296" i="1"/>
  <c r="AV296" i="1"/>
  <c r="AR296" i="1"/>
  <c r="AO296" i="1"/>
  <c r="AL296" i="1"/>
  <c r="AK296" i="1"/>
  <c r="AJ296" i="1"/>
  <c r="AI296" i="1"/>
  <c r="AH296" i="1"/>
  <c r="AG296" i="1"/>
  <c r="AF296" i="1"/>
  <c r="AE296" i="1"/>
  <c r="AD296" i="1"/>
  <c r="AC296" i="1"/>
  <c r="AB296" i="1"/>
  <c r="AA296" i="1"/>
  <c r="BG295" i="1"/>
  <c r="BF295" i="1"/>
  <c r="BE295" i="1"/>
  <c r="BD295" i="1"/>
  <c r="BC295" i="1"/>
  <c r="BB295" i="1"/>
  <c r="BA295" i="1"/>
  <c r="AZ295" i="1"/>
  <c r="AY295" i="1"/>
  <c r="AX295" i="1"/>
  <c r="AW295" i="1"/>
  <c r="AV295" i="1"/>
  <c r="AR295" i="1"/>
  <c r="AO295" i="1"/>
  <c r="AL295" i="1"/>
  <c r="AK295" i="1"/>
  <c r="AJ295" i="1"/>
  <c r="AI295" i="1"/>
  <c r="AH295" i="1"/>
  <c r="AG295" i="1"/>
  <c r="AF295" i="1"/>
  <c r="AE295" i="1"/>
  <c r="AD295" i="1"/>
  <c r="AC295" i="1"/>
  <c r="AB295" i="1"/>
  <c r="AA295" i="1"/>
  <c r="BG294" i="1"/>
  <c r="BF294" i="1"/>
  <c r="BE294" i="1"/>
  <c r="BD294" i="1"/>
  <c r="BC294" i="1"/>
  <c r="BB294" i="1"/>
  <c r="BA294" i="1"/>
  <c r="AZ294" i="1"/>
  <c r="AY294" i="1"/>
  <c r="AX294" i="1"/>
  <c r="AW294" i="1"/>
  <c r="AV294" i="1"/>
  <c r="AR294" i="1"/>
  <c r="AO294" i="1"/>
  <c r="AL294" i="1"/>
  <c r="AK294" i="1"/>
  <c r="AJ294" i="1"/>
  <c r="AI294" i="1"/>
  <c r="AH294" i="1"/>
  <c r="AG294" i="1"/>
  <c r="AF294" i="1"/>
  <c r="AE294" i="1"/>
  <c r="AD294" i="1"/>
  <c r="AC294" i="1"/>
  <c r="AB294" i="1"/>
  <c r="AA294" i="1"/>
  <c r="BG293" i="1"/>
  <c r="BF293" i="1"/>
  <c r="BE293" i="1"/>
  <c r="BD293" i="1"/>
  <c r="BC293" i="1"/>
  <c r="BB293" i="1"/>
  <c r="BA293" i="1"/>
  <c r="AZ293" i="1"/>
  <c r="AY293" i="1"/>
  <c r="AX293" i="1"/>
  <c r="AW293" i="1"/>
  <c r="AV293" i="1"/>
  <c r="AR293" i="1"/>
  <c r="AO293" i="1"/>
  <c r="AL293" i="1"/>
  <c r="AK293" i="1"/>
  <c r="AJ293" i="1"/>
  <c r="AI293" i="1"/>
  <c r="AH293" i="1"/>
  <c r="AG293" i="1"/>
  <c r="AF293" i="1"/>
  <c r="AE293" i="1"/>
  <c r="AD293" i="1"/>
  <c r="AC293" i="1"/>
  <c r="AB293" i="1"/>
  <c r="AA293" i="1"/>
  <c r="AL292" i="1"/>
  <c r="AK292" i="1"/>
  <c r="AJ292" i="1"/>
  <c r="AI292" i="1"/>
  <c r="AH292" i="1"/>
  <c r="AG292" i="1"/>
  <c r="AF292" i="1"/>
  <c r="AE292" i="1"/>
  <c r="AD292" i="1"/>
  <c r="AC292" i="1"/>
  <c r="AB292" i="1"/>
  <c r="AA292" i="1"/>
  <c r="BG291" i="1"/>
  <c r="BF291" i="1"/>
  <c r="BE291" i="1"/>
  <c r="BD291" i="1"/>
  <c r="BC291" i="1"/>
  <c r="BB291" i="1"/>
  <c r="BA291" i="1"/>
  <c r="AZ291" i="1"/>
  <c r="AY291" i="1"/>
  <c r="AX291" i="1"/>
  <c r="AW291" i="1"/>
  <c r="AV291" i="1"/>
  <c r="AR291" i="1"/>
  <c r="AO291" i="1"/>
  <c r="AL291" i="1"/>
  <c r="AK291" i="1"/>
  <c r="AJ291" i="1"/>
  <c r="AI291" i="1"/>
  <c r="AH291" i="1"/>
  <c r="AG291" i="1"/>
  <c r="AF291" i="1"/>
  <c r="AE291" i="1"/>
  <c r="AD291" i="1"/>
  <c r="AC291" i="1"/>
  <c r="AB291" i="1"/>
  <c r="AA291" i="1"/>
  <c r="AL290" i="1"/>
  <c r="AK290" i="1"/>
  <c r="AJ290" i="1"/>
  <c r="AI290" i="1"/>
  <c r="AH290" i="1"/>
  <c r="AG290" i="1"/>
  <c r="AF290" i="1"/>
  <c r="AE290" i="1"/>
  <c r="AD290" i="1"/>
  <c r="AC290" i="1"/>
  <c r="AB290" i="1"/>
  <c r="AA290" i="1"/>
  <c r="AL289" i="1"/>
  <c r="AK289" i="1"/>
  <c r="AJ289" i="1"/>
  <c r="AI289" i="1"/>
  <c r="AH289" i="1"/>
  <c r="AG289" i="1"/>
  <c r="AF289" i="1"/>
  <c r="AE289" i="1"/>
  <c r="AD289" i="1"/>
  <c r="AC289" i="1"/>
  <c r="AB289" i="1"/>
  <c r="AA289" i="1"/>
  <c r="AL288" i="1"/>
  <c r="AK288" i="1"/>
  <c r="AJ288" i="1"/>
  <c r="AI288" i="1"/>
  <c r="AH288" i="1"/>
  <c r="AG288" i="1"/>
  <c r="AF288" i="1"/>
  <c r="AE288" i="1"/>
  <c r="AD288" i="1"/>
  <c r="AC288" i="1"/>
  <c r="AB288" i="1"/>
  <c r="AA288" i="1"/>
  <c r="BG287" i="1"/>
  <c r="BF287" i="1"/>
  <c r="BE287" i="1"/>
  <c r="BD287" i="1"/>
  <c r="BC287" i="1"/>
  <c r="BB287" i="1"/>
  <c r="BA287" i="1"/>
  <c r="AZ287" i="1"/>
  <c r="AY287" i="1"/>
  <c r="AX287" i="1"/>
  <c r="AW287" i="1"/>
  <c r="AV287" i="1"/>
  <c r="AR287" i="1"/>
  <c r="AO287" i="1"/>
  <c r="AL287" i="1"/>
  <c r="AK287" i="1"/>
  <c r="AJ287" i="1"/>
  <c r="AI287" i="1"/>
  <c r="AH287" i="1"/>
  <c r="AG287" i="1"/>
  <c r="AF287" i="1"/>
  <c r="AE287" i="1"/>
  <c r="AD287" i="1"/>
  <c r="AC287" i="1"/>
  <c r="AB287" i="1"/>
  <c r="AA287" i="1"/>
  <c r="AL286" i="1"/>
  <c r="AK286" i="1"/>
  <c r="AJ286" i="1"/>
  <c r="AI286" i="1"/>
  <c r="AH286" i="1"/>
  <c r="AG286" i="1"/>
  <c r="AF286" i="1"/>
  <c r="AE286" i="1"/>
  <c r="AD286" i="1"/>
  <c r="AC286" i="1"/>
  <c r="AB286" i="1"/>
  <c r="AA286" i="1"/>
  <c r="BG285" i="1"/>
  <c r="BF285" i="1"/>
  <c r="BE285" i="1"/>
  <c r="BD285" i="1"/>
  <c r="BC285" i="1"/>
  <c r="BB285" i="1"/>
  <c r="BA285" i="1"/>
  <c r="AZ285" i="1"/>
  <c r="AY285" i="1"/>
  <c r="AX285" i="1"/>
  <c r="AW285" i="1"/>
  <c r="AV285" i="1"/>
  <c r="AR285" i="1"/>
  <c r="AO285" i="1"/>
  <c r="AL285" i="1"/>
  <c r="AK285" i="1"/>
  <c r="AJ285" i="1"/>
  <c r="AI285" i="1"/>
  <c r="AH285" i="1"/>
  <c r="AG285" i="1"/>
  <c r="AF285" i="1"/>
  <c r="AE285" i="1"/>
  <c r="AD285" i="1"/>
  <c r="AC285" i="1"/>
  <c r="AB285" i="1"/>
  <c r="AA285" i="1"/>
  <c r="AL284" i="1"/>
  <c r="AK284" i="1"/>
  <c r="AJ284" i="1"/>
  <c r="AI284" i="1"/>
  <c r="AH284" i="1"/>
  <c r="AG284" i="1"/>
  <c r="AF284" i="1"/>
  <c r="AE284" i="1"/>
  <c r="AD284" i="1"/>
  <c r="AC284" i="1"/>
  <c r="AB284" i="1"/>
  <c r="AA284" i="1"/>
  <c r="AL283" i="1"/>
  <c r="AK283" i="1"/>
  <c r="AJ283" i="1"/>
  <c r="AI283" i="1"/>
  <c r="AH283" i="1"/>
  <c r="AG283" i="1"/>
  <c r="AF283" i="1"/>
  <c r="AE283" i="1"/>
  <c r="AD283" i="1"/>
  <c r="AC283" i="1"/>
  <c r="AB283" i="1"/>
  <c r="AA283" i="1"/>
  <c r="AL282" i="1"/>
  <c r="AK282" i="1"/>
  <c r="AJ282" i="1"/>
  <c r="AI282" i="1"/>
  <c r="AH282" i="1"/>
  <c r="AG282" i="1"/>
  <c r="AF282" i="1"/>
  <c r="AE282" i="1"/>
  <c r="AD282" i="1"/>
  <c r="AC282" i="1"/>
  <c r="AB282" i="1"/>
  <c r="AA282" i="1"/>
  <c r="BG281" i="1"/>
  <c r="BF281" i="1"/>
  <c r="BE281" i="1"/>
  <c r="BD281" i="1"/>
  <c r="BC281" i="1"/>
  <c r="BB281" i="1"/>
  <c r="BA281" i="1"/>
  <c r="AZ281" i="1"/>
  <c r="AY281" i="1"/>
  <c r="AX281" i="1"/>
  <c r="AW281" i="1"/>
  <c r="AV281" i="1"/>
  <c r="AR281" i="1"/>
  <c r="AO281" i="1"/>
  <c r="AL281" i="1"/>
  <c r="AK281" i="1"/>
  <c r="AJ281" i="1"/>
  <c r="AI281" i="1"/>
  <c r="AH281" i="1"/>
  <c r="AG281" i="1"/>
  <c r="AF281" i="1"/>
  <c r="AE281" i="1"/>
  <c r="AD281" i="1"/>
  <c r="AC281" i="1"/>
  <c r="AB281" i="1"/>
  <c r="AA281" i="1"/>
  <c r="BL280" i="1"/>
  <c r="AR280" i="1" s="1"/>
  <c r="BG280" i="1"/>
  <c r="BF280" i="1"/>
  <c r="BE280" i="1"/>
  <c r="BD280" i="1"/>
  <c r="BC280" i="1"/>
  <c r="BB280" i="1"/>
  <c r="BA280" i="1"/>
  <c r="AZ280" i="1"/>
  <c r="AX280" i="1"/>
  <c r="AW280" i="1"/>
  <c r="AV280" i="1"/>
  <c r="AL280" i="1"/>
  <c r="AK280" i="1"/>
  <c r="AJ280" i="1"/>
  <c r="AI280" i="1"/>
  <c r="AH280" i="1"/>
  <c r="AG280" i="1"/>
  <c r="AF280" i="1"/>
  <c r="AE280" i="1"/>
  <c r="AD280" i="1"/>
  <c r="AC280" i="1"/>
  <c r="AB280" i="1"/>
  <c r="AA280" i="1"/>
  <c r="BG279" i="1"/>
  <c r="BF279" i="1"/>
  <c r="BE279" i="1"/>
  <c r="BD279" i="1"/>
  <c r="BC279" i="1"/>
  <c r="BB279" i="1"/>
  <c r="BA279" i="1"/>
  <c r="AZ279" i="1"/>
  <c r="AY279" i="1"/>
  <c r="AX279" i="1"/>
  <c r="AW279" i="1"/>
  <c r="AV279" i="1"/>
  <c r="AR279" i="1"/>
  <c r="AO279" i="1"/>
  <c r="AL279" i="1"/>
  <c r="AK279" i="1"/>
  <c r="AJ279" i="1"/>
  <c r="AI279" i="1"/>
  <c r="AH279" i="1"/>
  <c r="AG279" i="1"/>
  <c r="AF279" i="1"/>
  <c r="AE279" i="1"/>
  <c r="AD279" i="1"/>
  <c r="AC279" i="1"/>
  <c r="AB279" i="1"/>
  <c r="AA279" i="1"/>
  <c r="BG278" i="1"/>
  <c r="BF278" i="1"/>
  <c r="BE278" i="1"/>
  <c r="BD278" i="1"/>
  <c r="BC278" i="1"/>
  <c r="BB278" i="1"/>
  <c r="BA278" i="1"/>
  <c r="AZ278" i="1"/>
  <c r="AX278" i="1"/>
  <c r="AW278" i="1"/>
  <c r="AV278" i="1"/>
  <c r="AL278" i="1"/>
  <c r="AK278" i="1"/>
  <c r="AJ278" i="1"/>
  <c r="AI278" i="1"/>
  <c r="AH278" i="1"/>
  <c r="AG278" i="1"/>
  <c r="AF278" i="1"/>
  <c r="AE278" i="1"/>
  <c r="AD278" i="1"/>
  <c r="AC278" i="1"/>
  <c r="AB278" i="1"/>
  <c r="AA278" i="1"/>
  <c r="BL277" i="1"/>
  <c r="AR277" i="1" s="1"/>
  <c r="BG277" i="1"/>
  <c r="BF277" i="1"/>
  <c r="BE277" i="1"/>
  <c r="BD277" i="1"/>
  <c r="BC277" i="1"/>
  <c r="BB277" i="1"/>
  <c r="BA277" i="1"/>
  <c r="AZ277" i="1"/>
  <c r="AX277" i="1"/>
  <c r="AW277" i="1"/>
  <c r="AV277" i="1"/>
  <c r="AO277" i="1"/>
  <c r="AS277" i="1" s="1"/>
  <c r="AT277" i="1" s="1"/>
  <c r="AL277" i="1"/>
  <c r="AK277" i="1"/>
  <c r="AJ277" i="1"/>
  <c r="AI277" i="1"/>
  <c r="AH277" i="1"/>
  <c r="AG277" i="1"/>
  <c r="AF277" i="1"/>
  <c r="AE277" i="1"/>
  <c r="AD277" i="1"/>
  <c r="AC277" i="1"/>
  <c r="AB277" i="1"/>
  <c r="AA277" i="1"/>
  <c r="BL276" i="1"/>
  <c r="BG276" i="1"/>
  <c r="BF276" i="1"/>
  <c r="BE276" i="1"/>
  <c r="BD276" i="1"/>
  <c r="BC276" i="1"/>
  <c r="BB276" i="1"/>
  <c r="BA276" i="1"/>
  <c r="AZ276" i="1"/>
  <c r="AX276" i="1"/>
  <c r="AW276" i="1"/>
  <c r="AV276" i="1"/>
  <c r="AL276" i="1"/>
  <c r="AK276" i="1"/>
  <c r="AJ276" i="1"/>
  <c r="AI276" i="1"/>
  <c r="AH276" i="1"/>
  <c r="AG276" i="1"/>
  <c r="AF276" i="1"/>
  <c r="AE276" i="1"/>
  <c r="AD276" i="1"/>
  <c r="AC276" i="1"/>
  <c r="AB276" i="1"/>
  <c r="AA276" i="1"/>
  <c r="BG275" i="1"/>
  <c r="BF275" i="1"/>
  <c r="BE275" i="1"/>
  <c r="BD275" i="1"/>
  <c r="BC275" i="1"/>
  <c r="BB275" i="1"/>
  <c r="BA275" i="1"/>
  <c r="AZ275" i="1"/>
  <c r="AY275" i="1"/>
  <c r="AX275" i="1"/>
  <c r="AW275" i="1"/>
  <c r="AV275" i="1"/>
  <c r="AR275" i="1"/>
  <c r="AO275" i="1"/>
  <c r="AL275" i="1"/>
  <c r="AK275" i="1"/>
  <c r="AJ275" i="1"/>
  <c r="AI275" i="1"/>
  <c r="AH275" i="1"/>
  <c r="AG275" i="1"/>
  <c r="AF275" i="1"/>
  <c r="AE275" i="1"/>
  <c r="AD275" i="1"/>
  <c r="AC275" i="1"/>
  <c r="AB275" i="1"/>
  <c r="AA275" i="1"/>
  <c r="BG274" i="1"/>
  <c r="BF274" i="1"/>
  <c r="BE274" i="1"/>
  <c r="BD274" i="1"/>
  <c r="BC274" i="1"/>
  <c r="BB274" i="1"/>
  <c r="BA274" i="1"/>
  <c r="AZ274" i="1"/>
  <c r="AY274" i="1"/>
  <c r="AX274" i="1"/>
  <c r="AW274" i="1"/>
  <c r="AV274" i="1"/>
  <c r="AR274" i="1"/>
  <c r="AO274" i="1"/>
  <c r="AL274" i="1"/>
  <c r="AK274" i="1"/>
  <c r="AJ274" i="1"/>
  <c r="AI274" i="1"/>
  <c r="AH274" i="1"/>
  <c r="AG274" i="1"/>
  <c r="AF274" i="1"/>
  <c r="AE274" i="1"/>
  <c r="AD274" i="1"/>
  <c r="AC274" i="1"/>
  <c r="AB274" i="1"/>
  <c r="AA274" i="1"/>
  <c r="BG273" i="1"/>
  <c r="BF273" i="1"/>
  <c r="BE273" i="1"/>
  <c r="BD273" i="1"/>
  <c r="BC273" i="1"/>
  <c r="BB273" i="1"/>
  <c r="BA273" i="1"/>
  <c r="AZ273" i="1"/>
  <c r="AY273" i="1"/>
  <c r="AX273" i="1"/>
  <c r="AW273" i="1"/>
  <c r="AV273" i="1"/>
  <c r="AR273" i="1"/>
  <c r="AO273" i="1"/>
  <c r="AL273" i="1"/>
  <c r="AK273" i="1"/>
  <c r="AJ273" i="1"/>
  <c r="AI273" i="1"/>
  <c r="AH273" i="1"/>
  <c r="AG273" i="1"/>
  <c r="AF273" i="1"/>
  <c r="AE273" i="1"/>
  <c r="AD273" i="1"/>
  <c r="AC273" i="1"/>
  <c r="AB273" i="1"/>
  <c r="AA273" i="1"/>
  <c r="BT272" i="1"/>
  <c r="BG272" i="1" s="1"/>
  <c r="BP272" i="1"/>
  <c r="BC272" i="1" s="1"/>
  <c r="BL272" i="1"/>
  <c r="AY272" i="1" s="1"/>
  <c r="AL272" i="1"/>
  <c r="AK272" i="1"/>
  <c r="AJ272" i="1"/>
  <c r="AI272" i="1"/>
  <c r="AH272" i="1"/>
  <c r="AG272" i="1"/>
  <c r="AF272" i="1"/>
  <c r="AE272" i="1"/>
  <c r="AD272" i="1"/>
  <c r="AC272" i="1"/>
  <c r="AB272" i="1"/>
  <c r="AA272" i="1"/>
  <c r="BG271" i="1"/>
  <c r="BF271" i="1"/>
  <c r="BE271" i="1"/>
  <c r="BD271" i="1"/>
  <c r="BC271" i="1"/>
  <c r="BB271" i="1"/>
  <c r="BA271" i="1"/>
  <c r="AZ271" i="1"/>
  <c r="AY271" i="1"/>
  <c r="AX271" i="1"/>
  <c r="AW271" i="1"/>
  <c r="AV271" i="1"/>
  <c r="AR271" i="1"/>
  <c r="AO271" i="1"/>
  <c r="AL271" i="1"/>
  <c r="AK271" i="1"/>
  <c r="AJ271" i="1"/>
  <c r="AI271" i="1"/>
  <c r="AH271" i="1"/>
  <c r="AG271" i="1"/>
  <c r="AF271" i="1"/>
  <c r="AE271" i="1"/>
  <c r="AD271" i="1"/>
  <c r="AC271" i="1"/>
  <c r="AB271" i="1"/>
  <c r="AA271" i="1"/>
  <c r="BT270" i="1"/>
  <c r="BS270" i="1"/>
  <c r="BR270" i="1"/>
  <c r="BE270" i="1" s="1"/>
  <c r="BQ270" i="1"/>
  <c r="BD270" i="1" s="1"/>
  <c r="BP270" i="1"/>
  <c r="BC270" i="1" s="1"/>
  <c r="BO270" i="1"/>
  <c r="BB270" i="1" s="1"/>
  <c r="BN270" i="1"/>
  <c r="BA270" i="1" s="1"/>
  <c r="BM270" i="1"/>
  <c r="AZ270" i="1" s="1"/>
  <c r="BL270" i="1"/>
  <c r="AY270" i="1" s="1"/>
  <c r="BK270" i="1"/>
  <c r="AX270" i="1" s="1"/>
  <c r="BJ270" i="1"/>
  <c r="AW270" i="1" s="1"/>
  <c r="BI270" i="1"/>
  <c r="AV270" i="1" s="1"/>
  <c r="BG270" i="1"/>
  <c r="BF270" i="1"/>
  <c r="AL270" i="1"/>
  <c r="AK270" i="1"/>
  <c r="AJ270" i="1"/>
  <c r="AI270" i="1"/>
  <c r="AH270" i="1"/>
  <c r="AG270" i="1"/>
  <c r="AF270" i="1"/>
  <c r="AE270" i="1"/>
  <c r="AD270" i="1"/>
  <c r="AC270" i="1"/>
  <c r="AB270" i="1"/>
  <c r="AA270" i="1"/>
  <c r="AL269" i="1"/>
  <c r="AK269" i="1"/>
  <c r="AJ269" i="1"/>
  <c r="AI269" i="1"/>
  <c r="AH269" i="1"/>
  <c r="AG269" i="1"/>
  <c r="AF269" i="1"/>
  <c r="AE269" i="1"/>
  <c r="AD269" i="1"/>
  <c r="AC269" i="1"/>
  <c r="AB269" i="1"/>
  <c r="AA269" i="1"/>
  <c r="BO268" i="1"/>
  <c r="BB268" i="1" s="1"/>
  <c r="BL268" i="1"/>
  <c r="AY268" i="1" s="1"/>
  <c r="AL268" i="1"/>
  <c r="AK268" i="1"/>
  <c r="AJ268" i="1"/>
  <c r="AI268" i="1"/>
  <c r="AH268" i="1"/>
  <c r="AG268" i="1"/>
  <c r="AF268" i="1"/>
  <c r="AE268" i="1"/>
  <c r="AD268" i="1"/>
  <c r="AC268" i="1"/>
  <c r="AB268" i="1"/>
  <c r="AA268" i="1"/>
  <c r="H264" i="1"/>
  <c r="E264" i="1"/>
  <c r="BT262" i="1"/>
  <c r="BS262" i="1"/>
  <c r="BR262" i="1"/>
  <c r="BQ262" i="1"/>
  <c r="BP262" i="1"/>
  <c r="BO262" i="1"/>
  <c r="BB262" i="1" s="1"/>
  <c r="BN262" i="1"/>
  <c r="BA262" i="1" s="1"/>
  <c r="BM262" i="1"/>
  <c r="AZ262" i="1" s="1"/>
  <c r="BL262" i="1"/>
  <c r="AY262" i="1" s="1"/>
  <c r="BK262" i="1"/>
  <c r="AX262" i="1" s="1"/>
  <c r="BJ262" i="1"/>
  <c r="AW262" i="1" s="1"/>
  <c r="BI262" i="1"/>
  <c r="AV262" i="1" s="1"/>
  <c r="BG262" i="1"/>
  <c r="BF262" i="1"/>
  <c r="BE262" i="1"/>
  <c r="BD262" i="1"/>
  <c r="BC262" i="1"/>
  <c r="AL262" i="1"/>
  <c r="AK262" i="1"/>
  <c r="AJ262" i="1"/>
  <c r="AI262" i="1"/>
  <c r="AH262" i="1"/>
  <c r="AG262" i="1"/>
  <c r="AF262" i="1"/>
  <c r="AE262" i="1"/>
  <c r="AD262" i="1"/>
  <c r="AC262" i="1"/>
  <c r="AB262" i="1"/>
  <c r="AA262" i="1"/>
  <c r="BT261" i="1"/>
  <c r="BS261" i="1"/>
  <c r="BR261" i="1"/>
  <c r="BQ261" i="1"/>
  <c r="BP261" i="1"/>
  <c r="BO261" i="1"/>
  <c r="BB261" i="1" s="1"/>
  <c r="BN261" i="1"/>
  <c r="BM261" i="1"/>
  <c r="BL261" i="1"/>
  <c r="BK261" i="1"/>
  <c r="AX261" i="1" s="1"/>
  <c r="BJ261" i="1"/>
  <c r="AW261" i="1" s="1"/>
  <c r="BI261" i="1"/>
  <c r="AV261" i="1" s="1"/>
  <c r="BG261" i="1"/>
  <c r="BF261" i="1"/>
  <c r="BE261" i="1"/>
  <c r="BD261" i="1"/>
  <c r="BC261" i="1"/>
  <c r="BA261" i="1"/>
  <c r="AZ261" i="1"/>
  <c r="AY261" i="1"/>
  <c r="AL261" i="1"/>
  <c r="AK261" i="1"/>
  <c r="AJ261" i="1"/>
  <c r="AI261" i="1"/>
  <c r="AH261" i="1"/>
  <c r="AG261" i="1"/>
  <c r="AF261" i="1"/>
  <c r="AE261" i="1"/>
  <c r="AD261" i="1"/>
  <c r="AC261" i="1"/>
  <c r="AB261" i="1"/>
  <c r="AA261" i="1"/>
  <c r="BT260" i="1"/>
  <c r="BS260" i="1"/>
  <c r="BR260" i="1"/>
  <c r="BQ260" i="1"/>
  <c r="BP260" i="1"/>
  <c r="BO260" i="1"/>
  <c r="BN260" i="1"/>
  <c r="BA260" i="1" s="1"/>
  <c r="BM260" i="1"/>
  <c r="AZ260" i="1" s="1"/>
  <c r="BL260" i="1"/>
  <c r="AY260" i="1" s="1"/>
  <c r="BK260" i="1"/>
  <c r="BJ260" i="1"/>
  <c r="AW260" i="1" s="1"/>
  <c r="BI260" i="1"/>
  <c r="AV260" i="1" s="1"/>
  <c r="BG260" i="1"/>
  <c r="BF260" i="1"/>
  <c r="BE260" i="1"/>
  <c r="BD260" i="1"/>
  <c r="BC260" i="1"/>
  <c r="BB260" i="1"/>
  <c r="AL260" i="1"/>
  <c r="AK260" i="1"/>
  <c r="AJ260" i="1"/>
  <c r="AI260" i="1"/>
  <c r="AH260" i="1"/>
  <c r="AG260" i="1"/>
  <c r="AF260" i="1"/>
  <c r="AE260" i="1"/>
  <c r="AD260" i="1"/>
  <c r="AC260" i="1"/>
  <c r="AB260" i="1"/>
  <c r="AA260" i="1"/>
  <c r="L264" i="1"/>
  <c r="E242" i="1"/>
  <c r="H240" i="1"/>
  <c r="BB239" i="1"/>
  <c r="H239" i="1"/>
  <c r="AV238" i="1"/>
  <c r="BG238" i="1"/>
  <c r="BF238" i="1"/>
  <c r="BE238" i="1"/>
  <c r="BD238" i="1"/>
  <c r="BC238" i="1"/>
  <c r="BB238" i="1"/>
  <c r="BA238" i="1"/>
  <c r="AZ238" i="1"/>
  <c r="AY238" i="1"/>
  <c r="AX238" i="1"/>
  <c r="AW238" i="1"/>
  <c r="AL238" i="1"/>
  <c r="AK238" i="1"/>
  <c r="AJ238" i="1"/>
  <c r="AI238" i="1"/>
  <c r="AH238" i="1"/>
  <c r="AG238" i="1"/>
  <c r="AF238" i="1"/>
  <c r="AE238" i="1"/>
  <c r="AD238" i="1"/>
  <c r="AC238" i="1"/>
  <c r="AB238" i="1"/>
  <c r="AA238" i="1"/>
  <c r="BG237" i="1"/>
  <c r="BF237" i="1"/>
  <c r="BE237" i="1"/>
  <c r="BD237" i="1"/>
  <c r="BA237" i="1"/>
  <c r="AZ237" i="1"/>
  <c r="AW237" i="1"/>
  <c r="AV237" i="1"/>
  <c r="BC237" i="1"/>
  <c r="BB237" i="1"/>
  <c r="AY237" i="1"/>
  <c r="AX237" i="1"/>
  <c r="AL237" i="1"/>
  <c r="AK237" i="1"/>
  <c r="AJ237" i="1"/>
  <c r="AI237" i="1"/>
  <c r="AH237" i="1"/>
  <c r="AG237" i="1"/>
  <c r="AF237" i="1"/>
  <c r="AE237" i="1"/>
  <c r="AD237" i="1"/>
  <c r="AC237" i="1"/>
  <c r="AB237" i="1"/>
  <c r="AA237" i="1"/>
  <c r="AY236" i="1"/>
  <c r="AX236" i="1"/>
  <c r="BG236" i="1"/>
  <c r="BF236" i="1"/>
  <c r="BE236" i="1"/>
  <c r="BD236" i="1"/>
  <c r="BC236" i="1"/>
  <c r="BB236" i="1"/>
  <c r="BA236" i="1"/>
  <c r="AZ236" i="1"/>
  <c r="AW236" i="1"/>
  <c r="AV236" i="1"/>
  <c r="AL236" i="1"/>
  <c r="AK236" i="1"/>
  <c r="AJ236" i="1"/>
  <c r="AI236" i="1"/>
  <c r="AH236" i="1"/>
  <c r="AG236" i="1"/>
  <c r="AF236" i="1"/>
  <c r="AE236" i="1"/>
  <c r="AD236" i="1"/>
  <c r="AC236" i="1"/>
  <c r="AB236" i="1"/>
  <c r="AA236" i="1"/>
  <c r="BT235" i="1"/>
  <c r="BS235" i="1"/>
  <c r="BR235" i="1"/>
  <c r="BQ235" i="1"/>
  <c r="BP235" i="1"/>
  <c r="BO235" i="1"/>
  <c r="BN235" i="1"/>
  <c r="BM235" i="1"/>
  <c r="BL235" i="1"/>
  <c r="BK235" i="1"/>
  <c r="BJ235" i="1"/>
  <c r="BI235" i="1"/>
  <c r="BG235" i="1"/>
  <c r="BF235" i="1"/>
  <c r="BE235" i="1"/>
  <c r="BD235" i="1"/>
  <c r="BC235" i="1"/>
  <c r="BB235" i="1"/>
  <c r="BA235" i="1"/>
  <c r="AZ235" i="1"/>
  <c r="AY235" i="1"/>
  <c r="AX235" i="1"/>
  <c r="AW235" i="1"/>
  <c r="AV235" i="1"/>
  <c r="AL235" i="1"/>
  <c r="AK235" i="1"/>
  <c r="AJ235" i="1"/>
  <c r="AI235" i="1"/>
  <c r="AH235" i="1"/>
  <c r="AG235" i="1"/>
  <c r="AF235" i="1"/>
  <c r="AE235" i="1"/>
  <c r="AD235" i="1"/>
  <c r="AC235" i="1"/>
  <c r="AB235" i="1"/>
  <c r="AA235" i="1"/>
  <c r="BT234" i="1"/>
  <c r="BG234" i="1" s="1"/>
  <c r="BL234" i="1"/>
  <c r="AY234" i="1" s="1"/>
  <c r="AL234" i="1"/>
  <c r="AK234" i="1"/>
  <c r="AJ234" i="1"/>
  <c r="AI234" i="1"/>
  <c r="AH234" i="1"/>
  <c r="AG234" i="1"/>
  <c r="AF234" i="1"/>
  <c r="AE234" i="1"/>
  <c r="AD234" i="1"/>
  <c r="AC234" i="1"/>
  <c r="AB234" i="1"/>
  <c r="AA234" i="1"/>
  <c r="BT233" i="1"/>
  <c r="BG233" i="1" s="1"/>
  <c r="BP233" i="1"/>
  <c r="BC233" i="1" s="1"/>
  <c r="BL233" i="1"/>
  <c r="AY233" i="1" s="1"/>
  <c r="AL233" i="1"/>
  <c r="AK233" i="1"/>
  <c r="AJ233" i="1"/>
  <c r="AI233" i="1"/>
  <c r="AH233" i="1"/>
  <c r="AG233" i="1"/>
  <c r="AF233" i="1"/>
  <c r="AE233" i="1"/>
  <c r="AD233" i="1"/>
  <c r="AC233" i="1"/>
  <c r="AB233" i="1"/>
  <c r="AA233" i="1"/>
  <c r="AV232" i="1"/>
  <c r="AL232" i="1"/>
  <c r="AK232" i="1"/>
  <c r="AJ232" i="1"/>
  <c r="AI232" i="1"/>
  <c r="AH232" i="1"/>
  <c r="AG232" i="1"/>
  <c r="AF232" i="1"/>
  <c r="AE232" i="1"/>
  <c r="AD232" i="1"/>
  <c r="AC232" i="1"/>
  <c r="AB232" i="1"/>
  <c r="AA232" i="1"/>
  <c r="AV231" i="1"/>
  <c r="AL231" i="1"/>
  <c r="AK231" i="1"/>
  <c r="AJ231" i="1"/>
  <c r="AI231" i="1"/>
  <c r="AH231" i="1"/>
  <c r="AG231" i="1"/>
  <c r="AF231" i="1"/>
  <c r="AE231" i="1"/>
  <c r="AD231" i="1"/>
  <c r="AC231" i="1"/>
  <c r="AB231" i="1"/>
  <c r="AA231" i="1"/>
  <c r="AV230" i="1"/>
  <c r="AL230" i="1"/>
  <c r="AK230" i="1"/>
  <c r="AJ230" i="1"/>
  <c r="AI230" i="1"/>
  <c r="AH230" i="1"/>
  <c r="AG230" i="1"/>
  <c r="AF230" i="1"/>
  <c r="AE230" i="1"/>
  <c r="AD230" i="1"/>
  <c r="AC230" i="1"/>
  <c r="AB230" i="1"/>
  <c r="AA230" i="1"/>
  <c r="BG229" i="1"/>
  <c r="BF229" i="1"/>
  <c r="BE229" i="1"/>
  <c r="BD229" i="1"/>
  <c r="BC229" i="1"/>
  <c r="BB229" i="1"/>
  <c r="BA229" i="1"/>
  <c r="AZ229" i="1"/>
  <c r="AY229" i="1"/>
  <c r="AX229" i="1"/>
  <c r="AW229" i="1"/>
  <c r="AV229" i="1"/>
  <c r="AR229" i="1"/>
  <c r="AO229" i="1"/>
  <c r="AL229" i="1"/>
  <c r="AK229" i="1"/>
  <c r="AJ229" i="1"/>
  <c r="AI229" i="1"/>
  <c r="AH229" i="1"/>
  <c r="AG229" i="1"/>
  <c r="AF229" i="1"/>
  <c r="AE229" i="1"/>
  <c r="AD229" i="1"/>
  <c r="AC229" i="1"/>
  <c r="AB229" i="1"/>
  <c r="AA229" i="1"/>
  <c r="BG228" i="1"/>
  <c r="BF228" i="1"/>
  <c r="BE228" i="1"/>
  <c r="BD228" i="1"/>
  <c r="BC228" i="1"/>
  <c r="BB228" i="1"/>
  <c r="BA228" i="1"/>
  <c r="AZ228" i="1"/>
  <c r="AY228" i="1"/>
  <c r="AX228" i="1"/>
  <c r="AW228" i="1"/>
  <c r="AV228" i="1"/>
  <c r="AR228" i="1"/>
  <c r="AO228" i="1"/>
  <c r="AL228" i="1"/>
  <c r="AK228" i="1"/>
  <c r="AJ228" i="1"/>
  <c r="AI228" i="1"/>
  <c r="AH228" i="1"/>
  <c r="AG228" i="1"/>
  <c r="AF228" i="1"/>
  <c r="AE228" i="1"/>
  <c r="AD228" i="1"/>
  <c r="AC228" i="1"/>
  <c r="AB228" i="1"/>
  <c r="AA228" i="1"/>
  <c r="AV227" i="1"/>
  <c r="AL227" i="1"/>
  <c r="AK227" i="1"/>
  <c r="AJ227" i="1"/>
  <c r="AI227" i="1"/>
  <c r="AH227" i="1"/>
  <c r="AG227" i="1"/>
  <c r="AF227" i="1"/>
  <c r="AE227" i="1"/>
  <c r="AD227" i="1"/>
  <c r="AC227" i="1"/>
  <c r="AB227" i="1"/>
  <c r="AA227" i="1"/>
  <c r="AV226" i="1"/>
  <c r="AL226" i="1"/>
  <c r="AK226" i="1"/>
  <c r="AJ226" i="1"/>
  <c r="AI226" i="1"/>
  <c r="AH226" i="1"/>
  <c r="AG226" i="1"/>
  <c r="AF226" i="1"/>
  <c r="AE226" i="1"/>
  <c r="AD226" i="1"/>
  <c r="AC226" i="1"/>
  <c r="AB226" i="1"/>
  <c r="AA226" i="1"/>
  <c r="AV225" i="1"/>
  <c r="AL225" i="1"/>
  <c r="AK225" i="1"/>
  <c r="AJ225" i="1"/>
  <c r="AI225" i="1"/>
  <c r="AH225" i="1"/>
  <c r="AG225" i="1"/>
  <c r="AF225" i="1"/>
  <c r="AE225" i="1"/>
  <c r="AD225" i="1"/>
  <c r="AC225" i="1"/>
  <c r="AB225" i="1"/>
  <c r="AA225" i="1"/>
  <c r="BL224" i="1"/>
  <c r="BG224" i="1"/>
  <c r="BF224" i="1"/>
  <c r="BE224" i="1"/>
  <c r="BD224" i="1"/>
  <c r="BC224" i="1"/>
  <c r="BB224" i="1"/>
  <c r="BA224" i="1"/>
  <c r="AZ224" i="1"/>
  <c r="AX224" i="1"/>
  <c r="AW224" i="1"/>
  <c r="AV224" i="1"/>
  <c r="AL224" i="1"/>
  <c r="AK224" i="1"/>
  <c r="AJ224" i="1"/>
  <c r="AI224" i="1"/>
  <c r="AH224" i="1"/>
  <c r="AG224" i="1"/>
  <c r="AF224" i="1"/>
  <c r="AE224" i="1"/>
  <c r="AD224" i="1"/>
  <c r="AC224" i="1"/>
  <c r="AB224" i="1"/>
  <c r="AA224" i="1"/>
  <c r="BL223" i="1"/>
  <c r="AO223" i="1" s="1"/>
  <c r="BG223" i="1"/>
  <c r="BF223" i="1"/>
  <c r="BE223" i="1"/>
  <c r="BD223" i="1"/>
  <c r="BC223" i="1"/>
  <c r="BB223" i="1"/>
  <c r="BA223" i="1"/>
  <c r="AZ223" i="1"/>
  <c r="AX223" i="1"/>
  <c r="AW223" i="1"/>
  <c r="AV223" i="1"/>
  <c r="AL223" i="1"/>
  <c r="AK223" i="1"/>
  <c r="AJ223" i="1"/>
  <c r="AI223" i="1"/>
  <c r="AH223" i="1"/>
  <c r="AG223" i="1"/>
  <c r="AF223" i="1"/>
  <c r="AE223" i="1"/>
  <c r="AD223" i="1"/>
  <c r="AC223" i="1"/>
  <c r="AB223" i="1"/>
  <c r="AA223" i="1"/>
  <c r="BT222" i="1"/>
  <c r="BG222" i="1" s="1"/>
  <c r="BS222" i="1"/>
  <c r="BF222" i="1" s="1"/>
  <c r="BO222" i="1"/>
  <c r="BB222" i="1" s="1"/>
  <c r="BN222" i="1"/>
  <c r="BA222" i="1" s="1"/>
  <c r="BJ222" i="1"/>
  <c r="AW222" i="1" s="1"/>
  <c r="AV222" i="1"/>
  <c r="AL222" i="1"/>
  <c r="AK222" i="1"/>
  <c r="AJ222" i="1"/>
  <c r="AI222" i="1"/>
  <c r="AH222" i="1"/>
  <c r="AG222" i="1"/>
  <c r="AF222" i="1"/>
  <c r="AE222" i="1"/>
  <c r="AD222" i="1"/>
  <c r="AC222" i="1"/>
  <c r="AB222" i="1"/>
  <c r="AA222" i="1"/>
  <c r="BR221" i="1"/>
  <c r="BE221" i="1" s="1"/>
  <c r="BN221" i="1"/>
  <c r="BA221" i="1" s="1"/>
  <c r="BJ221" i="1"/>
  <c r="AW221" i="1" s="1"/>
  <c r="AV221" i="1"/>
  <c r="AL221" i="1"/>
  <c r="AK221" i="1"/>
  <c r="AJ221" i="1"/>
  <c r="AI221" i="1"/>
  <c r="AH221" i="1"/>
  <c r="AG221" i="1"/>
  <c r="AF221" i="1"/>
  <c r="AE221" i="1"/>
  <c r="AD221" i="1"/>
  <c r="AC221" i="1"/>
  <c r="AB221" i="1"/>
  <c r="AA221" i="1"/>
  <c r="BG220" i="1"/>
  <c r="BF220" i="1"/>
  <c r="BE220" i="1"/>
  <c r="BD220" i="1"/>
  <c r="BC220" i="1"/>
  <c r="BB220" i="1"/>
  <c r="BA220" i="1"/>
  <c r="AZ220" i="1"/>
  <c r="AY220" i="1"/>
  <c r="AX220" i="1"/>
  <c r="AW220" i="1"/>
  <c r="AV220" i="1"/>
  <c r="AR220" i="1"/>
  <c r="AO220" i="1"/>
  <c r="AL220" i="1"/>
  <c r="AK220" i="1"/>
  <c r="AJ220" i="1"/>
  <c r="AI220" i="1"/>
  <c r="AH220" i="1"/>
  <c r="AG220" i="1"/>
  <c r="AF220" i="1"/>
  <c r="AE220" i="1"/>
  <c r="AD220" i="1"/>
  <c r="AC220" i="1"/>
  <c r="AB220" i="1"/>
  <c r="AA220" i="1"/>
  <c r="AV219" i="1"/>
  <c r="AL219" i="1"/>
  <c r="AK219" i="1"/>
  <c r="AJ219" i="1"/>
  <c r="AI219" i="1"/>
  <c r="AH219" i="1"/>
  <c r="AG219" i="1"/>
  <c r="AF219" i="1"/>
  <c r="AE219" i="1"/>
  <c r="AD219" i="1"/>
  <c r="AC219" i="1"/>
  <c r="AB219" i="1"/>
  <c r="AA219" i="1"/>
  <c r="AV218" i="1"/>
  <c r="AL218" i="1"/>
  <c r="AK218" i="1"/>
  <c r="AJ218" i="1"/>
  <c r="AI218" i="1"/>
  <c r="AH218" i="1"/>
  <c r="AG218" i="1"/>
  <c r="AF218" i="1"/>
  <c r="AE218" i="1"/>
  <c r="AD218" i="1"/>
  <c r="AC218" i="1"/>
  <c r="AB218" i="1"/>
  <c r="AA218" i="1"/>
  <c r="AV217" i="1"/>
  <c r="AL217" i="1"/>
  <c r="AK217" i="1"/>
  <c r="AJ217" i="1"/>
  <c r="AI217" i="1"/>
  <c r="AH217" i="1"/>
  <c r="AG217" i="1"/>
  <c r="AF217" i="1"/>
  <c r="AE217" i="1"/>
  <c r="AD217" i="1"/>
  <c r="AC217" i="1"/>
  <c r="AB217" i="1"/>
  <c r="AA217" i="1"/>
  <c r="AV216" i="1"/>
  <c r="AL216" i="1"/>
  <c r="AK216" i="1"/>
  <c r="AJ216" i="1"/>
  <c r="AI216" i="1"/>
  <c r="AH216" i="1"/>
  <c r="AG216" i="1"/>
  <c r="AF216" i="1"/>
  <c r="AE216" i="1"/>
  <c r="AD216" i="1"/>
  <c r="AC216" i="1"/>
  <c r="AB216" i="1"/>
  <c r="AA216" i="1"/>
  <c r="AV215" i="1"/>
  <c r="AL215" i="1"/>
  <c r="AK215" i="1"/>
  <c r="AJ215" i="1"/>
  <c r="AI215" i="1"/>
  <c r="AH215" i="1"/>
  <c r="AG215" i="1"/>
  <c r="AF215" i="1"/>
  <c r="AE215" i="1"/>
  <c r="AD215" i="1"/>
  <c r="AC215" i="1"/>
  <c r="AB215" i="1"/>
  <c r="AA215" i="1"/>
  <c r="AV214" i="1"/>
  <c r="AL214" i="1"/>
  <c r="AK214" i="1"/>
  <c r="AJ214" i="1"/>
  <c r="AI214" i="1"/>
  <c r="AH214" i="1"/>
  <c r="AG214" i="1"/>
  <c r="AF214" i="1"/>
  <c r="AE214" i="1"/>
  <c r="AD214" i="1"/>
  <c r="AC214" i="1"/>
  <c r="AB214" i="1"/>
  <c r="AA214" i="1"/>
  <c r="BG213" i="1"/>
  <c r="BF213" i="1"/>
  <c r="BE213" i="1"/>
  <c r="BD213" i="1"/>
  <c r="BC213" i="1"/>
  <c r="BB213" i="1"/>
  <c r="BA213" i="1"/>
  <c r="AZ213" i="1"/>
  <c r="AX213" i="1"/>
  <c r="AW213" i="1"/>
  <c r="AV213" i="1"/>
  <c r="AL213" i="1"/>
  <c r="AK213" i="1"/>
  <c r="AJ213" i="1"/>
  <c r="AI213" i="1"/>
  <c r="AH213" i="1"/>
  <c r="AG213" i="1"/>
  <c r="AF213" i="1"/>
  <c r="AE213" i="1"/>
  <c r="AD213" i="1"/>
  <c r="AC213" i="1"/>
  <c r="AB213" i="1"/>
  <c r="AA213" i="1"/>
  <c r="BL212" i="1"/>
  <c r="BG212" i="1"/>
  <c r="BF212" i="1"/>
  <c r="BE212" i="1"/>
  <c r="BD212" i="1"/>
  <c r="BC212" i="1"/>
  <c r="BB212" i="1"/>
  <c r="BA212" i="1"/>
  <c r="AZ212" i="1"/>
  <c r="AX212" i="1"/>
  <c r="AW212" i="1"/>
  <c r="AV212" i="1"/>
  <c r="AR212" i="1"/>
  <c r="AL212" i="1"/>
  <c r="AK212" i="1"/>
  <c r="AJ212" i="1"/>
  <c r="AI212" i="1"/>
  <c r="AH212" i="1"/>
  <c r="AG212" i="1"/>
  <c r="AF212" i="1"/>
  <c r="AE212" i="1"/>
  <c r="AD212" i="1"/>
  <c r="AC212" i="1"/>
  <c r="AB212" i="1"/>
  <c r="AA212" i="1"/>
  <c r="BT211" i="1"/>
  <c r="BG211" i="1" s="1"/>
  <c r="BS211" i="1"/>
  <c r="BF211" i="1" s="1"/>
  <c r="BR211" i="1"/>
  <c r="BE211" i="1" s="1"/>
  <c r="BQ211" i="1"/>
  <c r="BD211" i="1" s="1"/>
  <c r="BP211" i="1"/>
  <c r="BC211" i="1" s="1"/>
  <c r="BO211" i="1"/>
  <c r="BB211" i="1" s="1"/>
  <c r="BN211" i="1"/>
  <c r="BA211" i="1" s="1"/>
  <c r="BM211" i="1"/>
  <c r="AZ211" i="1" s="1"/>
  <c r="BL211" i="1"/>
  <c r="AY211" i="1" s="1"/>
  <c r="BK211" i="1"/>
  <c r="BJ211" i="1"/>
  <c r="AW211" i="1" s="1"/>
  <c r="AV211" i="1"/>
  <c r="AL211" i="1"/>
  <c r="AK211" i="1"/>
  <c r="AJ211" i="1"/>
  <c r="AI211" i="1"/>
  <c r="AH211" i="1"/>
  <c r="AG211" i="1"/>
  <c r="AF211" i="1"/>
  <c r="AE211" i="1"/>
  <c r="AD211" i="1"/>
  <c r="AC211" i="1"/>
  <c r="AB211" i="1"/>
  <c r="AA211" i="1"/>
  <c r="BR210" i="1"/>
  <c r="BE210" i="1" s="1"/>
  <c r="BN210" i="1"/>
  <c r="BA210" i="1" s="1"/>
  <c r="BJ210" i="1"/>
  <c r="AW210" i="1" s="1"/>
  <c r="AV210" i="1"/>
  <c r="AL210" i="1"/>
  <c r="AK210" i="1"/>
  <c r="AJ210" i="1"/>
  <c r="AI210" i="1"/>
  <c r="AH210" i="1"/>
  <c r="AG210" i="1"/>
  <c r="AF210" i="1"/>
  <c r="AE210" i="1"/>
  <c r="AD210" i="1"/>
  <c r="AC210" i="1"/>
  <c r="AB210" i="1"/>
  <c r="AA210" i="1"/>
  <c r="AL209" i="1"/>
  <c r="AK209" i="1"/>
  <c r="AJ209" i="1"/>
  <c r="AI209" i="1"/>
  <c r="AH209" i="1"/>
  <c r="AG209" i="1"/>
  <c r="AF209" i="1"/>
  <c r="AE209" i="1"/>
  <c r="AD209" i="1"/>
  <c r="AC209" i="1"/>
  <c r="AB209" i="1"/>
  <c r="AA209" i="1"/>
  <c r="BG208" i="1"/>
  <c r="BF208" i="1"/>
  <c r="BE208" i="1"/>
  <c r="BD208" i="1"/>
  <c r="BC208" i="1"/>
  <c r="BB208" i="1"/>
  <c r="BA208" i="1"/>
  <c r="AZ208" i="1"/>
  <c r="AY208" i="1"/>
  <c r="AX208" i="1"/>
  <c r="AW208" i="1"/>
  <c r="AV208" i="1"/>
  <c r="AR208" i="1"/>
  <c r="AO208" i="1"/>
  <c r="AL208" i="1"/>
  <c r="AK208" i="1"/>
  <c r="AJ208" i="1"/>
  <c r="AI208" i="1"/>
  <c r="AH208" i="1"/>
  <c r="AG208" i="1"/>
  <c r="AF208" i="1"/>
  <c r="AE208" i="1"/>
  <c r="AD208" i="1"/>
  <c r="AC208" i="1"/>
  <c r="AB208" i="1"/>
  <c r="AA208" i="1"/>
  <c r="BG207" i="1"/>
  <c r="BF207" i="1"/>
  <c r="BE207" i="1"/>
  <c r="BD207" i="1"/>
  <c r="BC207" i="1"/>
  <c r="BB207" i="1"/>
  <c r="BA207" i="1"/>
  <c r="AZ207" i="1"/>
  <c r="AY207" i="1"/>
  <c r="AX207" i="1"/>
  <c r="AW207" i="1"/>
  <c r="AV207" i="1"/>
  <c r="AR207" i="1"/>
  <c r="AO207" i="1"/>
  <c r="AL207" i="1"/>
  <c r="AK207" i="1"/>
  <c r="AJ207" i="1"/>
  <c r="AI207" i="1"/>
  <c r="AH207" i="1"/>
  <c r="AG207" i="1"/>
  <c r="AF207" i="1"/>
  <c r="AE207" i="1"/>
  <c r="AD207" i="1"/>
  <c r="AC207" i="1"/>
  <c r="AB207" i="1"/>
  <c r="AA207" i="1"/>
  <c r="BG206" i="1"/>
  <c r="BF206" i="1"/>
  <c r="BE206" i="1"/>
  <c r="BD206" i="1"/>
  <c r="BC206" i="1"/>
  <c r="BB206" i="1"/>
  <c r="BA206" i="1"/>
  <c r="AZ206" i="1"/>
  <c r="AY206" i="1"/>
  <c r="AX206" i="1"/>
  <c r="AW206" i="1"/>
  <c r="AV206" i="1"/>
  <c r="AR206" i="1"/>
  <c r="AO206" i="1"/>
  <c r="AL206" i="1"/>
  <c r="AK206" i="1"/>
  <c r="AJ206" i="1"/>
  <c r="AI206" i="1"/>
  <c r="AH206" i="1"/>
  <c r="AG206" i="1"/>
  <c r="AF206" i="1"/>
  <c r="AE206" i="1"/>
  <c r="AD206" i="1"/>
  <c r="AC206" i="1"/>
  <c r="AB206" i="1"/>
  <c r="AA206" i="1"/>
  <c r="BG205" i="1"/>
  <c r="BF205" i="1"/>
  <c r="BE205" i="1"/>
  <c r="BD205" i="1"/>
  <c r="BC205" i="1"/>
  <c r="BB205" i="1"/>
  <c r="BA205" i="1"/>
  <c r="AZ205" i="1"/>
  <c r="AY205" i="1"/>
  <c r="AX205" i="1"/>
  <c r="AW205" i="1"/>
  <c r="AV205" i="1"/>
  <c r="AR205" i="1"/>
  <c r="AO205" i="1"/>
  <c r="AL205" i="1"/>
  <c r="AK205" i="1"/>
  <c r="AJ205" i="1"/>
  <c r="AI205" i="1"/>
  <c r="AH205" i="1"/>
  <c r="AG205" i="1"/>
  <c r="AF205" i="1"/>
  <c r="AE205" i="1"/>
  <c r="AD205" i="1"/>
  <c r="AC205" i="1"/>
  <c r="AB205" i="1"/>
  <c r="AA205" i="1"/>
  <c r="BG204" i="1"/>
  <c r="BF204" i="1"/>
  <c r="BE204" i="1"/>
  <c r="BD204" i="1"/>
  <c r="BC204" i="1"/>
  <c r="BB204" i="1"/>
  <c r="BA204" i="1"/>
  <c r="AZ204" i="1"/>
  <c r="AY204" i="1"/>
  <c r="AX204" i="1"/>
  <c r="AW204" i="1"/>
  <c r="AV204" i="1"/>
  <c r="AR204" i="1"/>
  <c r="AO204" i="1"/>
  <c r="AL204" i="1"/>
  <c r="AK204" i="1"/>
  <c r="AJ204" i="1"/>
  <c r="AI204" i="1"/>
  <c r="AH204" i="1"/>
  <c r="AG204" i="1"/>
  <c r="AF204" i="1"/>
  <c r="AE204" i="1"/>
  <c r="AD204" i="1"/>
  <c r="AC204" i="1"/>
  <c r="AB204" i="1"/>
  <c r="AA204" i="1"/>
  <c r="BG203" i="1"/>
  <c r="BF203" i="1"/>
  <c r="BE203" i="1"/>
  <c r="BD203" i="1"/>
  <c r="BC203" i="1"/>
  <c r="BB203" i="1"/>
  <c r="BA203" i="1"/>
  <c r="AZ203" i="1"/>
  <c r="AY203" i="1"/>
  <c r="AX203" i="1"/>
  <c r="AW203" i="1"/>
  <c r="AV203" i="1"/>
  <c r="AR203" i="1"/>
  <c r="AO203" i="1"/>
  <c r="AL203" i="1"/>
  <c r="AK203" i="1"/>
  <c r="AJ203" i="1"/>
  <c r="AI203" i="1"/>
  <c r="AH203" i="1"/>
  <c r="AG203" i="1"/>
  <c r="AF203" i="1"/>
  <c r="AE203" i="1"/>
  <c r="AD203" i="1"/>
  <c r="AC203" i="1"/>
  <c r="AB203" i="1"/>
  <c r="AA203" i="1"/>
  <c r="BG202" i="1"/>
  <c r="BF202" i="1"/>
  <c r="BE202" i="1"/>
  <c r="BD202" i="1"/>
  <c r="BC202" i="1"/>
  <c r="BB202" i="1"/>
  <c r="BA202" i="1"/>
  <c r="AZ202" i="1"/>
  <c r="AY202" i="1"/>
  <c r="AX202" i="1"/>
  <c r="AW202" i="1"/>
  <c r="AV202" i="1"/>
  <c r="AR202" i="1"/>
  <c r="AO202" i="1"/>
  <c r="AL202" i="1"/>
  <c r="AK202" i="1"/>
  <c r="AJ202" i="1"/>
  <c r="AI202" i="1"/>
  <c r="AH202" i="1"/>
  <c r="AG202" i="1"/>
  <c r="AF202" i="1"/>
  <c r="AE202" i="1"/>
  <c r="AD202" i="1"/>
  <c r="AC202" i="1"/>
  <c r="AB202" i="1"/>
  <c r="AA202" i="1"/>
  <c r="AV201" i="1"/>
  <c r="AL201" i="1"/>
  <c r="AK201" i="1"/>
  <c r="AJ201" i="1"/>
  <c r="AI201" i="1"/>
  <c r="AH201" i="1"/>
  <c r="AG201" i="1"/>
  <c r="AF201" i="1"/>
  <c r="AE201" i="1"/>
  <c r="AD201" i="1"/>
  <c r="AC201" i="1"/>
  <c r="AB201" i="1"/>
  <c r="AA201" i="1"/>
  <c r="AV200" i="1"/>
  <c r="AL200" i="1"/>
  <c r="AK200" i="1"/>
  <c r="AJ200" i="1"/>
  <c r="AI200" i="1"/>
  <c r="AH200" i="1"/>
  <c r="AG200" i="1"/>
  <c r="AF200" i="1"/>
  <c r="AE200" i="1"/>
  <c r="AD200" i="1"/>
  <c r="AC200" i="1"/>
  <c r="AB200" i="1"/>
  <c r="AA200" i="1"/>
  <c r="AV199" i="1"/>
  <c r="AL199" i="1"/>
  <c r="AK199" i="1"/>
  <c r="AJ199" i="1"/>
  <c r="AI199" i="1"/>
  <c r="AH199" i="1"/>
  <c r="AG199" i="1"/>
  <c r="AF199" i="1"/>
  <c r="AE199" i="1"/>
  <c r="AD199" i="1"/>
  <c r="AC199" i="1"/>
  <c r="AB199" i="1"/>
  <c r="AA199" i="1"/>
  <c r="AV198" i="1"/>
  <c r="AL198" i="1"/>
  <c r="AK198" i="1"/>
  <c r="AJ198" i="1"/>
  <c r="AI198" i="1"/>
  <c r="AH198" i="1"/>
  <c r="AG198" i="1"/>
  <c r="AF198" i="1"/>
  <c r="AE198" i="1"/>
  <c r="AD198" i="1"/>
  <c r="AC198" i="1"/>
  <c r="AB198" i="1"/>
  <c r="AA198" i="1"/>
  <c r="AV197" i="1"/>
  <c r="AL197" i="1"/>
  <c r="AK197" i="1"/>
  <c r="AJ197" i="1"/>
  <c r="AI197" i="1"/>
  <c r="AH197" i="1"/>
  <c r="AG197" i="1"/>
  <c r="AF197" i="1"/>
  <c r="AE197" i="1"/>
  <c r="AD197" i="1"/>
  <c r="AC197" i="1"/>
  <c r="AB197" i="1"/>
  <c r="AA197" i="1"/>
  <c r="AV196" i="1"/>
  <c r="AL196" i="1"/>
  <c r="AK196" i="1"/>
  <c r="AJ196" i="1"/>
  <c r="AI196" i="1"/>
  <c r="AH196" i="1"/>
  <c r="AG196" i="1"/>
  <c r="AF196" i="1"/>
  <c r="AE196" i="1"/>
  <c r="AD196" i="1"/>
  <c r="AC196" i="1"/>
  <c r="AB196" i="1"/>
  <c r="AA196" i="1"/>
  <c r="BG195" i="1"/>
  <c r="BF195" i="1"/>
  <c r="BE195" i="1"/>
  <c r="BD195" i="1"/>
  <c r="BC195" i="1"/>
  <c r="BB195" i="1"/>
  <c r="BA195" i="1"/>
  <c r="AZ195" i="1"/>
  <c r="AX195" i="1"/>
  <c r="AW195" i="1"/>
  <c r="AV195" i="1"/>
  <c r="AL195" i="1"/>
  <c r="AK195" i="1"/>
  <c r="AJ195" i="1"/>
  <c r="AI195" i="1"/>
  <c r="AH195" i="1"/>
  <c r="AG195" i="1"/>
  <c r="AF195" i="1"/>
  <c r="AE195" i="1"/>
  <c r="AD195" i="1"/>
  <c r="AC195" i="1"/>
  <c r="AB195" i="1"/>
  <c r="AA195" i="1"/>
  <c r="BL194" i="1"/>
  <c r="AO194" i="1" s="1"/>
  <c r="BG194" i="1"/>
  <c r="BF194" i="1"/>
  <c r="BE194" i="1"/>
  <c r="BD194" i="1"/>
  <c r="BC194" i="1"/>
  <c r="BB194" i="1"/>
  <c r="BA194" i="1"/>
  <c r="AZ194" i="1"/>
  <c r="AX194" i="1"/>
  <c r="AW194" i="1"/>
  <c r="AV194" i="1"/>
  <c r="AL194" i="1"/>
  <c r="AK194" i="1"/>
  <c r="AJ194" i="1"/>
  <c r="AI194" i="1"/>
  <c r="AH194" i="1"/>
  <c r="AG194" i="1"/>
  <c r="AF194" i="1"/>
  <c r="AE194" i="1"/>
  <c r="AD194" i="1"/>
  <c r="AC194" i="1"/>
  <c r="AB194" i="1"/>
  <c r="AA194" i="1"/>
  <c r="BT193" i="1"/>
  <c r="BG193" i="1" s="1"/>
  <c r="BS193" i="1"/>
  <c r="BF193" i="1" s="1"/>
  <c r="BR193" i="1"/>
  <c r="BE193" i="1" s="1"/>
  <c r="BQ193" i="1"/>
  <c r="BD193" i="1" s="1"/>
  <c r="BP193" i="1"/>
  <c r="BC193" i="1" s="1"/>
  <c r="BO193" i="1"/>
  <c r="BB193" i="1" s="1"/>
  <c r="BN193" i="1"/>
  <c r="BA193" i="1" s="1"/>
  <c r="BM193" i="1"/>
  <c r="AZ193" i="1" s="1"/>
  <c r="BL193" i="1"/>
  <c r="AY193" i="1" s="1"/>
  <c r="BK193" i="1"/>
  <c r="BJ193" i="1"/>
  <c r="AW193" i="1" s="1"/>
  <c r="AV193" i="1"/>
  <c r="AL193" i="1"/>
  <c r="AK193" i="1"/>
  <c r="AJ193" i="1"/>
  <c r="AI193" i="1"/>
  <c r="AH193" i="1"/>
  <c r="AG193" i="1"/>
  <c r="AF193" i="1"/>
  <c r="AE193" i="1"/>
  <c r="AD193" i="1"/>
  <c r="AC193" i="1"/>
  <c r="AB193" i="1"/>
  <c r="AA193" i="1"/>
  <c r="BT192" i="1"/>
  <c r="BG192" i="1" s="1"/>
  <c r="BS192" i="1"/>
  <c r="BF192" i="1" s="1"/>
  <c r="BR192" i="1"/>
  <c r="BE192" i="1" s="1"/>
  <c r="BQ192" i="1"/>
  <c r="BD192" i="1" s="1"/>
  <c r="BP192" i="1"/>
  <c r="BC192" i="1" s="1"/>
  <c r="BO192" i="1"/>
  <c r="BB192" i="1" s="1"/>
  <c r="BN192" i="1"/>
  <c r="BA192" i="1" s="1"/>
  <c r="BM192" i="1"/>
  <c r="AZ192" i="1" s="1"/>
  <c r="BL192" i="1"/>
  <c r="AY192" i="1" s="1"/>
  <c r="BK192" i="1"/>
  <c r="AX192" i="1" s="1"/>
  <c r="BJ192" i="1"/>
  <c r="AV192" i="1"/>
  <c r="AL192" i="1"/>
  <c r="AK192" i="1"/>
  <c r="AJ192" i="1"/>
  <c r="AI192" i="1"/>
  <c r="AH192" i="1"/>
  <c r="AG192" i="1"/>
  <c r="AF192" i="1"/>
  <c r="AE192" i="1"/>
  <c r="AD192" i="1"/>
  <c r="AC192" i="1"/>
  <c r="AB192" i="1"/>
  <c r="AA192" i="1"/>
  <c r="AL191" i="1"/>
  <c r="AK191" i="1"/>
  <c r="AJ191" i="1"/>
  <c r="AI191" i="1"/>
  <c r="AH191" i="1"/>
  <c r="AG191" i="1"/>
  <c r="AF191" i="1"/>
  <c r="AE191" i="1"/>
  <c r="AD191" i="1"/>
  <c r="AC191" i="1"/>
  <c r="AB191" i="1"/>
  <c r="AA191" i="1"/>
  <c r="AL190" i="1"/>
  <c r="AK190" i="1"/>
  <c r="AJ190" i="1"/>
  <c r="AI190" i="1"/>
  <c r="AH190" i="1"/>
  <c r="AG190" i="1"/>
  <c r="AF190" i="1"/>
  <c r="AE190" i="1"/>
  <c r="AD190" i="1"/>
  <c r="AC190" i="1"/>
  <c r="AB190" i="1"/>
  <c r="AA190" i="1"/>
  <c r="AL189" i="1"/>
  <c r="AK189" i="1"/>
  <c r="AJ189" i="1"/>
  <c r="AI189" i="1"/>
  <c r="AH189" i="1"/>
  <c r="AG189" i="1"/>
  <c r="AF189" i="1"/>
  <c r="AE189" i="1"/>
  <c r="AD189" i="1"/>
  <c r="AC189" i="1"/>
  <c r="AB189" i="1"/>
  <c r="AA189" i="1"/>
  <c r="BT188" i="1"/>
  <c r="BS188" i="1"/>
  <c r="BR188" i="1"/>
  <c r="BQ188" i="1"/>
  <c r="BP188" i="1"/>
  <c r="BO188" i="1"/>
  <c r="BN188" i="1"/>
  <c r="BM188" i="1"/>
  <c r="BL188" i="1"/>
  <c r="AY188" i="1" s="1"/>
  <c r="BK188" i="1"/>
  <c r="AX188" i="1" s="1"/>
  <c r="BJ188" i="1"/>
  <c r="AW188" i="1" s="1"/>
  <c r="BI188" i="1"/>
  <c r="AV188" i="1" s="1"/>
  <c r="BG188" i="1"/>
  <c r="BF188" i="1"/>
  <c r="BE188" i="1"/>
  <c r="BD188" i="1"/>
  <c r="BC188" i="1"/>
  <c r="BB188" i="1"/>
  <c r="BA188" i="1"/>
  <c r="AZ188" i="1"/>
  <c r="AL188" i="1"/>
  <c r="AK188" i="1"/>
  <c r="AJ188" i="1"/>
  <c r="AI188" i="1"/>
  <c r="AH188" i="1"/>
  <c r="AG188" i="1"/>
  <c r="AF188" i="1"/>
  <c r="AE188" i="1"/>
  <c r="AD188" i="1"/>
  <c r="AC188" i="1"/>
  <c r="AB188" i="1"/>
  <c r="AA188" i="1"/>
  <c r="AL187" i="1"/>
  <c r="AK187" i="1"/>
  <c r="AJ187" i="1"/>
  <c r="AI187" i="1"/>
  <c r="AH187" i="1"/>
  <c r="AG187" i="1"/>
  <c r="AF187" i="1"/>
  <c r="AE187" i="1"/>
  <c r="AD187" i="1"/>
  <c r="AC187" i="1"/>
  <c r="AB187" i="1"/>
  <c r="AA187" i="1"/>
  <c r="BT186" i="1"/>
  <c r="BS186" i="1"/>
  <c r="BR186" i="1"/>
  <c r="BQ186" i="1"/>
  <c r="BP186" i="1"/>
  <c r="BO186" i="1"/>
  <c r="BN186" i="1"/>
  <c r="BM186" i="1"/>
  <c r="BL186" i="1"/>
  <c r="BK186" i="1"/>
  <c r="BJ186" i="1"/>
  <c r="AW186" i="1" s="1"/>
  <c r="BI186" i="1"/>
  <c r="BG186" i="1"/>
  <c r="BF186" i="1"/>
  <c r="BE186" i="1"/>
  <c r="BD186" i="1"/>
  <c r="BC186" i="1"/>
  <c r="BB186" i="1"/>
  <c r="BA186" i="1"/>
  <c r="AZ186" i="1"/>
  <c r="AY186" i="1"/>
  <c r="AX186" i="1"/>
  <c r="AV186" i="1"/>
  <c r="AL186" i="1"/>
  <c r="AK186" i="1"/>
  <c r="AJ186" i="1"/>
  <c r="AI186" i="1"/>
  <c r="AH186" i="1"/>
  <c r="AG186" i="1"/>
  <c r="AF186" i="1"/>
  <c r="AE186" i="1"/>
  <c r="AD186" i="1"/>
  <c r="AC186" i="1"/>
  <c r="AB186" i="1"/>
  <c r="AA186" i="1"/>
  <c r="AL185" i="1"/>
  <c r="AK185" i="1"/>
  <c r="AJ185" i="1"/>
  <c r="AI185" i="1"/>
  <c r="AH185" i="1"/>
  <c r="AG185" i="1"/>
  <c r="AF185" i="1"/>
  <c r="AE185" i="1"/>
  <c r="AD185" i="1"/>
  <c r="AC185" i="1"/>
  <c r="AB185" i="1"/>
  <c r="AA185" i="1"/>
  <c r="BT184" i="1"/>
  <c r="BS184" i="1"/>
  <c r="BR184" i="1"/>
  <c r="BE184" i="1" s="1"/>
  <c r="BQ184" i="1"/>
  <c r="BP184" i="1"/>
  <c r="BC184" i="1" s="1"/>
  <c r="BO184" i="1"/>
  <c r="BB184" i="1" s="1"/>
  <c r="BN184" i="1"/>
  <c r="BA184" i="1" s="1"/>
  <c r="BM184" i="1"/>
  <c r="BL184" i="1"/>
  <c r="AY184" i="1" s="1"/>
  <c r="BK184" i="1"/>
  <c r="AX184" i="1" s="1"/>
  <c r="BJ184" i="1"/>
  <c r="AW184" i="1" s="1"/>
  <c r="BI184" i="1"/>
  <c r="BG184" i="1"/>
  <c r="BF184" i="1"/>
  <c r="BD184" i="1"/>
  <c r="AZ184" i="1"/>
  <c r="AV184" i="1"/>
  <c r="AL184" i="1"/>
  <c r="AK184" i="1"/>
  <c r="AJ184" i="1"/>
  <c r="AI184" i="1"/>
  <c r="AH184" i="1"/>
  <c r="AG184" i="1"/>
  <c r="AF184" i="1"/>
  <c r="AE184" i="1"/>
  <c r="AD184" i="1"/>
  <c r="AC184" i="1"/>
  <c r="AB184" i="1"/>
  <c r="AA184" i="1"/>
  <c r="BT183" i="1"/>
  <c r="BS183" i="1"/>
  <c r="BR183" i="1"/>
  <c r="BE183" i="1" s="1"/>
  <c r="BQ183" i="1"/>
  <c r="BD183" i="1" s="1"/>
  <c r="BP183" i="1"/>
  <c r="BC183" i="1" s="1"/>
  <c r="BO183" i="1"/>
  <c r="BB183" i="1" s="1"/>
  <c r="BN183" i="1"/>
  <c r="BA183" i="1" s="1"/>
  <c r="BM183" i="1"/>
  <c r="BL183" i="1"/>
  <c r="BK183" i="1"/>
  <c r="AX183" i="1" s="1"/>
  <c r="BJ183" i="1"/>
  <c r="AW183" i="1" s="1"/>
  <c r="BI183" i="1"/>
  <c r="BG183" i="1"/>
  <c r="BF183" i="1"/>
  <c r="AZ183" i="1"/>
  <c r="AY183" i="1"/>
  <c r="AV183" i="1"/>
  <c r="AL183" i="1"/>
  <c r="AK183" i="1"/>
  <c r="AJ183" i="1"/>
  <c r="AI183" i="1"/>
  <c r="AH183" i="1"/>
  <c r="AG183" i="1"/>
  <c r="AF183" i="1"/>
  <c r="AE183" i="1"/>
  <c r="AD183" i="1"/>
  <c r="AC183" i="1"/>
  <c r="AB183" i="1"/>
  <c r="AA183" i="1"/>
  <c r="BT182" i="1"/>
  <c r="BS182" i="1"/>
  <c r="BF182" i="1" s="1"/>
  <c r="BR182" i="1"/>
  <c r="BE182" i="1" s="1"/>
  <c r="BQ182" i="1"/>
  <c r="BD182" i="1" s="1"/>
  <c r="BP182" i="1"/>
  <c r="BC182" i="1" s="1"/>
  <c r="BO182" i="1"/>
  <c r="BB182" i="1" s="1"/>
  <c r="BN182" i="1"/>
  <c r="BM182" i="1"/>
  <c r="AZ182" i="1" s="1"/>
  <c r="BL182" i="1"/>
  <c r="AY182" i="1" s="1"/>
  <c r="BK182" i="1"/>
  <c r="AX182" i="1" s="1"/>
  <c r="BJ182" i="1"/>
  <c r="AW182" i="1" s="1"/>
  <c r="BI182" i="1"/>
  <c r="AV182" i="1" s="1"/>
  <c r="BG182" i="1"/>
  <c r="BA182" i="1"/>
  <c r="AL182" i="1"/>
  <c r="AK182" i="1"/>
  <c r="AJ182" i="1"/>
  <c r="AI182" i="1"/>
  <c r="AH182" i="1"/>
  <c r="AG182" i="1"/>
  <c r="AF182" i="1"/>
  <c r="AE182" i="1"/>
  <c r="AD182" i="1"/>
  <c r="AC182" i="1"/>
  <c r="AB182" i="1"/>
  <c r="AA182" i="1"/>
  <c r="BT181" i="1"/>
  <c r="BG181" i="1" s="1"/>
  <c r="BS181" i="1"/>
  <c r="BF181" i="1" s="1"/>
  <c r="BR181" i="1"/>
  <c r="BE181" i="1" s="1"/>
  <c r="BQ181" i="1"/>
  <c r="BD181" i="1" s="1"/>
  <c r="BP181" i="1"/>
  <c r="BO181" i="1"/>
  <c r="BB181" i="1" s="1"/>
  <c r="BN181" i="1"/>
  <c r="BA181" i="1" s="1"/>
  <c r="BM181" i="1"/>
  <c r="AZ181" i="1" s="1"/>
  <c r="BL181" i="1"/>
  <c r="AY181" i="1" s="1"/>
  <c r="BK181" i="1"/>
  <c r="AX181" i="1" s="1"/>
  <c r="BJ181" i="1"/>
  <c r="AW181" i="1" s="1"/>
  <c r="BI181" i="1"/>
  <c r="AV181" i="1" s="1"/>
  <c r="BC181" i="1"/>
  <c r="AL181" i="1"/>
  <c r="AK181" i="1"/>
  <c r="AJ181" i="1"/>
  <c r="AI181" i="1"/>
  <c r="AH181" i="1"/>
  <c r="AG181" i="1"/>
  <c r="AF181" i="1"/>
  <c r="AE181" i="1"/>
  <c r="AD181" i="1"/>
  <c r="AC181" i="1"/>
  <c r="AB181" i="1"/>
  <c r="AA181" i="1"/>
  <c r="AL180" i="1"/>
  <c r="AK180" i="1"/>
  <c r="AJ180" i="1"/>
  <c r="AI180" i="1"/>
  <c r="AH180" i="1"/>
  <c r="AG180" i="1"/>
  <c r="AF180" i="1"/>
  <c r="AE180" i="1"/>
  <c r="AD180" i="1"/>
  <c r="AC180" i="1"/>
  <c r="AB180" i="1"/>
  <c r="AA180" i="1"/>
  <c r="BT179" i="1"/>
  <c r="BG179" i="1" s="1"/>
  <c r="BS179" i="1"/>
  <c r="BF179" i="1" s="1"/>
  <c r="BR179" i="1"/>
  <c r="BE179" i="1" s="1"/>
  <c r="BQ179" i="1"/>
  <c r="BD179" i="1" s="1"/>
  <c r="BP179" i="1"/>
  <c r="BC179" i="1" s="1"/>
  <c r="BO179" i="1"/>
  <c r="BB179" i="1" s="1"/>
  <c r="BN179" i="1"/>
  <c r="BA179" i="1" s="1"/>
  <c r="BM179" i="1"/>
  <c r="AZ179" i="1" s="1"/>
  <c r="BL179" i="1"/>
  <c r="AY179" i="1" s="1"/>
  <c r="BK179" i="1"/>
  <c r="AX179" i="1" s="1"/>
  <c r="BJ179" i="1"/>
  <c r="AW179" i="1" s="1"/>
  <c r="BI179" i="1"/>
  <c r="AV179" i="1" s="1"/>
  <c r="AL179" i="1"/>
  <c r="AK179" i="1"/>
  <c r="AJ179" i="1"/>
  <c r="AI179" i="1"/>
  <c r="AH179" i="1"/>
  <c r="AG179" i="1"/>
  <c r="AF179" i="1"/>
  <c r="AE179" i="1"/>
  <c r="AD179" i="1"/>
  <c r="AC179" i="1"/>
  <c r="AB179" i="1"/>
  <c r="AA179" i="1"/>
  <c r="BT178" i="1"/>
  <c r="BS178" i="1"/>
  <c r="BF178" i="1" s="1"/>
  <c r="BR178" i="1"/>
  <c r="BE178" i="1" s="1"/>
  <c r="BQ178" i="1"/>
  <c r="BD178" i="1" s="1"/>
  <c r="BP178" i="1"/>
  <c r="BO178" i="1"/>
  <c r="BB178" i="1" s="1"/>
  <c r="BN178" i="1"/>
  <c r="BA178" i="1" s="1"/>
  <c r="BM178" i="1"/>
  <c r="AZ178" i="1" s="1"/>
  <c r="BL178" i="1"/>
  <c r="AY178" i="1" s="1"/>
  <c r="BK178" i="1"/>
  <c r="AX178" i="1" s="1"/>
  <c r="BJ178" i="1"/>
  <c r="AW178" i="1" s="1"/>
  <c r="BI178" i="1"/>
  <c r="AV178" i="1" s="1"/>
  <c r="BG178" i="1"/>
  <c r="BC178" i="1"/>
  <c r="AL178" i="1"/>
  <c r="AK178" i="1"/>
  <c r="AJ178" i="1"/>
  <c r="AI178" i="1"/>
  <c r="AH178" i="1"/>
  <c r="AG178" i="1"/>
  <c r="AF178" i="1"/>
  <c r="AE178" i="1"/>
  <c r="AD178" i="1"/>
  <c r="AC178" i="1"/>
  <c r="AB178" i="1"/>
  <c r="AA178" i="1"/>
  <c r="BT177" i="1"/>
  <c r="BS177" i="1"/>
  <c r="BF177" i="1" s="1"/>
  <c r="BR177" i="1"/>
  <c r="BE177" i="1" s="1"/>
  <c r="BQ177" i="1"/>
  <c r="BD177" i="1" s="1"/>
  <c r="BP177" i="1"/>
  <c r="BC177" i="1" s="1"/>
  <c r="BO177" i="1"/>
  <c r="BB177" i="1" s="1"/>
  <c r="BN177" i="1"/>
  <c r="BA177" i="1" s="1"/>
  <c r="BM177" i="1"/>
  <c r="AZ177" i="1" s="1"/>
  <c r="BL177" i="1"/>
  <c r="AY177" i="1" s="1"/>
  <c r="BK177" i="1"/>
  <c r="AX177" i="1" s="1"/>
  <c r="BJ177" i="1"/>
  <c r="AW177" i="1" s="1"/>
  <c r="BI177" i="1"/>
  <c r="AV177" i="1" s="1"/>
  <c r="BG177" i="1"/>
  <c r="AL177" i="1"/>
  <c r="AK177" i="1"/>
  <c r="AJ177" i="1"/>
  <c r="AI177" i="1"/>
  <c r="AH177" i="1"/>
  <c r="AG177" i="1"/>
  <c r="AF177" i="1"/>
  <c r="AE177" i="1"/>
  <c r="AD177" i="1"/>
  <c r="AC177" i="1"/>
  <c r="AB177" i="1"/>
  <c r="AA177" i="1"/>
  <c r="AL176" i="1"/>
  <c r="AK176" i="1"/>
  <c r="AJ176" i="1"/>
  <c r="AI176" i="1"/>
  <c r="AH176" i="1"/>
  <c r="AG176" i="1"/>
  <c r="AF176" i="1"/>
  <c r="AE176" i="1"/>
  <c r="AD176" i="1"/>
  <c r="AC176" i="1"/>
  <c r="AB176" i="1"/>
  <c r="AA176" i="1"/>
  <c r="BT175" i="1"/>
  <c r="BG175" i="1" s="1"/>
  <c r="BL175" i="1"/>
  <c r="AY175" i="1" s="1"/>
  <c r="BK175" i="1"/>
  <c r="AX175" i="1" s="1"/>
  <c r="AL175" i="1"/>
  <c r="AK175" i="1"/>
  <c r="AJ175" i="1"/>
  <c r="AI175" i="1"/>
  <c r="AH175" i="1"/>
  <c r="AG175" i="1"/>
  <c r="AF175" i="1"/>
  <c r="AE175" i="1"/>
  <c r="AD175" i="1"/>
  <c r="AC175" i="1"/>
  <c r="AB175" i="1"/>
  <c r="AA175" i="1"/>
  <c r="AL174" i="1"/>
  <c r="AK174" i="1"/>
  <c r="AJ174" i="1"/>
  <c r="AI174" i="1"/>
  <c r="AH174" i="1"/>
  <c r="AG174" i="1"/>
  <c r="AF174" i="1"/>
  <c r="AE174" i="1"/>
  <c r="AD174" i="1"/>
  <c r="AC174" i="1"/>
  <c r="AB174" i="1"/>
  <c r="AA174" i="1"/>
  <c r="BT173" i="1"/>
  <c r="BG173" i="1" s="1"/>
  <c r="BS173" i="1"/>
  <c r="BF173" i="1" s="1"/>
  <c r="BP173" i="1"/>
  <c r="BC173" i="1" s="1"/>
  <c r="AL173" i="1"/>
  <c r="AK173" i="1"/>
  <c r="AJ173" i="1"/>
  <c r="AI173" i="1"/>
  <c r="AH173" i="1"/>
  <c r="AG173" i="1"/>
  <c r="AF173" i="1"/>
  <c r="AE173" i="1"/>
  <c r="AD173" i="1"/>
  <c r="AC173" i="1"/>
  <c r="AB173" i="1"/>
  <c r="AA173" i="1"/>
  <c r="BT172" i="1"/>
  <c r="BG172" i="1" s="1"/>
  <c r="BP172" i="1"/>
  <c r="BC172" i="1" s="1"/>
  <c r="BL172" i="1"/>
  <c r="AY172" i="1" s="1"/>
  <c r="AL172" i="1"/>
  <c r="AK172" i="1"/>
  <c r="AJ172" i="1"/>
  <c r="AI172" i="1"/>
  <c r="AH172" i="1"/>
  <c r="AG172" i="1"/>
  <c r="AF172" i="1"/>
  <c r="AE172" i="1"/>
  <c r="AD172" i="1"/>
  <c r="AC172" i="1"/>
  <c r="AB172" i="1"/>
  <c r="AA172" i="1"/>
  <c r="AL171" i="1"/>
  <c r="AK171" i="1"/>
  <c r="AJ171" i="1"/>
  <c r="AI171" i="1"/>
  <c r="AH171" i="1"/>
  <c r="AG171" i="1"/>
  <c r="AF171" i="1"/>
  <c r="AE171" i="1"/>
  <c r="AD171" i="1"/>
  <c r="AC171" i="1"/>
  <c r="AB171" i="1"/>
  <c r="AA171" i="1"/>
  <c r="AL170" i="1"/>
  <c r="AK170" i="1"/>
  <c r="AJ170" i="1"/>
  <c r="AI170" i="1"/>
  <c r="AH170" i="1"/>
  <c r="AG170" i="1"/>
  <c r="AF170" i="1"/>
  <c r="AE170" i="1"/>
  <c r="AD170" i="1"/>
  <c r="AC170" i="1"/>
  <c r="AB170" i="1"/>
  <c r="AA170" i="1"/>
  <c r="BP169" i="1"/>
  <c r="BC169" i="1" s="1"/>
  <c r="BO169" i="1"/>
  <c r="BB169" i="1" s="1"/>
  <c r="BN169" i="1"/>
  <c r="BA169" i="1" s="1"/>
  <c r="BL169" i="1"/>
  <c r="AY169" i="1" s="1"/>
  <c r="AL169" i="1"/>
  <c r="AK169" i="1"/>
  <c r="AJ169" i="1"/>
  <c r="AI169" i="1"/>
  <c r="AH169" i="1"/>
  <c r="AG169" i="1"/>
  <c r="AF169" i="1"/>
  <c r="AE169" i="1"/>
  <c r="AD169" i="1"/>
  <c r="AC169" i="1"/>
  <c r="AB169" i="1"/>
  <c r="AA169" i="1"/>
  <c r="BT168" i="1"/>
  <c r="BS168" i="1"/>
  <c r="BR168" i="1"/>
  <c r="BQ168" i="1"/>
  <c r="BP168" i="1"/>
  <c r="BO168" i="1"/>
  <c r="BB168" i="1" s="1"/>
  <c r="BN168" i="1"/>
  <c r="BA168" i="1" s="1"/>
  <c r="BM168" i="1"/>
  <c r="AZ168" i="1" s="1"/>
  <c r="BL168" i="1"/>
  <c r="AY168" i="1" s="1"/>
  <c r="BK168" i="1"/>
  <c r="AX168" i="1" s="1"/>
  <c r="BJ168" i="1"/>
  <c r="BI168" i="1"/>
  <c r="AV168" i="1" s="1"/>
  <c r="BG168" i="1"/>
  <c r="BF168" i="1"/>
  <c r="BE168" i="1"/>
  <c r="BD168" i="1"/>
  <c r="BC168" i="1"/>
  <c r="AL168" i="1"/>
  <c r="AK168" i="1"/>
  <c r="AJ168" i="1"/>
  <c r="AI168" i="1"/>
  <c r="AH168" i="1"/>
  <c r="AG168" i="1"/>
  <c r="AF168" i="1"/>
  <c r="AE168" i="1"/>
  <c r="AD168" i="1"/>
  <c r="AC168" i="1"/>
  <c r="AB168" i="1"/>
  <c r="AA168" i="1"/>
  <c r="BT167" i="1"/>
  <c r="BS167" i="1"/>
  <c r="BR167" i="1"/>
  <c r="BQ167" i="1"/>
  <c r="BP167" i="1"/>
  <c r="BO167" i="1"/>
  <c r="BB167" i="1" s="1"/>
  <c r="BN167" i="1"/>
  <c r="BA167" i="1" s="1"/>
  <c r="BM167" i="1"/>
  <c r="AZ167" i="1" s="1"/>
  <c r="BL167" i="1"/>
  <c r="AY167" i="1" s="1"/>
  <c r="BK167" i="1"/>
  <c r="BJ167" i="1"/>
  <c r="BI167" i="1"/>
  <c r="AV167" i="1" s="1"/>
  <c r="BG167" i="1"/>
  <c r="BF167" i="1"/>
  <c r="BE167" i="1"/>
  <c r="BD167" i="1"/>
  <c r="BC167" i="1"/>
  <c r="AX167" i="1"/>
  <c r="AL167" i="1"/>
  <c r="AK167" i="1"/>
  <c r="AJ167" i="1"/>
  <c r="AI167" i="1"/>
  <c r="AH167" i="1"/>
  <c r="AG167" i="1"/>
  <c r="AF167" i="1"/>
  <c r="AE167" i="1"/>
  <c r="AD167" i="1"/>
  <c r="AC167" i="1"/>
  <c r="AB167" i="1"/>
  <c r="AA167" i="1"/>
  <c r="BG166" i="1"/>
  <c r="BF166" i="1"/>
  <c r="BD166" i="1"/>
  <c r="BC166" i="1"/>
  <c r="BB166" i="1"/>
  <c r="BA166" i="1"/>
  <c r="AZ166" i="1"/>
  <c r="AX166" i="1"/>
  <c r="AW166" i="1"/>
  <c r="AV166" i="1"/>
  <c r="AL166" i="1"/>
  <c r="AK166" i="1"/>
  <c r="AJ166" i="1"/>
  <c r="AI166" i="1"/>
  <c r="AH166" i="1"/>
  <c r="AG166" i="1"/>
  <c r="AF166" i="1"/>
  <c r="AE166" i="1"/>
  <c r="AD166" i="1"/>
  <c r="AC166" i="1"/>
  <c r="AB166" i="1"/>
  <c r="AA166" i="1"/>
  <c r="BG165" i="1"/>
  <c r="BF165" i="1"/>
  <c r="BE165" i="1"/>
  <c r="BD165" i="1"/>
  <c r="BC165" i="1"/>
  <c r="BB165" i="1"/>
  <c r="BA165" i="1"/>
  <c r="AZ165" i="1"/>
  <c r="AY165" i="1"/>
  <c r="AX165" i="1"/>
  <c r="AW165" i="1"/>
  <c r="AV165" i="1"/>
  <c r="AR165" i="1"/>
  <c r="AO165" i="1"/>
  <c r="AL165" i="1"/>
  <c r="AK165" i="1"/>
  <c r="AJ165" i="1"/>
  <c r="AI165" i="1"/>
  <c r="AH165" i="1"/>
  <c r="AG165" i="1"/>
  <c r="AF165" i="1"/>
  <c r="AE165" i="1"/>
  <c r="AD165" i="1"/>
  <c r="AC165" i="1"/>
  <c r="AB165" i="1"/>
  <c r="AA165" i="1"/>
  <c r="AV164" i="1"/>
  <c r="AL164" i="1"/>
  <c r="AK164" i="1"/>
  <c r="AJ164" i="1"/>
  <c r="AI164" i="1"/>
  <c r="AH164" i="1"/>
  <c r="AG164" i="1"/>
  <c r="AF164" i="1"/>
  <c r="AE164" i="1"/>
  <c r="AD164" i="1"/>
  <c r="AC164" i="1"/>
  <c r="AB164" i="1"/>
  <c r="AA164" i="1"/>
  <c r="AV163" i="1"/>
  <c r="AL163" i="1"/>
  <c r="AK163" i="1"/>
  <c r="AJ163" i="1"/>
  <c r="AI163" i="1"/>
  <c r="AH163" i="1"/>
  <c r="AG163" i="1"/>
  <c r="AF163" i="1"/>
  <c r="AE163" i="1"/>
  <c r="AD163" i="1"/>
  <c r="AC163" i="1"/>
  <c r="AB163" i="1"/>
  <c r="AA163" i="1"/>
  <c r="BG162" i="1"/>
  <c r="BF162" i="1"/>
  <c r="BE162" i="1"/>
  <c r="BD162" i="1"/>
  <c r="BC162" i="1"/>
  <c r="BB162" i="1"/>
  <c r="BA162" i="1"/>
  <c r="AZ162" i="1"/>
  <c r="AY162" i="1"/>
  <c r="AX162" i="1"/>
  <c r="AW162" i="1"/>
  <c r="AV162" i="1"/>
  <c r="AR162" i="1"/>
  <c r="AO162" i="1"/>
  <c r="AL162" i="1"/>
  <c r="AK162" i="1"/>
  <c r="AJ162" i="1"/>
  <c r="AI162" i="1"/>
  <c r="AH162" i="1"/>
  <c r="AG162" i="1"/>
  <c r="AF162" i="1"/>
  <c r="AE162" i="1"/>
  <c r="AD162" i="1"/>
  <c r="AC162" i="1"/>
  <c r="AB162" i="1"/>
  <c r="AA162" i="1"/>
  <c r="AV161" i="1"/>
  <c r="H161" i="1"/>
  <c r="AD161" i="1" s="1"/>
  <c r="BG160" i="1"/>
  <c r="BF160" i="1"/>
  <c r="BE160" i="1"/>
  <c r="BD160" i="1"/>
  <c r="BC160" i="1"/>
  <c r="BB160" i="1"/>
  <c r="BA160" i="1"/>
  <c r="AZ160" i="1"/>
  <c r="AY160" i="1"/>
  <c r="AX160" i="1"/>
  <c r="AW160" i="1"/>
  <c r="AV160" i="1"/>
  <c r="AR160" i="1"/>
  <c r="AO160" i="1"/>
  <c r="AL160" i="1"/>
  <c r="AK160" i="1"/>
  <c r="AJ160" i="1"/>
  <c r="AI160" i="1"/>
  <c r="AH160" i="1"/>
  <c r="AG160" i="1"/>
  <c r="AF160" i="1"/>
  <c r="AE160" i="1"/>
  <c r="AD160" i="1"/>
  <c r="AC160" i="1"/>
  <c r="AB160" i="1"/>
  <c r="AA160" i="1"/>
  <c r="AV159" i="1"/>
  <c r="H159" i="1"/>
  <c r="AI159" i="1" s="1"/>
  <c r="BG158" i="1"/>
  <c r="BF158" i="1"/>
  <c r="BD158" i="1"/>
  <c r="BC158" i="1"/>
  <c r="BB158" i="1"/>
  <c r="BA158" i="1"/>
  <c r="AZ158" i="1"/>
  <c r="AX158" i="1"/>
  <c r="AW158" i="1"/>
  <c r="AV158" i="1"/>
  <c r="AL158" i="1"/>
  <c r="AK158" i="1"/>
  <c r="AJ158" i="1"/>
  <c r="AI158" i="1"/>
  <c r="AH158" i="1"/>
  <c r="AG158" i="1"/>
  <c r="AF158" i="1"/>
  <c r="AE158" i="1"/>
  <c r="AD158" i="1"/>
  <c r="AC158" i="1"/>
  <c r="AB158" i="1"/>
  <c r="AA158" i="1"/>
  <c r="BG157" i="1"/>
  <c r="BF157" i="1"/>
  <c r="BE157" i="1"/>
  <c r="BD157" i="1"/>
  <c r="BC157" i="1"/>
  <c r="BB157" i="1"/>
  <c r="BA157" i="1"/>
  <c r="AZ157" i="1"/>
  <c r="AY157" i="1"/>
  <c r="AX157" i="1"/>
  <c r="AW157" i="1"/>
  <c r="AV157" i="1"/>
  <c r="AR157" i="1"/>
  <c r="AO157" i="1"/>
  <c r="AL157" i="1"/>
  <c r="AK157" i="1"/>
  <c r="AJ157" i="1"/>
  <c r="AI157" i="1"/>
  <c r="AH157" i="1"/>
  <c r="AG157" i="1"/>
  <c r="AF157" i="1"/>
  <c r="AE157" i="1"/>
  <c r="AD157" i="1"/>
  <c r="AC157" i="1"/>
  <c r="AB157" i="1"/>
  <c r="AA157" i="1"/>
  <c r="AV156" i="1"/>
  <c r="H156" i="1"/>
  <c r="AV155" i="1"/>
  <c r="H155" i="1"/>
  <c r="BG154" i="1"/>
  <c r="BF154" i="1"/>
  <c r="BE154" i="1"/>
  <c r="BD154" i="1"/>
  <c r="BC154" i="1"/>
  <c r="BB154" i="1"/>
  <c r="BA154" i="1"/>
  <c r="AZ154" i="1"/>
  <c r="AY154" i="1"/>
  <c r="AX154" i="1"/>
  <c r="AW154" i="1"/>
  <c r="AV154" i="1"/>
  <c r="AR154" i="1"/>
  <c r="AO154" i="1"/>
  <c r="AL154" i="1"/>
  <c r="AK154" i="1"/>
  <c r="AJ154" i="1"/>
  <c r="AI154" i="1"/>
  <c r="AH154" i="1"/>
  <c r="AG154" i="1"/>
  <c r="AF154" i="1"/>
  <c r="AE154" i="1"/>
  <c r="AD154" i="1"/>
  <c r="AC154" i="1"/>
  <c r="AB154" i="1"/>
  <c r="AA154" i="1"/>
  <c r="BG153" i="1"/>
  <c r="BF153" i="1"/>
  <c r="BE153" i="1"/>
  <c r="BD153" i="1"/>
  <c r="BC153" i="1"/>
  <c r="BB153" i="1"/>
  <c r="BA153" i="1"/>
  <c r="AZ153" i="1"/>
  <c r="AX153" i="1"/>
  <c r="AW153" i="1"/>
  <c r="AV153" i="1"/>
  <c r="AL153" i="1"/>
  <c r="AK153" i="1"/>
  <c r="AJ153" i="1"/>
  <c r="AI153" i="1"/>
  <c r="AH153" i="1"/>
  <c r="AG153" i="1"/>
  <c r="AF153" i="1"/>
  <c r="AE153" i="1"/>
  <c r="AD153" i="1"/>
  <c r="AC153" i="1"/>
  <c r="AB153" i="1"/>
  <c r="AA153" i="1"/>
  <c r="BG152" i="1"/>
  <c r="BF152" i="1"/>
  <c r="BE152" i="1"/>
  <c r="BD152" i="1"/>
  <c r="BC152" i="1"/>
  <c r="BB152" i="1"/>
  <c r="BA152" i="1"/>
  <c r="AZ152" i="1"/>
  <c r="AX152" i="1"/>
  <c r="AW152" i="1"/>
  <c r="AV152" i="1"/>
  <c r="AL152" i="1"/>
  <c r="AK152" i="1"/>
  <c r="AJ152" i="1"/>
  <c r="AI152" i="1"/>
  <c r="AH152" i="1"/>
  <c r="AG152" i="1"/>
  <c r="AF152" i="1"/>
  <c r="AE152" i="1"/>
  <c r="AD152" i="1"/>
  <c r="AC152" i="1"/>
  <c r="AB152" i="1"/>
  <c r="AA152" i="1"/>
  <c r="BG151" i="1"/>
  <c r="BF151" i="1"/>
  <c r="BD151" i="1"/>
  <c r="BC151" i="1"/>
  <c r="BB151" i="1"/>
  <c r="BA151" i="1"/>
  <c r="AZ151" i="1"/>
  <c r="AX151" i="1"/>
  <c r="AW151" i="1"/>
  <c r="AV151" i="1"/>
  <c r="AL151" i="1"/>
  <c r="AK151" i="1"/>
  <c r="AJ151" i="1"/>
  <c r="AI151" i="1"/>
  <c r="AH151" i="1"/>
  <c r="AG151" i="1"/>
  <c r="AF151" i="1"/>
  <c r="AE151" i="1"/>
  <c r="AD151" i="1"/>
  <c r="AC151" i="1"/>
  <c r="AB151" i="1"/>
  <c r="AA151" i="1"/>
  <c r="BG150" i="1"/>
  <c r="BF150" i="1"/>
  <c r="BE150" i="1"/>
  <c r="BD150" i="1"/>
  <c r="BC150" i="1"/>
  <c r="BB150" i="1"/>
  <c r="BA150" i="1"/>
  <c r="AZ150" i="1"/>
  <c r="AY150" i="1"/>
  <c r="AX150" i="1"/>
  <c r="AW150" i="1"/>
  <c r="AV150" i="1"/>
  <c r="AR150" i="1"/>
  <c r="AO150" i="1"/>
  <c r="AL150" i="1"/>
  <c r="AK150" i="1"/>
  <c r="AJ150" i="1"/>
  <c r="AI150" i="1"/>
  <c r="AH150" i="1"/>
  <c r="AG150" i="1"/>
  <c r="AF150" i="1"/>
  <c r="AE150" i="1"/>
  <c r="AD150" i="1"/>
  <c r="AC150" i="1"/>
  <c r="AB150" i="1"/>
  <c r="AA150" i="1"/>
  <c r="BG149" i="1"/>
  <c r="BF149" i="1"/>
  <c r="BE149" i="1"/>
  <c r="BD149" i="1"/>
  <c r="BC149" i="1"/>
  <c r="BB149" i="1"/>
  <c r="BA149" i="1"/>
  <c r="AZ149" i="1"/>
  <c r="AY149" i="1"/>
  <c r="AX149" i="1"/>
  <c r="AW149" i="1"/>
  <c r="AV149" i="1"/>
  <c r="AR149" i="1"/>
  <c r="AO149" i="1"/>
  <c r="AL149" i="1"/>
  <c r="AK149" i="1"/>
  <c r="AJ149" i="1"/>
  <c r="AI149" i="1"/>
  <c r="AH149" i="1"/>
  <c r="AG149" i="1"/>
  <c r="AF149" i="1"/>
  <c r="AE149" i="1"/>
  <c r="AD149" i="1"/>
  <c r="AC149" i="1"/>
  <c r="AB149" i="1"/>
  <c r="AA149" i="1"/>
  <c r="AV148" i="1"/>
  <c r="AL148" i="1"/>
  <c r="AK148" i="1"/>
  <c r="AJ148" i="1"/>
  <c r="AI148" i="1"/>
  <c r="AH148" i="1"/>
  <c r="AG148" i="1"/>
  <c r="AF148" i="1"/>
  <c r="AE148" i="1"/>
  <c r="AD148" i="1"/>
  <c r="AC148" i="1"/>
  <c r="AB148" i="1"/>
  <c r="AA148" i="1"/>
  <c r="AV147" i="1"/>
  <c r="AL147" i="1"/>
  <c r="AK147" i="1"/>
  <c r="AJ147" i="1"/>
  <c r="AI147" i="1"/>
  <c r="AH147" i="1"/>
  <c r="AG147" i="1"/>
  <c r="AF147" i="1"/>
  <c r="AE147" i="1"/>
  <c r="AD147" i="1"/>
  <c r="AC147" i="1"/>
  <c r="AB147" i="1"/>
  <c r="AA147" i="1"/>
  <c r="H143" i="1"/>
  <c r="E143" i="1"/>
  <c r="BT141" i="1"/>
  <c r="BG141" i="1" s="1"/>
  <c r="BS141" i="1"/>
  <c r="BF141" i="1" s="1"/>
  <c r="BR141" i="1"/>
  <c r="BE141" i="1" s="1"/>
  <c r="BQ141" i="1"/>
  <c r="BD141" i="1" s="1"/>
  <c r="BP141" i="1"/>
  <c r="BC141" i="1" s="1"/>
  <c r="BO141" i="1"/>
  <c r="BB141" i="1" s="1"/>
  <c r="BN141" i="1"/>
  <c r="BA141" i="1" s="1"/>
  <c r="BM141" i="1"/>
  <c r="AZ141" i="1" s="1"/>
  <c r="BL141" i="1"/>
  <c r="AY141" i="1" s="1"/>
  <c r="BK141" i="1"/>
  <c r="AX141" i="1" s="1"/>
  <c r="BJ141" i="1"/>
  <c r="AW141" i="1" s="1"/>
  <c r="AV141" i="1"/>
  <c r="AL141" i="1"/>
  <c r="AK141" i="1"/>
  <c r="AJ141" i="1"/>
  <c r="AI141" i="1"/>
  <c r="AH141" i="1"/>
  <c r="AG141" i="1"/>
  <c r="AF141" i="1"/>
  <c r="AE141" i="1"/>
  <c r="AD141" i="1"/>
  <c r="AC141" i="1"/>
  <c r="AB141" i="1"/>
  <c r="AA141" i="1"/>
  <c r="AL140" i="1"/>
  <c r="AK140" i="1"/>
  <c r="AJ140" i="1"/>
  <c r="AI140" i="1"/>
  <c r="AH140" i="1"/>
  <c r="AG140" i="1"/>
  <c r="AF140" i="1"/>
  <c r="AE140" i="1"/>
  <c r="AD140" i="1"/>
  <c r="AC140" i="1"/>
  <c r="AB140" i="1"/>
  <c r="AA140" i="1"/>
  <c r="AL139" i="1"/>
  <c r="AK139" i="1"/>
  <c r="AJ139" i="1"/>
  <c r="AI139" i="1"/>
  <c r="AH139" i="1"/>
  <c r="AG139" i="1"/>
  <c r="AF139" i="1"/>
  <c r="AE139" i="1"/>
  <c r="AD139" i="1"/>
  <c r="AC139" i="1"/>
  <c r="AB139" i="1"/>
  <c r="AA139" i="1"/>
  <c r="AL138" i="1"/>
  <c r="AK138" i="1"/>
  <c r="AJ138" i="1"/>
  <c r="AI138" i="1"/>
  <c r="AH138" i="1"/>
  <c r="AG138" i="1"/>
  <c r="AF138" i="1"/>
  <c r="AE138" i="1"/>
  <c r="AD138" i="1"/>
  <c r="AC138" i="1"/>
  <c r="AB138" i="1"/>
  <c r="AA138" i="1"/>
  <c r="AL137" i="1"/>
  <c r="AK137" i="1"/>
  <c r="AJ137" i="1"/>
  <c r="AI137" i="1"/>
  <c r="AH137" i="1"/>
  <c r="AG137" i="1"/>
  <c r="AF137" i="1"/>
  <c r="AE137" i="1"/>
  <c r="AD137" i="1"/>
  <c r="AC137" i="1"/>
  <c r="AB137" i="1"/>
  <c r="AA137" i="1"/>
  <c r="AV136" i="1"/>
  <c r="AL136" i="1"/>
  <c r="AK136" i="1"/>
  <c r="AJ136" i="1"/>
  <c r="AI136" i="1"/>
  <c r="AH136" i="1"/>
  <c r="AG136" i="1"/>
  <c r="AF136" i="1"/>
  <c r="AE136" i="1"/>
  <c r="AD136" i="1"/>
  <c r="AC136" i="1"/>
  <c r="AB136" i="1"/>
  <c r="AA136" i="1"/>
  <c r="BG135" i="1"/>
  <c r="BF135" i="1"/>
  <c r="BE135" i="1"/>
  <c r="BD135" i="1"/>
  <c r="BC135" i="1"/>
  <c r="BB135" i="1"/>
  <c r="BA135" i="1"/>
  <c r="AZ135" i="1"/>
  <c r="AY135" i="1"/>
  <c r="AX135" i="1"/>
  <c r="AW135" i="1"/>
  <c r="AV135" i="1"/>
  <c r="AR135" i="1"/>
  <c r="AO135" i="1"/>
  <c r="AL135" i="1"/>
  <c r="AK135" i="1"/>
  <c r="AJ135" i="1"/>
  <c r="AI135" i="1"/>
  <c r="AH135" i="1"/>
  <c r="AG135" i="1"/>
  <c r="AF135" i="1"/>
  <c r="AE135" i="1"/>
  <c r="AD135" i="1"/>
  <c r="AC135" i="1"/>
  <c r="AB135" i="1"/>
  <c r="AA135" i="1"/>
  <c r="BG134" i="1"/>
  <c r="BF134" i="1"/>
  <c r="BE134" i="1"/>
  <c r="BD134" i="1"/>
  <c r="BC134" i="1"/>
  <c r="BB134" i="1"/>
  <c r="BA134" i="1"/>
  <c r="AZ134" i="1"/>
  <c r="AY134" i="1"/>
  <c r="AX134" i="1"/>
  <c r="AW134" i="1"/>
  <c r="AV134" i="1"/>
  <c r="AR134" i="1"/>
  <c r="AO134" i="1"/>
  <c r="AL134" i="1"/>
  <c r="AK134" i="1"/>
  <c r="AJ134" i="1"/>
  <c r="AI134" i="1"/>
  <c r="AH134" i="1"/>
  <c r="AG134" i="1"/>
  <c r="AF134" i="1"/>
  <c r="AE134" i="1"/>
  <c r="AD134" i="1"/>
  <c r="AC134" i="1"/>
  <c r="AB134" i="1"/>
  <c r="AA134" i="1"/>
  <c r="BG133" i="1"/>
  <c r="BF133" i="1"/>
  <c r="BE133" i="1"/>
  <c r="BD133" i="1"/>
  <c r="BC133" i="1"/>
  <c r="BB133" i="1"/>
  <c r="BA133" i="1"/>
  <c r="AZ133" i="1"/>
  <c r="AY133" i="1"/>
  <c r="AX133" i="1"/>
  <c r="AW133" i="1"/>
  <c r="AV133" i="1"/>
  <c r="AR133" i="1"/>
  <c r="AO133" i="1"/>
  <c r="AL133" i="1"/>
  <c r="AK133" i="1"/>
  <c r="AJ133" i="1"/>
  <c r="AI133" i="1"/>
  <c r="AH133" i="1"/>
  <c r="AG133" i="1"/>
  <c r="AF133" i="1"/>
  <c r="AE133" i="1"/>
  <c r="AD133" i="1"/>
  <c r="AC133" i="1"/>
  <c r="AB133" i="1"/>
  <c r="AA133" i="1"/>
  <c r="BG132" i="1"/>
  <c r="BF132" i="1"/>
  <c r="BE132" i="1"/>
  <c r="BD132" i="1"/>
  <c r="BC132" i="1"/>
  <c r="BB132" i="1"/>
  <c r="BA132" i="1"/>
  <c r="AZ132" i="1"/>
  <c r="AY132" i="1"/>
  <c r="AX132" i="1"/>
  <c r="AW132" i="1"/>
  <c r="AV132" i="1"/>
  <c r="AR132" i="1"/>
  <c r="AO132" i="1"/>
  <c r="AL132" i="1"/>
  <c r="AK132" i="1"/>
  <c r="AJ132" i="1"/>
  <c r="AI132" i="1"/>
  <c r="AH132" i="1"/>
  <c r="AG132" i="1"/>
  <c r="AF132" i="1"/>
  <c r="AE132" i="1"/>
  <c r="AD132" i="1"/>
  <c r="AC132" i="1"/>
  <c r="AB132" i="1"/>
  <c r="AA132" i="1"/>
  <c r="AV131" i="1"/>
  <c r="AL131" i="1"/>
  <c r="AK131" i="1"/>
  <c r="AJ131" i="1"/>
  <c r="AI131" i="1"/>
  <c r="AH131" i="1"/>
  <c r="AG131" i="1"/>
  <c r="AF131" i="1"/>
  <c r="AE131" i="1"/>
  <c r="AD131" i="1"/>
  <c r="AC131" i="1"/>
  <c r="AB131" i="1"/>
  <c r="AA131" i="1"/>
  <c r="AW130" i="1"/>
  <c r="AV130" i="1"/>
  <c r="AL130" i="1"/>
  <c r="AK130" i="1"/>
  <c r="AJ130" i="1"/>
  <c r="AI130" i="1"/>
  <c r="AH130" i="1"/>
  <c r="AG130" i="1"/>
  <c r="AF130" i="1"/>
  <c r="AE130" i="1"/>
  <c r="AD130" i="1"/>
  <c r="AC130" i="1"/>
  <c r="AB130" i="1"/>
  <c r="AA130" i="1"/>
  <c r="AV129" i="1"/>
  <c r="AL129" i="1"/>
  <c r="AK129" i="1"/>
  <c r="AJ129" i="1"/>
  <c r="AI129" i="1"/>
  <c r="AH129" i="1"/>
  <c r="AG129" i="1"/>
  <c r="AF129" i="1"/>
  <c r="AE129" i="1"/>
  <c r="AD129" i="1"/>
  <c r="AC129" i="1"/>
  <c r="AB129" i="1"/>
  <c r="AA129" i="1"/>
  <c r="BG128" i="1"/>
  <c r="BF128" i="1"/>
  <c r="BE128" i="1"/>
  <c r="BD128" i="1"/>
  <c r="BC128" i="1"/>
  <c r="BB128" i="1"/>
  <c r="BA128" i="1"/>
  <c r="AZ128" i="1"/>
  <c r="AY128" i="1"/>
  <c r="AX128" i="1"/>
  <c r="AW128" i="1"/>
  <c r="AV128" i="1"/>
  <c r="AR128" i="1"/>
  <c r="AO128" i="1"/>
  <c r="AL128" i="1"/>
  <c r="AK128" i="1"/>
  <c r="AJ128" i="1"/>
  <c r="AI128" i="1"/>
  <c r="AH128" i="1"/>
  <c r="AG128" i="1"/>
  <c r="AF128" i="1"/>
  <c r="AE128" i="1"/>
  <c r="AD128" i="1"/>
  <c r="AC128" i="1"/>
  <c r="AB128" i="1"/>
  <c r="AA128" i="1"/>
  <c r="BL127" i="1"/>
  <c r="AY127" i="1" s="1"/>
  <c r="BG127" i="1"/>
  <c r="BF127" i="1"/>
  <c r="BE127" i="1"/>
  <c r="BD127" i="1"/>
  <c r="BC127" i="1"/>
  <c r="BB127" i="1"/>
  <c r="BA127" i="1"/>
  <c r="AZ127" i="1"/>
  <c r="AX127" i="1"/>
  <c r="AW127" i="1"/>
  <c r="AV127" i="1"/>
  <c r="AL127" i="1"/>
  <c r="AK127" i="1"/>
  <c r="AJ127" i="1"/>
  <c r="AI127" i="1"/>
  <c r="AH127" i="1"/>
  <c r="AG127" i="1"/>
  <c r="AF127" i="1"/>
  <c r="AE127" i="1"/>
  <c r="AD127" i="1"/>
  <c r="AC127" i="1"/>
  <c r="AB127" i="1"/>
  <c r="AA127" i="1"/>
  <c r="BG126" i="1"/>
  <c r="BF126" i="1"/>
  <c r="BE126" i="1"/>
  <c r="BD126" i="1"/>
  <c r="BC126" i="1"/>
  <c r="BB126" i="1"/>
  <c r="BA126" i="1"/>
  <c r="AZ126" i="1"/>
  <c r="AY126" i="1"/>
  <c r="AX126" i="1"/>
  <c r="AW126" i="1"/>
  <c r="AV126" i="1"/>
  <c r="AR126" i="1"/>
  <c r="AO126" i="1"/>
  <c r="AL126" i="1"/>
  <c r="AK126" i="1"/>
  <c r="AJ126" i="1"/>
  <c r="AI126" i="1"/>
  <c r="AH126" i="1"/>
  <c r="AG126" i="1"/>
  <c r="AF126" i="1"/>
  <c r="AE126" i="1"/>
  <c r="AD126" i="1"/>
  <c r="AC126" i="1"/>
  <c r="AB126" i="1"/>
  <c r="AA126" i="1"/>
  <c r="BG125" i="1"/>
  <c r="BF125" i="1"/>
  <c r="BE125" i="1"/>
  <c r="BD125" i="1"/>
  <c r="BC125" i="1"/>
  <c r="BB125" i="1"/>
  <c r="BA125" i="1"/>
  <c r="AZ125" i="1"/>
  <c r="AY125" i="1"/>
  <c r="AX125" i="1"/>
  <c r="AW125" i="1"/>
  <c r="AV125" i="1"/>
  <c r="AR125" i="1"/>
  <c r="AO125" i="1"/>
  <c r="AL125" i="1"/>
  <c r="AK125" i="1"/>
  <c r="AJ125" i="1"/>
  <c r="AI125" i="1"/>
  <c r="AH125" i="1"/>
  <c r="AG125" i="1"/>
  <c r="AF125" i="1"/>
  <c r="AE125" i="1"/>
  <c r="AD125" i="1"/>
  <c r="AC125" i="1"/>
  <c r="AB125" i="1"/>
  <c r="AA125" i="1"/>
  <c r="AV124" i="1"/>
  <c r="AL124" i="1"/>
  <c r="AK124" i="1"/>
  <c r="AJ124" i="1"/>
  <c r="AI124" i="1"/>
  <c r="AH124" i="1"/>
  <c r="AG124" i="1"/>
  <c r="AF124" i="1"/>
  <c r="AE124" i="1"/>
  <c r="AD124" i="1"/>
  <c r="AC124" i="1"/>
  <c r="AB124" i="1"/>
  <c r="AA124" i="1"/>
  <c r="L143" i="1"/>
  <c r="H120" i="1"/>
  <c r="E120" i="1"/>
  <c r="AL118" i="1"/>
  <c r="AK118" i="1"/>
  <c r="AJ118" i="1"/>
  <c r="AI118" i="1"/>
  <c r="AH118" i="1"/>
  <c r="AG118" i="1"/>
  <c r="AF118" i="1"/>
  <c r="AE118" i="1"/>
  <c r="AD118" i="1"/>
  <c r="AC118" i="1"/>
  <c r="AB118" i="1"/>
  <c r="AA118" i="1"/>
  <c r="BT117" i="1"/>
  <c r="BS117" i="1"/>
  <c r="BR117" i="1"/>
  <c r="BQ117" i="1"/>
  <c r="BP117" i="1"/>
  <c r="BC117" i="1" s="1"/>
  <c r="BO117" i="1"/>
  <c r="BB117" i="1" s="1"/>
  <c r="BN117" i="1"/>
  <c r="BA117" i="1" s="1"/>
  <c r="BM117" i="1"/>
  <c r="AZ117" i="1" s="1"/>
  <c r="BL117" i="1"/>
  <c r="AY117" i="1" s="1"/>
  <c r="BK117" i="1"/>
  <c r="AX117" i="1" s="1"/>
  <c r="BJ117" i="1"/>
  <c r="AW117" i="1" s="1"/>
  <c r="BI117" i="1"/>
  <c r="AV117" i="1" s="1"/>
  <c r="BG117" i="1"/>
  <c r="BF117" i="1"/>
  <c r="BE117" i="1"/>
  <c r="BD117" i="1"/>
  <c r="AL117" i="1"/>
  <c r="AK117" i="1"/>
  <c r="AJ117" i="1"/>
  <c r="AI117" i="1"/>
  <c r="AH117" i="1"/>
  <c r="AG117" i="1"/>
  <c r="AF117" i="1"/>
  <c r="AE117" i="1"/>
  <c r="AD117" i="1"/>
  <c r="AC117" i="1"/>
  <c r="AB117" i="1"/>
  <c r="AA117" i="1"/>
  <c r="BT116" i="1"/>
  <c r="BS116" i="1"/>
  <c r="BR116" i="1"/>
  <c r="BQ116" i="1"/>
  <c r="BP116" i="1"/>
  <c r="BC116" i="1" s="1"/>
  <c r="BO116" i="1"/>
  <c r="BB116" i="1" s="1"/>
  <c r="BN116" i="1"/>
  <c r="BA116" i="1" s="1"/>
  <c r="BM116" i="1"/>
  <c r="AZ116" i="1" s="1"/>
  <c r="BL116" i="1"/>
  <c r="AY116" i="1" s="1"/>
  <c r="BK116" i="1"/>
  <c r="BJ116" i="1"/>
  <c r="AW116" i="1" s="1"/>
  <c r="BI116" i="1"/>
  <c r="AV116" i="1" s="1"/>
  <c r="BG116" i="1"/>
  <c r="BF116" i="1"/>
  <c r="BE116" i="1"/>
  <c r="BD116" i="1"/>
  <c r="AL116" i="1"/>
  <c r="AK116" i="1"/>
  <c r="AJ116" i="1"/>
  <c r="AI116" i="1"/>
  <c r="AH116" i="1"/>
  <c r="AG116" i="1"/>
  <c r="AF116" i="1"/>
  <c r="AE116" i="1"/>
  <c r="AD116" i="1"/>
  <c r="AC116" i="1"/>
  <c r="AB116" i="1"/>
  <c r="AA116" i="1"/>
  <c r="AL115" i="1"/>
  <c r="AK115" i="1"/>
  <c r="AJ115" i="1"/>
  <c r="AI115" i="1"/>
  <c r="AH115" i="1"/>
  <c r="AG115" i="1"/>
  <c r="AF115" i="1"/>
  <c r="AE115" i="1"/>
  <c r="AD115" i="1"/>
  <c r="AC115" i="1"/>
  <c r="AB115" i="1"/>
  <c r="AA115" i="1"/>
  <c r="AL114" i="1"/>
  <c r="AK114" i="1"/>
  <c r="AJ114" i="1"/>
  <c r="AI114" i="1"/>
  <c r="AH114" i="1"/>
  <c r="AG114" i="1"/>
  <c r="AF114" i="1"/>
  <c r="AE114" i="1"/>
  <c r="AD114" i="1"/>
  <c r="AC114" i="1"/>
  <c r="AB114" i="1"/>
  <c r="AA114" i="1"/>
  <c r="AL113" i="1"/>
  <c r="AK113" i="1"/>
  <c r="AJ113" i="1"/>
  <c r="AI113" i="1"/>
  <c r="AH113" i="1"/>
  <c r="AG113" i="1"/>
  <c r="AF113" i="1"/>
  <c r="AE113" i="1"/>
  <c r="AD113" i="1"/>
  <c r="AC113" i="1"/>
  <c r="AB113" i="1"/>
  <c r="AA113" i="1"/>
  <c r="AL112" i="1"/>
  <c r="AK112" i="1"/>
  <c r="AJ112" i="1"/>
  <c r="AI112" i="1"/>
  <c r="AH112" i="1"/>
  <c r="AG112" i="1"/>
  <c r="AF112" i="1"/>
  <c r="AE112" i="1"/>
  <c r="AD112" i="1"/>
  <c r="AC112" i="1"/>
  <c r="AB112" i="1"/>
  <c r="AA112" i="1"/>
  <c r="AV111" i="1"/>
  <c r="AL111" i="1"/>
  <c r="AK111" i="1"/>
  <c r="AJ111" i="1"/>
  <c r="AI111" i="1"/>
  <c r="AH111" i="1"/>
  <c r="AG111" i="1"/>
  <c r="AF111" i="1"/>
  <c r="AE111" i="1"/>
  <c r="AD111" i="1"/>
  <c r="AC111" i="1"/>
  <c r="AB111" i="1"/>
  <c r="AA111" i="1"/>
  <c r="AV110" i="1"/>
  <c r="AL110" i="1"/>
  <c r="AK110" i="1"/>
  <c r="AJ110" i="1"/>
  <c r="AI110" i="1"/>
  <c r="AH110" i="1"/>
  <c r="AG110" i="1"/>
  <c r="AF110" i="1"/>
  <c r="AE110" i="1"/>
  <c r="AD110" i="1"/>
  <c r="AC110" i="1"/>
  <c r="AB110" i="1"/>
  <c r="AA110" i="1"/>
  <c r="BG109" i="1"/>
  <c r="BF109" i="1"/>
  <c r="BE109" i="1"/>
  <c r="BD109" i="1"/>
  <c r="BC109" i="1"/>
  <c r="BB109" i="1"/>
  <c r="BA109" i="1"/>
  <c r="AZ109" i="1"/>
  <c r="AY109" i="1"/>
  <c r="AX109" i="1"/>
  <c r="AW109" i="1"/>
  <c r="AV109" i="1"/>
  <c r="AR109" i="1"/>
  <c r="AO109" i="1"/>
  <c r="AL109" i="1"/>
  <c r="AK109" i="1"/>
  <c r="AJ109" i="1"/>
  <c r="AI109" i="1"/>
  <c r="AH109" i="1"/>
  <c r="AG109" i="1"/>
  <c r="AF109" i="1"/>
  <c r="AE109" i="1"/>
  <c r="AD109" i="1"/>
  <c r="AC109" i="1"/>
  <c r="AB109" i="1"/>
  <c r="AA109" i="1"/>
  <c r="BG108" i="1"/>
  <c r="BF108" i="1"/>
  <c r="BE108" i="1"/>
  <c r="BD108" i="1"/>
  <c r="BC108" i="1"/>
  <c r="BB108" i="1"/>
  <c r="BA108" i="1"/>
  <c r="AZ108" i="1"/>
  <c r="AY108" i="1"/>
  <c r="AX108" i="1"/>
  <c r="AW108" i="1"/>
  <c r="AV108" i="1"/>
  <c r="AR108" i="1"/>
  <c r="AO108" i="1"/>
  <c r="AL108" i="1"/>
  <c r="AK108" i="1"/>
  <c r="AJ108" i="1"/>
  <c r="AI108" i="1"/>
  <c r="AH108" i="1"/>
  <c r="AG108" i="1"/>
  <c r="AF108" i="1"/>
  <c r="AE108" i="1"/>
  <c r="AD108" i="1"/>
  <c r="AC108" i="1"/>
  <c r="AB108" i="1"/>
  <c r="AA108" i="1"/>
  <c r="BG107" i="1"/>
  <c r="BF107" i="1"/>
  <c r="BE107" i="1"/>
  <c r="BD107" i="1"/>
  <c r="BC107" i="1"/>
  <c r="BB107" i="1"/>
  <c r="BA107" i="1"/>
  <c r="AZ107" i="1"/>
  <c r="AY107" i="1"/>
  <c r="AX107" i="1"/>
  <c r="AW107" i="1"/>
  <c r="AV107" i="1"/>
  <c r="AR107" i="1"/>
  <c r="AO107" i="1"/>
  <c r="AL107" i="1"/>
  <c r="AK107" i="1"/>
  <c r="AJ107" i="1"/>
  <c r="AI107" i="1"/>
  <c r="AH107" i="1"/>
  <c r="AG107" i="1"/>
  <c r="AF107" i="1"/>
  <c r="AE107" i="1"/>
  <c r="AD107" i="1"/>
  <c r="AC107" i="1"/>
  <c r="AB107" i="1"/>
  <c r="AA107" i="1"/>
  <c r="BG106" i="1"/>
  <c r="BF106" i="1"/>
  <c r="BE106" i="1"/>
  <c r="BD106" i="1"/>
  <c r="BC106" i="1"/>
  <c r="BB106" i="1"/>
  <c r="BA106" i="1"/>
  <c r="AZ106" i="1"/>
  <c r="AY106" i="1"/>
  <c r="AX106" i="1"/>
  <c r="AW106" i="1"/>
  <c r="AV106" i="1"/>
  <c r="AR106" i="1"/>
  <c r="AO106" i="1"/>
  <c r="AL106" i="1"/>
  <c r="AK106" i="1"/>
  <c r="AJ106" i="1"/>
  <c r="AI106" i="1"/>
  <c r="AH106" i="1"/>
  <c r="AG106" i="1"/>
  <c r="AF106" i="1"/>
  <c r="AE106" i="1"/>
  <c r="AD106" i="1"/>
  <c r="AC106" i="1"/>
  <c r="AB106" i="1"/>
  <c r="AA106" i="1"/>
  <c r="AV105" i="1"/>
  <c r="AL105" i="1"/>
  <c r="AK105" i="1"/>
  <c r="AJ105" i="1"/>
  <c r="AI105" i="1"/>
  <c r="AH105" i="1"/>
  <c r="AG105" i="1"/>
  <c r="AF105" i="1"/>
  <c r="AE105" i="1"/>
  <c r="AD105" i="1"/>
  <c r="AC105" i="1"/>
  <c r="AB105" i="1"/>
  <c r="AA105" i="1"/>
  <c r="AV104" i="1"/>
  <c r="AL104" i="1"/>
  <c r="AK104" i="1"/>
  <c r="AJ104" i="1"/>
  <c r="AI104" i="1"/>
  <c r="AH104" i="1"/>
  <c r="AG104" i="1"/>
  <c r="AF104" i="1"/>
  <c r="AE104" i="1"/>
  <c r="AD104" i="1"/>
  <c r="AC104" i="1"/>
  <c r="AB104" i="1"/>
  <c r="AA104" i="1"/>
  <c r="AV103" i="1"/>
  <c r="AL103" i="1"/>
  <c r="AK103" i="1"/>
  <c r="AJ103" i="1"/>
  <c r="AI103" i="1"/>
  <c r="AH103" i="1"/>
  <c r="AG103" i="1"/>
  <c r="AF103" i="1"/>
  <c r="AE103" i="1"/>
  <c r="AD103" i="1"/>
  <c r="AC103" i="1"/>
  <c r="AB103" i="1"/>
  <c r="AA103" i="1"/>
  <c r="AW102" i="1"/>
  <c r="AV102" i="1"/>
  <c r="AL102" i="1"/>
  <c r="AK102" i="1"/>
  <c r="AJ102" i="1"/>
  <c r="AI102" i="1"/>
  <c r="AH102" i="1"/>
  <c r="AG102" i="1"/>
  <c r="AF102" i="1"/>
  <c r="AE102" i="1"/>
  <c r="AD102" i="1"/>
  <c r="AC102" i="1"/>
  <c r="AB102" i="1"/>
  <c r="AA102" i="1"/>
  <c r="AV101" i="1"/>
  <c r="AL101" i="1"/>
  <c r="AK101" i="1"/>
  <c r="AJ101" i="1"/>
  <c r="AI101" i="1"/>
  <c r="AH101" i="1"/>
  <c r="AG101" i="1"/>
  <c r="AF101" i="1"/>
  <c r="AE101" i="1"/>
  <c r="AD101" i="1"/>
  <c r="AC101" i="1"/>
  <c r="AB101" i="1"/>
  <c r="AA101" i="1"/>
  <c r="BG100" i="1"/>
  <c r="BF100" i="1"/>
  <c r="BE100" i="1"/>
  <c r="BD100" i="1"/>
  <c r="BC100" i="1"/>
  <c r="BB100" i="1"/>
  <c r="BA100" i="1"/>
  <c r="AZ100" i="1"/>
  <c r="AY100" i="1"/>
  <c r="AX100" i="1"/>
  <c r="AW100" i="1"/>
  <c r="AV100" i="1"/>
  <c r="AR100" i="1"/>
  <c r="AO100" i="1"/>
  <c r="AL100" i="1"/>
  <c r="AK100" i="1"/>
  <c r="AJ100" i="1"/>
  <c r="AI100" i="1"/>
  <c r="AH100" i="1"/>
  <c r="AG100" i="1"/>
  <c r="AF100" i="1"/>
  <c r="AE100" i="1"/>
  <c r="AD100" i="1"/>
  <c r="AC100" i="1"/>
  <c r="AB100" i="1"/>
  <c r="AA100" i="1"/>
  <c r="BG99" i="1"/>
  <c r="BF99" i="1"/>
  <c r="BE99" i="1"/>
  <c r="BD99" i="1"/>
  <c r="BC99" i="1"/>
  <c r="BB99" i="1"/>
  <c r="BA99" i="1"/>
  <c r="AZ99" i="1"/>
  <c r="AY99" i="1"/>
  <c r="AX99" i="1"/>
  <c r="AW99" i="1"/>
  <c r="AV99" i="1"/>
  <c r="AR99" i="1"/>
  <c r="AO99" i="1"/>
  <c r="AL99" i="1"/>
  <c r="AK99" i="1"/>
  <c r="AJ99" i="1"/>
  <c r="AI99" i="1"/>
  <c r="AH99" i="1"/>
  <c r="AG99" i="1"/>
  <c r="AF99" i="1"/>
  <c r="AE99" i="1"/>
  <c r="AD99" i="1"/>
  <c r="AC99" i="1"/>
  <c r="AB99" i="1"/>
  <c r="AA99" i="1"/>
  <c r="BL98" i="1"/>
  <c r="AO98" i="1" s="1"/>
  <c r="BG98" i="1"/>
  <c r="BF98" i="1"/>
  <c r="BE98" i="1"/>
  <c r="BD98" i="1"/>
  <c r="BC98" i="1"/>
  <c r="BB98" i="1"/>
  <c r="BA98" i="1"/>
  <c r="AZ98" i="1"/>
  <c r="AX98" i="1"/>
  <c r="AW98" i="1"/>
  <c r="AV98" i="1"/>
  <c r="AL98" i="1"/>
  <c r="AK98" i="1"/>
  <c r="AJ98" i="1"/>
  <c r="AI98" i="1"/>
  <c r="AH98" i="1"/>
  <c r="AG98" i="1"/>
  <c r="AF98" i="1"/>
  <c r="AE98" i="1"/>
  <c r="AD98" i="1"/>
  <c r="AC98" i="1"/>
  <c r="AB98" i="1"/>
  <c r="AA98" i="1"/>
  <c r="BG97" i="1"/>
  <c r="BF97" i="1"/>
  <c r="BE97" i="1"/>
  <c r="BD97" i="1"/>
  <c r="BC97" i="1"/>
  <c r="BB97" i="1"/>
  <c r="BA97" i="1"/>
  <c r="AZ97" i="1"/>
  <c r="AY97" i="1"/>
  <c r="AX97" i="1"/>
  <c r="AW97" i="1"/>
  <c r="AV97" i="1"/>
  <c r="AR97" i="1"/>
  <c r="AO97" i="1"/>
  <c r="AL97" i="1"/>
  <c r="AK97" i="1"/>
  <c r="AJ97" i="1"/>
  <c r="AI97" i="1"/>
  <c r="AH97" i="1"/>
  <c r="AG97" i="1"/>
  <c r="AF97" i="1"/>
  <c r="AE97" i="1"/>
  <c r="AD97" i="1"/>
  <c r="AC97" i="1"/>
  <c r="AB97" i="1"/>
  <c r="AA97" i="1"/>
  <c r="AV96" i="1"/>
  <c r="AL96" i="1"/>
  <c r="AK96" i="1"/>
  <c r="AJ96" i="1"/>
  <c r="AI96" i="1"/>
  <c r="AH96" i="1"/>
  <c r="AG96" i="1"/>
  <c r="AF96" i="1"/>
  <c r="AE96" i="1"/>
  <c r="AD96" i="1"/>
  <c r="AC96" i="1"/>
  <c r="AB96" i="1"/>
  <c r="AA96" i="1"/>
  <c r="BG95" i="1"/>
  <c r="BF95" i="1"/>
  <c r="BE95" i="1"/>
  <c r="BD95" i="1"/>
  <c r="BC95" i="1"/>
  <c r="BB95" i="1"/>
  <c r="BA95" i="1"/>
  <c r="AZ95" i="1"/>
  <c r="AY95" i="1"/>
  <c r="AX95" i="1"/>
  <c r="AW95" i="1"/>
  <c r="AV95" i="1"/>
  <c r="AR95" i="1"/>
  <c r="AO95" i="1"/>
  <c r="AL95" i="1"/>
  <c r="AK95" i="1"/>
  <c r="AJ95" i="1"/>
  <c r="AI95" i="1"/>
  <c r="AH95" i="1"/>
  <c r="AG95" i="1"/>
  <c r="AF95" i="1"/>
  <c r="AE95" i="1"/>
  <c r="AD95" i="1"/>
  <c r="AC95" i="1"/>
  <c r="AB95" i="1"/>
  <c r="AA95" i="1"/>
  <c r="AV94" i="1"/>
  <c r="AL94" i="1"/>
  <c r="AK94" i="1"/>
  <c r="AJ94" i="1"/>
  <c r="AI94" i="1"/>
  <c r="AH94" i="1"/>
  <c r="AG94" i="1"/>
  <c r="AF94" i="1"/>
  <c r="AE94" i="1"/>
  <c r="AD94" i="1"/>
  <c r="AC94" i="1"/>
  <c r="AB94" i="1"/>
  <c r="AA94" i="1"/>
  <c r="L120" i="1"/>
  <c r="H90" i="1"/>
  <c r="E90" i="1"/>
  <c r="AL88" i="1"/>
  <c r="AK88" i="1"/>
  <c r="AJ88" i="1"/>
  <c r="AI88" i="1"/>
  <c r="AH88" i="1"/>
  <c r="AG88" i="1"/>
  <c r="AF88" i="1"/>
  <c r="AE88" i="1"/>
  <c r="AD88" i="1"/>
  <c r="AC88" i="1"/>
  <c r="AB88" i="1"/>
  <c r="AA88" i="1"/>
  <c r="BT87" i="1"/>
  <c r="BS87" i="1"/>
  <c r="BR87" i="1"/>
  <c r="BQ87" i="1"/>
  <c r="BP87" i="1"/>
  <c r="BO87" i="1"/>
  <c r="BN87" i="1"/>
  <c r="BM87" i="1"/>
  <c r="BL87" i="1"/>
  <c r="AY87" i="1" s="1"/>
  <c r="BK87" i="1"/>
  <c r="BJ87" i="1"/>
  <c r="AW87" i="1" s="1"/>
  <c r="BI87" i="1"/>
  <c r="AV87" i="1" s="1"/>
  <c r="BG87" i="1"/>
  <c r="BF87" i="1"/>
  <c r="BE87" i="1"/>
  <c r="BD87" i="1"/>
  <c r="BC87" i="1"/>
  <c r="BB87" i="1"/>
  <c r="BA87" i="1"/>
  <c r="AZ87" i="1"/>
  <c r="AX87" i="1"/>
  <c r="AL87" i="1"/>
  <c r="AK87" i="1"/>
  <c r="AJ87" i="1"/>
  <c r="AI87" i="1"/>
  <c r="AH87" i="1"/>
  <c r="AG87" i="1"/>
  <c r="AF87" i="1"/>
  <c r="AE87" i="1"/>
  <c r="AD87" i="1"/>
  <c r="AC87" i="1"/>
  <c r="AB87" i="1"/>
  <c r="AA87" i="1"/>
  <c r="BD86" i="1"/>
  <c r="BC86" i="1"/>
  <c r="BB86" i="1"/>
  <c r="BA86" i="1"/>
  <c r="AZ86" i="1"/>
  <c r="AX86" i="1"/>
  <c r="AW86" i="1"/>
  <c r="AV86" i="1"/>
  <c r="BG86" i="1"/>
  <c r="BF86" i="1"/>
  <c r="BE86" i="1"/>
  <c r="AL86" i="1"/>
  <c r="AK86" i="1"/>
  <c r="AJ86" i="1"/>
  <c r="AI86" i="1"/>
  <c r="AH86" i="1"/>
  <c r="AG86" i="1"/>
  <c r="AF86" i="1"/>
  <c r="AE86" i="1"/>
  <c r="AD86" i="1"/>
  <c r="AC86" i="1"/>
  <c r="AB86" i="1"/>
  <c r="AA86" i="1"/>
  <c r="AL85" i="1"/>
  <c r="AK85" i="1"/>
  <c r="AJ85" i="1"/>
  <c r="AI85" i="1"/>
  <c r="AH85" i="1"/>
  <c r="AG85" i="1"/>
  <c r="AF85" i="1"/>
  <c r="AE85" i="1"/>
  <c r="AD85" i="1"/>
  <c r="AC85" i="1"/>
  <c r="AB85" i="1"/>
  <c r="AA85" i="1"/>
  <c r="AL84" i="1"/>
  <c r="AK84" i="1"/>
  <c r="AJ84" i="1"/>
  <c r="AI84" i="1"/>
  <c r="AH84" i="1"/>
  <c r="AG84" i="1"/>
  <c r="AF84" i="1"/>
  <c r="AE84" i="1"/>
  <c r="AD84" i="1"/>
  <c r="AC84" i="1"/>
  <c r="AB84" i="1"/>
  <c r="AA84" i="1"/>
  <c r="AL83" i="1"/>
  <c r="AK83" i="1"/>
  <c r="AJ83" i="1"/>
  <c r="AI83" i="1"/>
  <c r="AH83" i="1"/>
  <c r="AG83" i="1"/>
  <c r="AF83" i="1"/>
  <c r="AE83" i="1"/>
  <c r="AD83" i="1"/>
  <c r="AC83" i="1"/>
  <c r="AB83" i="1"/>
  <c r="AA83" i="1"/>
  <c r="AL82" i="1"/>
  <c r="AK82" i="1"/>
  <c r="AJ82" i="1"/>
  <c r="AI82" i="1"/>
  <c r="AH82" i="1"/>
  <c r="AG82" i="1"/>
  <c r="AF82" i="1"/>
  <c r="AE82" i="1"/>
  <c r="AD82" i="1"/>
  <c r="AC82" i="1"/>
  <c r="AB82" i="1"/>
  <c r="AA82" i="1"/>
  <c r="AV81" i="1"/>
  <c r="AL81" i="1"/>
  <c r="AK81" i="1"/>
  <c r="AJ81" i="1"/>
  <c r="AI81" i="1"/>
  <c r="AH81" i="1"/>
  <c r="AG81" i="1"/>
  <c r="AF81" i="1"/>
  <c r="AE81" i="1"/>
  <c r="AD81" i="1"/>
  <c r="AC81" i="1"/>
  <c r="AB81" i="1"/>
  <c r="AA81" i="1"/>
  <c r="BT80" i="1"/>
  <c r="BG80" i="1" s="1"/>
  <c r="BS80" i="1"/>
  <c r="BF80" i="1" s="1"/>
  <c r="BR80" i="1"/>
  <c r="BE80" i="1" s="1"/>
  <c r="BQ80" i="1"/>
  <c r="BD80" i="1" s="1"/>
  <c r="BP80" i="1"/>
  <c r="BC80" i="1" s="1"/>
  <c r="BO80" i="1"/>
  <c r="BB80" i="1" s="1"/>
  <c r="BN80" i="1"/>
  <c r="BA80" i="1" s="1"/>
  <c r="BM80" i="1"/>
  <c r="AZ80" i="1" s="1"/>
  <c r="BL80" i="1"/>
  <c r="AY80" i="1" s="1"/>
  <c r="BK80" i="1"/>
  <c r="AX80" i="1" s="1"/>
  <c r="BJ80" i="1"/>
  <c r="AW80" i="1" s="1"/>
  <c r="BI80" i="1"/>
  <c r="AV80" i="1" s="1"/>
  <c r="AL80" i="1"/>
  <c r="AK80" i="1"/>
  <c r="AJ80" i="1"/>
  <c r="AI80" i="1"/>
  <c r="AH80" i="1"/>
  <c r="AG80" i="1"/>
  <c r="AF80" i="1"/>
  <c r="AE80" i="1"/>
  <c r="AD80" i="1"/>
  <c r="AC80" i="1"/>
  <c r="AB80" i="1"/>
  <c r="AA80" i="1"/>
  <c r="AV79" i="1"/>
  <c r="AL79" i="1"/>
  <c r="AK79" i="1"/>
  <c r="AJ79" i="1"/>
  <c r="AI79" i="1"/>
  <c r="AH79" i="1"/>
  <c r="AG79" i="1"/>
  <c r="AF79" i="1"/>
  <c r="AE79" i="1"/>
  <c r="AD79" i="1"/>
  <c r="AC79" i="1"/>
  <c r="AB79" i="1"/>
  <c r="AA79" i="1"/>
  <c r="BG78" i="1"/>
  <c r="BF78" i="1"/>
  <c r="BE78" i="1"/>
  <c r="BD78" i="1"/>
  <c r="BC78" i="1"/>
  <c r="BB78" i="1"/>
  <c r="BA78" i="1"/>
  <c r="AZ78" i="1"/>
  <c r="AY78" i="1"/>
  <c r="AX78" i="1"/>
  <c r="AW78" i="1"/>
  <c r="AV78" i="1"/>
  <c r="AR78" i="1"/>
  <c r="AO78" i="1"/>
  <c r="AL78" i="1"/>
  <c r="AK78" i="1"/>
  <c r="AJ78" i="1"/>
  <c r="AI78" i="1"/>
  <c r="AH78" i="1"/>
  <c r="AG78" i="1"/>
  <c r="AF78" i="1"/>
  <c r="AE78" i="1"/>
  <c r="AD78" i="1"/>
  <c r="AC78" i="1"/>
  <c r="AB78" i="1"/>
  <c r="AA78" i="1"/>
  <c r="BG77" i="1"/>
  <c r="BF77" i="1"/>
  <c r="BE77" i="1"/>
  <c r="BD77" i="1"/>
  <c r="BC77" i="1"/>
  <c r="BB77" i="1"/>
  <c r="BA77" i="1"/>
  <c r="AZ77" i="1"/>
  <c r="AY77" i="1"/>
  <c r="AX77" i="1"/>
  <c r="AW77" i="1"/>
  <c r="AV77" i="1"/>
  <c r="AR77" i="1"/>
  <c r="AO77" i="1"/>
  <c r="AL77" i="1"/>
  <c r="AK77" i="1"/>
  <c r="AJ77" i="1"/>
  <c r="AI77" i="1"/>
  <c r="AH77" i="1"/>
  <c r="AG77" i="1"/>
  <c r="AF77" i="1"/>
  <c r="AE77" i="1"/>
  <c r="AD77" i="1"/>
  <c r="AC77" i="1"/>
  <c r="AB77" i="1"/>
  <c r="AA77" i="1"/>
  <c r="BG76" i="1"/>
  <c r="BF76" i="1"/>
  <c r="BE76" i="1"/>
  <c r="BD76" i="1"/>
  <c r="BC76" i="1"/>
  <c r="BB76" i="1"/>
  <c r="BA76" i="1"/>
  <c r="AZ76" i="1"/>
  <c r="AY76" i="1"/>
  <c r="AX76" i="1"/>
  <c r="AW76" i="1"/>
  <c r="AV76" i="1"/>
  <c r="AR76" i="1"/>
  <c r="AO76" i="1"/>
  <c r="AL76" i="1"/>
  <c r="AK76" i="1"/>
  <c r="AJ76" i="1"/>
  <c r="AI76" i="1"/>
  <c r="AH76" i="1"/>
  <c r="AG76" i="1"/>
  <c r="AF76" i="1"/>
  <c r="AE76" i="1"/>
  <c r="AD76" i="1"/>
  <c r="AC76" i="1"/>
  <c r="AB76" i="1"/>
  <c r="AA76" i="1"/>
  <c r="BG75" i="1"/>
  <c r="BF75" i="1"/>
  <c r="BE75" i="1"/>
  <c r="BD75" i="1"/>
  <c r="BC75" i="1"/>
  <c r="BB75" i="1"/>
  <c r="BA75" i="1"/>
  <c r="AZ75" i="1"/>
  <c r="AY75" i="1"/>
  <c r="AX75" i="1"/>
  <c r="AW75" i="1"/>
  <c r="AV75" i="1"/>
  <c r="AR75" i="1"/>
  <c r="AO75" i="1"/>
  <c r="AL75" i="1"/>
  <c r="AK75" i="1"/>
  <c r="AJ75" i="1"/>
  <c r="AI75" i="1"/>
  <c r="AH75" i="1"/>
  <c r="AG75" i="1"/>
  <c r="AF75" i="1"/>
  <c r="AE75" i="1"/>
  <c r="AD75" i="1"/>
  <c r="AC75" i="1"/>
  <c r="AB75" i="1"/>
  <c r="AA75" i="1"/>
  <c r="AV74" i="1"/>
  <c r="AL74" i="1"/>
  <c r="AK74" i="1"/>
  <c r="AJ74" i="1"/>
  <c r="AI74" i="1"/>
  <c r="AH74" i="1"/>
  <c r="AG74" i="1"/>
  <c r="AF74" i="1"/>
  <c r="AE74" i="1"/>
  <c r="AD74" i="1"/>
  <c r="AC74" i="1"/>
  <c r="AB74" i="1"/>
  <c r="AA74" i="1"/>
  <c r="AV73" i="1"/>
  <c r="AL73" i="1"/>
  <c r="AK73" i="1"/>
  <c r="AJ73" i="1"/>
  <c r="AI73" i="1"/>
  <c r="AH73" i="1"/>
  <c r="AG73" i="1"/>
  <c r="AF73" i="1"/>
  <c r="AE73" i="1"/>
  <c r="AD73" i="1"/>
  <c r="AC73" i="1"/>
  <c r="AB73" i="1"/>
  <c r="AA73" i="1"/>
  <c r="AV72" i="1"/>
  <c r="AL72" i="1"/>
  <c r="AK72" i="1"/>
  <c r="AJ72" i="1"/>
  <c r="AI72" i="1"/>
  <c r="AH72" i="1"/>
  <c r="AG72" i="1"/>
  <c r="AF72" i="1"/>
  <c r="AE72" i="1"/>
  <c r="AD72" i="1"/>
  <c r="AC72" i="1"/>
  <c r="AB72" i="1"/>
  <c r="AA72" i="1"/>
  <c r="AW71" i="1"/>
  <c r="AV71" i="1"/>
  <c r="AL71" i="1"/>
  <c r="AK71" i="1"/>
  <c r="AJ71" i="1"/>
  <c r="AI71" i="1"/>
  <c r="AH71" i="1"/>
  <c r="AG71" i="1"/>
  <c r="AF71" i="1"/>
  <c r="AE71" i="1"/>
  <c r="AD71" i="1"/>
  <c r="AC71" i="1"/>
  <c r="AB71" i="1"/>
  <c r="AA71" i="1"/>
  <c r="AV70" i="1"/>
  <c r="AL70" i="1"/>
  <c r="AK70" i="1"/>
  <c r="AJ70" i="1"/>
  <c r="AI70" i="1"/>
  <c r="AH70" i="1"/>
  <c r="AG70" i="1"/>
  <c r="AF70" i="1"/>
  <c r="AE70" i="1"/>
  <c r="AD70" i="1"/>
  <c r="AC70" i="1"/>
  <c r="AB70" i="1"/>
  <c r="AA70" i="1"/>
  <c r="BG69" i="1"/>
  <c r="BF69" i="1"/>
  <c r="BE69" i="1"/>
  <c r="BD69" i="1"/>
  <c r="BC69" i="1"/>
  <c r="BB69" i="1"/>
  <c r="BA69" i="1"/>
  <c r="AZ69" i="1"/>
  <c r="AY69" i="1"/>
  <c r="AX69" i="1"/>
  <c r="AW69" i="1"/>
  <c r="AV69" i="1"/>
  <c r="AR69" i="1"/>
  <c r="AO69" i="1"/>
  <c r="AL69" i="1"/>
  <c r="AK69" i="1"/>
  <c r="AJ69" i="1"/>
  <c r="AI69" i="1"/>
  <c r="AH69" i="1"/>
  <c r="AG69" i="1"/>
  <c r="AF69" i="1"/>
  <c r="AE69" i="1"/>
  <c r="AD69" i="1"/>
  <c r="AC69" i="1"/>
  <c r="AB69" i="1"/>
  <c r="AA69" i="1"/>
  <c r="BG68" i="1"/>
  <c r="BF68" i="1"/>
  <c r="BE68" i="1"/>
  <c r="BD68" i="1"/>
  <c r="BC68" i="1"/>
  <c r="BB68" i="1"/>
  <c r="BA68" i="1"/>
  <c r="AZ68" i="1"/>
  <c r="AY68" i="1"/>
  <c r="AX68" i="1"/>
  <c r="AW68" i="1"/>
  <c r="AV68" i="1"/>
  <c r="AR68" i="1"/>
  <c r="AO68" i="1"/>
  <c r="AL68" i="1"/>
  <c r="AK68" i="1"/>
  <c r="AJ68" i="1"/>
  <c r="AI68" i="1"/>
  <c r="AH68" i="1"/>
  <c r="AG68" i="1"/>
  <c r="AF68" i="1"/>
  <c r="AE68" i="1"/>
  <c r="AD68" i="1"/>
  <c r="AC68" i="1"/>
  <c r="AB68" i="1"/>
  <c r="AA68" i="1"/>
  <c r="AO67" i="1"/>
  <c r="BG67" i="1"/>
  <c r="BF67" i="1"/>
  <c r="BE67" i="1"/>
  <c r="BD67" i="1"/>
  <c r="BC67" i="1"/>
  <c r="BB67" i="1"/>
  <c r="BA67" i="1"/>
  <c r="AZ67" i="1"/>
  <c r="AX67" i="1"/>
  <c r="AW67" i="1"/>
  <c r="AV67" i="1"/>
  <c r="AR67" i="1"/>
  <c r="AL67" i="1"/>
  <c r="AK67" i="1"/>
  <c r="AJ67" i="1"/>
  <c r="AI67" i="1"/>
  <c r="AH67" i="1"/>
  <c r="AG67" i="1"/>
  <c r="AF67" i="1"/>
  <c r="AE67" i="1"/>
  <c r="AD67" i="1"/>
  <c r="AC67" i="1"/>
  <c r="AB67" i="1"/>
  <c r="AA67" i="1"/>
  <c r="BG66" i="1"/>
  <c r="BF66" i="1"/>
  <c r="BE66" i="1"/>
  <c r="BD66" i="1"/>
  <c r="BC66" i="1"/>
  <c r="BB66" i="1"/>
  <c r="BA66" i="1"/>
  <c r="AZ66" i="1"/>
  <c r="AX66" i="1"/>
  <c r="AW66" i="1"/>
  <c r="AV66" i="1"/>
  <c r="AL66" i="1"/>
  <c r="AK66" i="1"/>
  <c r="AJ66" i="1"/>
  <c r="AI66" i="1"/>
  <c r="AH66" i="1"/>
  <c r="AG66" i="1"/>
  <c r="AF66" i="1"/>
  <c r="AE66" i="1"/>
  <c r="AD66" i="1"/>
  <c r="AC66" i="1"/>
  <c r="AB66" i="1"/>
  <c r="AA66" i="1"/>
  <c r="BG65" i="1"/>
  <c r="BF65" i="1"/>
  <c r="BE65" i="1"/>
  <c r="BD65" i="1"/>
  <c r="BC65" i="1"/>
  <c r="BB65" i="1"/>
  <c r="BA65" i="1"/>
  <c r="AZ65" i="1"/>
  <c r="AY65" i="1"/>
  <c r="AX65" i="1"/>
  <c r="AW65" i="1"/>
  <c r="AV65" i="1"/>
  <c r="AR65" i="1"/>
  <c r="AO65" i="1"/>
  <c r="AL65" i="1"/>
  <c r="AK65" i="1"/>
  <c r="AJ65" i="1"/>
  <c r="AI65" i="1"/>
  <c r="AH65" i="1"/>
  <c r="AG65" i="1"/>
  <c r="AF65" i="1"/>
  <c r="AE65" i="1"/>
  <c r="AD65" i="1"/>
  <c r="AC65" i="1"/>
  <c r="AB65" i="1"/>
  <c r="AA65" i="1"/>
  <c r="BG64" i="1"/>
  <c r="BF64" i="1"/>
  <c r="BE64" i="1"/>
  <c r="BD64" i="1"/>
  <c r="BC64" i="1"/>
  <c r="BB64" i="1"/>
  <c r="BA64" i="1"/>
  <c r="AZ64" i="1"/>
  <c r="AY64" i="1"/>
  <c r="AX64" i="1"/>
  <c r="AW64" i="1"/>
  <c r="AV64" i="1"/>
  <c r="AR64" i="1"/>
  <c r="AO64" i="1"/>
  <c r="AL64" i="1"/>
  <c r="AK64" i="1"/>
  <c r="AJ64" i="1"/>
  <c r="AI64" i="1"/>
  <c r="AH64" i="1"/>
  <c r="AG64" i="1"/>
  <c r="AF64" i="1"/>
  <c r="AE64" i="1"/>
  <c r="AD64" i="1"/>
  <c r="AC64" i="1"/>
  <c r="AB64" i="1"/>
  <c r="AA64" i="1"/>
  <c r="BG63" i="1"/>
  <c r="BF63" i="1"/>
  <c r="BE63" i="1"/>
  <c r="BD63" i="1"/>
  <c r="BC63" i="1"/>
  <c r="BB63" i="1"/>
  <c r="BA63" i="1"/>
  <c r="AZ63" i="1"/>
  <c r="AY63" i="1"/>
  <c r="AX63" i="1"/>
  <c r="AW63" i="1"/>
  <c r="AV63" i="1"/>
  <c r="AL63" i="1"/>
  <c r="AK63" i="1"/>
  <c r="AJ63" i="1"/>
  <c r="AI63" i="1"/>
  <c r="AH63" i="1"/>
  <c r="AG63" i="1"/>
  <c r="AF63" i="1"/>
  <c r="AE63" i="1"/>
  <c r="AD63" i="1"/>
  <c r="AC63" i="1"/>
  <c r="AB63" i="1"/>
  <c r="AA63" i="1"/>
  <c r="AV62" i="1"/>
  <c r="AL62" i="1"/>
  <c r="AK62" i="1"/>
  <c r="AJ62" i="1"/>
  <c r="AI62" i="1"/>
  <c r="AH62" i="1"/>
  <c r="AG62" i="1"/>
  <c r="AF62" i="1"/>
  <c r="AE62" i="1"/>
  <c r="AD62" i="1"/>
  <c r="AC62" i="1"/>
  <c r="AB62" i="1"/>
  <c r="AA62" i="1"/>
  <c r="AV61" i="1"/>
  <c r="AL61" i="1"/>
  <c r="AK61" i="1"/>
  <c r="AJ61" i="1"/>
  <c r="AI61" i="1"/>
  <c r="AH61" i="1"/>
  <c r="AG61" i="1"/>
  <c r="AF61" i="1"/>
  <c r="AE61" i="1"/>
  <c r="AD61" i="1"/>
  <c r="AC61" i="1"/>
  <c r="AB61" i="1"/>
  <c r="AA61" i="1"/>
  <c r="M53" i="1"/>
  <c r="L53" i="1"/>
  <c r="E53" i="1"/>
  <c r="BT52" i="1"/>
  <c r="BT53" i="1" s="1"/>
  <c r="BS52" i="1"/>
  <c r="BS53" i="1" s="1"/>
  <c r="BR52" i="1"/>
  <c r="BR53" i="1" s="1"/>
  <c r="BQ52" i="1"/>
  <c r="BQ53" i="1" s="1"/>
  <c r="BP52" i="1"/>
  <c r="BP53" i="1" s="1"/>
  <c r="BO52" i="1"/>
  <c r="BO53" i="1" s="1"/>
  <c r="BN52" i="1"/>
  <c r="BN53" i="1" s="1"/>
  <c r="BM52" i="1"/>
  <c r="BM53" i="1" s="1"/>
  <c r="BL52" i="1"/>
  <c r="BL53" i="1" s="1"/>
  <c r="BK52" i="1"/>
  <c r="BK53" i="1" s="1"/>
  <c r="BJ52" i="1"/>
  <c r="BJ53" i="1" s="1"/>
  <c r="BI52" i="1"/>
  <c r="BI53" i="1" s="1"/>
  <c r="BG52" i="1"/>
  <c r="BG53" i="1" s="1"/>
  <c r="BF52" i="1"/>
  <c r="BF53" i="1" s="1"/>
  <c r="BE52" i="1"/>
  <c r="BE53" i="1" s="1"/>
  <c r="BD52" i="1"/>
  <c r="BD53" i="1" s="1"/>
  <c r="BC52" i="1"/>
  <c r="BC53" i="1" s="1"/>
  <c r="BB52" i="1"/>
  <c r="BB53" i="1" s="1"/>
  <c r="BA52" i="1"/>
  <c r="BA53" i="1" s="1"/>
  <c r="AZ52" i="1"/>
  <c r="AZ53" i="1" s="1"/>
  <c r="AY52" i="1"/>
  <c r="AY53" i="1" s="1"/>
  <c r="AX52" i="1"/>
  <c r="AX53" i="1" s="1"/>
  <c r="AW52" i="1"/>
  <c r="AW53" i="1" s="1"/>
  <c r="AV52" i="1"/>
  <c r="AV53" i="1" s="1"/>
  <c r="AL52" i="1"/>
  <c r="AL53" i="1" s="1"/>
  <c r="AK52" i="1"/>
  <c r="AK53" i="1" s="1"/>
  <c r="AJ52" i="1"/>
  <c r="AJ53" i="1" s="1"/>
  <c r="AI52" i="1"/>
  <c r="AI53" i="1" s="1"/>
  <c r="AH52" i="1"/>
  <c r="AH53" i="1" s="1"/>
  <c r="AG52" i="1"/>
  <c r="AG53" i="1" s="1"/>
  <c r="AF52" i="1"/>
  <c r="AF53" i="1" s="1"/>
  <c r="AE52" i="1"/>
  <c r="AE53" i="1" s="1"/>
  <c r="AD52" i="1"/>
  <c r="AD53" i="1" s="1"/>
  <c r="AC52" i="1"/>
  <c r="AC53" i="1" s="1"/>
  <c r="AB52" i="1"/>
  <c r="AB53" i="1" s="1"/>
  <c r="AA52" i="1"/>
  <c r="AA53" i="1" s="1"/>
  <c r="H50" i="1"/>
  <c r="E50" i="1"/>
  <c r="BT49" i="1"/>
  <c r="BS49" i="1"/>
  <c r="BR49" i="1"/>
  <c r="BQ49" i="1"/>
  <c r="BP49" i="1"/>
  <c r="BO49" i="1"/>
  <c r="BN49" i="1"/>
  <c r="BM49" i="1"/>
  <c r="BL49" i="1"/>
  <c r="BK49" i="1"/>
  <c r="AX49" i="1" s="1"/>
  <c r="BJ49" i="1"/>
  <c r="AW49" i="1" s="1"/>
  <c r="BI49" i="1"/>
  <c r="AV49" i="1" s="1"/>
  <c r="BG49" i="1"/>
  <c r="BF49" i="1"/>
  <c r="BE49" i="1"/>
  <c r="BD49" i="1"/>
  <c r="BC49" i="1"/>
  <c r="BB49" i="1"/>
  <c r="BA49" i="1"/>
  <c r="AZ49" i="1"/>
  <c r="AL49" i="1"/>
  <c r="AK49" i="1"/>
  <c r="AJ49" i="1"/>
  <c r="AI49" i="1"/>
  <c r="AH49" i="1"/>
  <c r="AG49" i="1"/>
  <c r="AF49" i="1"/>
  <c r="AE49" i="1"/>
  <c r="AD49" i="1"/>
  <c r="AC49" i="1"/>
  <c r="AB49" i="1"/>
  <c r="AA49" i="1"/>
  <c r="BT48" i="1"/>
  <c r="BG48" i="1" s="1"/>
  <c r="BS48" i="1"/>
  <c r="BF48" i="1" s="1"/>
  <c r="BR48" i="1"/>
  <c r="BE48" i="1" s="1"/>
  <c r="BQ48" i="1"/>
  <c r="BD48" i="1" s="1"/>
  <c r="BP48" i="1"/>
  <c r="BC48" i="1" s="1"/>
  <c r="BO48" i="1"/>
  <c r="BB48" i="1" s="1"/>
  <c r="BN48" i="1"/>
  <c r="BA48" i="1" s="1"/>
  <c r="BM48" i="1"/>
  <c r="AZ48" i="1" s="1"/>
  <c r="BL48" i="1"/>
  <c r="AY48" i="1" s="1"/>
  <c r="BK48" i="1"/>
  <c r="AX48" i="1" s="1"/>
  <c r="BJ48" i="1"/>
  <c r="AW48" i="1" s="1"/>
  <c r="BI48" i="1"/>
  <c r="AV48" i="1" s="1"/>
  <c r="AL48" i="1"/>
  <c r="AK48" i="1"/>
  <c r="AJ48" i="1"/>
  <c r="AI48" i="1"/>
  <c r="AH48" i="1"/>
  <c r="AG48" i="1"/>
  <c r="AF48" i="1"/>
  <c r="AE48" i="1"/>
  <c r="AD48" i="1"/>
  <c r="AC48" i="1"/>
  <c r="AB48" i="1"/>
  <c r="AA48" i="1"/>
  <c r="BT47" i="1"/>
  <c r="BS47" i="1"/>
  <c r="BR47" i="1"/>
  <c r="BQ47" i="1"/>
  <c r="BD47" i="1" s="1"/>
  <c r="BP47" i="1"/>
  <c r="BC47" i="1" s="1"/>
  <c r="BO47" i="1"/>
  <c r="BB47" i="1" s="1"/>
  <c r="BN47" i="1"/>
  <c r="BA47" i="1" s="1"/>
  <c r="BM47" i="1"/>
  <c r="AZ47" i="1" s="1"/>
  <c r="BL47" i="1"/>
  <c r="AY47" i="1" s="1"/>
  <c r="BK47" i="1"/>
  <c r="BJ47" i="1"/>
  <c r="AW47" i="1" s="1"/>
  <c r="BI47" i="1"/>
  <c r="AV47" i="1" s="1"/>
  <c r="BG47" i="1"/>
  <c r="BF47" i="1"/>
  <c r="BE47" i="1"/>
  <c r="AL47" i="1"/>
  <c r="AK47" i="1"/>
  <c r="AJ47" i="1"/>
  <c r="AI47" i="1"/>
  <c r="AH47" i="1"/>
  <c r="AG47" i="1"/>
  <c r="AF47" i="1"/>
  <c r="AE47" i="1"/>
  <c r="AD47" i="1"/>
  <c r="AC47" i="1"/>
  <c r="AB47" i="1"/>
  <c r="AA47" i="1"/>
  <c r="BT46" i="1"/>
  <c r="BS46" i="1"/>
  <c r="BR46" i="1"/>
  <c r="BE46" i="1" s="1"/>
  <c r="BQ46" i="1"/>
  <c r="BD46" i="1" s="1"/>
  <c r="BP46" i="1"/>
  <c r="BC46" i="1" s="1"/>
  <c r="BO46" i="1"/>
  <c r="BB46" i="1" s="1"/>
  <c r="BN46" i="1"/>
  <c r="BA46" i="1" s="1"/>
  <c r="BM46" i="1"/>
  <c r="AZ46" i="1" s="1"/>
  <c r="BL46" i="1"/>
  <c r="AY46" i="1" s="1"/>
  <c r="BK46" i="1"/>
  <c r="AX46" i="1" s="1"/>
  <c r="BJ46" i="1"/>
  <c r="BI46" i="1"/>
  <c r="AV46" i="1" s="1"/>
  <c r="BG46" i="1"/>
  <c r="BF46" i="1"/>
  <c r="AL46" i="1"/>
  <c r="AK46" i="1"/>
  <c r="AJ46" i="1"/>
  <c r="AI46" i="1"/>
  <c r="AH46" i="1"/>
  <c r="AG46" i="1"/>
  <c r="AF46" i="1"/>
  <c r="AE46" i="1"/>
  <c r="AD46" i="1"/>
  <c r="AC46" i="1"/>
  <c r="AB46" i="1"/>
  <c r="AA46" i="1"/>
  <c r="BT45" i="1"/>
  <c r="BS45" i="1"/>
  <c r="BR45" i="1"/>
  <c r="BE45" i="1" s="1"/>
  <c r="BQ45" i="1"/>
  <c r="BD45" i="1" s="1"/>
  <c r="BP45" i="1"/>
  <c r="BC45" i="1" s="1"/>
  <c r="BO45" i="1"/>
  <c r="BB45" i="1" s="1"/>
  <c r="BN45" i="1"/>
  <c r="BA45" i="1" s="1"/>
  <c r="BM45" i="1"/>
  <c r="AZ45" i="1" s="1"/>
  <c r="BL45" i="1"/>
  <c r="AY45" i="1" s="1"/>
  <c r="BK45" i="1"/>
  <c r="AX45" i="1" s="1"/>
  <c r="BJ45" i="1"/>
  <c r="AW45" i="1" s="1"/>
  <c r="BI45" i="1"/>
  <c r="AV45" i="1" s="1"/>
  <c r="BG45" i="1"/>
  <c r="BF45" i="1"/>
  <c r="AL45" i="1"/>
  <c r="AK45" i="1"/>
  <c r="AJ45" i="1"/>
  <c r="AI45" i="1"/>
  <c r="AH45" i="1"/>
  <c r="AG45" i="1"/>
  <c r="AF45" i="1"/>
  <c r="AE45" i="1"/>
  <c r="AD45" i="1"/>
  <c r="AC45" i="1"/>
  <c r="AB45" i="1"/>
  <c r="AA45" i="1"/>
  <c r="BT44" i="1"/>
  <c r="BS44" i="1"/>
  <c r="BR44" i="1"/>
  <c r="BQ44" i="1"/>
  <c r="BD44" i="1" s="1"/>
  <c r="BP44" i="1"/>
  <c r="BC44" i="1" s="1"/>
  <c r="BO44" i="1"/>
  <c r="BB44" i="1" s="1"/>
  <c r="BN44" i="1"/>
  <c r="BA44" i="1" s="1"/>
  <c r="BM44" i="1"/>
  <c r="AZ44" i="1" s="1"/>
  <c r="BL44" i="1"/>
  <c r="AY44" i="1" s="1"/>
  <c r="BK44" i="1"/>
  <c r="AX44" i="1" s="1"/>
  <c r="BJ44" i="1"/>
  <c r="AW44" i="1" s="1"/>
  <c r="BI44" i="1"/>
  <c r="AV44" i="1" s="1"/>
  <c r="BG44" i="1"/>
  <c r="BF44" i="1"/>
  <c r="BE44" i="1"/>
  <c r="AL44" i="1"/>
  <c r="AK44" i="1"/>
  <c r="AJ44" i="1"/>
  <c r="AI44" i="1"/>
  <c r="AH44" i="1"/>
  <c r="AG44" i="1"/>
  <c r="AF44" i="1"/>
  <c r="AE44" i="1"/>
  <c r="AD44" i="1"/>
  <c r="AC44" i="1"/>
  <c r="AB44" i="1"/>
  <c r="AA44" i="1"/>
  <c r="BT43" i="1"/>
  <c r="BS43" i="1"/>
  <c r="BR43" i="1"/>
  <c r="BE43" i="1" s="1"/>
  <c r="BQ43" i="1"/>
  <c r="BD43" i="1" s="1"/>
  <c r="BP43" i="1"/>
  <c r="BC43" i="1" s="1"/>
  <c r="BO43" i="1"/>
  <c r="BB43" i="1" s="1"/>
  <c r="BN43" i="1"/>
  <c r="BA43" i="1" s="1"/>
  <c r="BM43" i="1"/>
  <c r="AZ43" i="1" s="1"/>
  <c r="BL43" i="1"/>
  <c r="AY43" i="1" s="1"/>
  <c r="BK43" i="1"/>
  <c r="AX43" i="1" s="1"/>
  <c r="BJ43" i="1"/>
  <c r="AW43" i="1" s="1"/>
  <c r="BI43" i="1"/>
  <c r="BG43" i="1"/>
  <c r="BF43" i="1"/>
  <c r="AL43" i="1"/>
  <c r="AK43" i="1"/>
  <c r="AJ43" i="1"/>
  <c r="AI43" i="1"/>
  <c r="AH43" i="1"/>
  <c r="AG43" i="1"/>
  <c r="AF43" i="1"/>
  <c r="AE43" i="1"/>
  <c r="AD43" i="1"/>
  <c r="AC43" i="1"/>
  <c r="AB43" i="1"/>
  <c r="AA43" i="1"/>
  <c r="H41" i="1"/>
  <c r="E41" i="1"/>
  <c r="BT40" i="1"/>
  <c r="BS40" i="1"/>
  <c r="BR40" i="1"/>
  <c r="BQ40" i="1"/>
  <c r="BP40" i="1"/>
  <c r="BO40" i="1"/>
  <c r="BN40" i="1"/>
  <c r="BM40" i="1"/>
  <c r="BL40" i="1"/>
  <c r="BK40" i="1"/>
  <c r="BJ40" i="1"/>
  <c r="BI40" i="1"/>
  <c r="BG40" i="1"/>
  <c r="BF40" i="1"/>
  <c r="BE40" i="1"/>
  <c r="BD40" i="1"/>
  <c r="BC40" i="1"/>
  <c r="BB40" i="1"/>
  <c r="BA40" i="1"/>
  <c r="AZ40" i="1"/>
  <c r="AY40" i="1"/>
  <c r="AX40" i="1"/>
  <c r="AW40" i="1"/>
  <c r="AV40" i="1"/>
  <c r="AL40" i="1"/>
  <c r="AK40" i="1"/>
  <c r="AJ40" i="1"/>
  <c r="AI40" i="1"/>
  <c r="AH40" i="1"/>
  <c r="AG40" i="1"/>
  <c r="AF40" i="1"/>
  <c r="AE40" i="1"/>
  <c r="AD40" i="1"/>
  <c r="AC40" i="1"/>
  <c r="AB40" i="1"/>
  <c r="AA40" i="1"/>
  <c r="BA39" i="1"/>
  <c r="AZ39" i="1"/>
  <c r="AY39" i="1"/>
  <c r="AX39" i="1"/>
  <c r="AW39" i="1"/>
  <c r="AV39" i="1"/>
  <c r="BG39" i="1"/>
  <c r="BF39" i="1"/>
  <c r="BE39" i="1"/>
  <c r="BD39" i="1"/>
  <c r="BC39" i="1"/>
  <c r="BB39" i="1"/>
  <c r="AL39" i="1"/>
  <c r="AK39" i="1"/>
  <c r="AJ39" i="1"/>
  <c r="AI39" i="1"/>
  <c r="AH39" i="1"/>
  <c r="AG39" i="1"/>
  <c r="AF39" i="1"/>
  <c r="AE39" i="1"/>
  <c r="AD39" i="1"/>
  <c r="AC39" i="1"/>
  <c r="AB39" i="1"/>
  <c r="AA39" i="1"/>
  <c r="BT38" i="1"/>
  <c r="BS38" i="1"/>
  <c r="BF38" i="1" s="1"/>
  <c r="BR38" i="1"/>
  <c r="BE38" i="1" s="1"/>
  <c r="BQ38" i="1"/>
  <c r="BD38" i="1" s="1"/>
  <c r="BP38" i="1"/>
  <c r="BC38" i="1" s="1"/>
  <c r="BO38" i="1"/>
  <c r="BB38" i="1" s="1"/>
  <c r="BN38" i="1"/>
  <c r="BA38" i="1" s="1"/>
  <c r="BM38" i="1"/>
  <c r="AZ38" i="1" s="1"/>
  <c r="BL38" i="1"/>
  <c r="AY38" i="1" s="1"/>
  <c r="BK38" i="1"/>
  <c r="AX38" i="1" s="1"/>
  <c r="BJ38" i="1"/>
  <c r="BI38" i="1"/>
  <c r="AV38" i="1" s="1"/>
  <c r="BG38" i="1"/>
  <c r="AL38" i="1"/>
  <c r="AK38" i="1"/>
  <c r="AJ38" i="1"/>
  <c r="AI38" i="1"/>
  <c r="AH38" i="1"/>
  <c r="AG38" i="1"/>
  <c r="AF38" i="1"/>
  <c r="AE38" i="1"/>
  <c r="AD38" i="1"/>
  <c r="AC38" i="1"/>
  <c r="AB38" i="1"/>
  <c r="AA38" i="1"/>
  <c r="BT37" i="1"/>
  <c r="BG37" i="1" s="1"/>
  <c r="BS37" i="1"/>
  <c r="BF37" i="1" s="1"/>
  <c r="BR37" i="1"/>
  <c r="BE37" i="1" s="1"/>
  <c r="BQ37" i="1"/>
  <c r="BD37" i="1" s="1"/>
  <c r="BP37" i="1"/>
  <c r="BC37" i="1" s="1"/>
  <c r="BO37" i="1"/>
  <c r="BN37" i="1"/>
  <c r="BA37" i="1" s="1"/>
  <c r="BM37" i="1"/>
  <c r="BL37" i="1"/>
  <c r="AY37" i="1" s="1"/>
  <c r="BK37" i="1"/>
  <c r="AX37" i="1" s="1"/>
  <c r="BJ37" i="1"/>
  <c r="AW37" i="1" s="1"/>
  <c r="BI37" i="1"/>
  <c r="AV37" i="1" s="1"/>
  <c r="BB37" i="1"/>
  <c r="AZ37" i="1"/>
  <c r="AL37" i="1"/>
  <c r="AK37" i="1"/>
  <c r="AJ37" i="1"/>
  <c r="AI37" i="1"/>
  <c r="AH37" i="1"/>
  <c r="AG37" i="1"/>
  <c r="AF37" i="1"/>
  <c r="AE37" i="1"/>
  <c r="AD37" i="1"/>
  <c r="AC37" i="1"/>
  <c r="AB37" i="1"/>
  <c r="AA37" i="1"/>
  <c r="AL36" i="1"/>
  <c r="AK36" i="1"/>
  <c r="AJ36" i="1"/>
  <c r="AI36" i="1"/>
  <c r="AH36" i="1"/>
  <c r="AG36" i="1"/>
  <c r="AF36" i="1"/>
  <c r="AE36" i="1"/>
  <c r="AD36" i="1"/>
  <c r="AC36" i="1"/>
  <c r="AB36" i="1"/>
  <c r="AA36" i="1"/>
  <c r="H34" i="1"/>
  <c r="E34" i="1"/>
  <c r="AL33" i="1"/>
  <c r="AK33" i="1"/>
  <c r="AJ33" i="1"/>
  <c r="AI33" i="1"/>
  <c r="AH33" i="1"/>
  <c r="AG33" i="1"/>
  <c r="AF33" i="1"/>
  <c r="AE33" i="1"/>
  <c r="AD33" i="1"/>
  <c r="AC33" i="1"/>
  <c r="AB33" i="1"/>
  <c r="AA33" i="1"/>
  <c r="BG32" i="1"/>
  <c r="BF32" i="1"/>
  <c r="BE32" i="1"/>
  <c r="BD32" i="1"/>
  <c r="BC32" i="1"/>
  <c r="BB32" i="1"/>
  <c r="BA32" i="1"/>
  <c r="AZ32" i="1"/>
  <c r="AY32" i="1"/>
  <c r="AX32" i="1"/>
  <c r="AW32" i="1"/>
  <c r="AV32" i="1"/>
  <c r="AR32" i="1"/>
  <c r="AO32" i="1"/>
  <c r="AL32" i="1"/>
  <c r="AK32" i="1"/>
  <c r="AJ32" i="1"/>
  <c r="AI32" i="1"/>
  <c r="AH32" i="1"/>
  <c r="AG32" i="1"/>
  <c r="AF32" i="1"/>
  <c r="AE32" i="1"/>
  <c r="AD32" i="1"/>
  <c r="AC32" i="1"/>
  <c r="AB32" i="1"/>
  <c r="AA32" i="1"/>
  <c r="BB31" i="1"/>
  <c r="BA31" i="1"/>
  <c r="AZ31" i="1"/>
  <c r="AY31" i="1"/>
  <c r="AX31" i="1"/>
  <c r="AW31" i="1"/>
  <c r="AV31" i="1"/>
  <c r="BG31" i="1"/>
  <c r="BF31" i="1"/>
  <c r="BE31" i="1"/>
  <c r="BD31" i="1"/>
  <c r="BC31" i="1"/>
  <c r="AL31" i="1"/>
  <c r="AK31" i="1"/>
  <c r="AJ31" i="1"/>
  <c r="AI31" i="1"/>
  <c r="AH31" i="1"/>
  <c r="AG31" i="1"/>
  <c r="AF31" i="1"/>
  <c r="AE31" i="1"/>
  <c r="AD31" i="1"/>
  <c r="AC31" i="1"/>
  <c r="AB31" i="1"/>
  <c r="AA31" i="1"/>
  <c r="AL30" i="1"/>
  <c r="AK30" i="1"/>
  <c r="AJ30" i="1"/>
  <c r="AI30" i="1"/>
  <c r="AH30" i="1"/>
  <c r="AG30" i="1"/>
  <c r="AF30" i="1"/>
  <c r="AE30" i="1"/>
  <c r="AD30" i="1"/>
  <c r="AC30" i="1"/>
  <c r="AB30" i="1"/>
  <c r="AA30" i="1"/>
  <c r="AL29" i="1"/>
  <c r="AK29" i="1"/>
  <c r="AJ29" i="1"/>
  <c r="AI29" i="1"/>
  <c r="AH29" i="1"/>
  <c r="AG29" i="1"/>
  <c r="AF29" i="1"/>
  <c r="AE29" i="1"/>
  <c r="AD29" i="1"/>
  <c r="AC29" i="1"/>
  <c r="AB29" i="1"/>
  <c r="AA29" i="1"/>
  <c r="AX28" i="1"/>
  <c r="AW28" i="1"/>
  <c r="AV28" i="1"/>
  <c r="BG28" i="1"/>
  <c r="BF28" i="1"/>
  <c r="BE28" i="1"/>
  <c r="BD28" i="1"/>
  <c r="BC28" i="1"/>
  <c r="BB28" i="1"/>
  <c r="BA28" i="1"/>
  <c r="AZ28" i="1"/>
  <c r="AY28" i="1"/>
  <c r="AL28" i="1"/>
  <c r="AK28" i="1"/>
  <c r="AJ28" i="1"/>
  <c r="AI28" i="1"/>
  <c r="AH28" i="1"/>
  <c r="AG28" i="1"/>
  <c r="AF28" i="1"/>
  <c r="AE28" i="1"/>
  <c r="AD28" i="1"/>
  <c r="AC28" i="1"/>
  <c r="AB28" i="1"/>
  <c r="AA28" i="1"/>
  <c r="BT27" i="1"/>
  <c r="BG27" i="1" s="1"/>
  <c r="BS27" i="1"/>
  <c r="BF27" i="1" s="1"/>
  <c r="BR27" i="1"/>
  <c r="BE27" i="1" s="1"/>
  <c r="BQ27" i="1"/>
  <c r="BD27" i="1" s="1"/>
  <c r="BP27" i="1"/>
  <c r="BC27" i="1" s="1"/>
  <c r="BO27" i="1"/>
  <c r="BB27" i="1" s="1"/>
  <c r="BN27" i="1"/>
  <c r="BA27" i="1" s="1"/>
  <c r="BM27" i="1"/>
  <c r="AZ27" i="1" s="1"/>
  <c r="BL27" i="1"/>
  <c r="AY27" i="1" s="1"/>
  <c r="BK27" i="1"/>
  <c r="AX27" i="1" s="1"/>
  <c r="BJ27" i="1"/>
  <c r="AW27" i="1" s="1"/>
  <c r="AV27" i="1"/>
  <c r="AL27" i="1"/>
  <c r="AK27" i="1"/>
  <c r="AJ27" i="1"/>
  <c r="AI27" i="1"/>
  <c r="AH27" i="1"/>
  <c r="AG27" i="1"/>
  <c r="AF27" i="1"/>
  <c r="AE27" i="1"/>
  <c r="AD27" i="1"/>
  <c r="AC27" i="1"/>
  <c r="AB27" i="1"/>
  <c r="AA27" i="1"/>
  <c r="BT26" i="1"/>
  <c r="BG26" i="1" s="1"/>
  <c r="BS26" i="1"/>
  <c r="BF26" i="1" s="1"/>
  <c r="BR26" i="1"/>
  <c r="BE26" i="1" s="1"/>
  <c r="BQ26" i="1"/>
  <c r="BD26" i="1" s="1"/>
  <c r="BC26" i="1"/>
  <c r="BO26" i="1"/>
  <c r="BB26" i="1" s="1"/>
  <c r="BN26" i="1"/>
  <c r="BA26" i="1" s="1"/>
  <c r="AZ26" i="1"/>
  <c r="BL26" i="1"/>
  <c r="AY26" i="1" s="1"/>
  <c r="BK26" i="1"/>
  <c r="AX26" i="1" s="1"/>
  <c r="AW26" i="1"/>
  <c r="AV26" i="1"/>
  <c r="AL26" i="1"/>
  <c r="AK26" i="1"/>
  <c r="AJ26" i="1"/>
  <c r="AI26" i="1"/>
  <c r="AH26" i="1"/>
  <c r="AG26" i="1"/>
  <c r="AF26" i="1"/>
  <c r="AE26" i="1"/>
  <c r="AD26" i="1"/>
  <c r="AC26" i="1"/>
  <c r="AB26" i="1"/>
  <c r="AA26" i="1"/>
  <c r="AW25" i="1"/>
  <c r="AV25" i="1"/>
  <c r="AL25" i="1"/>
  <c r="AK25" i="1"/>
  <c r="AJ25" i="1"/>
  <c r="AI25" i="1"/>
  <c r="AH25" i="1"/>
  <c r="AG25" i="1"/>
  <c r="AF25" i="1"/>
  <c r="AE25" i="1"/>
  <c r="AD25" i="1"/>
  <c r="AC25" i="1"/>
  <c r="AB25" i="1"/>
  <c r="AA25" i="1"/>
  <c r="BT24" i="1"/>
  <c r="BS24" i="1"/>
  <c r="BR24" i="1"/>
  <c r="BE24" i="1" s="1"/>
  <c r="BQ24" i="1"/>
  <c r="BD24" i="1" s="1"/>
  <c r="BP24" i="1"/>
  <c r="BC24" i="1" s="1"/>
  <c r="BO24" i="1"/>
  <c r="BB24" i="1" s="1"/>
  <c r="BN24" i="1"/>
  <c r="BA24" i="1" s="1"/>
  <c r="BM24" i="1"/>
  <c r="AZ24" i="1" s="1"/>
  <c r="BL24" i="1"/>
  <c r="AY24" i="1" s="1"/>
  <c r="BK24" i="1"/>
  <c r="AX24" i="1" s="1"/>
  <c r="BJ24" i="1"/>
  <c r="BI24" i="1"/>
  <c r="AV24" i="1" s="1"/>
  <c r="BG24" i="1"/>
  <c r="BF24" i="1"/>
  <c r="AL24" i="1"/>
  <c r="AK24" i="1"/>
  <c r="AJ24" i="1"/>
  <c r="AI24" i="1"/>
  <c r="AH24" i="1"/>
  <c r="AG24" i="1"/>
  <c r="AF24" i="1"/>
  <c r="AE24" i="1"/>
  <c r="AD24" i="1"/>
  <c r="AC24" i="1"/>
  <c r="AB24" i="1"/>
  <c r="AA24" i="1"/>
  <c r="BG8" i="1"/>
  <c r="BF8" i="1"/>
  <c r="BE8" i="1"/>
  <c r="BD8" i="1"/>
  <c r="BC8" i="1"/>
  <c r="BB8" i="1"/>
  <c r="BA8" i="1"/>
  <c r="AZ8" i="1"/>
  <c r="AY8" i="1"/>
  <c r="AX8" i="1"/>
  <c r="AW8" i="1"/>
  <c r="AV8" i="1"/>
  <c r="BG7" i="1"/>
  <c r="BF7" i="1"/>
  <c r="BE7" i="1"/>
  <c r="BD7" i="1"/>
  <c r="BC7" i="1"/>
  <c r="BB7" i="1"/>
  <c r="BA7" i="1"/>
  <c r="AZ7" i="1"/>
  <c r="AY7" i="1"/>
  <c r="AX7" i="1"/>
  <c r="AW7" i="1"/>
  <c r="AV7" i="1"/>
  <c r="BT6" i="1"/>
  <c r="BS6" i="1"/>
  <c r="BR6" i="1"/>
  <c r="BQ6" i="1"/>
  <c r="BP6" i="1"/>
  <c r="BC6" i="1" s="1"/>
  <c r="BO6" i="1"/>
  <c r="BN6" i="1"/>
  <c r="BM6" i="1"/>
  <c r="BL6" i="1"/>
  <c r="BK6" i="1"/>
  <c r="BJ6" i="1"/>
  <c r="AW6" i="1" s="1"/>
  <c r="BI6" i="1"/>
  <c r="BG5" i="1"/>
  <c r="BF5" i="1"/>
  <c r="BE5" i="1"/>
  <c r="BD5" i="1"/>
  <c r="BC5" i="1"/>
  <c r="BB5" i="1"/>
  <c r="BA5" i="1"/>
  <c r="AZ5" i="1"/>
  <c r="AY5" i="1"/>
  <c r="AX5" i="1"/>
  <c r="AW5" i="1"/>
  <c r="AV5" i="1"/>
  <c r="BP61" i="1" l="1"/>
  <c r="BC61" i="1" s="1"/>
  <c r="BS61" i="1"/>
  <c r="BF61" i="1" s="1"/>
  <c r="BR94" i="4"/>
  <c r="BN94" i="4"/>
  <c r="BJ94" i="4"/>
  <c r="BQ94" i="4"/>
  <c r="BM94" i="4"/>
  <c r="BT94" i="4"/>
  <c r="BP94" i="4"/>
  <c r="BL94" i="4"/>
  <c r="BO94" i="4"/>
  <c r="BK94" i="4"/>
  <c r="BS94" i="4"/>
  <c r="BL151" i="1"/>
  <c r="Z5" i="2"/>
  <c r="BT61" i="4"/>
  <c r="BP61" i="4"/>
  <c r="BL61" i="4"/>
  <c r="BS61" i="4"/>
  <c r="BO61" i="4"/>
  <c r="BK61" i="4"/>
  <c r="BR61" i="4"/>
  <c r="BN61" i="4"/>
  <c r="BJ61" i="4"/>
  <c r="BQ61" i="4"/>
  <c r="BM61" i="4"/>
  <c r="R71" i="2"/>
  <c r="BL195" i="1"/>
  <c r="AY195" i="1" s="1"/>
  <c r="BL195" i="4"/>
  <c r="BL213" i="1"/>
  <c r="AO213" i="1" s="1"/>
  <c r="BL213" i="4"/>
  <c r="S115" i="2"/>
  <c r="BT210" i="4"/>
  <c r="BG210" i="4" s="1"/>
  <c r="BP210" i="4"/>
  <c r="BC210" i="4" s="1"/>
  <c r="BL210" i="4"/>
  <c r="BS210" i="4"/>
  <c r="BF210" i="4" s="1"/>
  <c r="BO210" i="4"/>
  <c r="BB210" i="4" s="1"/>
  <c r="BK210" i="4"/>
  <c r="AX210" i="4" s="1"/>
  <c r="BR210" i="4"/>
  <c r="BE210" i="4" s="1"/>
  <c r="BN210" i="4"/>
  <c r="BA210" i="4" s="1"/>
  <c r="BJ210" i="4"/>
  <c r="BQ210" i="4"/>
  <c r="BD210" i="4" s="1"/>
  <c r="BM210" i="4"/>
  <c r="AZ210" i="4" s="1"/>
  <c r="BQ221" i="1"/>
  <c r="BD221" i="1" s="1"/>
  <c r="BR221" i="4"/>
  <c r="BE221" i="4" s="1"/>
  <c r="BN221" i="4"/>
  <c r="BA221" i="4" s="1"/>
  <c r="BJ221" i="4"/>
  <c r="BQ221" i="4"/>
  <c r="BD221" i="4" s="1"/>
  <c r="BM221" i="4"/>
  <c r="AZ221" i="4" s="1"/>
  <c r="BT221" i="4"/>
  <c r="BG221" i="4" s="1"/>
  <c r="BP221" i="4"/>
  <c r="BC221" i="4" s="1"/>
  <c r="BL221" i="4"/>
  <c r="AY221" i="4" s="1"/>
  <c r="BS221" i="4"/>
  <c r="BF221" i="4" s="1"/>
  <c r="BO221" i="4"/>
  <c r="BB221" i="4" s="1"/>
  <c r="BK221" i="4"/>
  <c r="AX221" i="4" s="1"/>
  <c r="BS403" i="1"/>
  <c r="BF403" i="1" s="1"/>
  <c r="BT403" i="4"/>
  <c r="BG403" i="4" s="1"/>
  <c r="BP403" i="4"/>
  <c r="BC403" i="4" s="1"/>
  <c r="BL403" i="4"/>
  <c r="BS403" i="4"/>
  <c r="BF403" i="4" s="1"/>
  <c r="BO403" i="4"/>
  <c r="BB403" i="4" s="1"/>
  <c r="BK403" i="4"/>
  <c r="BR403" i="4"/>
  <c r="BE403" i="4" s="1"/>
  <c r="BN403" i="4"/>
  <c r="BA403" i="4" s="1"/>
  <c r="BJ403" i="4"/>
  <c r="AW403" i="4" s="1"/>
  <c r="BQ403" i="4"/>
  <c r="BD403" i="4" s="1"/>
  <c r="BM403" i="4"/>
  <c r="AZ403" i="4" s="1"/>
  <c r="BI403" i="4"/>
  <c r="AV403" i="4" s="1"/>
  <c r="AY411" i="4"/>
  <c r="AR411" i="4"/>
  <c r="AO411" i="4"/>
  <c r="BT268" i="4"/>
  <c r="BP268" i="4"/>
  <c r="BL268" i="4"/>
  <c r="BS268" i="4"/>
  <c r="BO268" i="4"/>
  <c r="BK268" i="4"/>
  <c r="BR268" i="4"/>
  <c r="BN268" i="4"/>
  <c r="BJ268" i="4"/>
  <c r="BQ268" i="4"/>
  <c r="BM268" i="4"/>
  <c r="BI268" i="4"/>
  <c r="AY277" i="4"/>
  <c r="AO277" i="4"/>
  <c r="AR277" i="4"/>
  <c r="BR306" i="4"/>
  <c r="BE306" i="4" s="1"/>
  <c r="BN306" i="4"/>
  <c r="BA306" i="4" s="1"/>
  <c r="BJ306" i="4"/>
  <c r="AW306" i="4" s="1"/>
  <c r="BQ306" i="4"/>
  <c r="BD306" i="4" s="1"/>
  <c r="BM306" i="4"/>
  <c r="AZ306" i="4" s="1"/>
  <c r="BI306" i="4"/>
  <c r="BT306" i="4"/>
  <c r="BG306" i="4" s="1"/>
  <c r="BP306" i="4"/>
  <c r="BC306" i="4" s="1"/>
  <c r="BL306" i="4"/>
  <c r="AY306" i="4" s="1"/>
  <c r="BS306" i="4"/>
  <c r="BF306" i="4" s="1"/>
  <c r="BO306" i="4"/>
  <c r="BB306" i="4" s="1"/>
  <c r="BK306" i="4"/>
  <c r="J266" i="2"/>
  <c r="K266" i="2" s="1"/>
  <c r="P266" i="2" s="1"/>
  <c r="BL463" i="4"/>
  <c r="J272" i="2"/>
  <c r="K272" i="2" s="1"/>
  <c r="P272" i="2" s="1"/>
  <c r="BL280" i="4"/>
  <c r="BR151" i="1"/>
  <c r="BE151" i="1" s="1"/>
  <c r="BL98" i="4"/>
  <c r="U63" i="2"/>
  <c r="BR151" i="4"/>
  <c r="BE151" i="4" s="1"/>
  <c r="BL151" i="4"/>
  <c r="BL152" i="1"/>
  <c r="BL152" i="4"/>
  <c r="Q106" i="2"/>
  <c r="BR193" i="4"/>
  <c r="BE193" i="4" s="1"/>
  <c r="BN193" i="4"/>
  <c r="BA193" i="4" s="1"/>
  <c r="BJ193" i="4"/>
  <c r="BQ193" i="4"/>
  <c r="BD193" i="4" s="1"/>
  <c r="BM193" i="4"/>
  <c r="AZ193" i="4" s="1"/>
  <c r="BT193" i="4"/>
  <c r="BG193" i="4" s="1"/>
  <c r="BP193" i="4"/>
  <c r="BC193" i="4" s="1"/>
  <c r="BL193" i="4"/>
  <c r="BS193" i="4"/>
  <c r="BF193" i="4" s="1"/>
  <c r="BO193" i="4"/>
  <c r="BB193" i="4" s="1"/>
  <c r="BK193" i="4"/>
  <c r="AX193" i="4" s="1"/>
  <c r="AY194" i="4"/>
  <c r="AO194" i="4"/>
  <c r="AR194" i="4"/>
  <c r="BQ211" i="4"/>
  <c r="BD211" i="4" s="1"/>
  <c r="BM211" i="4"/>
  <c r="AZ211" i="4" s="1"/>
  <c r="BT211" i="4"/>
  <c r="BG211" i="4" s="1"/>
  <c r="BP211" i="4"/>
  <c r="BC211" i="4" s="1"/>
  <c r="BL211" i="4"/>
  <c r="AY211" i="4" s="1"/>
  <c r="BS211" i="4"/>
  <c r="BF211" i="4" s="1"/>
  <c r="BO211" i="4"/>
  <c r="BB211" i="4" s="1"/>
  <c r="BK211" i="4"/>
  <c r="AX211" i="4" s="1"/>
  <c r="BR211" i="4"/>
  <c r="BE211" i="4" s="1"/>
  <c r="BN211" i="4"/>
  <c r="BA211" i="4" s="1"/>
  <c r="BJ211" i="4"/>
  <c r="BL408" i="1"/>
  <c r="AR408" i="1" s="1"/>
  <c r="BL408" i="4"/>
  <c r="BT404" i="1"/>
  <c r="BG404" i="1" s="1"/>
  <c r="BQ404" i="4"/>
  <c r="BD404" i="4" s="1"/>
  <c r="BM404" i="4"/>
  <c r="AZ404" i="4" s="1"/>
  <c r="BI404" i="4"/>
  <c r="BT404" i="4"/>
  <c r="BG404" i="4" s="1"/>
  <c r="BP404" i="4"/>
  <c r="BC404" i="4" s="1"/>
  <c r="BL404" i="4"/>
  <c r="AY404" i="4" s="1"/>
  <c r="BS404" i="4"/>
  <c r="BF404" i="4" s="1"/>
  <c r="BO404" i="4"/>
  <c r="BB404" i="4" s="1"/>
  <c r="BK404" i="4"/>
  <c r="AX404" i="4" s="1"/>
  <c r="BR404" i="4"/>
  <c r="BE404" i="4" s="1"/>
  <c r="BN404" i="4"/>
  <c r="BA404" i="4" s="1"/>
  <c r="BJ404" i="4"/>
  <c r="AW404" i="4" s="1"/>
  <c r="BL278" i="1"/>
  <c r="BL278" i="4"/>
  <c r="BR462" i="1"/>
  <c r="BE462" i="1" s="1"/>
  <c r="BR462" i="4"/>
  <c r="BN462" i="4"/>
  <c r="BJ462" i="4"/>
  <c r="BT462" i="4"/>
  <c r="BP462" i="4"/>
  <c r="BL462" i="4"/>
  <c r="BQ462" i="4"/>
  <c r="BI462" i="4"/>
  <c r="BO462" i="4"/>
  <c r="BM462" i="4"/>
  <c r="BS462" i="4"/>
  <c r="BK462" i="4"/>
  <c r="BS272" i="1"/>
  <c r="BF272" i="1" s="1"/>
  <c r="BR272" i="4"/>
  <c r="BE272" i="4" s="1"/>
  <c r="BN272" i="4"/>
  <c r="BA272" i="4" s="1"/>
  <c r="BJ272" i="4"/>
  <c r="AW272" i="4" s="1"/>
  <c r="BQ272" i="4"/>
  <c r="BD272" i="4" s="1"/>
  <c r="BM272" i="4"/>
  <c r="AZ272" i="4" s="1"/>
  <c r="BI272" i="4"/>
  <c r="BT272" i="4"/>
  <c r="BG272" i="4" s="1"/>
  <c r="BP272" i="4"/>
  <c r="BC272" i="4" s="1"/>
  <c r="BL272" i="4"/>
  <c r="AY272" i="4" s="1"/>
  <c r="BS272" i="4"/>
  <c r="BF272" i="4" s="1"/>
  <c r="BO272" i="4"/>
  <c r="BB272" i="4" s="1"/>
  <c r="BK272" i="4"/>
  <c r="AX272" i="4" s="1"/>
  <c r="BR147" i="4"/>
  <c r="BN147" i="4"/>
  <c r="BJ147" i="4"/>
  <c r="BQ147" i="4"/>
  <c r="BM147" i="4"/>
  <c r="BT147" i="4"/>
  <c r="BP147" i="4"/>
  <c r="BL147" i="4"/>
  <c r="BS147" i="4"/>
  <c r="BO147" i="4"/>
  <c r="BK147" i="4"/>
  <c r="BL153" i="4"/>
  <c r="Z107" i="2"/>
  <c r="BT192" i="4"/>
  <c r="BG192" i="4" s="1"/>
  <c r="BP192" i="4"/>
  <c r="BC192" i="4" s="1"/>
  <c r="BL192" i="4"/>
  <c r="AY192" i="4" s="1"/>
  <c r="BS192" i="4"/>
  <c r="BF192" i="4" s="1"/>
  <c r="BO192" i="4"/>
  <c r="BB192" i="4" s="1"/>
  <c r="BK192" i="4"/>
  <c r="AX192" i="4" s="1"/>
  <c r="BR192" i="4"/>
  <c r="BE192" i="4" s="1"/>
  <c r="BN192" i="4"/>
  <c r="BA192" i="4" s="1"/>
  <c r="BJ192" i="4"/>
  <c r="BQ192" i="4"/>
  <c r="BD192" i="4" s="1"/>
  <c r="BM192" i="4"/>
  <c r="AZ192" i="4" s="1"/>
  <c r="J211" i="2"/>
  <c r="K211" i="2" s="1"/>
  <c r="P211" i="2" s="1"/>
  <c r="BL387" i="4"/>
  <c r="BQ401" i="1"/>
  <c r="BD401" i="1" s="1"/>
  <c r="BQ401" i="4"/>
  <c r="BD401" i="4" s="1"/>
  <c r="BM401" i="4"/>
  <c r="AZ401" i="4" s="1"/>
  <c r="BI401" i="4"/>
  <c r="AV401" i="4" s="1"/>
  <c r="BT401" i="4"/>
  <c r="BG401" i="4" s="1"/>
  <c r="BP401" i="4"/>
  <c r="BC401" i="4" s="1"/>
  <c r="BL401" i="4"/>
  <c r="BS401" i="4"/>
  <c r="BF401" i="4" s="1"/>
  <c r="BO401" i="4"/>
  <c r="BB401" i="4" s="1"/>
  <c r="BK401" i="4"/>
  <c r="BR401" i="4"/>
  <c r="BE401" i="4" s="1"/>
  <c r="BN401" i="4"/>
  <c r="BA401" i="4" s="1"/>
  <c r="BJ401" i="4"/>
  <c r="AW401" i="4" s="1"/>
  <c r="BL409" i="1"/>
  <c r="BL409" i="4"/>
  <c r="BQ270" i="4"/>
  <c r="BD270" i="4" s="1"/>
  <c r="BM270" i="4"/>
  <c r="AZ270" i="4" s="1"/>
  <c r="BI270" i="4"/>
  <c r="BT270" i="4"/>
  <c r="BG270" i="4" s="1"/>
  <c r="BP270" i="4"/>
  <c r="BC270" i="4" s="1"/>
  <c r="BL270" i="4"/>
  <c r="AY270" i="4" s="1"/>
  <c r="BS270" i="4"/>
  <c r="BF270" i="4" s="1"/>
  <c r="BO270" i="4"/>
  <c r="BB270" i="4" s="1"/>
  <c r="BK270" i="4"/>
  <c r="BR270" i="4"/>
  <c r="BE270" i="4" s="1"/>
  <c r="BN270" i="4"/>
  <c r="BA270" i="4" s="1"/>
  <c r="BJ270" i="4"/>
  <c r="AW270" i="4" s="1"/>
  <c r="AR393" i="4"/>
  <c r="AY393" i="4"/>
  <c r="AO393" i="4"/>
  <c r="J301" i="2"/>
  <c r="K301" i="2" s="1"/>
  <c r="P301" i="2" s="1"/>
  <c r="BL490" i="4"/>
  <c r="BL66" i="1"/>
  <c r="AO66" i="1" s="1"/>
  <c r="BL66" i="4"/>
  <c r="Q18" i="2"/>
  <c r="BL127" i="4"/>
  <c r="AY212" i="4"/>
  <c r="AR212" i="4"/>
  <c r="AO212" i="4"/>
  <c r="BR222" i="1"/>
  <c r="BE222" i="1" s="1"/>
  <c r="BT222" i="4"/>
  <c r="BG222" i="4" s="1"/>
  <c r="BP222" i="4"/>
  <c r="BC222" i="4" s="1"/>
  <c r="BL222" i="4"/>
  <c r="AY222" i="4" s="1"/>
  <c r="BS222" i="4"/>
  <c r="BF222" i="4" s="1"/>
  <c r="BO222" i="4"/>
  <c r="BB222" i="4" s="1"/>
  <c r="BK222" i="4"/>
  <c r="AX222" i="4" s="1"/>
  <c r="BR222" i="4"/>
  <c r="BE222" i="4" s="1"/>
  <c r="BN222" i="4"/>
  <c r="BA222" i="4" s="1"/>
  <c r="BJ222" i="4"/>
  <c r="BQ222" i="4"/>
  <c r="BD222" i="4" s="1"/>
  <c r="BM222" i="4"/>
  <c r="AZ222" i="4" s="1"/>
  <c r="BL223" i="4"/>
  <c r="BL224" i="4"/>
  <c r="T207" i="2"/>
  <c r="T212" i="2" s="1"/>
  <c r="BR386" i="4"/>
  <c r="BN386" i="4"/>
  <c r="BJ386" i="4"/>
  <c r="BQ386" i="4"/>
  <c r="BM386" i="4"/>
  <c r="BI386" i="4"/>
  <c r="BT386" i="4"/>
  <c r="BP386" i="4"/>
  <c r="BL386" i="4"/>
  <c r="BS386" i="4"/>
  <c r="BO386" i="4"/>
  <c r="BK386" i="4"/>
  <c r="BR402" i="4"/>
  <c r="BE402" i="4" s="1"/>
  <c r="BN402" i="4"/>
  <c r="BA402" i="4" s="1"/>
  <c r="BJ402" i="4"/>
  <c r="AW402" i="4" s="1"/>
  <c r="BQ402" i="4"/>
  <c r="BD402" i="4" s="1"/>
  <c r="BM402" i="4"/>
  <c r="AZ402" i="4" s="1"/>
  <c r="BI402" i="4"/>
  <c r="BT402" i="4"/>
  <c r="BG402" i="4" s="1"/>
  <c r="BP402" i="4"/>
  <c r="BC402" i="4" s="1"/>
  <c r="BL402" i="4"/>
  <c r="AY402" i="4" s="1"/>
  <c r="BS402" i="4"/>
  <c r="BF402" i="4" s="1"/>
  <c r="BO402" i="4"/>
  <c r="BB402" i="4" s="1"/>
  <c r="BK402" i="4"/>
  <c r="AY410" i="4"/>
  <c r="AO410" i="4"/>
  <c r="AR410" i="4"/>
  <c r="AY276" i="4"/>
  <c r="AO276" i="4"/>
  <c r="AR276" i="4"/>
  <c r="Q282" i="2"/>
  <c r="BL413" i="4"/>
  <c r="BS391" i="4"/>
  <c r="BF391" i="4" s="1"/>
  <c r="BO391" i="4"/>
  <c r="BB391" i="4" s="1"/>
  <c r="BK391" i="4"/>
  <c r="BR391" i="4"/>
  <c r="BE391" i="4" s="1"/>
  <c r="BN391" i="4"/>
  <c r="BA391" i="4" s="1"/>
  <c r="BJ391" i="4"/>
  <c r="AW391" i="4" s="1"/>
  <c r="BQ391" i="4"/>
  <c r="BD391" i="4" s="1"/>
  <c r="BM391" i="4"/>
  <c r="AZ391" i="4" s="1"/>
  <c r="BI391" i="4"/>
  <c r="BT391" i="4"/>
  <c r="BG391" i="4" s="1"/>
  <c r="BP391" i="4"/>
  <c r="BC391" i="4" s="1"/>
  <c r="BL391" i="4"/>
  <c r="AY391" i="4" s="1"/>
  <c r="AR394" i="4"/>
  <c r="AO394" i="4"/>
  <c r="AY394" i="4"/>
  <c r="R292" i="2"/>
  <c r="BR489" i="4"/>
  <c r="BE489" i="4" s="1"/>
  <c r="BN489" i="4"/>
  <c r="BA489" i="4" s="1"/>
  <c r="BJ489" i="4"/>
  <c r="AW489" i="4" s="1"/>
  <c r="BQ489" i="4"/>
  <c r="BD489" i="4" s="1"/>
  <c r="BM489" i="4"/>
  <c r="AZ489" i="4" s="1"/>
  <c r="BI489" i="4"/>
  <c r="BT489" i="4"/>
  <c r="BG489" i="4" s="1"/>
  <c r="BP489" i="4"/>
  <c r="BC489" i="4" s="1"/>
  <c r="BL489" i="4"/>
  <c r="AY489" i="4" s="1"/>
  <c r="BK489" i="4"/>
  <c r="AX489" i="4" s="1"/>
  <c r="BS489" i="4"/>
  <c r="BF489" i="4" s="1"/>
  <c r="BO489" i="4"/>
  <c r="BB489" i="4" s="1"/>
  <c r="BN94" i="1"/>
  <c r="BA94" i="1" s="1"/>
  <c r="BO210" i="1"/>
  <c r="BB210" i="1" s="1"/>
  <c r="BN218" i="1"/>
  <c r="BA218" i="1" s="1"/>
  <c r="BK221" i="1"/>
  <c r="BR233" i="1"/>
  <c r="BE233" i="1" s="1"/>
  <c r="BQ272" i="1"/>
  <c r="BD272" i="1" s="1"/>
  <c r="BJ358" i="1"/>
  <c r="AW358" i="1" s="1"/>
  <c r="BJ386" i="1"/>
  <c r="AW386" i="1" s="1"/>
  <c r="BN386" i="1"/>
  <c r="BA386" i="1" s="1"/>
  <c r="BR386" i="1"/>
  <c r="BE386" i="1" s="1"/>
  <c r="BJ404" i="1"/>
  <c r="AW404" i="1" s="1"/>
  <c r="BN404" i="1"/>
  <c r="BA404" i="1" s="1"/>
  <c r="BR404" i="1"/>
  <c r="BE404" i="1" s="1"/>
  <c r="BL462" i="1"/>
  <c r="AY462" i="1" s="1"/>
  <c r="BP462" i="1"/>
  <c r="BC462" i="1" s="1"/>
  <c r="BT462" i="1"/>
  <c r="BG462" i="1" s="1"/>
  <c r="U27" i="2"/>
  <c r="R53" i="2"/>
  <c r="R207" i="2"/>
  <c r="Z207" i="2"/>
  <c r="Z212" i="2" s="1"/>
  <c r="BJ176" i="1"/>
  <c r="AW176" i="1" s="1"/>
  <c r="BS210" i="1"/>
  <c r="BF210" i="1" s="1"/>
  <c r="BJ218" i="1"/>
  <c r="AW218" i="1" s="1"/>
  <c r="BS221" i="1"/>
  <c r="BF221" i="1" s="1"/>
  <c r="BM272" i="1"/>
  <c r="AZ272" i="1" s="1"/>
  <c r="BK61" i="1"/>
  <c r="AX61" i="1" s="1"/>
  <c r="BL94" i="1"/>
  <c r="AY94" i="1" s="1"/>
  <c r="BN176" i="1"/>
  <c r="BA176" i="1" s="1"/>
  <c r="BL210" i="1"/>
  <c r="AY210" i="1" s="1"/>
  <c r="BP210" i="1"/>
  <c r="BC210" i="1" s="1"/>
  <c r="BT210" i="1"/>
  <c r="BG210" i="1" s="1"/>
  <c r="BK218" i="1"/>
  <c r="BO218" i="1"/>
  <c r="BB218" i="1" s="1"/>
  <c r="BS218" i="1"/>
  <c r="BF218" i="1" s="1"/>
  <c r="BL221" i="1"/>
  <c r="AY221" i="1" s="1"/>
  <c r="BP221" i="1"/>
  <c r="BC221" i="1" s="1"/>
  <c r="BT221" i="1"/>
  <c r="BG221" i="1" s="1"/>
  <c r="BO234" i="1"/>
  <c r="BB234" i="1" s="1"/>
  <c r="BJ272" i="1"/>
  <c r="AW272" i="1" s="1"/>
  <c r="BN272" i="1"/>
  <c r="BA272" i="1" s="1"/>
  <c r="BR272" i="1"/>
  <c r="BE272" i="1" s="1"/>
  <c r="BR364" i="1"/>
  <c r="BR366" i="1" s="1"/>
  <c r="AG382" i="1"/>
  <c r="BK386" i="1"/>
  <c r="AX386" i="1" s="1"/>
  <c r="BO386" i="1"/>
  <c r="BB386" i="1" s="1"/>
  <c r="BS386" i="1"/>
  <c r="BF386" i="1" s="1"/>
  <c r="BM401" i="1"/>
  <c r="AZ401" i="1" s="1"/>
  <c r="BK404" i="1"/>
  <c r="AX404" i="1" s="1"/>
  <c r="BO404" i="1"/>
  <c r="BB404" i="1" s="1"/>
  <c r="BS404" i="1"/>
  <c r="BF404" i="1" s="1"/>
  <c r="BN449" i="1"/>
  <c r="BA449" i="1" s="1"/>
  <c r="BI462" i="1"/>
  <c r="AV462" i="1" s="1"/>
  <c r="BM462" i="1"/>
  <c r="AZ462" i="1" s="1"/>
  <c r="BQ462" i="1"/>
  <c r="BD462" i="1" s="1"/>
  <c r="Y167" i="2"/>
  <c r="B194" i="2"/>
  <c r="BK210" i="1"/>
  <c r="BR218" i="1"/>
  <c r="BE218" i="1" s="1"/>
  <c r="BO221" i="1"/>
  <c r="BB221" i="1" s="1"/>
  <c r="BI272" i="1"/>
  <c r="AV272" i="1" s="1"/>
  <c r="AO6" i="1"/>
  <c r="AP6" i="1" s="1"/>
  <c r="AQ6" i="1" s="1"/>
  <c r="BR169" i="1"/>
  <c r="BE169" i="1" s="1"/>
  <c r="BJ173" i="1"/>
  <c r="AW173" i="1" s="1"/>
  <c r="BM210" i="1"/>
  <c r="AZ210" i="1" s="1"/>
  <c r="BQ210" i="1"/>
  <c r="BD210" i="1" s="1"/>
  <c r="BL218" i="1"/>
  <c r="AY218" i="1" s="1"/>
  <c r="BP218" i="1"/>
  <c r="BC218" i="1" s="1"/>
  <c r="BM221" i="1"/>
  <c r="AZ221" i="1" s="1"/>
  <c r="BJ234" i="1"/>
  <c r="AW234" i="1" s="1"/>
  <c r="BK272" i="1"/>
  <c r="AX272" i="1" s="1"/>
  <c r="BO272" i="1"/>
  <c r="BB272" i="1" s="1"/>
  <c r="AS347" i="1"/>
  <c r="AT347" i="1" s="1"/>
  <c r="BL386" i="1"/>
  <c r="AY386" i="1" s="1"/>
  <c r="BP386" i="1"/>
  <c r="BC386" i="1" s="1"/>
  <c r="BT386" i="1"/>
  <c r="BG386" i="1" s="1"/>
  <c r="BL404" i="1"/>
  <c r="AY404" i="1" s="1"/>
  <c r="BP404" i="1"/>
  <c r="BC404" i="1" s="1"/>
  <c r="BJ462" i="1"/>
  <c r="AW462" i="1" s="1"/>
  <c r="BN462" i="1"/>
  <c r="BA462" i="1" s="1"/>
  <c r="O207" i="2"/>
  <c r="Q207" i="2"/>
  <c r="BS268" i="1"/>
  <c r="BF268" i="1" s="1"/>
  <c r="BT268" i="1"/>
  <c r="BG268" i="1" s="1"/>
  <c r="R18" i="2"/>
  <c r="U54" i="2"/>
  <c r="O63" i="2"/>
  <c r="Z72" i="2"/>
  <c r="Q80" i="2"/>
  <c r="M296" i="2"/>
  <c r="P296" i="2" s="1"/>
  <c r="R80" i="2"/>
  <c r="AB110" i="2"/>
  <c r="P118" i="2"/>
  <c r="B119" i="2" s="1"/>
  <c r="S207" i="2"/>
  <c r="BB374" i="1"/>
  <c r="BF374" i="1"/>
  <c r="BK374" i="1"/>
  <c r="BS374" i="1"/>
  <c r="AD382" i="1"/>
  <c r="AH382" i="1"/>
  <c r="AL382" i="1"/>
  <c r="Z9" i="2"/>
  <c r="S53" i="2"/>
  <c r="J232" i="2"/>
  <c r="K232" i="2" s="1"/>
  <c r="P232" i="2" s="1"/>
  <c r="AB233" i="2"/>
  <c r="P294" i="2"/>
  <c r="AR213" i="1"/>
  <c r="BO172" i="1"/>
  <c r="BB172" i="1" s="1"/>
  <c r="BO173" i="1"/>
  <c r="BB173" i="1" s="1"/>
  <c r="BK174" i="1"/>
  <c r="AX174" i="1" s="1"/>
  <c r="BF264" i="1"/>
  <c r="BK264" i="1"/>
  <c r="BO264" i="1"/>
  <c r="BS264" i="1"/>
  <c r="AO511" i="1"/>
  <c r="AR195" i="1"/>
  <c r="BO176" i="1"/>
  <c r="BB176" i="1" s="1"/>
  <c r="AS162" i="1"/>
  <c r="AT162" i="1" s="1"/>
  <c r="AS165" i="1"/>
  <c r="AT165" i="1" s="1"/>
  <c r="BK172" i="1"/>
  <c r="AX172" i="1" s="1"/>
  <c r="BS172" i="1"/>
  <c r="BF172" i="1" s="1"/>
  <c r="BS175" i="1"/>
  <c r="BF175" i="1" s="1"/>
  <c r="BK176" i="1"/>
  <c r="AX176" i="1" s="1"/>
  <c r="AS274" i="1"/>
  <c r="AT274" i="1" s="1"/>
  <c r="BS452" i="1"/>
  <c r="BF452" i="1" s="1"/>
  <c r="BS366" i="1"/>
  <c r="BF364" i="1"/>
  <c r="BF366" i="1" s="1"/>
  <c r="BK169" i="1"/>
  <c r="AX169" i="1" s="1"/>
  <c r="BO174" i="1"/>
  <c r="BB174" i="1" s="1"/>
  <c r="BK233" i="1"/>
  <c r="AX233" i="1" s="1"/>
  <c r="BK234" i="1"/>
  <c r="AX234" i="1" s="1"/>
  <c r="BS234" i="1"/>
  <c r="BF234" i="1" s="1"/>
  <c r="BK358" i="1"/>
  <c r="AX358" i="1" s="1"/>
  <c r="BO364" i="1"/>
  <c r="BO366" i="1" s="1"/>
  <c r="BO449" i="1"/>
  <c r="BB449" i="1" s="1"/>
  <c r="BK452" i="1"/>
  <c r="AD564" i="1"/>
  <c r="AH564" i="1"/>
  <c r="AL564" i="1"/>
  <c r="E683" i="1"/>
  <c r="E687" i="1" s="1"/>
  <c r="AC668" i="1"/>
  <c r="AG668" i="1"/>
  <c r="AK668" i="1"/>
  <c r="H15" i="1"/>
  <c r="BS233" i="1"/>
  <c r="BF233" i="1" s="1"/>
  <c r="BO358" i="1"/>
  <c r="BB358" i="1" s="1"/>
  <c r="BS169" i="1"/>
  <c r="BF169" i="1" s="1"/>
  <c r="BK173" i="1"/>
  <c r="AX173" i="1" s="1"/>
  <c r="BS174" i="1"/>
  <c r="BF174" i="1" s="1"/>
  <c r="BO175" i="1"/>
  <c r="BB175" i="1" s="1"/>
  <c r="BS176" i="1"/>
  <c r="BF176" i="1" s="1"/>
  <c r="AD264" i="1"/>
  <c r="AH264" i="1"/>
  <c r="AL264" i="1"/>
  <c r="BS358" i="1"/>
  <c r="BF358" i="1" s="1"/>
  <c r="AC606" i="1"/>
  <c r="AC13" i="1" s="1"/>
  <c r="AG606" i="1"/>
  <c r="AK606" i="1"/>
  <c r="AK608" i="1" s="1"/>
  <c r="AX260" i="1"/>
  <c r="AX264" i="1" s="1"/>
  <c r="BB264" i="1"/>
  <c r="BT30" i="1"/>
  <c r="BT510" i="1"/>
  <c r="BQ30" i="1"/>
  <c r="BQ510" i="1"/>
  <c r="BP30" i="1"/>
  <c r="BP510" i="1"/>
  <c r="BI30" i="1"/>
  <c r="BI510" i="1"/>
  <c r="BJ30" i="1"/>
  <c r="BJ510" i="1"/>
  <c r="BN30" i="1"/>
  <c r="BN510" i="1"/>
  <c r="BR30" i="1"/>
  <c r="BR510" i="1"/>
  <c r="BL30" i="1"/>
  <c r="BL510" i="1"/>
  <c r="BM30" i="1"/>
  <c r="BM510" i="1"/>
  <c r="AY6" i="1"/>
  <c r="BK30" i="1"/>
  <c r="BK510" i="1"/>
  <c r="BO30" i="1"/>
  <c r="BB30" i="1" s="1"/>
  <c r="BO510" i="1"/>
  <c r="BS30" i="1"/>
  <c r="BF30" i="1" s="1"/>
  <c r="BS510" i="1"/>
  <c r="BM240" i="1"/>
  <c r="AZ240" i="1" s="1"/>
  <c r="BQ240" i="1"/>
  <c r="BD240" i="1" s="1"/>
  <c r="BI240" i="1"/>
  <c r="AV240" i="1" s="1"/>
  <c r="BJ240" i="1"/>
  <c r="BN240" i="1"/>
  <c r="BA240" i="1" s="1"/>
  <c r="BR240" i="1"/>
  <c r="BE240" i="1" s="1"/>
  <c r="BK240" i="1"/>
  <c r="BO240" i="1"/>
  <c r="BS240" i="1"/>
  <c r="BF240" i="1" s="1"/>
  <c r="BL240" i="1"/>
  <c r="AY240" i="1" s="1"/>
  <c r="BP240" i="1"/>
  <c r="BC240" i="1" s="1"/>
  <c r="BT240" i="1"/>
  <c r="BT94" i="1"/>
  <c r="BG94" i="1" s="1"/>
  <c r="BO94" i="1"/>
  <c r="BB94" i="1" s="1"/>
  <c r="BJ94" i="1"/>
  <c r="AW94" i="1" s="1"/>
  <c r="BP94" i="1"/>
  <c r="BC94" i="1" s="1"/>
  <c r="BK94" i="1"/>
  <c r="AX94" i="1" s="1"/>
  <c r="BR94" i="1"/>
  <c r="BE94" i="1" s="1"/>
  <c r="T215" i="2"/>
  <c r="BS401" i="1"/>
  <c r="BF401" i="1" s="1"/>
  <c r="BO401" i="1"/>
  <c r="BB401" i="1" s="1"/>
  <c r="BK401" i="1"/>
  <c r="AX401" i="1" s="1"/>
  <c r="BR401" i="1"/>
  <c r="BE401" i="1" s="1"/>
  <c r="BN401" i="1"/>
  <c r="BA401" i="1" s="1"/>
  <c r="BJ401" i="1"/>
  <c r="AW401" i="1" s="1"/>
  <c r="BT401" i="1"/>
  <c r="BG401" i="1" s="1"/>
  <c r="BP401" i="1"/>
  <c r="BC401" i="1" s="1"/>
  <c r="BL401" i="1"/>
  <c r="AY401" i="1" s="1"/>
  <c r="BS94" i="1"/>
  <c r="BF94" i="1" s="1"/>
  <c r="BT61" i="1"/>
  <c r="BG61" i="1" s="1"/>
  <c r="BL61" i="1"/>
  <c r="AY61" i="1" s="1"/>
  <c r="BO61" i="1"/>
  <c r="BB61" i="1" s="1"/>
  <c r="AS281" i="1"/>
  <c r="AT281" i="1" s="1"/>
  <c r="AS287" i="1"/>
  <c r="AT287" i="1" s="1"/>
  <c r="AS295" i="1"/>
  <c r="AT295" i="1" s="1"/>
  <c r="BK328" i="1"/>
  <c r="AX328" i="1" s="1"/>
  <c r="BK85" i="1"/>
  <c r="AX85" i="1" s="1"/>
  <c r="BK83" i="1"/>
  <c r="AX83" i="1" s="1"/>
  <c r="BK82" i="1"/>
  <c r="AX82" i="1" s="1"/>
  <c r="BK185" i="1"/>
  <c r="BK170" i="1"/>
  <c r="BK140" i="1"/>
  <c r="BK191" i="1"/>
  <c r="AX191" i="1" s="1"/>
  <c r="BK138" i="1"/>
  <c r="AX138" i="1" s="1"/>
  <c r="BK180" i="1"/>
  <c r="AX180" i="1" s="1"/>
  <c r="BK113" i="1"/>
  <c r="AX113" i="1" s="1"/>
  <c r="BO328" i="1"/>
  <c r="BB328" i="1" s="1"/>
  <c r="BO85" i="1"/>
  <c r="BB85" i="1" s="1"/>
  <c r="BO83" i="1"/>
  <c r="BB83" i="1" s="1"/>
  <c r="BO82" i="1"/>
  <c r="BB82" i="1" s="1"/>
  <c r="BO180" i="1"/>
  <c r="BB180" i="1" s="1"/>
  <c r="BO140" i="1"/>
  <c r="BB140" i="1" s="1"/>
  <c r="BO185" i="1"/>
  <c r="BO191" i="1"/>
  <c r="BB191" i="1" s="1"/>
  <c r="BO138" i="1"/>
  <c r="BB138" i="1" s="1"/>
  <c r="BO113" i="1"/>
  <c r="BB113" i="1" s="1"/>
  <c r="BO170" i="1"/>
  <c r="BS328" i="1"/>
  <c r="BF328" i="1" s="1"/>
  <c r="BS85" i="1"/>
  <c r="BF85" i="1" s="1"/>
  <c r="BS83" i="1"/>
  <c r="BF83" i="1" s="1"/>
  <c r="BS82" i="1"/>
  <c r="BF82" i="1" s="1"/>
  <c r="BS170" i="1"/>
  <c r="BS191" i="1"/>
  <c r="BF191" i="1" s="1"/>
  <c r="BS138" i="1"/>
  <c r="BF138" i="1" s="1"/>
  <c r="BS180" i="1"/>
  <c r="BF180" i="1" s="1"/>
  <c r="BS140" i="1"/>
  <c r="BF140" i="1" s="1"/>
  <c r="BS185" i="1"/>
  <c r="BS113" i="1"/>
  <c r="BF113" i="1" s="1"/>
  <c r="X110" i="2"/>
  <c r="AB118" i="2"/>
  <c r="X125" i="2"/>
  <c r="AB149" i="2"/>
  <c r="AB151" i="2" s="1"/>
  <c r="Y243" i="2"/>
  <c r="X289" i="2"/>
  <c r="BS449" i="1"/>
  <c r="BF449" i="1" s="1"/>
  <c r="BO451" i="1"/>
  <c r="BB451" i="1" s="1"/>
  <c r="AG13" i="1"/>
  <c r="BL451" i="1"/>
  <c r="AY451" i="1" s="1"/>
  <c r="BL328" i="1"/>
  <c r="BL140" i="1"/>
  <c r="AY140" i="1" s="1"/>
  <c r="BL138" i="1"/>
  <c r="AY138" i="1" s="1"/>
  <c r="BL113" i="1"/>
  <c r="AY113" i="1" s="1"/>
  <c r="BL170" i="1"/>
  <c r="BL85" i="1"/>
  <c r="AY85" i="1" s="1"/>
  <c r="BL191" i="1"/>
  <c r="AY191" i="1" s="1"/>
  <c r="BL180" i="1"/>
  <c r="AY180" i="1" s="1"/>
  <c r="BL185" i="1"/>
  <c r="BL82" i="1"/>
  <c r="AY82" i="1" s="1"/>
  <c r="BL83" i="1"/>
  <c r="AY83" i="1" s="1"/>
  <c r="BP451" i="1"/>
  <c r="BC451" i="1" s="1"/>
  <c r="BP328" i="1"/>
  <c r="BP140" i="1"/>
  <c r="BC140" i="1" s="1"/>
  <c r="BP138" i="1"/>
  <c r="BC138" i="1" s="1"/>
  <c r="BP113" i="1"/>
  <c r="BC113" i="1" s="1"/>
  <c r="BP170" i="1"/>
  <c r="BP185" i="1"/>
  <c r="BP180" i="1"/>
  <c r="BC180" i="1" s="1"/>
  <c r="BP85" i="1"/>
  <c r="BP82" i="1"/>
  <c r="BP83" i="1"/>
  <c r="BC83" i="1" s="1"/>
  <c r="BP191" i="1"/>
  <c r="BC191" i="1" s="1"/>
  <c r="BT451" i="1"/>
  <c r="BG451" i="1" s="1"/>
  <c r="BT328" i="1"/>
  <c r="BT140" i="1"/>
  <c r="BT138" i="1"/>
  <c r="BG138" i="1" s="1"/>
  <c r="BT113" i="1"/>
  <c r="BG113" i="1" s="1"/>
  <c r="BT170" i="1"/>
  <c r="BT180" i="1"/>
  <c r="BG180" i="1" s="1"/>
  <c r="BT83" i="1"/>
  <c r="BG83" i="1" s="1"/>
  <c r="BT185" i="1"/>
  <c r="BT191" i="1"/>
  <c r="BG191" i="1" s="1"/>
  <c r="BT85" i="1"/>
  <c r="BG85" i="1" s="1"/>
  <c r="BT82" i="1"/>
  <c r="BG82" i="1" s="1"/>
  <c r="U5" i="2"/>
  <c r="U93" i="2"/>
  <c r="P151" i="2"/>
  <c r="BK449" i="1"/>
  <c r="AX449" i="1" s="1"/>
  <c r="BS451" i="1"/>
  <c r="BF451" i="1" s="1"/>
  <c r="BO452" i="1"/>
  <c r="BB452" i="1" s="1"/>
  <c r="AS480" i="1"/>
  <c r="AT480" i="1" s="1"/>
  <c r="AS486" i="1"/>
  <c r="AT486" i="1" s="1"/>
  <c r="AS498" i="1"/>
  <c r="AT498" i="1" s="1"/>
  <c r="AA681" i="1"/>
  <c r="AE681" i="1"/>
  <c r="AI681" i="1"/>
  <c r="BI328" i="1"/>
  <c r="BI170" i="1"/>
  <c r="BI191" i="1"/>
  <c r="BI180" i="1"/>
  <c r="BI185" i="1"/>
  <c r="BI140" i="1"/>
  <c r="BI138" i="1"/>
  <c r="BI83" i="1"/>
  <c r="AV83" i="1" s="1"/>
  <c r="BI113" i="1"/>
  <c r="AV113" i="1" s="1"/>
  <c r="BI85" i="1"/>
  <c r="BI82" i="1"/>
  <c r="BM328" i="1"/>
  <c r="AZ328" i="1" s="1"/>
  <c r="BM170" i="1"/>
  <c r="BM191" i="1"/>
  <c r="AZ191" i="1" s="1"/>
  <c r="BM180" i="1"/>
  <c r="AZ180" i="1" s="1"/>
  <c r="BM185" i="1"/>
  <c r="BM113" i="1"/>
  <c r="BM82" i="1"/>
  <c r="BM138" i="1"/>
  <c r="AZ138" i="1" s="1"/>
  <c r="BM83" i="1"/>
  <c r="AZ83" i="1" s="1"/>
  <c r="BM140" i="1"/>
  <c r="BM85" i="1"/>
  <c r="BQ328" i="1"/>
  <c r="BQ170" i="1"/>
  <c r="BQ191" i="1"/>
  <c r="BD191" i="1" s="1"/>
  <c r="BQ180" i="1"/>
  <c r="BD180" i="1" s="1"/>
  <c r="BQ185" i="1"/>
  <c r="BQ85" i="1"/>
  <c r="BD85" i="1" s="1"/>
  <c r="BQ140" i="1"/>
  <c r="BD140" i="1" s="1"/>
  <c r="BQ113" i="1"/>
  <c r="BD113" i="1" s="1"/>
  <c r="BQ82" i="1"/>
  <c r="BQ83" i="1"/>
  <c r="BD83" i="1" s="1"/>
  <c r="BQ138" i="1"/>
  <c r="BD138" i="1" s="1"/>
  <c r="O27" i="2"/>
  <c r="L305" i="2"/>
  <c r="Q54" i="2"/>
  <c r="R63" i="2"/>
  <c r="Z71" i="2"/>
  <c r="S80" i="2"/>
  <c r="BQ147" i="1"/>
  <c r="BD147" i="1" s="1"/>
  <c r="BM147" i="1"/>
  <c r="AZ147" i="1" s="1"/>
  <c r="BJ147" i="1"/>
  <c r="AW147" i="1" s="1"/>
  <c r="BT147" i="1"/>
  <c r="BP147" i="1"/>
  <c r="BC147" i="1" s="1"/>
  <c r="BL147" i="1"/>
  <c r="BS147" i="1"/>
  <c r="BF147" i="1" s="1"/>
  <c r="BO147" i="1"/>
  <c r="BB147" i="1" s="1"/>
  <c r="BK147" i="1"/>
  <c r="AX147" i="1" s="1"/>
  <c r="BR147" i="1"/>
  <c r="BE147" i="1" s="1"/>
  <c r="BN147" i="1"/>
  <c r="BA147" i="1" s="1"/>
  <c r="BL153" i="1"/>
  <c r="AY153" i="1" s="1"/>
  <c r="B103" i="2"/>
  <c r="R106" i="2"/>
  <c r="Z106" i="2"/>
  <c r="U107" i="2"/>
  <c r="X118" i="2"/>
  <c r="V117" i="2"/>
  <c r="AB125" i="2"/>
  <c r="R149" i="2"/>
  <c r="R151" i="2" s="1"/>
  <c r="W207" i="2"/>
  <c r="S237" i="2"/>
  <c r="V239" i="2"/>
  <c r="AA239" i="2"/>
  <c r="J259" i="2"/>
  <c r="K259" i="2" s="1"/>
  <c r="P259" i="2" s="1"/>
  <c r="U259" i="2" s="1"/>
  <c r="AS302" i="1"/>
  <c r="AT302" i="1" s="1"/>
  <c r="AS308" i="1"/>
  <c r="AT308" i="1" s="1"/>
  <c r="AS352" i="1"/>
  <c r="AT352" i="1" s="1"/>
  <c r="AO393" i="1"/>
  <c r="AS393" i="1" s="1"/>
  <c r="AT393" i="1" s="1"/>
  <c r="AC564" i="1"/>
  <c r="AG564" i="1"/>
  <c r="AK564" i="1"/>
  <c r="AB681" i="1"/>
  <c r="AF681" i="1"/>
  <c r="AJ681" i="1"/>
  <c r="BJ328" i="1"/>
  <c r="AW328" i="1" s="1"/>
  <c r="BJ180" i="1"/>
  <c r="AW180" i="1" s="1"/>
  <c r="BJ140" i="1"/>
  <c r="BJ185" i="1"/>
  <c r="BJ113" i="1"/>
  <c r="AW113" i="1" s="1"/>
  <c r="BJ170" i="1"/>
  <c r="BJ85" i="1"/>
  <c r="AW85" i="1" s="1"/>
  <c r="BJ82" i="1"/>
  <c r="AW82" i="1" s="1"/>
  <c r="BJ191" i="1"/>
  <c r="BJ138" i="1"/>
  <c r="AW138" i="1" s="1"/>
  <c r="BJ83" i="1"/>
  <c r="BN328" i="1"/>
  <c r="BN191" i="1"/>
  <c r="BN138" i="1"/>
  <c r="BA138" i="1" s="1"/>
  <c r="BN83" i="1"/>
  <c r="BA83" i="1" s="1"/>
  <c r="BN180" i="1"/>
  <c r="BA180" i="1" s="1"/>
  <c r="BN170" i="1"/>
  <c r="BN185" i="1"/>
  <c r="BN140" i="1"/>
  <c r="BN113" i="1"/>
  <c r="BA113" i="1" s="1"/>
  <c r="BN85" i="1"/>
  <c r="BA85" i="1" s="1"/>
  <c r="BN82" i="1"/>
  <c r="BA82" i="1" s="1"/>
  <c r="BR328" i="1"/>
  <c r="BR113" i="1"/>
  <c r="BE113" i="1" s="1"/>
  <c r="BR82" i="1"/>
  <c r="BE82" i="1" s="1"/>
  <c r="BR170" i="1"/>
  <c r="BR191" i="1"/>
  <c r="BE191" i="1" s="1"/>
  <c r="BR138" i="1"/>
  <c r="BE138" i="1" s="1"/>
  <c r="BR185" i="1"/>
  <c r="BR85" i="1"/>
  <c r="BE85" i="1" s="1"/>
  <c r="BR180" i="1"/>
  <c r="BE180" i="1" s="1"/>
  <c r="BR140" i="1"/>
  <c r="BR83" i="1"/>
  <c r="Q27" i="2"/>
  <c r="Z27" i="2"/>
  <c r="BQ94" i="1"/>
  <c r="R54" i="2"/>
  <c r="S63" i="2"/>
  <c r="Z63" i="2"/>
  <c r="T90" i="2"/>
  <c r="AR153" i="1"/>
  <c r="U106" i="2"/>
  <c r="Y118" i="2"/>
  <c r="S149" i="2"/>
  <c r="S151" i="2" s="1"/>
  <c r="AZ6" i="1"/>
  <c r="BD6" i="1"/>
  <c r="BA6" i="1"/>
  <c r="BE6" i="1"/>
  <c r="AX6" i="1"/>
  <c r="BB6" i="1"/>
  <c r="BF6" i="1"/>
  <c r="AV6" i="1"/>
  <c r="BG6" i="1"/>
  <c r="BB364" i="1"/>
  <c r="BB366" i="1" s="1"/>
  <c r="AR636" i="1"/>
  <c r="AR675" i="1"/>
  <c r="AV328" i="1"/>
  <c r="BI234" i="1"/>
  <c r="AV234" i="1" s="1"/>
  <c r="BI233" i="1"/>
  <c r="AV233" i="1" s="1"/>
  <c r="AV191" i="1"/>
  <c r="BI173" i="1"/>
  <c r="AV173" i="1" s="1"/>
  <c r="BI169" i="1"/>
  <c r="AV169" i="1" s="1"/>
  <c r="BI452" i="1"/>
  <c r="AV452" i="1" s="1"/>
  <c r="AV140" i="1"/>
  <c r="BI364" i="1"/>
  <c r="AV364" i="1" s="1"/>
  <c r="AV366" i="1" s="1"/>
  <c r="BI358" i="1"/>
  <c r="AV358" i="1" s="1"/>
  <c r="BI174" i="1"/>
  <c r="AV174" i="1" s="1"/>
  <c r="BI172" i="1"/>
  <c r="AV172" i="1" s="1"/>
  <c r="AV85" i="1"/>
  <c r="AV82" i="1"/>
  <c r="BI449" i="1"/>
  <c r="AV449" i="1" s="1"/>
  <c r="BM358" i="1"/>
  <c r="AZ358" i="1" s="1"/>
  <c r="BM234" i="1"/>
  <c r="AZ234" i="1" s="1"/>
  <c r="BM233" i="1"/>
  <c r="AZ233" i="1" s="1"/>
  <c r="BM173" i="1"/>
  <c r="AZ173" i="1" s="1"/>
  <c r="BM169" i="1"/>
  <c r="AZ169" i="1" s="1"/>
  <c r="BM172" i="1"/>
  <c r="AZ172" i="1" s="1"/>
  <c r="AZ85" i="1"/>
  <c r="BM451" i="1"/>
  <c r="AZ451" i="1" s="1"/>
  <c r="BM449" i="1"/>
  <c r="AZ449" i="1" s="1"/>
  <c r="BM176" i="1"/>
  <c r="AZ176" i="1" s="1"/>
  <c r="AZ82" i="1"/>
  <c r="BM452" i="1"/>
  <c r="AZ452" i="1" s="1"/>
  <c r="BQ234" i="1"/>
  <c r="BD234" i="1" s="1"/>
  <c r="BQ233" i="1"/>
  <c r="BD233" i="1" s="1"/>
  <c r="BQ176" i="1"/>
  <c r="BD176" i="1" s="1"/>
  <c r="BQ173" i="1"/>
  <c r="BD173" i="1" s="1"/>
  <c r="BQ169" i="1"/>
  <c r="BD169" i="1" s="1"/>
  <c r="BQ451" i="1"/>
  <c r="BD451" i="1" s="1"/>
  <c r="BQ449" i="1"/>
  <c r="BD449" i="1" s="1"/>
  <c r="BQ175" i="1"/>
  <c r="BD175" i="1" s="1"/>
  <c r="BD82" i="1"/>
  <c r="AZ140" i="1"/>
  <c r="BQ172" i="1"/>
  <c r="BD172" i="1" s="1"/>
  <c r="BQ174" i="1"/>
  <c r="BD174" i="1" s="1"/>
  <c r="BM364" i="1"/>
  <c r="E15" i="1"/>
  <c r="AR261" i="1"/>
  <c r="AZ113" i="1"/>
  <c r="BM174" i="1"/>
  <c r="AZ174" i="1" s="1"/>
  <c r="BD328" i="1"/>
  <c r="BQ358" i="1"/>
  <c r="BD358" i="1" s="1"/>
  <c r="BQ364" i="1"/>
  <c r="BQ366" i="1" s="1"/>
  <c r="BQ452" i="1"/>
  <c r="BD452" i="1" s="1"/>
  <c r="BI175" i="1"/>
  <c r="AV175" i="1" s="1"/>
  <c r="AO46" i="1"/>
  <c r="AO338" i="1"/>
  <c r="BE364" i="1"/>
  <c r="BE366" i="1" s="1"/>
  <c r="BI451" i="1"/>
  <c r="AV451" i="1" s="1"/>
  <c r="AO502" i="1"/>
  <c r="AO519" i="1"/>
  <c r="AR520" i="1"/>
  <c r="AO539" i="1"/>
  <c r="AO551" i="1"/>
  <c r="AO560" i="1"/>
  <c r="BN585" i="1"/>
  <c r="BA583" i="1"/>
  <c r="BA585" i="1" s="1"/>
  <c r="AK13" i="1"/>
  <c r="E13" i="1"/>
  <c r="BJ452" i="1"/>
  <c r="AW452" i="1" s="1"/>
  <c r="BJ449" i="1"/>
  <c r="AW449" i="1" s="1"/>
  <c r="BJ364" i="1"/>
  <c r="BJ366" i="1" s="1"/>
  <c r="BJ175" i="1"/>
  <c r="BJ174" i="1"/>
  <c r="AW174" i="1" s="1"/>
  <c r="BJ172" i="1"/>
  <c r="AW172" i="1" s="1"/>
  <c r="AW140" i="1"/>
  <c r="BN452" i="1"/>
  <c r="BA452" i="1" s="1"/>
  <c r="BA328" i="1"/>
  <c r="BA191" i="1"/>
  <c r="BN175" i="1"/>
  <c r="BA175" i="1" s="1"/>
  <c r="BN172" i="1"/>
  <c r="BA172" i="1" s="1"/>
  <c r="BA140" i="1"/>
  <c r="BR452" i="1"/>
  <c r="BE452" i="1" s="1"/>
  <c r="BR358" i="1"/>
  <c r="BE358" i="1" s="1"/>
  <c r="BR175" i="1"/>
  <c r="BE175" i="1" s="1"/>
  <c r="BR172" i="1"/>
  <c r="BE172" i="1" s="1"/>
  <c r="BE140" i="1"/>
  <c r="AW83" i="1"/>
  <c r="BE83" i="1"/>
  <c r="AS135" i="1"/>
  <c r="AT135" i="1" s="1"/>
  <c r="BN173" i="1"/>
  <c r="BA173" i="1" s="1"/>
  <c r="AW191" i="1"/>
  <c r="AO224" i="1"/>
  <c r="AY224" i="1"/>
  <c r="AR224" i="1"/>
  <c r="BJ233" i="1"/>
  <c r="AW233" i="1" s="1"/>
  <c r="BR234" i="1"/>
  <c r="BE234" i="1" s="1"/>
  <c r="AS298" i="1"/>
  <c r="AT298" i="1" s="1"/>
  <c r="AS421" i="1"/>
  <c r="AT421" i="1" s="1"/>
  <c r="AS433" i="1"/>
  <c r="AT433" i="1" s="1"/>
  <c r="BR449" i="1"/>
  <c r="BE449" i="1" s="1"/>
  <c r="BR451" i="1"/>
  <c r="BE451" i="1" s="1"/>
  <c r="BE583" i="1"/>
  <c r="BE585" i="1" s="1"/>
  <c r="BA644" i="1"/>
  <c r="AR645" i="1"/>
  <c r="BC82" i="1"/>
  <c r="AS132" i="1"/>
  <c r="AT132" i="1" s="1"/>
  <c r="BG140" i="1"/>
  <c r="BJ169" i="1"/>
  <c r="AW169" i="1" s="1"/>
  <c r="BT169" i="1"/>
  <c r="BG169" i="1" s="1"/>
  <c r="BL173" i="1"/>
  <c r="AY173" i="1" s="1"/>
  <c r="BR173" i="1"/>
  <c r="BE173" i="1" s="1"/>
  <c r="BN174" i="1"/>
  <c r="BA174" i="1" s="1"/>
  <c r="BP175" i="1"/>
  <c r="BC175" i="1" s="1"/>
  <c r="BR176" i="1"/>
  <c r="BE176" i="1" s="1"/>
  <c r="BN233" i="1"/>
  <c r="BA233" i="1" s="1"/>
  <c r="BP234" i="1"/>
  <c r="BC234" i="1" s="1"/>
  <c r="BE328" i="1"/>
  <c r="BN358" i="1"/>
  <c r="BA358" i="1" s="1"/>
  <c r="BN364" i="1"/>
  <c r="AE374" i="1"/>
  <c r="BT452" i="1"/>
  <c r="BG452" i="1" s="1"/>
  <c r="AR462" i="1"/>
  <c r="AO507" i="1"/>
  <c r="AS310" i="1"/>
  <c r="AT310" i="1" s="1"/>
  <c r="AS317" i="1"/>
  <c r="AT317" i="1" s="1"/>
  <c r="AS319" i="1"/>
  <c r="AT319" i="1" s="1"/>
  <c r="AB374" i="1"/>
  <c r="AF374" i="1"/>
  <c r="AJ374" i="1"/>
  <c r="AO489" i="1"/>
  <c r="AJ668" i="1"/>
  <c r="AO499" i="1"/>
  <c r="AR503" i="1"/>
  <c r="AR506" i="1"/>
  <c r="AR515" i="1"/>
  <c r="AR518" i="1"/>
  <c r="AI648" i="1"/>
  <c r="AI14" i="1" s="1"/>
  <c r="AO663" i="1"/>
  <c r="H683" i="1"/>
  <c r="H687" i="1" s="1"/>
  <c r="AR685" i="1" s="1"/>
  <c r="BL174" i="1"/>
  <c r="AY174" i="1" s="1"/>
  <c r="BL176" i="1"/>
  <c r="AY176" i="1" s="1"/>
  <c r="BP174" i="1"/>
  <c r="BC174" i="1" s="1"/>
  <c r="BC85" i="1"/>
  <c r="BP176" i="1"/>
  <c r="BC176" i="1" s="1"/>
  <c r="BT174" i="1"/>
  <c r="BG174" i="1" s="1"/>
  <c r="BT176" i="1"/>
  <c r="BG176" i="1" s="1"/>
  <c r="AW46" i="1"/>
  <c r="AW50" i="1" s="1"/>
  <c r="AL240" i="1"/>
  <c r="AD240" i="1"/>
  <c r="BB240" i="1"/>
  <c r="AK240" i="1"/>
  <c r="AB240" i="1"/>
  <c r="AC41" i="1"/>
  <c r="AF240" i="1"/>
  <c r="AW264" i="1"/>
  <c r="BE264" i="1"/>
  <c r="BN264" i="1"/>
  <c r="BR264" i="1"/>
  <c r="AO309" i="1"/>
  <c r="AY309" i="1"/>
  <c r="AR309" i="1"/>
  <c r="AE314" i="1"/>
  <c r="AA314" i="1"/>
  <c r="AO379" i="1"/>
  <c r="AB382" i="1"/>
  <c r="AF382" i="1"/>
  <c r="AR446" i="1"/>
  <c r="AB156" i="1"/>
  <c r="AF156" i="1"/>
  <c r="AX240" i="1"/>
  <c r="BS585" i="1"/>
  <c r="BF583" i="1"/>
  <c r="BF585" i="1" s="1"/>
  <c r="AG41" i="1"/>
  <c r="AO24" i="1"/>
  <c r="H55" i="1"/>
  <c r="AO38" i="1"/>
  <c r="AK155" i="1"/>
  <c r="AL155" i="1"/>
  <c r="AF155" i="1"/>
  <c r="AS157" i="1"/>
  <c r="AT157" i="1" s="1"/>
  <c r="AJ161" i="1"/>
  <c r="AK161" i="1"/>
  <c r="AF161" i="1"/>
  <c r="AR184" i="1"/>
  <c r="BF239" i="1"/>
  <c r="AH239" i="1"/>
  <c r="AJ240" i="1"/>
  <c r="AL300" i="1"/>
  <c r="AF300" i="1"/>
  <c r="AI314" i="1"/>
  <c r="AR372" i="1"/>
  <c r="S496" i="1"/>
  <c r="AW583" i="1"/>
  <c r="AW585" i="1" s="1"/>
  <c r="AC50" i="1"/>
  <c r="AG50" i="1"/>
  <c r="AK50" i="1"/>
  <c r="AS64" i="1"/>
  <c r="AT64" i="1" s="1"/>
  <c r="AS205" i="1"/>
  <c r="AT205" i="1" s="1"/>
  <c r="AS207" i="1"/>
  <c r="AT207" i="1" s="1"/>
  <c r="AS315" i="1"/>
  <c r="AT315" i="1" s="1"/>
  <c r="AO386" i="1"/>
  <c r="AS414" i="1"/>
  <c r="AT414" i="1" s="1"/>
  <c r="AS444" i="1"/>
  <c r="AT444" i="1" s="1"/>
  <c r="AS494" i="1"/>
  <c r="AT494" i="1" s="1"/>
  <c r="AS495" i="1"/>
  <c r="AT495" i="1" s="1"/>
  <c r="AR501" i="1"/>
  <c r="AO514" i="1"/>
  <c r="AR517" i="1"/>
  <c r="AC547" i="1"/>
  <c r="AG547" i="1"/>
  <c r="AK547" i="1"/>
  <c r="AR644" i="1"/>
  <c r="AS644" i="1" s="1"/>
  <c r="AT644" i="1" s="1"/>
  <c r="AK41" i="1"/>
  <c r="AD90" i="1"/>
  <c r="AH90" i="1"/>
  <c r="AL90" i="1"/>
  <c r="AS99" i="1"/>
  <c r="AT99" i="1" s="1"/>
  <c r="AS107" i="1"/>
  <c r="AT107" i="1" s="1"/>
  <c r="AS109" i="1"/>
  <c r="AT109" i="1" s="1"/>
  <c r="AO116" i="1"/>
  <c r="AS134" i="1"/>
  <c r="AT134" i="1" s="1"/>
  <c r="AS149" i="1"/>
  <c r="AT149" i="1" s="1"/>
  <c r="AO182" i="1"/>
  <c r="AR183" i="1"/>
  <c r="AR186" i="1"/>
  <c r="AS220" i="1"/>
  <c r="AT220" i="1" s="1"/>
  <c r="AA264" i="1"/>
  <c r="AE264" i="1"/>
  <c r="AI264" i="1"/>
  <c r="AS291" i="1"/>
  <c r="AT291" i="1" s="1"/>
  <c r="AS304" i="1"/>
  <c r="AT304" i="1" s="1"/>
  <c r="AS307" i="1"/>
  <c r="AT307" i="1" s="1"/>
  <c r="AS311" i="1"/>
  <c r="AT311" i="1" s="1"/>
  <c r="AS313" i="1"/>
  <c r="AT313" i="1" s="1"/>
  <c r="AS316" i="1"/>
  <c r="AT316" i="1" s="1"/>
  <c r="AA374" i="1"/>
  <c r="AS432" i="1"/>
  <c r="AT432" i="1" s="1"/>
  <c r="AO500" i="1"/>
  <c r="AR512" i="1"/>
  <c r="AR524" i="1"/>
  <c r="AR533" i="1"/>
  <c r="AR40" i="1"/>
  <c r="AR44" i="1"/>
  <c r="AR86" i="1"/>
  <c r="AY86" i="1"/>
  <c r="AO141" i="1"/>
  <c r="AO534" i="1"/>
  <c r="AR559" i="1"/>
  <c r="AR664" i="1"/>
  <c r="AO673" i="1"/>
  <c r="AX116" i="1"/>
  <c r="AO167" i="1"/>
  <c r="AW167" i="1"/>
  <c r="AW24" i="1"/>
  <c r="AR47" i="1"/>
  <c r="AR117" i="1"/>
  <c r="AO177" i="1"/>
  <c r="AO181" i="1"/>
  <c r="AO260" i="1"/>
  <c r="AY264" i="1"/>
  <c r="BC264" i="1"/>
  <c r="BG264" i="1"/>
  <c r="BL264" i="1"/>
  <c r="BP264" i="1"/>
  <c r="BT264" i="1"/>
  <c r="AO445" i="1"/>
  <c r="AO448" i="1"/>
  <c r="AO461" i="1"/>
  <c r="AR660" i="1"/>
  <c r="AO87" i="1"/>
  <c r="AR168" i="1"/>
  <c r="AR237" i="1"/>
  <c r="AR455" i="1"/>
  <c r="AO553" i="1"/>
  <c r="AO554" i="1"/>
  <c r="BA50" i="1"/>
  <c r="AF41" i="1"/>
  <c r="AV374" i="1"/>
  <c r="AO43" i="1"/>
  <c r="AR43" i="1"/>
  <c r="AR49" i="1"/>
  <c r="AG34" i="1"/>
  <c r="BE50" i="1"/>
  <c r="BR50" i="1"/>
  <c r="AF50" i="1"/>
  <c r="AG143" i="1"/>
  <c r="AD34" i="1"/>
  <c r="AH34" i="1"/>
  <c r="AL34" i="1"/>
  <c r="AR39" i="1"/>
  <c r="AO39" i="1"/>
  <c r="AW168" i="1"/>
  <c r="AW175" i="1"/>
  <c r="AX193" i="1"/>
  <c r="AR193" i="1"/>
  <c r="BK366" i="1"/>
  <c r="AX364" i="1"/>
  <c r="AX366" i="1" s="1"/>
  <c r="AV403" i="1"/>
  <c r="AX452" i="1"/>
  <c r="AB41" i="1"/>
  <c r="BI374" i="1"/>
  <c r="AO370" i="1"/>
  <c r="BS402" i="1"/>
  <c r="BF402" i="1" s="1"/>
  <c r="BO402" i="1"/>
  <c r="BB402" i="1" s="1"/>
  <c r="BK402" i="1"/>
  <c r="AX402" i="1" s="1"/>
  <c r="BT402" i="1"/>
  <c r="BG402" i="1" s="1"/>
  <c r="BN402" i="1"/>
  <c r="BA402" i="1" s="1"/>
  <c r="BI402" i="1"/>
  <c r="BP402" i="1"/>
  <c r="BC402" i="1" s="1"/>
  <c r="BJ402" i="1"/>
  <c r="AW402" i="1" s="1"/>
  <c r="BR402" i="1"/>
  <c r="BE402" i="1" s="1"/>
  <c r="BQ402" i="1"/>
  <c r="BD402" i="1" s="1"/>
  <c r="BL402" i="1"/>
  <c r="AY402" i="1" s="1"/>
  <c r="AZ50" i="1"/>
  <c r="BQ50" i="1"/>
  <c r="AE90" i="1"/>
  <c r="AI90" i="1"/>
  <c r="AD120" i="1"/>
  <c r="AH120" i="1"/>
  <c r="AL120" i="1"/>
  <c r="AR178" i="1"/>
  <c r="AO178" i="1"/>
  <c r="AK299" i="1"/>
  <c r="AJ299" i="1"/>
  <c r="AB299" i="1"/>
  <c r="AL299" i="1"/>
  <c r="AD299" i="1"/>
  <c r="AH299" i="1"/>
  <c r="AF299" i="1"/>
  <c r="BM402" i="1"/>
  <c r="AZ402" i="1" s="1"/>
  <c r="T34" i="2"/>
  <c r="Q34" i="2"/>
  <c r="Z34" i="2"/>
  <c r="AJ41" i="1"/>
  <c r="AW38" i="1"/>
  <c r="AO40" i="1"/>
  <c r="AX47" i="1"/>
  <c r="AX50" i="1" s="1"/>
  <c r="BM374" i="1"/>
  <c r="E55" i="1"/>
  <c r="E689" i="1" s="1"/>
  <c r="BD50" i="1"/>
  <c r="BM50" i="1"/>
  <c r="AO45" i="1"/>
  <c r="AR46" i="1"/>
  <c r="AY49" i="1"/>
  <c r="AY50" i="1" s="1"/>
  <c r="AA90" i="1"/>
  <c r="AC34" i="1"/>
  <c r="AK34" i="1"/>
  <c r="AV43" i="1"/>
  <c r="AV50" i="1" s="1"/>
  <c r="BJ50" i="1"/>
  <c r="BN50" i="1"/>
  <c r="AB50" i="1"/>
  <c r="AJ50" i="1"/>
  <c r="AC143" i="1"/>
  <c r="AK143" i="1"/>
  <c r="U6" i="2"/>
  <c r="BQ61" i="1"/>
  <c r="BD61" i="1" s="1"/>
  <c r="BR61" i="1"/>
  <c r="BE61" i="1" s="1"/>
  <c r="BN61" i="1"/>
  <c r="BA61" i="1" s="1"/>
  <c r="BJ61" i="1"/>
  <c r="BM61" i="1"/>
  <c r="AZ61" i="1" s="1"/>
  <c r="AA120" i="1"/>
  <c r="AL143" i="1"/>
  <c r="AG155" i="1"/>
  <c r="AE34" i="1"/>
  <c r="AL41" i="1"/>
  <c r="BF50" i="1"/>
  <c r="BS50" i="1"/>
  <c r="AF90" i="1"/>
  <c r="AB34" i="1"/>
  <c r="AF34" i="1"/>
  <c r="AJ34" i="1"/>
  <c r="AR24" i="1"/>
  <c r="AR28" i="1"/>
  <c r="AA41" i="1"/>
  <c r="AE41" i="1"/>
  <c r="AI41" i="1"/>
  <c r="AR37" i="1"/>
  <c r="AA50" i="1"/>
  <c r="AE50" i="1"/>
  <c r="AI50" i="1"/>
  <c r="BC50" i="1"/>
  <c r="BG50" i="1"/>
  <c r="BL50" i="1"/>
  <c r="BP50" i="1"/>
  <c r="BT50" i="1"/>
  <c r="AD50" i="1"/>
  <c r="AH50" i="1"/>
  <c r="AL50" i="1"/>
  <c r="AR45" i="1"/>
  <c r="AO49" i="1"/>
  <c r="AC90" i="1"/>
  <c r="AG90" i="1"/>
  <c r="AK90" i="1"/>
  <c r="AS68" i="1"/>
  <c r="AT68" i="1" s="1"/>
  <c r="AS76" i="1"/>
  <c r="AT76" i="1" s="1"/>
  <c r="AS78" i="1"/>
  <c r="AT78" i="1" s="1"/>
  <c r="AC120" i="1"/>
  <c r="AG120" i="1"/>
  <c r="AK120" i="1"/>
  <c r="BM94" i="1"/>
  <c r="AS95" i="1"/>
  <c r="AT95" i="1" s="1"/>
  <c r="AO117" i="1"/>
  <c r="AB143" i="1"/>
  <c r="AF143" i="1"/>
  <c r="AJ143" i="1"/>
  <c r="AS125" i="1"/>
  <c r="AT125" i="1" s="1"/>
  <c r="AS128" i="1"/>
  <c r="AT128" i="1" s="1"/>
  <c r="AR141" i="1"/>
  <c r="AD155" i="1"/>
  <c r="AC161" i="1"/>
  <c r="AO179" i="1"/>
  <c r="AS204" i="1"/>
  <c r="AT204" i="1" s="1"/>
  <c r="BL222" i="1"/>
  <c r="AY222" i="1" s="1"/>
  <c r="AD239" i="1"/>
  <c r="AZ239" i="1"/>
  <c r="AC264" i="1"/>
  <c r="AG264" i="1"/>
  <c r="AK264" i="1"/>
  <c r="AO261" i="1"/>
  <c r="BK268" i="1"/>
  <c r="AX268" i="1" s="1"/>
  <c r="AS273" i="1"/>
  <c r="AT273" i="1" s="1"/>
  <c r="AS297" i="1"/>
  <c r="AT297" i="1" s="1"/>
  <c r="AI300" i="1"/>
  <c r="AH300" i="1"/>
  <c r="AC300" i="1"/>
  <c r="AJ300" i="1"/>
  <c r="AD300" i="1"/>
  <c r="AK300" i="1"/>
  <c r="AC382" i="1"/>
  <c r="AK382" i="1"/>
  <c r="AY387" i="1"/>
  <c r="AO387" i="1"/>
  <c r="AS387" i="1" s="1"/>
  <c r="AT387" i="1" s="1"/>
  <c r="AS435" i="1"/>
  <c r="AT435" i="1" s="1"/>
  <c r="AO455" i="1"/>
  <c r="AA473" i="1"/>
  <c r="AE473" i="1"/>
  <c r="AI473" i="1"/>
  <c r="AS467" i="1"/>
  <c r="AT467" i="1" s="1"/>
  <c r="AC527" i="1"/>
  <c r="AG527" i="1"/>
  <c r="AK527" i="1"/>
  <c r="S491" i="1"/>
  <c r="T491" i="1" s="1"/>
  <c r="U491" i="1" s="1"/>
  <c r="Q48" i="2"/>
  <c r="T48" i="2"/>
  <c r="U48" i="2"/>
  <c r="U297" i="2"/>
  <c r="Q297" i="2"/>
  <c r="AE120" i="1"/>
  <c r="AH143" i="1"/>
  <c r="AR167" i="1"/>
  <c r="AJ239" i="1"/>
  <c r="AO454" i="1"/>
  <c r="AO524" i="1"/>
  <c r="AS524" i="1" s="1"/>
  <c r="AT524" i="1" s="1"/>
  <c r="AA648" i="1"/>
  <c r="AA14" i="1" s="1"/>
  <c r="AE648" i="1"/>
  <c r="T10" i="2"/>
  <c r="Q10" i="2"/>
  <c r="Z10" i="2"/>
  <c r="R10" i="2"/>
  <c r="U10" i="2"/>
  <c r="T21" i="2"/>
  <c r="R21" i="2"/>
  <c r="W21" i="2"/>
  <c r="T121" i="2"/>
  <c r="U121" i="2"/>
  <c r="BQ222" i="1"/>
  <c r="BD222" i="1" s="1"/>
  <c r="BM222" i="1"/>
  <c r="AZ222" i="1" s="1"/>
  <c r="BR403" i="1"/>
  <c r="BE403" i="1" s="1"/>
  <c r="BN403" i="1"/>
  <c r="BA403" i="1" s="1"/>
  <c r="BJ403" i="1"/>
  <c r="AW403" i="1" s="1"/>
  <c r="BP403" i="1"/>
  <c r="BC403" i="1" s="1"/>
  <c r="BK403" i="1"/>
  <c r="AX403" i="1" s="1"/>
  <c r="BQ403" i="1"/>
  <c r="BD403" i="1" s="1"/>
  <c r="BL403" i="1"/>
  <c r="AY403" i="1" s="1"/>
  <c r="W226" i="2"/>
  <c r="U226" i="2"/>
  <c r="BQ268" i="1"/>
  <c r="BD268" i="1" s="1"/>
  <c r="BM268" i="1"/>
  <c r="AZ268" i="1" s="1"/>
  <c r="BI268" i="1"/>
  <c r="AV268" i="1" s="1"/>
  <c r="BR268" i="1"/>
  <c r="BE268" i="1" s="1"/>
  <c r="BN268" i="1"/>
  <c r="BA268" i="1" s="1"/>
  <c r="BJ268" i="1"/>
  <c r="AW268" i="1" s="1"/>
  <c r="AI120" i="1"/>
  <c r="AD143" i="1"/>
  <c r="AH155" i="1"/>
  <c r="AC155" i="1"/>
  <c r="AY212" i="1"/>
  <c r="AO212" i="1"/>
  <c r="AS212" i="1" s="1"/>
  <c r="AT212" i="1" s="1"/>
  <c r="AO238" i="1"/>
  <c r="BG239" i="1"/>
  <c r="BD239" i="1"/>
  <c r="AV239" i="1"/>
  <c r="AF239" i="1"/>
  <c r="AY280" i="1"/>
  <c r="AO280" i="1"/>
  <c r="AR306" i="1"/>
  <c r="AO306" i="1"/>
  <c r="AA34" i="1"/>
  <c r="AA55" i="1" s="1"/>
  <c r="AI34" i="1"/>
  <c r="AD41" i="1"/>
  <c r="AH41" i="1"/>
  <c r="AR38" i="1"/>
  <c r="BB50" i="1"/>
  <c r="BK50" i="1"/>
  <c r="BO50" i="1"/>
  <c r="AO47" i="1"/>
  <c r="AR48" i="1"/>
  <c r="AB90" i="1"/>
  <c r="AJ90" i="1"/>
  <c r="AR80" i="1"/>
  <c r="AR87" i="1"/>
  <c r="E566" i="1"/>
  <c r="E690" i="1" s="1"/>
  <c r="AB120" i="1"/>
  <c r="AF120" i="1"/>
  <c r="AJ120" i="1"/>
  <c r="AR116" i="1"/>
  <c r="AA143" i="1"/>
  <c r="AE143" i="1"/>
  <c r="AI143" i="1"/>
  <c r="AB155" i="1"/>
  <c r="AJ155" i="1"/>
  <c r="AK156" i="1"/>
  <c r="AJ156" i="1"/>
  <c r="AI161" i="1"/>
  <c r="AL161" i="1"/>
  <c r="AG161" i="1"/>
  <c r="AB161" i="1"/>
  <c r="AH161" i="1"/>
  <c r="AR182" i="1"/>
  <c r="AR188" i="1"/>
  <c r="AW192" i="1"/>
  <c r="AR192" i="1"/>
  <c r="AR194" i="1"/>
  <c r="AS194" i="1" s="1"/>
  <c r="AT194" i="1" s="1"/>
  <c r="AY194" i="1"/>
  <c r="BK222" i="1"/>
  <c r="BP222" i="1"/>
  <c r="BC222" i="1" s="1"/>
  <c r="AR223" i="1"/>
  <c r="AS223" i="1" s="1"/>
  <c r="AT223" i="1" s="1"/>
  <c r="AY223" i="1"/>
  <c r="AO235" i="1"/>
  <c r="AB239" i="1"/>
  <c r="AL239" i="1"/>
  <c r="AX239" i="1"/>
  <c r="AH240" i="1"/>
  <c r="AC240" i="1"/>
  <c r="AG240" i="1"/>
  <c r="BG240" i="1"/>
  <c r="AB264" i="1"/>
  <c r="AF264" i="1"/>
  <c r="AJ264" i="1"/>
  <c r="BA264" i="1"/>
  <c r="BP268" i="1"/>
  <c r="BC268" i="1" s="1"/>
  <c r="AG300" i="1"/>
  <c r="BO403" i="1"/>
  <c r="BB403" i="1" s="1"/>
  <c r="AO404" i="1"/>
  <c r="AR448" i="1"/>
  <c r="S490" i="1"/>
  <c r="T490" i="1" s="1"/>
  <c r="U490" i="1" s="1"/>
  <c r="V490" i="1" s="1"/>
  <c r="T492" i="1"/>
  <c r="U492" i="1" s="1"/>
  <c r="AO501" i="1"/>
  <c r="AS501" i="1" s="1"/>
  <c r="AT501" i="1" s="1"/>
  <c r="AO503" i="1"/>
  <c r="AS503" i="1" s="1"/>
  <c r="AT503" i="1" s="1"/>
  <c r="AO513" i="1"/>
  <c r="AR514" i="1"/>
  <c r="BL585" i="1"/>
  <c r="BP585" i="1"/>
  <c r="BC583" i="1"/>
  <c r="BC585" i="1" s="1"/>
  <c r="AR637" i="1"/>
  <c r="U12" i="2"/>
  <c r="Q12" i="2"/>
  <c r="T12" i="2"/>
  <c r="T17" i="2"/>
  <c r="Z17" i="2"/>
  <c r="Q17" i="2"/>
  <c r="T24" i="2"/>
  <c r="W24" i="2"/>
  <c r="R24" i="2"/>
  <c r="X68" i="2"/>
  <c r="R50" i="2"/>
  <c r="S50" i="2"/>
  <c r="O50" i="2"/>
  <c r="W50" i="2"/>
  <c r="AS150" i="1"/>
  <c r="AT150" i="1" s="1"/>
  <c r="AR179" i="1"/>
  <c r="AO183" i="1"/>
  <c r="AO188" i="1"/>
  <c r="AS203" i="1"/>
  <c r="AT203" i="1" s="1"/>
  <c r="AR210" i="1"/>
  <c r="AS228" i="1"/>
  <c r="AT228" i="1" s="1"/>
  <c r="AS285" i="1"/>
  <c r="AT285" i="1" s="1"/>
  <c r="AS305" i="1"/>
  <c r="AT305" i="1" s="1"/>
  <c r="AS318" i="1"/>
  <c r="AT318" i="1" s="1"/>
  <c r="AF360" i="1"/>
  <c r="AS350" i="1"/>
  <c r="AT350" i="1" s="1"/>
  <c r="AI374" i="1"/>
  <c r="AY374" i="1"/>
  <c r="BC374" i="1"/>
  <c r="BG374" i="1"/>
  <c r="BP374" i="1"/>
  <c r="BT374" i="1"/>
  <c r="AH374" i="1"/>
  <c r="AE389" i="1"/>
  <c r="AE457" i="1" s="1"/>
  <c r="AJ389" i="1"/>
  <c r="AS407" i="1"/>
  <c r="AT407" i="1" s="1"/>
  <c r="AS431" i="1"/>
  <c r="AT431" i="1" s="1"/>
  <c r="AS442" i="1"/>
  <c r="AT442" i="1" s="1"/>
  <c r="AR445" i="1"/>
  <c r="AR469" i="1"/>
  <c r="AO505" i="1"/>
  <c r="AO515" i="1"/>
  <c r="AS515" i="1" s="1"/>
  <c r="AT515" i="1" s="1"/>
  <c r="AO517" i="1"/>
  <c r="AR525" i="1"/>
  <c r="BK585" i="1"/>
  <c r="AX583" i="1"/>
  <c r="AX585" i="1" s="1"/>
  <c r="BO585" i="1"/>
  <c r="BB583" i="1"/>
  <c r="BB585" i="1" s="1"/>
  <c r="AB668" i="1"/>
  <c r="AF668" i="1"/>
  <c r="AO671" i="1"/>
  <c r="Q55" i="2"/>
  <c r="T55" i="2"/>
  <c r="U55" i="2"/>
  <c r="T58" i="2"/>
  <c r="W58" i="2"/>
  <c r="O58" i="2"/>
  <c r="AR270" i="1"/>
  <c r="AX374" i="1"/>
  <c r="BO374" i="1"/>
  <c r="AR508" i="1"/>
  <c r="AO516" i="1"/>
  <c r="AR516" i="1"/>
  <c r="H650" i="1"/>
  <c r="H654" i="1" s="1"/>
  <c r="AR652" i="1" s="1"/>
  <c r="AD681" i="1"/>
  <c r="AH681" i="1"/>
  <c r="AL681" i="1"/>
  <c r="BL449" i="1"/>
  <c r="AY449" i="1" s="1"/>
  <c r="BL364" i="1"/>
  <c r="AY364" i="1" s="1"/>
  <c r="AY366" i="1" s="1"/>
  <c r="BL358" i="1"/>
  <c r="AY328" i="1"/>
  <c r="BP449" i="1"/>
  <c r="BC449" i="1" s="1"/>
  <c r="BP364" i="1"/>
  <c r="BP358" i="1"/>
  <c r="BC358" i="1" s="1"/>
  <c r="BC328" i="1"/>
  <c r="BT449" i="1"/>
  <c r="BG449" i="1" s="1"/>
  <c r="BT364" i="1"/>
  <c r="BT358" i="1"/>
  <c r="BG358" i="1" s="1"/>
  <c r="BG328" i="1"/>
  <c r="T11" i="2"/>
  <c r="Z11" i="2"/>
  <c r="R11" i="2"/>
  <c r="U11" i="2"/>
  <c r="T28" i="2"/>
  <c r="R28" i="2"/>
  <c r="Z28" i="2"/>
  <c r="S28" i="2"/>
  <c r="W28" i="2"/>
  <c r="T31" i="2"/>
  <c r="W31" i="2"/>
  <c r="R31" i="2"/>
  <c r="T36" i="2"/>
  <c r="R36" i="2"/>
  <c r="Z60" i="2"/>
  <c r="R60" i="2"/>
  <c r="AK360" i="1"/>
  <c r="AS344" i="1"/>
  <c r="AT344" i="1" s="1"/>
  <c r="AR356" i="1"/>
  <c r="AC374" i="1"/>
  <c r="AG374" i="1"/>
  <c r="AK374" i="1"/>
  <c r="BA374" i="1"/>
  <c r="BE374" i="1"/>
  <c r="BJ374" i="1"/>
  <c r="BR374" i="1"/>
  <c r="AW374" i="1"/>
  <c r="BN374" i="1"/>
  <c r="AZ374" i="1"/>
  <c r="BD374" i="1"/>
  <c r="AO372" i="1"/>
  <c r="BQ374" i="1"/>
  <c r="AJ382" i="1"/>
  <c r="AB457" i="1"/>
  <c r="AS415" i="1"/>
  <c r="AT415" i="1" s="1"/>
  <c r="AS436" i="1"/>
  <c r="AT436" i="1" s="1"/>
  <c r="AS466" i="1"/>
  <c r="AT466" i="1" s="1"/>
  <c r="AS471" i="1"/>
  <c r="AT471" i="1" s="1"/>
  <c r="AS479" i="1"/>
  <c r="AT479" i="1" s="1"/>
  <c r="AS485" i="1"/>
  <c r="AT485" i="1" s="1"/>
  <c r="AR505" i="1"/>
  <c r="AR511" i="1"/>
  <c r="AS511" i="1" s="1"/>
  <c r="AT511" i="1" s="1"/>
  <c r="AO518" i="1"/>
  <c r="AR519" i="1"/>
  <c r="AO533" i="1"/>
  <c r="AS535" i="1"/>
  <c r="AT535" i="1" s="1"/>
  <c r="AS537" i="1"/>
  <c r="AT537" i="1" s="1"/>
  <c r="AR540" i="1"/>
  <c r="AB564" i="1"/>
  <c r="AF564" i="1"/>
  <c r="AJ564" i="1"/>
  <c r="AR553" i="1"/>
  <c r="AC608" i="1"/>
  <c r="AG608" i="1"/>
  <c r="H608" i="1"/>
  <c r="H612" i="1" s="1"/>
  <c r="AR610" i="1" s="1"/>
  <c r="AV606" i="1"/>
  <c r="AS591" i="1"/>
  <c r="AT591" i="1" s="1"/>
  <c r="AS593" i="1"/>
  <c r="AT593" i="1" s="1"/>
  <c r="AS595" i="1"/>
  <c r="AT595" i="1" s="1"/>
  <c r="AS597" i="1"/>
  <c r="AT597" i="1" s="1"/>
  <c r="AI650" i="1"/>
  <c r="AE630" i="1"/>
  <c r="E650" i="1"/>
  <c r="E654" i="1" s="1"/>
  <c r="AO636" i="1"/>
  <c r="AS636" i="1" s="1"/>
  <c r="AT636" i="1" s="1"/>
  <c r="AO640" i="1"/>
  <c r="AO643" i="1"/>
  <c r="AO645" i="1"/>
  <c r="AO662" i="1"/>
  <c r="AR663" i="1"/>
  <c r="AC681" i="1"/>
  <c r="AC15" i="1" s="1"/>
  <c r="AG681" i="1"/>
  <c r="AG15" i="1" s="1"/>
  <c r="AK681" i="1"/>
  <c r="AK15" i="1" s="1"/>
  <c r="AR674" i="1"/>
  <c r="AO675" i="1"/>
  <c r="Q29" i="2"/>
  <c r="U61" i="2"/>
  <c r="T61" i="2"/>
  <c r="B86" i="2"/>
  <c r="U162" i="2"/>
  <c r="T162" i="2"/>
  <c r="T228" i="2"/>
  <c r="Q228" i="2"/>
  <c r="U228" i="2"/>
  <c r="Z228" i="2"/>
  <c r="R228" i="2"/>
  <c r="Q263" i="2"/>
  <c r="U263" i="2"/>
  <c r="T263" i="2"/>
  <c r="T267" i="2" s="1"/>
  <c r="T269" i="2"/>
  <c r="T273" i="2" s="1"/>
  <c r="Z269" i="2"/>
  <c r="Z273" i="2" s="1"/>
  <c r="R269" i="2"/>
  <c r="AR499" i="1"/>
  <c r="AS499" i="1" s="1"/>
  <c r="AT499" i="1" s="1"/>
  <c r="AR507" i="1"/>
  <c r="AO512" i="1"/>
  <c r="AR513" i="1"/>
  <c r="AO520" i="1"/>
  <c r="AS520" i="1" s="1"/>
  <c r="AT520" i="1" s="1"/>
  <c r="AA547" i="1"/>
  <c r="AE547" i="1"/>
  <c r="AI547" i="1"/>
  <c r="AO557" i="1"/>
  <c r="AR560" i="1"/>
  <c r="E608" i="1"/>
  <c r="E612" i="1" s="1"/>
  <c r="AD606" i="1"/>
  <c r="AD13" i="1" s="1"/>
  <c r="AH606" i="1"/>
  <c r="AH13" i="1" s="1"/>
  <c r="AL606" i="1"/>
  <c r="AL13" i="1" s="1"/>
  <c r="AD630" i="1"/>
  <c r="AR641" i="1"/>
  <c r="AD668" i="1"/>
  <c r="AH668" i="1"/>
  <c r="AH15" i="1" s="1"/>
  <c r="AL668" i="1"/>
  <c r="AL15" i="1" s="1"/>
  <c r="J44" i="2"/>
  <c r="B45" i="2"/>
  <c r="W57" i="2"/>
  <c r="T57" i="2"/>
  <c r="S59" i="2"/>
  <c r="R59" i="2"/>
  <c r="W59" i="2"/>
  <c r="Y86" i="2"/>
  <c r="Q122" i="2"/>
  <c r="U122" i="2"/>
  <c r="T122" i="2"/>
  <c r="U165" i="2"/>
  <c r="Z165" i="2"/>
  <c r="AA165" i="2" s="1"/>
  <c r="T165" i="2"/>
  <c r="U218" i="2"/>
  <c r="Z218" i="2"/>
  <c r="U255" i="2"/>
  <c r="T255" i="2"/>
  <c r="Q255" i="2"/>
  <c r="Z286" i="2"/>
  <c r="R286" i="2"/>
  <c r="O53" i="2"/>
  <c r="B68" i="2"/>
  <c r="X86" i="2"/>
  <c r="U80" i="2"/>
  <c r="Z80" i="2"/>
  <c r="AA80" i="2" s="1"/>
  <c r="V102" i="2"/>
  <c r="Y110" i="2"/>
  <c r="V109" i="2"/>
  <c r="S114" i="2"/>
  <c r="J124" i="2"/>
  <c r="K124" i="2" s="1"/>
  <c r="U139" i="2"/>
  <c r="Q149" i="2"/>
  <c r="Q151" i="2" s="1"/>
  <c r="Z149" i="2"/>
  <c r="Z151" i="2" s="1"/>
  <c r="P156" i="2"/>
  <c r="P175" i="2"/>
  <c r="P176" i="2"/>
  <c r="R176" i="2" s="1"/>
  <c r="AB204" i="2"/>
  <c r="U207" i="2"/>
  <c r="U215" i="2"/>
  <c r="X252" i="2"/>
  <c r="AB260" i="2"/>
  <c r="P276" i="2"/>
  <c r="AB289" i="2"/>
  <c r="Z115" i="2"/>
  <c r="Z292" i="2"/>
  <c r="V124" i="2"/>
  <c r="M157" i="2"/>
  <c r="P157" i="2" s="1"/>
  <c r="X167" i="2"/>
  <c r="M197" i="2"/>
  <c r="P197" i="2" s="1"/>
  <c r="Q215" i="2"/>
  <c r="AA219" i="2"/>
  <c r="M277" i="2"/>
  <c r="P277" i="2" s="1"/>
  <c r="AB283" i="2"/>
  <c r="R282" i="2"/>
  <c r="V282" i="2" s="1"/>
  <c r="M295" i="2"/>
  <c r="P295" i="2" s="1"/>
  <c r="AA63" i="2"/>
  <c r="AB86" i="2"/>
  <c r="Y103" i="2"/>
  <c r="U149" i="2"/>
  <c r="U151" i="2" s="1"/>
  <c r="X223" i="2"/>
  <c r="V238" i="2"/>
  <c r="AA238" i="2"/>
  <c r="P246" i="2"/>
  <c r="Y260" i="2"/>
  <c r="Y283" i="2"/>
  <c r="P293" i="2"/>
  <c r="AR66" i="1"/>
  <c r="AS66" i="1" s="1"/>
  <c r="AT66" i="1" s="1"/>
  <c r="AY66" i="1"/>
  <c r="AY213" i="1"/>
  <c r="AO193" i="1"/>
  <c r="AR63" i="1"/>
  <c r="AY67" i="1"/>
  <c r="AR98" i="1"/>
  <c r="AS98" i="1" s="1"/>
  <c r="AT98" i="1" s="1"/>
  <c r="AY98" i="1"/>
  <c r="AO195" i="1"/>
  <c r="AS195" i="1" s="1"/>
  <c r="AT195" i="1" s="1"/>
  <c r="AR211" i="1"/>
  <c r="AO153" i="1"/>
  <c r="AR221" i="1"/>
  <c r="AO270" i="1"/>
  <c r="BA30" i="1"/>
  <c r="AY30" i="1"/>
  <c r="BC30" i="1"/>
  <c r="BG30" i="1"/>
  <c r="AW30" i="1"/>
  <c r="AV30" i="1"/>
  <c r="AZ30" i="1"/>
  <c r="BD30" i="1"/>
  <c r="AS67" i="1"/>
  <c r="AT67" i="1" s="1"/>
  <c r="BE30" i="1"/>
  <c r="AX30" i="1"/>
  <c r="H689" i="1"/>
  <c r="AO26" i="1"/>
  <c r="AS32" i="1"/>
  <c r="AT32" i="1" s="1"/>
  <c r="L34" i="1"/>
  <c r="AO37" i="1"/>
  <c r="L41" i="1"/>
  <c r="AO44" i="1"/>
  <c r="AO48" i="1"/>
  <c r="AR52" i="1"/>
  <c r="AS75" i="1"/>
  <c r="AT75" i="1" s="1"/>
  <c r="AO80" i="1"/>
  <c r="AS106" i="1"/>
  <c r="AT106" i="1" s="1"/>
  <c r="AY147" i="1"/>
  <c r="BG147" i="1"/>
  <c r="AS160" i="1"/>
  <c r="AT160" i="1" s="1"/>
  <c r="AO27" i="1"/>
  <c r="AO28" i="1"/>
  <c r="AO52" i="1"/>
  <c r="AW61" i="1"/>
  <c r="AS126" i="1"/>
  <c r="AT126" i="1" s="1"/>
  <c r="AO127" i="1"/>
  <c r="AJ159" i="1"/>
  <c r="AF159" i="1"/>
  <c r="AB159" i="1"/>
  <c r="AL159" i="1"/>
  <c r="AH159" i="1"/>
  <c r="AD159" i="1"/>
  <c r="AK159" i="1"/>
  <c r="AG159" i="1"/>
  <c r="AC159" i="1"/>
  <c r="L50" i="1"/>
  <c r="BI50" i="1"/>
  <c r="AS65" i="1"/>
  <c r="AT65" i="1" s="1"/>
  <c r="AS69" i="1"/>
  <c r="AT69" i="1" s="1"/>
  <c r="AS77" i="1"/>
  <c r="AT77" i="1" s="1"/>
  <c r="L90" i="1"/>
  <c r="AS97" i="1"/>
  <c r="AT97" i="1" s="1"/>
  <c r="AS100" i="1"/>
  <c r="AT100" i="1" s="1"/>
  <c r="AS108" i="1"/>
  <c r="AT108" i="1" s="1"/>
  <c r="AR151" i="1"/>
  <c r="AY151" i="1"/>
  <c r="AO151" i="1"/>
  <c r="AA159" i="1"/>
  <c r="AO168" i="1"/>
  <c r="AR26" i="1"/>
  <c r="AR27" i="1"/>
  <c r="M50" i="1"/>
  <c r="BD94" i="1"/>
  <c r="AR127" i="1"/>
  <c r="AS133" i="1"/>
  <c r="AT133" i="1" s="1"/>
  <c r="AS154" i="1"/>
  <c r="AT154" i="1" s="1"/>
  <c r="AE159" i="1"/>
  <c r="L242" i="1"/>
  <c r="AY152" i="1"/>
  <c r="H242" i="1"/>
  <c r="AA155" i="1"/>
  <c r="AE155" i="1"/>
  <c r="AI155" i="1"/>
  <c r="AD156" i="1"/>
  <c r="AH156" i="1"/>
  <c r="AL156" i="1"/>
  <c r="AA161" i="1"/>
  <c r="AE161" i="1"/>
  <c r="AO184" i="1"/>
  <c r="AS202" i="1"/>
  <c r="AT202" i="1" s="1"/>
  <c r="AO236" i="1"/>
  <c r="AR236" i="1"/>
  <c r="AR238" i="1"/>
  <c r="BJ264" i="1"/>
  <c r="L331" i="1"/>
  <c r="AA156" i="1"/>
  <c r="AE156" i="1"/>
  <c r="AI156" i="1"/>
  <c r="AS206" i="1"/>
  <c r="AT206" i="1" s="1"/>
  <c r="AS208" i="1"/>
  <c r="AT208" i="1" s="1"/>
  <c r="AX210" i="1"/>
  <c r="AO210" i="1"/>
  <c r="AX211" i="1"/>
  <c r="AO211" i="1"/>
  <c r="AS213" i="1"/>
  <c r="AT213" i="1" s="1"/>
  <c r="AX221" i="1"/>
  <c r="AO221" i="1"/>
  <c r="AR235" i="1"/>
  <c r="AO237" i="1"/>
  <c r="AV264" i="1"/>
  <c r="AZ264" i="1"/>
  <c r="BD264" i="1"/>
  <c r="BI264" i="1"/>
  <c r="BM264" i="1"/>
  <c r="BQ264" i="1"/>
  <c r="AS271" i="1"/>
  <c r="AT271" i="1" s="1"/>
  <c r="AO272" i="1"/>
  <c r="AR272" i="1"/>
  <c r="AY276" i="1"/>
  <c r="AO276" i="1"/>
  <c r="AR276" i="1"/>
  <c r="AS280" i="1"/>
  <c r="AT280" i="1" s="1"/>
  <c r="AS296" i="1"/>
  <c r="AT296" i="1" s="1"/>
  <c r="AX218" i="1"/>
  <c r="AX222" i="1"/>
  <c r="AO262" i="1"/>
  <c r="AR262" i="1"/>
  <c r="AS275" i="1"/>
  <c r="AT275" i="1" s="1"/>
  <c r="AY278" i="1"/>
  <c r="AO278" i="1"/>
  <c r="AR278" i="1"/>
  <c r="AS279" i="1"/>
  <c r="AT279" i="1" s="1"/>
  <c r="AS294" i="1"/>
  <c r="AT294" i="1" s="1"/>
  <c r="AL313" i="1"/>
  <c r="AH313" i="1"/>
  <c r="AD313" i="1"/>
  <c r="AJ313" i="1"/>
  <c r="AF313" i="1"/>
  <c r="AB313" i="1"/>
  <c r="AE313" i="1"/>
  <c r="AK313" i="1"/>
  <c r="AC313" i="1"/>
  <c r="H331" i="1"/>
  <c r="AI313" i="1"/>
  <c r="AA313" i="1"/>
  <c r="AC156" i="1"/>
  <c r="AG156" i="1"/>
  <c r="AR177" i="1"/>
  <c r="AR181" i="1"/>
  <c r="AO186" i="1"/>
  <c r="AO192" i="1"/>
  <c r="AS321" i="1"/>
  <c r="AT321" i="1" s="1"/>
  <c r="AS323" i="1"/>
  <c r="AT323" i="1" s="1"/>
  <c r="AS325" i="1"/>
  <c r="AT325" i="1" s="1"/>
  <c r="AS327" i="1"/>
  <c r="AT327" i="1" s="1"/>
  <c r="L374" i="1"/>
  <c r="M374" i="1"/>
  <c r="AS405" i="1"/>
  <c r="AT405" i="1" s="1"/>
  <c r="AA239" i="1"/>
  <c r="AE239" i="1"/>
  <c r="AI239" i="1"/>
  <c r="AW239" i="1"/>
  <c r="BA239" i="1"/>
  <c r="BE239" i="1"/>
  <c r="AY277" i="1"/>
  <c r="AS293" i="1"/>
  <c r="AT293" i="1" s="1"/>
  <c r="AJ314" i="1"/>
  <c r="AF314" i="1"/>
  <c r="AB314" i="1"/>
  <c r="AL314" i="1"/>
  <c r="AH314" i="1"/>
  <c r="AD314" i="1"/>
  <c r="AG314" i="1"/>
  <c r="L360" i="1"/>
  <c r="AB360" i="1"/>
  <c r="AJ360" i="1"/>
  <c r="AY340" i="1"/>
  <c r="AR340" i="1"/>
  <c r="AS342" i="1"/>
  <c r="AT342" i="1" s="1"/>
  <c r="AO371" i="1"/>
  <c r="AR371" i="1"/>
  <c r="AS229" i="1"/>
  <c r="AT229" i="1" s="1"/>
  <c r="AR329" i="1"/>
  <c r="AG360" i="1"/>
  <c r="AS336" i="1"/>
  <c r="AT336" i="1" s="1"/>
  <c r="AS339" i="1"/>
  <c r="AT339" i="1" s="1"/>
  <c r="AS341" i="1"/>
  <c r="AT341" i="1" s="1"/>
  <c r="AS351" i="1"/>
  <c r="AT351" i="1" s="1"/>
  <c r="AD374" i="1"/>
  <c r="AL374" i="1"/>
  <c r="AC239" i="1"/>
  <c r="AG239" i="1"/>
  <c r="AK239" i="1"/>
  <c r="AY239" i="1"/>
  <c r="BC239" i="1"/>
  <c r="AA240" i="1"/>
  <c r="AE240" i="1"/>
  <c r="AI240" i="1"/>
  <c r="AR260" i="1"/>
  <c r="AC314" i="1"/>
  <c r="AK314" i="1"/>
  <c r="AS322" i="1"/>
  <c r="AT322" i="1" s="1"/>
  <c r="AS324" i="1"/>
  <c r="AT324" i="1" s="1"/>
  <c r="AS326" i="1"/>
  <c r="AT326" i="1" s="1"/>
  <c r="AO329" i="1"/>
  <c r="AD360" i="1"/>
  <c r="AH360" i="1"/>
  <c r="AL360" i="1"/>
  <c r="AC360" i="1"/>
  <c r="AR338" i="1"/>
  <c r="AO340" i="1"/>
  <c r="AS346" i="1"/>
  <c r="AT346" i="1" s="1"/>
  <c r="BL374" i="1"/>
  <c r="AR370" i="1"/>
  <c r="AO378" i="1"/>
  <c r="AR378" i="1"/>
  <c r="AJ457" i="1"/>
  <c r="AR386" i="1"/>
  <c r="AA299" i="1"/>
  <c r="AE299" i="1"/>
  <c r="AI299" i="1"/>
  <c r="AA360" i="1"/>
  <c r="AE360" i="1"/>
  <c r="AI360" i="1"/>
  <c r="AR355" i="1"/>
  <c r="AY409" i="1"/>
  <c r="AO409" i="1"/>
  <c r="AR409" i="1"/>
  <c r="AS412" i="1"/>
  <c r="AT412" i="1" s="1"/>
  <c r="D422" i="1"/>
  <c r="AS343" i="1"/>
  <c r="AT343" i="1" s="1"/>
  <c r="AS349" i="1"/>
  <c r="AT349" i="1" s="1"/>
  <c r="AS353" i="1"/>
  <c r="AT353" i="1" s="1"/>
  <c r="M382" i="1"/>
  <c r="H457" i="1"/>
  <c r="AK389" i="1"/>
  <c r="AK457" i="1" s="1"/>
  <c r="AG389" i="1"/>
  <c r="AG457" i="1" s="1"/>
  <c r="AC389" i="1"/>
  <c r="AC457" i="1" s="1"/>
  <c r="AL389" i="1"/>
  <c r="AL457" i="1" s="1"/>
  <c r="AH389" i="1"/>
  <c r="AD389" i="1"/>
  <c r="AD457" i="1" s="1"/>
  <c r="AF389" i="1"/>
  <c r="AF457" i="1" s="1"/>
  <c r="AR391" i="1"/>
  <c r="AO391" i="1"/>
  <c r="AC299" i="1"/>
  <c r="AG299" i="1"/>
  <c r="AA300" i="1"/>
  <c r="AE300" i="1"/>
  <c r="AA382" i="1"/>
  <c r="AE382" i="1"/>
  <c r="AI382" i="1"/>
  <c r="AR379" i="1"/>
  <c r="L382" i="1"/>
  <c r="AA389" i="1"/>
  <c r="AA457" i="1" s="1"/>
  <c r="AI389" i="1"/>
  <c r="AI457" i="1" s="1"/>
  <c r="AR394" i="1"/>
  <c r="AO394" i="1"/>
  <c r="AY413" i="1"/>
  <c r="AO413" i="1"/>
  <c r="AS416" i="1"/>
  <c r="AT416" i="1" s="1"/>
  <c r="AO417" i="1"/>
  <c r="AR417" i="1"/>
  <c r="AO447" i="1"/>
  <c r="AR447" i="1"/>
  <c r="AR461" i="1"/>
  <c r="AS434" i="1"/>
  <c r="AT434" i="1" s="1"/>
  <c r="AB473" i="1"/>
  <c r="AF473" i="1"/>
  <c r="AJ473" i="1"/>
  <c r="AO462" i="1"/>
  <c r="AD473" i="1"/>
  <c r="AH473" i="1"/>
  <c r="AL473" i="1"/>
  <c r="AO470" i="1"/>
  <c r="AR470" i="1"/>
  <c r="AO446" i="1"/>
  <c r="AC473" i="1"/>
  <c r="AG473" i="1"/>
  <c r="AK473" i="1"/>
  <c r="L473" i="1"/>
  <c r="AY463" i="1"/>
  <c r="AO463" i="1"/>
  <c r="AR463" i="1"/>
  <c r="L457" i="1"/>
  <c r="AH457" i="1"/>
  <c r="AR404" i="1"/>
  <c r="AO408" i="1"/>
  <c r="AY408" i="1"/>
  <c r="R409" i="1"/>
  <c r="AR410" i="1"/>
  <c r="AS410" i="1" s="1"/>
  <c r="AT410" i="1" s="1"/>
  <c r="AO411" i="1"/>
  <c r="AR411" i="1"/>
  <c r="AS429" i="1"/>
  <c r="AT429" i="1" s="1"/>
  <c r="AS437" i="1"/>
  <c r="AT437" i="1" s="1"/>
  <c r="AO453" i="1"/>
  <c r="AR453" i="1"/>
  <c r="AR454" i="1"/>
  <c r="AO469" i="1"/>
  <c r="S497" i="1"/>
  <c r="T497" i="1" s="1"/>
  <c r="U497" i="1" s="1"/>
  <c r="AO506" i="1"/>
  <c r="AO508" i="1"/>
  <c r="M473" i="1"/>
  <c r="L527" i="1"/>
  <c r="AD527" i="1"/>
  <c r="AH527" i="1"/>
  <c r="AL527" i="1"/>
  <c r="S489" i="1"/>
  <c r="S494" i="1"/>
  <c r="T494" i="1" s="1"/>
  <c r="U494" i="1" s="1"/>
  <c r="T495" i="1"/>
  <c r="S502" i="1"/>
  <c r="S507" i="1"/>
  <c r="AA527" i="1"/>
  <c r="AE527" i="1"/>
  <c r="AI527" i="1"/>
  <c r="AR489" i="1"/>
  <c r="AR490" i="1"/>
  <c r="AO490" i="1"/>
  <c r="AS496" i="1"/>
  <c r="AT496" i="1" s="1"/>
  <c r="AS497" i="1"/>
  <c r="AT497" i="1" s="1"/>
  <c r="S498" i="1"/>
  <c r="S500" i="1"/>
  <c r="T500" i="1" s="1"/>
  <c r="AR502" i="1"/>
  <c r="AS512" i="1"/>
  <c r="AT512" i="1" s="1"/>
  <c r="R432" i="1"/>
  <c r="R436" i="1"/>
  <c r="S436" i="1" s="1"/>
  <c r="R448" i="1"/>
  <c r="S448" i="1" s="1"/>
  <c r="R477" i="1"/>
  <c r="S477" i="1" s="1"/>
  <c r="AB527" i="1"/>
  <c r="AF527" i="1"/>
  <c r="AJ527" i="1"/>
  <c r="S493" i="1"/>
  <c r="T493" i="1" s="1"/>
  <c r="AR500" i="1"/>
  <c r="AO532" i="1"/>
  <c r="AR532" i="1"/>
  <c r="AR534" i="1"/>
  <c r="S513" i="1"/>
  <c r="S515" i="1"/>
  <c r="S517" i="1"/>
  <c r="S519" i="1"/>
  <c r="AB547" i="1"/>
  <c r="AF547" i="1"/>
  <c r="AJ547" i="1"/>
  <c r="AS538" i="1"/>
  <c r="AT538" i="1" s="1"/>
  <c r="AR539" i="1"/>
  <c r="AO540" i="1"/>
  <c r="AR551" i="1"/>
  <c r="AR554" i="1"/>
  <c r="AR557" i="1"/>
  <c r="AO559" i="1"/>
  <c r="BI585" i="1"/>
  <c r="AV583" i="1"/>
  <c r="AV585" i="1" s="1"/>
  <c r="BQ585" i="1"/>
  <c r="BD583" i="1"/>
  <c r="BD585" i="1" s="1"/>
  <c r="AS536" i="1"/>
  <c r="AT536" i="1" s="1"/>
  <c r="M585" i="1"/>
  <c r="BM585" i="1"/>
  <c r="L547" i="1"/>
  <c r="AD547" i="1"/>
  <c r="AH547" i="1"/>
  <c r="AL547" i="1"/>
  <c r="L564" i="1"/>
  <c r="AO555" i="1"/>
  <c r="AR555" i="1"/>
  <c r="AO558" i="1"/>
  <c r="AR558" i="1"/>
  <c r="AO665" i="1"/>
  <c r="AR665" i="1"/>
  <c r="AA564" i="1"/>
  <c r="AE564" i="1"/>
  <c r="AI564" i="1"/>
  <c r="L606" i="1"/>
  <c r="L608" i="1" s="1"/>
  <c r="AO635" i="1"/>
  <c r="AO674" i="1"/>
  <c r="AO677" i="1"/>
  <c r="AR677" i="1"/>
  <c r="AA606" i="1"/>
  <c r="AE606" i="1"/>
  <c r="AE13" i="1" s="1"/>
  <c r="AI606" i="1"/>
  <c r="AI13" i="1" s="1"/>
  <c r="BG606" i="1"/>
  <c r="AS590" i="1"/>
  <c r="AT590" i="1" s="1"/>
  <c r="AR640" i="1"/>
  <c r="O585" i="1"/>
  <c r="AB606" i="1"/>
  <c r="AB13" i="1" s="1"/>
  <c r="AF606" i="1"/>
  <c r="AF13" i="1" s="1"/>
  <c r="AJ606" i="1"/>
  <c r="AJ13" i="1" s="1"/>
  <c r="L648" i="1"/>
  <c r="L681" i="1"/>
  <c r="Z7" i="2"/>
  <c r="R7" i="2"/>
  <c r="U7" i="2"/>
  <c r="Q7" i="2"/>
  <c r="W7" i="2"/>
  <c r="O7" i="2"/>
  <c r="T7" i="2"/>
  <c r="S7" i="2"/>
  <c r="U26" i="2"/>
  <c r="Q26" i="2"/>
  <c r="W26" i="2"/>
  <c r="R26" i="2"/>
  <c r="Z26" i="2"/>
  <c r="T26" i="2"/>
  <c r="O26" i="2"/>
  <c r="S26" i="2"/>
  <c r="Z49" i="2"/>
  <c r="R49" i="2"/>
  <c r="U49" i="2"/>
  <c r="Q49" i="2"/>
  <c r="W49" i="2"/>
  <c r="AA49" i="2" s="1"/>
  <c r="O49" i="2"/>
  <c r="T49" i="2"/>
  <c r="S49" i="2"/>
  <c r="L630" i="1"/>
  <c r="AB648" i="1"/>
  <c r="AB14" i="1" s="1"/>
  <c r="AF648" i="1"/>
  <c r="AF14" i="1" s="1"/>
  <c r="AJ648" i="1"/>
  <c r="AR643" i="1"/>
  <c r="AO678" i="1"/>
  <c r="AR678" i="1"/>
  <c r="AO679" i="1"/>
  <c r="Z25" i="2"/>
  <c r="R25" i="2"/>
  <c r="T25" i="2"/>
  <c r="O25" i="2"/>
  <c r="S25" i="2"/>
  <c r="W25" i="2"/>
  <c r="Q25" i="2"/>
  <c r="U25" i="2"/>
  <c r="U30" i="2"/>
  <c r="Q30" i="2"/>
  <c r="W30" i="2"/>
  <c r="R30" i="2"/>
  <c r="Z30" i="2"/>
  <c r="T30" i="2"/>
  <c r="O30" i="2"/>
  <c r="S30" i="2"/>
  <c r="AC648" i="1"/>
  <c r="AG648" i="1"/>
  <c r="AG14" i="1" s="1"/>
  <c r="AK648" i="1"/>
  <c r="AK14" i="1" s="1"/>
  <c r="AO637" i="1"/>
  <c r="AO641" i="1"/>
  <c r="AH683" i="1"/>
  <c r="AO664" i="1"/>
  <c r="AO672" i="1"/>
  <c r="AR672" i="1"/>
  <c r="AR673" i="1"/>
  <c r="Z15" i="2"/>
  <c r="R15" i="2"/>
  <c r="U15" i="2"/>
  <c r="Q15" i="2"/>
  <c r="T15" i="2"/>
  <c r="W15" i="2"/>
  <c r="S15" i="2"/>
  <c r="O15" i="2"/>
  <c r="Z19" i="2"/>
  <c r="R19" i="2"/>
  <c r="T19" i="2"/>
  <c r="O19" i="2"/>
  <c r="S19" i="2"/>
  <c r="W19" i="2"/>
  <c r="Q19" i="2"/>
  <c r="U19" i="2"/>
  <c r="Z52" i="2"/>
  <c r="R52" i="2"/>
  <c r="U52" i="2"/>
  <c r="Q52" i="2"/>
  <c r="W52" i="2"/>
  <c r="AA52" i="2" s="1"/>
  <c r="O52" i="2"/>
  <c r="T52" i="2"/>
  <c r="S52" i="2"/>
  <c r="R596" i="1"/>
  <c r="AD648" i="1"/>
  <c r="AH648" i="1"/>
  <c r="AH14" i="1" s="1"/>
  <c r="AL648" i="1"/>
  <c r="AO634" i="1"/>
  <c r="AR634" i="1"/>
  <c r="AR635" i="1"/>
  <c r="AO638" i="1"/>
  <c r="AR638" i="1"/>
  <c r="AR639" i="1"/>
  <c r="AO642" i="1"/>
  <c r="AR642" i="1"/>
  <c r="AA668" i="1"/>
  <c r="AA689" i="1" s="1"/>
  <c r="AE668" i="1"/>
  <c r="AI668" i="1"/>
  <c r="AO661" i="1"/>
  <c r="AR661" i="1"/>
  <c r="AR662" i="1"/>
  <c r="AR671" i="1"/>
  <c r="Z73" i="2"/>
  <c r="R73" i="2"/>
  <c r="U73" i="2"/>
  <c r="Q73" i="2"/>
  <c r="T73" i="2"/>
  <c r="P76" i="2"/>
  <c r="W73" i="2"/>
  <c r="S73" i="2"/>
  <c r="AO660" i="1"/>
  <c r="R674" i="1"/>
  <c r="T5" i="2"/>
  <c r="W5" i="2"/>
  <c r="S5" i="2"/>
  <c r="O5" i="2"/>
  <c r="AB45" i="2"/>
  <c r="W6" i="2"/>
  <c r="S6" i="2"/>
  <c r="O6" i="2"/>
  <c r="Z6" i="2"/>
  <c r="R6" i="2"/>
  <c r="U8" i="2"/>
  <c r="Q8" i="2"/>
  <c r="T8" i="2"/>
  <c r="Z8" i="2"/>
  <c r="T9" i="2"/>
  <c r="W9" i="2"/>
  <c r="AA9" i="2" s="1"/>
  <c r="AA10" i="2" s="1"/>
  <c r="AA11" i="2" s="1"/>
  <c r="S9" i="2"/>
  <c r="O9" i="2"/>
  <c r="W13" i="2"/>
  <c r="S13" i="2"/>
  <c r="Z13" i="2"/>
  <c r="R13" i="2"/>
  <c r="U16" i="2"/>
  <c r="Q16" i="2"/>
  <c r="T16" i="2"/>
  <c r="W16" i="2"/>
  <c r="S16" i="2"/>
  <c r="O16" i="2"/>
  <c r="T33" i="2"/>
  <c r="W33" i="2"/>
  <c r="R33" i="2"/>
  <c r="Z33" i="2"/>
  <c r="Q33" i="2"/>
  <c r="U33" i="2"/>
  <c r="O33" i="2"/>
  <c r="Z51" i="2"/>
  <c r="R51" i="2"/>
  <c r="U51" i="2"/>
  <c r="Q51" i="2"/>
  <c r="T51" i="2"/>
  <c r="S51" i="2"/>
  <c r="U74" i="2"/>
  <c r="Q74" i="2"/>
  <c r="T74" i="2"/>
  <c r="W74" i="2"/>
  <c r="S74" i="2"/>
  <c r="O74" i="2"/>
  <c r="Z74" i="2"/>
  <c r="R74" i="2"/>
  <c r="T89" i="2"/>
  <c r="W89" i="2"/>
  <c r="S89" i="2"/>
  <c r="Z89" i="2"/>
  <c r="R89" i="2"/>
  <c r="U89" i="2"/>
  <c r="P97" i="2"/>
  <c r="P103" i="2" s="1"/>
  <c r="Q89" i="2"/>
  <c r="Q232" i="2"/>
  <c r="U232" i="2"/>
  <c r="R232" i="2"/>
  <c r="L668" i="1"/>
  <c r="AR679" i="1"/>
  <c r="Q5" i="2"/>
  <c r="X45" i="2"/>
  <c r="Q6" i="2"/>
  <c r="O8" i="2"/>
  <c r="W8" i="2"/>
  <c r="AA8" i="2" s="1"/>
  <c r="Q9" i="2"/>
  <c r="Q13" i="2"/>
  <c r="W14" i="2"/>
  <c r="S14" i="2"/>
  <c r="O14" i="2"/>
  <c r="Z14" i="2"/>
  <c r="R14" i="2"/>
  <c r="U14" i="2"/>
  <c r="Q14" i="2"/>
  <c r="R16" i="2"/>
  <c r="Z16" i="2"/>
  <c r="T23" i="2"/>
  <c r="W23" i="2"/>
  <c r="R23" i="2"/>
  <c r="Z23" i="2"/>
  <c r="Q23" i="2"/>
  <c r="U23" i="2"/>
  <c r="O23" i="2"/>
  <c r="S33" i="2"/>
  <c r="T35" i="2"/>
  <c r="S35" i="2"/>
  <c r="W35" i="2"/>
  <c r="R35" i="2"/>
  <c r="Z35" i="2"/>
  <c r="Q35" i="2"/>
  <c r="W51" i="2"/>
  <c r="AA51" i="2" s="1"/>
  <c r="Z56" i="2"/>
  <c r="R56" i="2"/>
  <c r="U56" i="2"/>
  <c r="Q56" i="2"/>
  <c r="W56" i="2"/>
  <c r="AA56" i="2" s="1"/>
  <c r="O56" i="2"/>
  <c r="T56" i="2"/>
  <c r="S56" i="2"/>
  <c r="J85" i="2"/>
  <c r="W91" i="2"/>
  <c r="S91" i="2"/>
  <c r="Z91" i="2"/>
  <c r="R91" i="2"/>
  <c r="U91" i="2"/>
  <c r="Q91" i="2"/>
  <c r="T91" i="2"/>
  <c r="U155" i="2"/>
  <c r="Q155" i="2"/>
  <c r="T155" i="2"/>
  <c r="S155" i="2"/>
  <c r="R155" i="2"/>
  <c r="Z155" i="2"/>
  <c r="O155" i="2"/>
  <c r="R5" i="2"/>
  <c r="Y45" i="2"/>
  <c r="T6" i="2"/>
  <c r="R8" i="2"/>
  <c r="R9" i="2"/>
  <c r="W12" i="2"/>
  <c r="S12" i="2"/>
  <c r="O12" i="2"/>
  <c r="Z12" i="2"/>
  <c r="R12" i="2"/>
  <c r="T13" i="2"/>
  <c r="T14" i="2"/>
  <c r="Z20" i="2"/>
  <c r="R20" i="2"/>
  <c r="S20" i="2"/>
  <c r="W20" i="2"/>
  <c r="Q20" i="2"/>
  <c r="U20" i="2"/>
  <c r="U22" i="2"/>
  <c r="Q22" i="2"/>
  <c r="T22" i="2"/>
  <c r="S22" i="2"/>
  <c r="W22" i="2"/>
  <c r="R22" i="2"/>
  <c r="Z22" i="2"/>
  <c r="S23" i="2"/>
  <c r="U32" i="2"/>
  <c r="Q32" i="2"/>
  <c r="T32" i="2"/>
  <c r="S32" i="2"/>
  <c r="W32" i="2"/>
  <c r="R32" i="2"/>
  <c r="Z32" i="2"/>
  <c r="U35" i="2"/>
  <c r="R154" i="2"/>
  <c r="U154" i="2"/>
  <c r="Q154" i="2"/>
  <c r="S154" i="2"/>
  <c r="O154" i="2"/>
  <c r="T154" i="2"/>
  <c r="AB179" i="2"/>
  <c r="S10" i="2"/>
  <c r="W10" i="2"/>
  <c r="S11" i="2"/>
  <c r="W11" i="2"/>
  <c r="R17" i="2"/>
  <c r="W17" i="2"/>
  <c r="S21" i="2"/>
  <c r="S24" i="2"/>
  <c r="R27" i="2"/>
  <c r="W27" i="2"/>
  <c r="AA27" i="2" s="1"/>
  <c r="AA28" i="2" s="1"/>
  <c r="U28" i="2"/>
  <c r="R29" i="2"/>
  <c r="S31" i="2"/>
  <c r="R34" i="2"/>
  <c r="W34" i="2"/>
  <c r="W48" i="2"/>
  <c r="S48" i="2"/>
  <c r="O48" i="2"/>
  <c r="Z48" i="2"/>
  <c r="R48" i="2"/>
  <c r="U50" i="2"/>
  <c r="Q50" i="2"/>
  <c r="T50" i="2"/>
  <c r="Z50" i="2"/>
  <c r="U53" i="2"/>
  <c r="Q53" i="2"/>
  <c r="T53" i="2"/>
  <c r="Z53" i="2"/>
  <c r="AA53" i="2" s="1"/>
  <c r="T54" i="2"/>
  <c r="W54" i="2"/>
  <c r="AA54" i="2" s="1"/>
  <c r="S54" i="2"/>
  <c r="O54" i="2"/>
  <c r="W55" i="2"/>
  <c r="S55" i="2"/>
  <c r="O55" i="2"/>
  <c r="Z55" i="2"/>
  <c r="R55" i="2"/>
  <c r="Z58" i="2"/>
  <c r="AA58" i="2" s="1"/>
  <c r="R58" i="2"/>
  <c r="U58" i="2"/>
  <c r="Q58" i="2"/>
  <c r="U60" i="2"/>
  <c r="P77" i="2"/>
  <c r="U71" i="2"/>
  <c r="Q71" i="2"/>
  <c r="P78" i="2"/>
  <c r="T71" i="2"/>
  <c r="P75" i="2"/>
  <c r="BM124" i="4" s="1"/>
  <c r="W71" i="2"/>
  <c r="S71" i="2"/>
  <c r="U72" i="2"/>
  <c r="Q72" i="2"/>
  <c r="T72" i="2"/>
  <c r="W72" i="2"/>
  <c r="AA72" i="2" s="1"/>
  <c r="S72" i="2"/>
  <c r="W90" i="2"/>
  <c r="S90" i="2"/>
  <c r="O90" i="2"/>
  <c r="Z90" i="2"/>
  <c r="R90" i="2"/>
  <c r="U90" i="2"/>
  <c r="Q90" i="2"/>
  <c r="Z158" i="2"/>
  <c r="AA158" i="2" s="1"/>
  <c r="S158" i="2"/>
  <c r="R158" i="2"/>
  <c r="Q158" i="2"/>
  <c r="U158" i="2"/>
  <c r="M182" i="2"/>
  <c r="P182" i="2" s="1"/>
  <c r="O17" i="2"/>
  <c r="S17" i="2"/>
  <c r="W18" i="2"/>
  <c r="S18" i="2"/>
  <c r="O18" i="2"/>
  <c r="U18" i="2"/>
  <c r="Z18" i="2"/>
  <c r="O21" i="2"/>
  <c r="O24" i="2"/>
  <c r="S27" i="2"/>
  <c r="S34" i="2"/>
  <c r="W36" i="2"/>
  <c r="S36" i="2"/>
  <c r="O36" i="2"/>
  <c r="U36" i="2"/>
  <c r="Z36" i="2"/>
  <c r="Y68" i="2"/>
  <c r="Z57" i="2"/>
  <c r="AA57" i="2" s="1"/>
  <c r="R57" i="2"/>
  <c r="U57" i="2"/>
  <c r="Q57" i="2"/>
  <c r="U59" i="2"/>
  <c r="Q59" i="2"/>
  <c r="T59" i="2"/>
  <c r="Z59" i="2"/>
  <c r="AA59" i="2" s="1"/>
  <c r="T60" i="2"/>
  <c r="W60" i="2"/>
  <c r="AA60" i="2" s="1"/>
  <c r="S60" i="2"/>
  <c r="O60" i="2"/>
  <c r="W61" i="2"/>
  <c r="S61" i="2"/>
  <c r="O61" i="2"/>
  <c r="Z61" i="2"/>
  <c r="R61" i="2"/>
  <c r="Z93" i="2"/>
  <c r="T93" i="2"/>
  <c r="S93" i="2"/>
  <c r="W93" i="2"/>
  <c r="R93" i="2"/>
  <c r="Z94" i="2"/>
  <c r="R94" i="2"/>
  <c r="S94" i="2"/>
  <c r="W94" i="2"/>
  <c r="Q94" i="2"/>
  <c r="U94" i="2"/>
  <c r="J109" i="2"/>
  <c r="K109" i="2" s="1"/>
  <c r="Z113" i="2"/>
  <c r="R113" i="2"/>
  <c r="U113" i="2"/>
  <c r="Q113" i="2"/>
  <c r="W113" i="2"/>
  <c r="T113" i="2"/>
  <c r="S113" i="2"/>
  <c r="R138" i="2"/>
  <c r="P141" i="2"/>
  <c r="B142" i="2" s="1"/>
  <c r="Z138" i="2"/>
  <c r="AA138" i="2" s="1"/>
  <c r="U138" i="2"/>
  <c r="Q138" i="2"/>
  <c r="T138" i="2"/>
  <c r="S138" i="2"/>
  <c r="Z227" i="2"/>
  <c r="R227" i="2"/>
  <c r="S227" i="2"/>
  <c r="W227" i="2"/>
  <c r="Q227" i="2"/>
  <c r="U227" i="2"/>
  <c r="T227" i="2"/>
  <c r="O227" i="2"/>
  <c r="U17" i="2"/>
  <c r="U21" i="2"/>
  <c r="Q21" i="2"/>
  <c r="Z21" i="2"/>
  <c r="AA21" i="2" s="1"/>
  <c r="AA22" i="2" s="1"/>
  <c r="U24" i="2"/>
  <c r="Q24" i="2"/>
  <c r="Z24" i="2"/>
  <c r="AA24" i="2" s="1"/>
  <c r="W29" i="2"/>
  <c r="S29" i="2"/>
  <c r="O29" i="2"/>
  <c r="U29" i="2"/>
  <c r="Z29" i="2"/>
  <c r="U31" i="2"/>
  <c r="Q31" i="2"/>
  <c r="Z31" i="2"/>
  <c r="U34" i="2"/>
  <c r="J67" i="2"/>
  <c r="W92" i="2"/>
  <c r="S92" i="2"/>
  <c r="Z92" i="2"/>
  <c r="R92" i="2"/>
  <c r="U92" i="2"/>
  <c r="Q92" i="2"/>
  <c r="Z156" i="2"/>
  <c r="AA156" i="2" s="1"/>
  <c r="S156" i="2"/>
  <c r="O156" i="2"/>
  <c r="R156" i="2"/>
  <c r="U156" i="2"/>
  <c r="T156" i="2"/>
  <c r="Q156" i="2"/>
  <c r="Z164" i="2"/>
  <c r="AA164" i="2" s="1"/>
  <c r="U164" i="2"/>
  <c r="U167" i="2" s="1"/>
  <c r="Q164" i="2"/>
  <c r="T164" i="2"/>
  <c r="S164" i="2"/>
  <c r="R164" i="2"/>
  <c r="O164" i="2"/>
  <c r="R170" i="2"/>
  <c r="Z170" i="2"/>
  <c r="AA170" i="2" s="1"/>
  <c r="U170" i="2"/>
  <c r="Q170" i="2"/>
  <c r="O170" i="2"/>
  <c r="T170" i="2"/>
  <c r="S170" i="2"/>
  <c r="U174" i="2"/>
  <c r="Q174" i="2"/>
  <c r="Z174" i="2"/>
  <c r="T174" i="2"/>
  <c r="S174" i="2"/>
  <c r="R174" i="2"/>
  <c r="W174" i="2"/>
  <c r="AA174" i="2" s="1"/>
  <c r="O174" i="2"/>
  <c r="O175" i="2"/>
  <c r="S176" i="2"/>
  <c r="T176" i="2"/>
  <c r="M199" i="2"/>
  <c r="P199" i="2" s="1"/>
  <c r="U251" i="2"/>
  <c r="R251" i="2"/>
  <c r="Q251" i="2"/>
  <c r="R266" i="2"/>
  <c r="Q266" i="2"/>
  <c r="P267" i="2"/>
  <c r="B268" i="2" s="1"/>
  <c r="U266" i="2"/>
  <c r="U95" i="2"/>
  <c r="Q95" i="2"/>
  <c r="T95" i="2"/>
  <c r="Z95" i="2"/>
  <c r="U96" i="2"/>
  <c r="Q96" i="2"/>
  <c r="T96" i="2"/>
  <c r="W96" i="2"/>
  <c r="AA96" i="2" s="1"/>
  <c r="T107" i="2"/>
  <c r="W107" i="2"/>
  <c r="S107" i="2"/>
  <c r="O107" i="2"/>
  <c r="S139" i="2"/>
  <c r="Z139" i="2"/>
  <c r="AA139" i="2" s="1"/>
  <c r="R139" i="2"/>
  <c r="R140" i="2"/>
  <c r="Q140" i="2"/>
  <c r="AB140" i="2"/>
  <c r="AB141" i="2" s="1"/>
  <c r="T144" i="2"/>
  <c r="T146" i="2" s="1"/>
  <c r="R144" i="2"/>
  <c r="R146" i="2" s="1"/>
  <c r="S163" i="2"/>
  <c r="O163" i="2"/>
  <c r="R163" i="2"/>
  <c r="R200" i="2"/>
  <c r="U200" i="2"/>
  <c r="Q200" i="2"/>
  <c r="Z200" i="2"/>
  <c r="W200" i="2"/>
  <c r="M201" i="2"/>
  <c r="P201" i="2" s="1"/>
  <c r="P212" i="2"/>
  <c r="B213" i="2" s="1"/>
  <c r="U211" i="2"/>
  <c r="U212" i="2" s="1"/>
  <c r="R211" i="2"/>
  <c r="R212" i="2" s="1"/>
  <c r="Q211" i="2"/>
  <c r="W217" i="2"/>
  <c r="S217" i="2"/>
  <c r="O217" i="2"/>
  <c r="Z217" i="2"/>
  <c r="R217" i="2"/>
  <c r="T217" i="2"/>
  <c r="Q217" i="2"/>
  <c r="R242" i="2"/>
  <c r="Q242" i="2"/>
  <c r="U272" i="2"/>
  <c r="R272" i="2"/>
  <c r="R273" i="2" s="1"/>
  <c r="T63" i="2"/>
  <c r="AB63" i="2"/>
  <c r="AB68" i="2" s="1"/>
  <c r="O95" i="2"/>
  <c r="W95" i="2"/>
  <c r="R96" i="2"/>
  <c r="Z110" i="2"/>
  <c r="Q107" i="2"/>
  <c r="J117" i="2"/>
  <c r="K117" i="2" s="1"/>
  <c r="U114" i="2"/>
  <c r="Q114" i="2"/>
  <c r="T114" i="2"/>
  <c r="Z114" i="2"/>
  <c r="U115" i="2"/>
  <c r="Q115" i="2"/>
  <c r="T115" i="2"/>
  <c r="W115" i="2"/>
  <c r="W121" i="2"/>
  <c r="S121" i="2"/>
  <c r="P125" i="2"/>
  <c r="B126" i="2" s="1"/>
  <c r="Z121" i="2"/>
  <c r="R121" i="2"/>
  <c r="Q139" i="2"/>
  <c r="S140" i="2"/>
  <c r="Q144" i="2"/>
  <c r="P167" i="2"/>
  <c r="B168" i="2" s="1"/>
  <c r="Z162" i="2"/>
  <c r="S162" i="2"/>
  <c r="O162" i="2"/>
  <c r="R162" i="2"/>
  <c r="Q163" i="2"/>
  <c r="S165" i="2"/>
  <c r="O165" i="2"/>
  <c r="R165" i="2"/>
  <c r="M171" i="2"/>
  <c r="P171" i="2" s="1"/>
  <c r="M172" i="2"/>
  <c r="P172" i="2" s="1"/>
  <c r="M173" i="2"/>
  <c r="P173" i="2" s="1"/>
  <c r="S200" i="2"/>
  <c r="Y223" i="2"/>
  <c r="W216" i="2"/>
  <c r="S216" i="2"/>
  <c r="O216" i="2"/>
  <c r="Z216" i="2"/>
  <c r="R216" i="2"/>
  <c r="U216" i="2"/>
  <c r="T216" i="2"/>
  <c r="U217" i="2"/>
  <c r="Q272" i="2"/>
  <c r="W294" i="2"/>
  <c r="U294" i="2"/>
  <c r="M298" i="2"/>
  <c r="P298" i="2" s="1"/>
  <c r="Q63" i="2"/>
  <c r="T80" i="2"/>
  <c r="X103" i="2"/>
  <c r="AB103" i="2"/>
  <c r="R95" i="2"/>
  <c r="S96" i="2"/>
  <c r="T106" i="2"/>
  <c r="W106" i="2"/>
  <c r="S106" i="2"/>
  <c r="R107" i="2"/>
  <c r="R110" i="2" s="1"/>
  <c r="P110" i="2"/>
  <c r="B111" i="2" s="1"/>
  <c r="O114" i="2"/>
  <c r="W114" i="2"/>
  <c r="AA114" i="2" s="1"/>
  <c r="R115" i="2"/>
  <c r="Q121" i="2"/>
  <c r="Y125" i="2"/>
  <c r="W122" i="2"/>
  <c r="S122" i="2"/>
  <c r="O122" i="2"/>
  <c r="Z122" i="2"/>
  <c r="R122" i="2"/>
  <c r="X141" i="2"/>
  <c r="T139" i="2"/>
  <c r="U140" i="2"/>
  <c r="U144" i="2"/>
  <c r="U146" i="2" s="1"/>
  <c r="AA145" i="2"/>
  <c r="P146" i="2"/>
  <c r="B147" i="2" s="1"/>
  <c r="Q162" i="2"/>
  <c r="T163" i="2"/>
  <c r="Z163" i="2"/>
  <c r="AA163" i="2" s="1"/>
  <c r="Q165" i="2"/>
  <c r="M183" i="2"/>
  <c r="P183" i="2" s="1"/>
  <c r="T200" i="2"/>
  <c r="J222" i="2"/>
  <c r="K222" i="2" s="1"/>
  <c r="P222" i="2" s="1"/>
  <c r="AB223" i="2"/>
  <c r="Q216" i="2"/>
  <c r="W248" i="2"/>
  <c r="S248" i="2"/>
  <c r="O248" i="2"/>
  <c r="Z248" i="2"/>
  <c r="R248" i="2"/>
  <c r="T248" i="2"/>
  <c r="Q248" i="2"/>
  <c r="AA207" i="2"/>
  <c r="AA212" i="2" s="1"/>
  <c r="W218" i="2"/>
  <c r="S218" i="2"/>
  <c r="T218" i="2"/>
  <c r="O218" i="2"/>
  <c r="R218" i="2"/>
  <c r="Z226" i="2"/>
  <c r="R226" i="2"/>
  <c r="T226" i="2"/>
  <c r="O226" i="2"/>
  <c r="S226" i="2"/>
  <c r="P243" i="2"/>
  <c r="B244" i="2" s="1"/>
  <c r="U236" i="2"/>
  <c r="Q236" i="2"/>
  <c r="T236" i="2"/>
  <c r="R236" i="2"/>
  <c r="O236" i="2"/>
  <c r="P252" i="2"/>
  <c r="B253" i="2" s="1"/>
  <c r="W247" i="2"/>
  <c r="S247" i="2"/>
  <c r="O247" i="2"/>
  <c r="Z247" i="2"/>
  <c r="R247" i="2"/>
  <c r="U247" i="2"/>
  <c r="AB247" i="2"/>
  <c r="AB252" i="2" s="1"/>
  <c r="T247" i="2"/>
  <c r="AA149" i="2"/>
  <c r="AA151" i="2" s="1"/>
  <c r="P185" i="2"/>
  <c r="S185" i="2" s="1"/>
  <c r="P196" i="2"/>
  <c r="M198" i="2"/>
  <c r="P198" i="2" s="1"/>
  <c r="W215" i="2"/>
  <c r="S215" i="2"/>
  <c r="O215" i="2"/>
  <c r="Z215" i="2"/>
  <c r="R215" i="2"/>
  <c r="Q218" i="2"/>
  <c r="Q226" i="2"/>
  <c r="S236" i="2"/>
  <c r="S243" i="2" s="1"/>
  <c r="Q247" i="2"/>
  <c r="W256" i="2"/>
  <c r="S256" i="2"/>
  <c r="O256" i="2"/>
  <c r="Z256" i="2"/>
  <c r="R256" i="2"/>
  <c r="U256" i="2"/>
  <c r="U260" i="2" s="1"/>
  <c r="T256" i="2"/>
  <c r="T260" i="2" s="1"/>
  <c r="X233" i="2"/>
  <c r="Z237" i="2"/>
  <c r="U237" i="2"/>
  <c r="Q237" i="2"/>
  <c r="T237" i="2"/>
  <c r="X243" i="2"/>
  <c r="W263" i="2"/>
  <c r="S263" i="2"/>
  <c r="O263" i="2"/>
  <c r="Z263" i="2"/>
  <c r="Z267" i="2" s="1"/>
  <c r="R263" i="2"/>
  <c r="V219" i="2"/>
  <c r="Y233" i="2"/>
  <c r="M229" i="2"/>
  <c r="P229" i="2" s="1"/>
  <c r="BO269" i="4" s="1"/>
  <c r="BB269" i="4" s="1"/>
  <c r="W246" i="2"/>
  <c r="R246" i="2"/>
  <c r="W255" i="2"/>
  <c r="S255" i="2"/>
  <c r="O255" i="2"/>
  <c r="Z255" i="2"/>
  <c r="R255" i="2"/>
  <c r="X260" i="2"/>
  <c r="W278" i="2"/>
  <c r="S278" i="2"/>
  <c r="O278" i="2"/>
  <c r="Z278" i="2"/>
  <c r="R278" i="2"/>
  <c r="U278" i="2"/>
  <c r="Q278" i="2"/>
  <c r="R301" i="2"/>
  <c r="Q301" i="2"/>
  <c r="U301" i="2"/>
  <c r="X302" i="2"/>
  <c r="W296" i="2"/>
  <c r="S296" i="2"/>
  <c r="O296" i="2"/>
  <c r="Z296" i="2"/>
  <c r="R296" i="2"/>
  <c r="U296" i="2"/>
  <c r="Q296" i="2"/>
  <c r="T296" i="2"/>
  <c r="M299" i="2"/>
  <c r="P299" i="2" s="1"/>
  <c r="S228" i="2"/>
  <c r="W228" i="2"/>
  <c r="Q276" i="2"/>
  <c r="V279" i="2"/>
  <c r="U286" i="2"/>
  <c r="Q286" i="2"/>
  <c r="T286" i="2"/>
  <c r="W286" i="2"/>
  <c r="S286" i="2"/>
  <c r="O286" i="2"/>
  <c r="M287" i="2"/>
  <c r="P287" i="2" s="1"/>
  <c r="U292" i="2"/>
  <c r="Q292" i="2"/>
  <c r="T292" i="2"/>
  <c r="W292" i="2"/>
  <c r="S292" i="2"/>
  <c r="O292" i="2"/>
  <c r="Y302" i="2"/>
  <c r="AB293" i="2"/>
  <c r="AB294" i="2" s="1"/>
  <c r="M300" i="2"/>
  <c r="P300" i="2" s="1"/>
  <c r="P273" i="2"/>
  <c r="B274" i="2" s="1"/>
  <c r="W269" i="2"/>
  <c r="S269" i="2"/>
  <c r="O269" i="2"/>
  <c r="U269" i="2"/>
  <c r="Q269" i="2"/>
  <c r="Z297" i="2"/>
  <c r="T297" i="2"/>
  <c r="W297" i="2"/>
  <c r="S297" i="2"/>
  <c r="R297" i="2"/>
  <c r="AZ124" i="4" l="1"/>
  <c r="BT286" i="4"/>
  <c r="BG286" i="4" s="1"/>
  <c r="BP286" i="4"/>
  <c r="BC286" i="4" s="1"/>
  <c r="BL286" i="4"/>
  <c r="AY286" i="4" s="1"/>
  <c r="BS286" i="4"/>
  <c r="BF286" i="4" s="1"/>
  <c r="BO286" i="4"/>
  <c r="BB286" i="4" s="1"/>
  <c r="BK286" i="4"/>
  <c r="AX286" i="4" s="1"/>
  <c r="BR286" i="4"/>
  <c r="BE286" i="4" s="1"/>
  <c r="BN286" i="4"/>
  <c r="BA286" i="4" s="1"/>
  <c r="BJ286" i="4"/>
  <c r="AW286" i="4" s="1"/>
  <c r="BQ286" i="4"/>
  <c r="BD286" i="4" s="1"/>
  <c r="BM286" i="4"/>
  <c r="AZ286" i="4" s="1"/>
  <c r="BI286" i="4"/>
  <c r="BQ292" i="4"/>
  <c r="BD292" i="4" s="1"/>
  <c r="BM292" i="4"/>
  <c r="AZ292" i="4" s="1"/>
  <c r="BI292" i="4"/>
  <c r="BT292" i="4"/>
  <c r="BG292" i="4" s="1"/>
  <c r="BP292" i="4"/>
  <c r="BC292" i="4" s="1"/>
  <c r="BL292" i="4"/>
  <c r="AY292" i="4" s="1"/>
  <c r="BS292" i="4"/>
  <c r="BF292" i="4" s="1"/>
  <c r="BO292" i="4"/>
  <c r="BB292" i="4" s="1"/>
  <c r="BK292" i="4"/>
  <c r="BR292" i="4"/>
  <c r="BE292" i="4" s="1"/>
  <c r="BN292" i="4"/>
  <c r="BA292" i="4" s="1"/>
  <c r="BJ292" i="4"/>
  <c r="AW292" i="4" s="1"/>
  <c r="BS395" i="4"/>
  <c r="BF395" i="4" s="1"/>
  <c r="BO395" i="4"/>
  <c r="BB395" i="4" s="1"/>
  <c r="BK395" i="4"/>
  <c r="AX395" i="4" s="1"/>
  <c r="BR395" i="4"/>
  <c r="BE395" i="4" s="1"/>
  <c r="BN395" i="4"/>
  <c r="BA395" i="4" s="1"/>
  <c r="BJ395" i="4"/>
  <c r="BQ395" i="4"/>
  <c r="BD395" i="4" s="1"/>
  <c r="BM395" i="4"/>
  <c r="AZ395" i="4" s="1"/>
  <c r="BI395" i="4"/>
  <c r="BT395" i="4"/>
  <c r="BG395" i="4" s="1"/>
  <c r="BP395" i="4"/>
  <c r="BC395" i="4" s="1"/>
  <c r="BL395" i="4"/>
  <c r="AY395" i="4" s="1"/>
  <c r="BR290" i="4"/>
  <c r="BE290" i="4" s="1"/>
  <c r="BN290" i="4"/>
  <c r="BA290" i="4" s="1"/>
  <c r="BJ290" i="4"/>
  <c r="AW290" i="4" s="1"/>
  <c r="BQ290" i="4"/>
  <c r="BD290" i="4" s="1"/>
  <c r="BM290" i="4"/>
  <c r="AZ290" i="4" s="1"/>
  <c r="BI290" i="4"/>
  <c r="BT290" i="4"/>
  <c r="BG290" i="4" s="1"/>
  <c r="BP290" i="4"/>
  <c r="BC290" i="4" s="1"/>
  <c r="BL290" i="4"/>
  <c r="AY290" i="4" s="1"/>
  <c r="BS290" i="4"/>
  <c r="BF290" i="4" s="1"/>
  <c r="BO290" i="4"/>
  <c r="BB290" i="4" s="1"/>
  <c r="BK290" i="4"/>
  <c r="BQ468" i="4"/>
  <c r="BD468" i="4" s="1"/>
  <c r="BM468" i="4"/>
  <c r="AZ468" i="4" s="1"/>
  <c r="BI468" i="4"/>
  <c r="BS468" i="4"/>
  <c r="BF468" i="4" s="1"/>
  <c r="BO468" i="4"/>
  <c r="BB468" i="4" s="1"/>
  <c r="BK468" i="4"/>
  <c r="AX468" i="4" s="1"/>
  <c r="BT468" i="4"/>
  <c r="BG468" i="4" s="1"/>
  <c r="BL468" i="4"/>
  <c r="AY468" i="4" s="1"/>
  <c r="BR468" i="4"/>
  <c r="BE468" i="4" s="1"/>
  <c r="BJ468" i="4"/>
  <c r="AW468" i="4" s="1"/>
  <c r="BP468" i="4"/>
  <c r="BC468" i="4" s="1"/>
  <c r="BN468" i="4"/>
  <c r="BA468" i="4" s="1"/>
  <c r="BQ428" i="4"/>
  <c r="BD428" i="4" s="1"/>
  <c r="BM428" i="4"/>
  <c r="AZ428" i="4" s="1"/>
  <c r="BI428" i="4"/>
  <c r="AV428" i="4" s="1"/>
  <c r="BS428" i="4"/>
  <c r="BF428" i="4" s="1"/>
  <c r="BO428" i="4"/>
  <c r="BB428" i="4" s="1"/>
  <c r="BK428" i="4"/>
  <c r="BR428" i="4"/>
  <c r="BE428" i="4" s="1"/>
  <c r="BJ428" i="4"/>
  <c r="AW428" i="4" s="1"/>
  <c r="BP428" i="4"/>
  <c r="BC428" i="4" s="1"/>
  <c r="BN428" i="4"/>
  <c r="BA428" i="4" s="1"/>
  <c r="BT428" i="4"/>
  <c r="BG428" i="4" s="1"/>
  <c r="BL428" i="4"/>
  <c r="BT227" i="4"/>
  <c r="BG227" i="4" s="1"/>
  <c r="BP227" i="4"/>
  <c r="BC227" i="4" s="1"/>
  <c r="BL227" i="4"/>
  <c r="AY227" i="4" s="1"/>
  <c r="BS227" i="4"/>
  <c r="BF227" i="4" s="1"/>
  <c r="BO227" i="4"/>
  <c r="BB227" i="4" s="1"/>
  <c r="BK227" i="4"/>
  <c r="AX227" i="4" s="1"/>
  <c r="BR227" i="4"/>
  <c r="BE227" i="4" s="1"/>
  <c r="BN227" i="4"/>
  <c r="BA227" i="4" s="1"/>
  <c r="BJ227" i="4"/>
  <c r="BQ227" i="4"/>
  <c r="BD227" i="4" s="1"/>
  <c r="BM227" i="4"/>
  <c r="AZ227" i="4" s="1"/>
  <c r="BQ201" i="4"/>
  <c r="BD201" i="4" s="1"/>
  <c r="BM201" i="4"/>
  <c r="AZ201" i="4" s="1"/>
  <c r="BT201" i="4"/>
  <c r="BG201" i="4" s="1"/>
  <c r="BP201" i="4"/>
  <c r="BC201" i="4" s="1"/>
  <c r="BL201" i="4"/>
  <c r="BS201" i="4"/>
  <c r="BF201" i="4" s="1"/>
  <c r="BO201" i="4"/>
  <c r="BB201" i="4" s="1"/>
  <c r="BK201" i="4"/>
  <c r="AX201" i="4" s="1"/>
  <c r="BR201" i="4"/>
  <c r="BE201" i="4" s="1"/>
  <c r="BN201" i="4"/>
  <c r="BA201" i="4" s="1"/>
  <c r="BJ201" i="4"/>
  <c r="BR158" i="4"/>
  <c r="BE158" i="4" s="1"/>
  <c r="BL158" i="4"/>
  <c r="BQ426" i="4"/>
  <c r="BD426" i="4" s="1"/>
  <c r="BM426" i="4"/>
  <c r="AZ426" i="4" s="1"/>
  <c r="BI426" i="4"/>
  <c r="BS426" i="4"/>
  <c r="BF426" i="4" s="1"/>
  <c r="BO426" i="4"/>
  <c r="BB426" i="4" s="1"/>
  <c r="BK426" i="4"/>
  <c r="AX426" i="4" s="1"/>
  <c r="BR426" i="4"/>
  <c r="BE426" i="4" s="1"/>
  <c r="BJ426" i="4"/>
  <c r="AW426" i="4" s="1"/>
  <c r="BP426" i="4"/>
  <c r="BC426" i="4" s="1"/>
  <c r="BN426" i="4"/>
  <c r="BA426" i="4" s="1"/>
  <c r="BT426" i="4"/>
  <c r="BG426" i="4" s="1"/>
  <c r="BL426" i="4"/>
  <c r="AY426" i="4" s="1"/>
  <c r="BQ196" i="4"/>
  <c r="BD196" i="4" s="1"/>
  <c r="BM196" i="4"/>
  <c r="AZ196" i="4" s="1"/>
  <c r="BT196" i="4"/>
  <c r="BG196" i="4" s="1"/>
  <c r="BP196" i="4"/>
  <c r="BC196" i="4" s="1"/>
  <c r="BL196" i="4"/>
  <c r="AY196" i="4" s="1"/>
  <c r="BS196" i="4"/>
  <c r="BF196" i="4" s="1"/>
  <c r="BO196" i="4"/>
  <c r="BB196" i="4" s="1"/>
  <c r="BK196" i="4"/>
  <c r="AX196" i="4" s="1"/>
  <c r="BR196" i="4"/>
  <c r="BE196" i="4" s="1"/>
  <c r="BN196" i="4"/>
  <c r="BA196" i="4" s="1"/>
  <c r="BJ196" i="4"/>
  <c r="BT440" i="4"/>
  <c r="BG440" i="4" s="1"/>
  <c r="BP440" i="4"/>
  <c r="BC440" i="4" s="1"/>
  <c r="BL440" i="4"/>
  <c r="BR440" i="4"/>
  <c r="BE440" i="4" s="1"/>
  <c r="BN440" i="4"/>
  <c r="BA440" i="4" s="1"/>
  <c r="BJ440" i="4"/>
  <c r="AW440" i="4" s="1"/>
  <c r="BO440" i="4"/>
  <c r="BB440" i="4" s="1"/>
  <c r="BM440" i="4"/>
  <c r="AZ440" i="4" s="1"/>
  <c r="BS440" i="4"/>
  <c r="BF440" i="4" s="1"/>
  <c r="BK440" i="4"/>
  <c r="BQ440" i="4"/>
  <c r="BD440" i="4" s="1"/>
  <c r="BI440" i="4"/>
  <c r="AV440" i="4" s="1"/>
  <c r="BS200" i="4"/>
  <c r="BF200" i="4" s="1"/>
  <c r="BO200" i="4"/>
  <c r="BB200" i="4" s="1"/>
  <c r="BK200" i="4"/>
  <c r="AX200" i="4" s="1"/>
  <c r="BR200" i="4"/>
  <c r="BE200" i="4" s="1"/>
  <c r="BN200" i="4"/>
  <c r="BA200" i="4" s="1"/>
  <c r="BJ200" i="4"/>
  <c r="BQ200" i="4"/>
  <c r="BD200" i="4" s="1"/>
  <c r="BM200" i="4"/>
  <c r="AZ200" i="4" s="1"/>
  <c r="BT200" i="4"/>
  <c r="BG200" i="4" s="1"/>
  <c r="BP200" i="4"/>
  <c r="BC200" i="4" s="1"/>
  <c r="BL200" i="4"/>
  <c r="AY200" i="4" s="1"/>
  <c r="BQ215" i="4"/>
  <c r="BD215" i="4" s="1"/>
  <c r="BM215" i="4"/>
  <c r="AZ215" i="4" s="1"/>
  <c r="BT215" i="4"/>
  <c r="BG215" i="4" s="1"/>
  <c r="BP215" i="4"/>
  <c r="BC215" i="4" s="1"/>
  <c r="BL215" i="4"/>
  <c r="BS215" i="4"/>
  <c r="BF215" i="4" s="1"/>
  <c r="BO215" i="4"/>
  <c r="BB215" i="4" s="1"/>
  <c r="BK215" i="4"/>
  <c r="AX215" i="4" s="1"/>
  <c r="BR215" i="4"/>
  <c r="BE215" i="4" s="1"/>
  <c r="BN215" i="4"/>
  <c r="BA215" i="4" s="1"/>
  <c r="BJ215" i="4"/>
  <c r="BR70" i="4"/>
  <c r="BE70" i="4" s="1"/>
  <c r="BN70" i="4"/>
  <c r="BA70" i="4" s="1"/>
  <c r="BJ70" i="4"/>
  <c r="BQ70" i="4"/>
  <c r="BD70" i="4" s="1"/>
  <c r="BM70" i="4"/>
  <c r="AZ70" i="4" s="1"/>
  <c r="BT70" i="4"/>
  <c r="BG70" i="4" s="1"/>
  <c r="BP70" i="4"/>
  <c r="BC70" i="4" s="1"/>
  <c r="BL70" i="4"/>
  <c r="AY70" i="4" s="1"/>
  <c r="BS70" i="4"/>
  <c r="BF70" i="4" s="1"/>
  <c r="BO70" i="4"/>
  <c r="BB70" i="4" s="1"/>
  <c r="BK70" i="4"/>
  <c r="AX70" i="4" s="1"/>
  <c r="BS159" i="4"/>
  <c r="BF159" i="4" s="1"/>
  <c r="BO159" i="4"/>
  <c r="BB159" i="4" s="1"/>
  <c r="BK159" i="4"/>
  <c r="AX159" i="4" s="1"/>
  <c r="BR159" i="4"/>
  <c r="BE159" i="4" s="1"/>
  <c r="BN159" i="4"/>
  <c r="BA159" i="4" s="1"/>
  <c r="BJ159" i="4"/>
  <c r="BQ159" i="4"/>
  <c r="BD159" i="4" s="1"/>
  <c r="BM159" i="4"/>
  <c r="AZ159" i="4" s="1"/>
  <c r="BT159" i="4"/>
  <c r="BG159" i="4" s="1"/>
  <c r="BP159" i="4"/>
  <c r="BC159" i="4" s="1"/>
  <c r="BL159" i="4"/>
  <c r="BR79" i="4"/>
  <c r="BE79" i="4" s="1"/>
  <c r="BN79" i="4"/>
  <c r="BA79" i="4" s="1"/>
  <c r="BJ79" i="4"/>
  <c r="BQ79" i="4"/>
  <c r="BD79" i="4" s="1"/>
  <c r="BM79" i="4"/>
  <c r="AZ79" i="4" s="1"/>
  <c r="BT79" i="4"/>
  <c r="BG79" i="4" s="1"/>
  <c r="BP79" i="4"/>
  <c r="BC79" i="4" s="1"/>
  <c r="BL79" i="4"/>
  <c r="AY79" i="4" s="1"/>
  <c r="BS79" i="4"/>
  <c r="BF79" i="4" s="1"/>
  <c r="BO79" i="4"/>
  <c r="BB79" i="4" s="1"/>
  <c r="BK79" i="4"/>
  <c r="AX79" i="4" s="1"/>
  <c r="BQ225" i="4"/>
  <c r="BD225" i="4" s="1"/>
  <c r="BM225" i="4"/>
  <c r="AZ225" i="4" s="1"/>
  <c r="BT225" i="4"/>
  <c r="BG225" i="4" s="1"/>
  <c r="BP225" i="4"/>
  <c r="BC225" i="4" s="1"/>
  <c r="BL225" i="4"/>
  <c r="AY225" i="4" s="1"/>
  <c r="BS225" i="4"/>
  <c r="BF225" i="4" s="1"/>
  <c r="BO225" i="4"/>
  <c r="BB225" i="4" s="1"/>
  <c r="BK225" i="4"/>
  <c r="AX225" i="4" s="1"/>
  <c r="BR225" i="4"/>
  <c r="BE225" i="4" s="1"/>
  <c r="BN225" i="4"/>
  <c r="BA225" i="4" s="1"/>
  <c r="BJ225" i="4"/>
  <c r="BS288" i="4"/>
  <c r="BF288" i="4" s="1"/>
  <c r="BO288" i="4"/>
  <c r="BB288" i="4" s="1"/>
  <c r="BK288" i="4"/>
  <c r="BR288" i="4"/>
  <c r="BE288" i="4" s="1"/>
  <c r="BN288" i="4"/>
  <c r="BA288" i="4" s="1"/>
  <c r="BJ288" i="4"/>
  <c r="AW288" i="4" s="1"/>
  <c r="BQ288" i="4"/>
  <c r="BD288" i="4" s="1"/>
  <c r="BM288" i="4"/>
  <c r="AZ288" i="4" s="1"/>
  <c r="BI288" i="4"/>
  <c r="BT288" i="4"/>
  <c r="BG288" i="4" s="1"/>
  <c r="BP288" i="4"/>
  <c r="BC288" i="4" s="1"/>
  <c r="BL288" i="4"/>
  <c r="AY288" i="4" s="1"/>
  <c r="AO489" i="4"/>
  <c r="AV489" i="4"/>
  <c r="AR489" i="4"/>
  <c r="AS394" i="4"/>
  <c r="AT394" i="4" s="1"/>
  <c r="AP394" i="4"/>
  <c r="AQ394" i="4" s="1"/>
  <c r="AS410" i="4"/>
  <c r="AT410" i="4" s="1"/>
  <c r="AP410" i="4"/>
  <c r="AQ410" i="4" s="1"/>
  <c r="AV402" i="4"/>
  <c r="AO402" i="4"/>
  <c r="BF386" i="4"/>
  <c r="AV386" i="4"/>
  <c r="AO386" i="4"/>
  <c r="AR386" i="4"/>
  <c r="BA386" i="4"/>
  <c r="AY223" i="4"/>
  <c r="AO223" i="4"/>
  <c r="AR223" i="4"/>
  <c r="BM148" i="4"/>
  <c r="AZ148" i="4" s="1"/>
  <c r="BR148" i="4"/>
  <c r="BE148" i="4" s="1"/>
  <c r="BL148" i="4"/>
  <c r="AY148" i="4" s="1"/>
  <c r="AY409" i="4"/>
  <c r="AO409" i="4"/>
  <c r="AR409" i="4"/>
  <c r="AO401" i="4"/>
  <c r="AY401" i="4"/>
  <c r="BF147" i="4"/>
  <c r="AO147" i="4"/>
  <c r="AZ147" i="4"/>
  <c r="BE147" i="4"/>
  <c r="AZ462" i="4"/>
  <c r="AY462" i="4"/>
  <c r="BA462" i="4"/>
  <c r="BI269" i="4"/>
  <c r="BN269" i="4"/>
  <c r="BA269" i="4" s="1"/>
  <c r="BS269" i="4"/>
  <c r="BF269" i="4" s="1"/>
  <c r="AO211" i="4"/>
  <c r="AP211" i="4" s="1"/>
  <c r="AQ211" i="4" s="1"/>
  <c r="AR211" i="4"/>
  <c r="AS211" i="4" s="1"/>
  <c r="AT211" i="4" s="1"/>
  <c r="AW211" i="4"/>
  <c r="AS194" i="4"/>
  <c r="AT194" i="4" s="1"/>
  <c r="AP194" i="4"/>
  <c r="AQ194" i="4" s="1"/>
  <c r="AY151" i="4"/>
  <c r="AR151" i="4"/>
  <c r="AO151" i="4"/>
  <c r="AS277" i="4"/>
  <c r="AT277" i="4" s="1"/>
  <c r="AP277" i="4"/>
  <c r="AQ277" i="4" s="1"/>
  <c r="BD268" i="4"/>
  <c r="AX268" i="4"/>
  <c r="BC268" i="4"/>
  <c r="AO210" i="4"/>
  <c r="AW210" i="4"/>
  <c r="AY195" i="4"/>
  <c r="AO195" i="4"/>
  <c r="AR195" i="4"/>
  <c r="BR124" i="4"/>
  <c r="BL124" i="4"/>
  <c r="BQ124" i="4"/>
  <c r="AW61" i="4"/>
  <c r="AR61" i="4"/>
  <c r="AO61" i="4"/>
  <c r="BB61" i="4"/>
  <c r="BG61" i="4"/>
  <c r="AX94" i="4"/>
  <c r="BG94" i="4"/>
  <c r="BA94" i="4"/>
  <c r="BS303" i="4"/>
  <c r="BF303" i="4" s="1"/>
  <c r="BO303" i="4"/>
  <c r="BB303" i="4" s="1"/>
  <c r="BK303" i="4"/>
  <c r="BR303" i="4"/>
  <c r="BE303" i="4" s="1"/>
  <c r="BN303" i="4"/>
  <c r="BA303" i="4" s="1"/>
  <c r="BJ303" i="4"/>
  <c r="AW303" i="4" s="1"/>
  <c r="BQ303" i="4"/>
  <c r="BD303" i="4" s="1"/>
  <c r="BM303" i="4"/>
  <c r="AZ303" i="4" s="1"/>
  <c r="BI303" i="4"/>
  <c r="AV303" i="4" s="1"/>
  <c r="BT303" i="4"/>
  <c r="BG303" i="4" s="1"/>
  <c r="BP303" i="4"/>
  <c r="BC303" i="4" s="1"/>
  <c r="BL303" i="4"/>
  <c r="BT392" i="4"/>
  <c r="BG392" i="4" s="1"/>
  <c r="BP392" i="4"/>
  <c r="BC392" i="4" s="1"/>
  <c r="BL392" i="4"/>
  <c r="AY392" i="4" s="1"/>
  <c r="BS392" i="4"/>
  <c r="BF392" i="4" s="1"/>
  <c r="BO392" i="4"/>
  <c r="BB392" i="4" s="1"/>
  <c r="BK392" i="4"/>
  <c r="AX392" i="4" s="1"/>
  <c r="BR392" i="4"/>
  <c r="BE392" i="4" s="1"/>
  <c r="BN392" i="4"/>
  <c r="BA392" i="4" s="1"/>
  <c r="BJ392" i="4"/>
  <c r="AW392" i="4" s="1"/>
  <c r="BQ392" i="4"/>
  <c r="BD392" i="4" s="1"/>
  <c r="BM392" i="4"/>
  <c r="AZ392" i="4" s="1"/>
  <c r="BI392" i="4"/>
  <c r="BT491" i="4"/>
  <c r="BG491" i="4" s="1"/>
  <c r="BP491" i="4"/>
  <c r="BC491" i="4" s="1"/>
  <c r="BL491" i="4"/>
  <c r="AY491" i="4" s="1"/>
  <c r="BS491" i="4"/>
  <c r="BF491" i="4" s="1"/>
  <c r="BO491" i="4"/>
  <c r="BB491" i="4" s="1"/>
  <c r="BK491" i="4"/>
  <c r="BR491" i="4"/>
  <c r="BE491" i="4" s="1"/>
  <c r="BN491" i="4"/>
  <c r="BA491" i="4" s="1"/>
  <c r="BJ491" i="4"/>
  <c r="AW491" i="4" s="1"/>
  <c r="BQ491" i="4"/>
  <c r="BD491" i="4" s="1"/>
  <c r="BM491" i="4"/>
  <c r="AZ491" i="4" s="1"/>
  <c r="BI491" i="4"/>
  <c r="BQ399" i="4"/>
  <c r="BD399" i="4" s="1"/>
  <c r="BM399" i="4"/>
  <c r="AZ399" i="4" s="1"/>
  <c r="BI399" i="4"/>
  <c r="BT399" i="4"/>
  <c r="BG399" i="4" s="1"/>
  <c r="BP399" i="4"/>
  <c r="BC399" i="4" s="1"/>
  <c r="BL399" i="4"/>
  <c r="AY399" i="4" s="1"/>
  <c r="BS399" i="4"/>
  <c r="BF399" i="4" s="1"/>
  <c r="BO399" i="4"/>
  <c r="BB399" i="4" s="1"/>
  <c r="BK399" i="4"/>
  <c r="AX399" i="4" s="1"/>
  <c r="BR399" i="4"/>
  <c r="BE399" i="4" s="1"/>
  <c r="BN399" i="4"/>
  <c r="BA399" i="4" s="1"/>
  <c r="BJ399" i="4"/>
  <c r="AW399" i="4" s="1"/>
  <c r="BT301" i="4"/>
  <c r="BG301" i="4" s="1"/>
  <c r="BP301" i="4"/>
  <c r="BC301" i="4" s="1"/>
  <c r="BL301" i="4"/>
  <c r="AY301" i="4" s="1"/>
  <c r="BS301" i="4"/>
  <c r="BF301" i="4" s="1"/>
  <c r="BO301" i="4"/>
  <c r="BB301" i="4" s="1"/>
  <c r="BK301" i="4"/>
  <c r="AX301" i="4" s="1"/>
  <c r="BR301" i="4"/>
  <c r="BE301" i="4" s="1"/>
  <c r="BN301" i="4"/>
  <c r="BA301" i="4" s="1"/>
  <c r="BJ301" i="4"/>
  <c r="AW301" i="4" s="1"/>
  <c r="BQ301" i="4"/>
  <c r="BD301" i="4" s="1"/>
  <c r="BM301" i="4"/>
  <c r="AZ301" i="4" s="1"/>
  <c r="BI301" i="4"/>
  <c r="BQ348" i="4"/>
  <c r="BD348" i="4" s="1"/>
  <c r="BM348" i="4"/>
  <c r="AZ348" i="4" s="1"/>
  <c r="BT348" i="4"/>
  <c r="BG348" i="4" s="1"/>
  <c r="BP348" i="4"/>
  <c r="BC348" i="4" s="1"/>
  <c r="BL348" i="4"/>
  <c r="AY348" i="4" s="1"/>
  <c r="BS348" i="4"/>
  <c r="BF348" i="4" s="1"/>
  <c r="BO348" i="4"/>
  <c r="BB348" i="4" s="1"/>
  <c r="BK348" i="4"/>
  <c r="AX348" i="4" s="1"/>
  <c r="BR348" i="4"/>
  <c r="BE348" i="4" s="1"/>
  <c r="BN348" i="4"/>
  <c r="BA348" i="4" s="1"/>
  <c r="BJ348" i="4"/>
  <c r="BS465" i="4"/>
  <c r="BF465" i="4" s="1"/>
  <c r="BO465" i="4"/>
  <c r="BB465" i="4" s="1"/>
  <c r="BK465" i="4"/>
  <c r="AX465" i="4" s="1"/>
  <c r="BQ465" i="4"/>
  <c r="BD465" i="4" s="1"/>
  <c r="BM465" i="4"/>
  <c r="AZ465" i="4" s="1"/>
  <c r="BI465" i="4"/>
  <c r="BT465" i="4"/>
  <c r="BG465" i="4" s="1"/>
  <c r="BL465" i="4"/>
  <c r="AY465" i="4" s="1"/>
  <c r="BR465" i="4"/>
  <c r="BE465" i="4" s="1"/>
  <c r="BJ465" i="4"/>
  <c r="AW465" i="4" s="1"/>
  <c r="BP465" i="4"/>
  <c r="BC465" i="4" s="1"/>
  <c r="BN465" i="4"/>
  <c r="BA465" i="4" s="1"/>
  <c r="BR282" i="4"/>
  <c r="BE282" i="4" s="1"/>
  <c r="BN282" i="4"/>
  <c r="BA282" i="4" s="1"/>
  <c r="BJ282" i="4"/>
  <c r="AW282" i="4" s="1"/>
  <c r="BQ282" i="4"/>
  <c r="BD282" i="4" s="1"/>
  <c r="BM282" i="4"/>
  <c r="AZ282" i="4" s="1"/>
  <c r="BI282" i="4"/>
  <c r="BT282" i="4"/>
  <c r="BG282" i="4" s="1"/>
  <c r="BP282" i="4"/>
  <c r="BC282" i="4" s="1"/>
  <c r="BL282" i="4"/>
  <c r="AY282" i="4" s="1"/>
  <c r="BS282" i="4"/>
  <c r="BF282" i="4" s="1"/>
  <c r="BO282" i="4"/>
  <c r="BB282" i="4" s="1"/>
  <c r="BK282" i="4"/>
  <c r="BR419" i="4"/>
  <c r="BE419" i="4" s="1"/>
  <c r="BN419" i="4"/>
  <c r="BA419" i="4" s="1"/>
  <c r="BJ419" i="4"/>
  <c r="AW419" i="4" s="1"/>
  <c r="BQ419" i="4"/>
  <c r="BD419" i="4" s="1"/>
  <c r="BM419" i="4"/>
  <c r="AZ419" i="4" s="1"/>
  <c r="BI419" i="4"/>
  <c r="BT419" i="4"/>
  <c r="BG419" i="4" s="1"/>
  <c r="BP419" i="4"/>
  <c r="BC419" i="4" s="1"/>
  <c r="BL419" i="4"/>
  <c r="AY419" i="4" s="1"/>
  <c r="BK419" i="4"/>
  <c r="AX419" i="4" s="1"/>
  <c r="BS419" i="4"/>
  <c r="BF419" i="4" s="1"/>
  <c r="BO419" i="4"/>
  <c r="BB419" i="4" s="1"/>
  <c r="BR199" i="4"/>
  <c r="BE199" i="4" s="1"/>
  <c r="BN199" i="4"/>
  <c r="BA199" i="4" s="1"/>
  <c r="BJ199" i="4"/>
  <c r="BQ199" i="4"/>
  <c r="BD199" i="4" s="1"/>
  <c r="BM199" i="4"/>
  <c r="AZ199" i="4" s="1"/>
  <c r="BT199" i="4"/>
  <c r="BG199" i="4" s="1"/>
  <c r="BP199" i="4"/>
  <c r="BC199" i="4" s="1"/>
  <c r="BL199" i="4"/>
  <c r="BS199" i="4"/>
  <c r="BF199" i="4" s="1"/>
  <c r="BO199" i="4"/>
  <c r="BB199" i="4" s="1"/>
  <c r="BK199" i="4"/>
  <c r="AX199" i="4" s="1"/>
  <c r="BQ232" i="4"/>
  <c r="BD232" i="4" s="1"/>
  <c r="BM232" i="4"/>
  <c r="AZ232" i="4" s="1"/>
  <c r="BT232" i="4"/>
  <c r="BG232" i="4" s="1"/>
  <c r="BP232" i="4"/>
  <c r="BC232" i="4" s="1"/>
  <c r="BL232" i="4"/>
  <c r="AY232" i="4" s="1"/>
  <c r="BS232" i="4"/>
  <c r="BF232" i="4" s="1"/>
  <c r="BO232" i="4"/>
  <c r="BB232" i="4" s="1"/>
  <c r="BK232" i="4"/>
  <c r="AX232" i="4" s="1"/>
  <c r="BR232" i="4"/>
  <c r="BE232" i="4" s="1"/>
  <c r="BN232" i="4"/>
  <c r="BA232" i="4" s="1"/>
  <c r="BJ232" i="4"/>
  <c r="BS214" i="4"/>
  <c r="BF214" i="4" s="1"/>
  <c r="BO214" i="4"/>
  <c r="BB214" i="4" s="1"/>
  <c r="BK214" i="4"/>
  <c r="AX214" i="4" s="1"/>
  <c r="BR214" i="4"/>
  <c r="BE214" i="4" s="1"/>
  <c r="BN214" i="4"/>
  <c r="BA214" i="4" s="1"/>
  <c r="BJ214" i="4"/>
  <c r="BQ214" i="4"/>
  <c r="BD214" i="4" s="1"/>
  <c r="BM214" i="4"/>
  <c r="AZ214" i="4" s="1"/>
  <c r="BT214" i="4"/>
  <c r="BG214" i="4" s="1"/>
  <c r="BP214" i="4"/>
  <c r="BC214" i="4" s="1"/>
  <c r="BL214" i="4"/>
  <c r="AY214" i="4" s="1"/>
  <c r="BS427" i="4"/>
  <c r="BF427" i="4" s="1"/>
  <c r="BO427" i="4"/>
  <c r="BB427" i="4" s="1"/>
  <c r="BK427" i="4"/>
  <c r="BQ427" i="4"/>
  <c r="BD427" i="4" s="1"/>
  <c r="BM427" i="4"/>
  <c r="AZ427" i="4" s="1"/>
  <c r="BI427" i="4"/>
  <c r="BN427" i="4"/>
  <c r="BA427" i="4" s="1"/>
  <c r="BT427" i="4"/>
  <c r="BG427" i="4" s="1"/>
  <c r="BL427" i="4"/>
  <c r="AY427" i="4" s="1"/>
  <c r="BR427" i="4"/>
  <c r="BE427" i="4" s="1"/>
  <c r="BJ427" i="4"/>
  <c r="AW427" i="4" s="1"/>
  <c r="BP427" i="4"/>
  <c r="BC427" i="4" s="1"/>
  <c r="BT198" i="4"/>
  <c r="BG198" i="4" s="1"/>
  <c r="BP198" i="4"/>
  <c r="BC198" i="4" s="1"/>
  <c r="BL198" i="4"/>
  <c r="AY198" i="4" s="1"/>
  <c r="BS198" i="4"/>
  <c r="BF198" i="4" s="1"/>
  <c r="BO198" i="4"/>
  <c r="BB198" i="4" s="1"/>
  <c r="BK198" i="4"/>
  <c r="AX198" i="4" s="1"/>
  <c r="BR198" i="4"/>
  <c r="BE198" i="4" s="1"/>
  <c r="BN198" i="4"/>
  <c r="BA198" i="4" s="1"/>
  <c r="BJ198" i="4"/>
  <c r="BQ198" i="4"/>
  <c r="BD198" i="4" s="1"/>
  <c r="BM198" i="4"/>
  <c r="AZ198" i="4" s="1"/>
  <c r="BQ219" i="4"/>
  <c r="BD219" i="4" s="1"/>
  <c r="BM219" i="4"/>
  <c r="AZ219" i="4" s="1"/>
  <c r="BT219" i="4"/>
  <c r="BG219" i="4" s="1"/>
  <c r="BP219" i="4"/>
  <c r="BC219" i="4" s="1"/>
  <c r="BL219" i="4"/>
  <c r="AY219" i="4" s="1"/>
  <c r="BS219" i="4"/>
  <c r="BF219" i="4" s="1"/>
  <c r="BO219" i="4"/>
  <c r="BB219" i="4" s="1"/>
  <c r="BK219" i="4"/>
  <c r="AX219" i="4" s="1"/>
  <c r="BR219" i="4"/>
  <c r="BE219" i="4" s="1"/>
  <c r="BN219" i="4"/>
  <c r="BA219" i="4" s="1"/>
  <c r="BJ219" i="4"/>
  <c r="BR110" i="4"/>
  <c r="BE110" i="4" s="1"/>
  <c r="BN110" i="4"/>
  <c r="BA110" i="4" s="1"/>
  <c r="BJ110" i="4"/>
  <c r="BQ110" i="4"/>
  <c r="BD110" i="4" s="1"/>
  <c r="BM110" i="4"/>
  <c r="AZ110" i="4" s="1"/>
  <c r="BT110" i="4"/>
  <c r="BG110" i="4" s="1"/>
  <c r="BP110" i="4"/>
  <c r="BC110" i="4" s="1"/>
  <c r="BL110" i="4"/>
  <c r="AY110" i="4" s="1"/>
  <c r="BS110" i="4"/>
  <c r="BF110" i="4" s="1"/>
  <c r="BO110" i="4"/>
  <c r="BB110" i="4" s="1"/>
  <c r="BK110" i="4"/>
  <c r="AX110" i="4" s="1"/>
  <c r="BQ73" i="4"/>
  <c r="BD73" i="4" s="1"/>
  <c r="BM73" i="4"/>
  <c r="AZ73" i="4" s="1"/>
  <c r="BT73" i="4"/>
  <c r="BG73" i="4" s="1"/>
  <c r="BP73" i="4"/>
  <c r="BC73" i="4" s="1"/>
  <c r="BL73" i="4"/>
  <c r="BS73" i="4"/>
  <c r="BF73" i="4" s="1"/>
  <c r="BO73" i="4"/>
  <c r="BB73" i="4" s="1"/>
  <c r="BK73" i="4"/>
  <c r="AX73" i="4" s="1"/>
  <c r="BR73" i="4"/>
  <c r="BE73" i="4" s="1"/>
  <c r="BN73" i="4"/>
  <c r="BA73" i="4" s="1"/>
  <c r="BJ73" i="4"/>
  <c r="O246" i="2"/>
  <c r="BR337" i="4"/>
  <c r="BN337" i="4"/>
  <c r="BJ337" i="4"/>
  <c r="BQ337" i="4"/>
  <c r="BM337" i="4"/>
  <c r="BT337" i="4"/>
  <c r="BP337" i="4"/>
  <c r="BL337" i="4"/>
  <c r="BS337" i="4"/>
  <c r="BO337" i="4"/>
  <c r="BK337" i="4"/>
  <c r="BS477" i="4"/>
  <c r="BO477" i="4"/>
  <c r="BK477" i="4"/>
  <c r="BR477" i="4"/>
  <c r="BN477" i="4"/>
  <c r="BJ477" i="4"/>
  <c r="BQ477" i="4"/>
  <c r="BM477" i="4"/>
  <c r="BI477" i="4"/>
  <c r="BP477" i="4"/>
  <c r="BL477" i="4"/>
  <c r="BT477" i="4"/>
  <c r="BR96" i="4"/>
  <c r="BE96" i="4" s="1"/>
  <c r="BN96" i="4"/>
  <c r="BA96" i="4" s="1"/>
  <c r="BJ96" i="4"/>
  <c r="BQ96" i="4"/>
  <c r="BD96" i="4" s="1"/>
  <c r="BM96" i="4"/>
  <c r="AZ96" i="4" s="1"/>
  <c r="BT96" i="4"/>
  <c r="BG96" i="4" s="1"/>
  <c r="BP96" i="4"/>
  <c r="BC96" i="4" s="1"/>
  <c r="BL96" i="4"/>
  <c r="AY96" i="4" s="1"/>
  <c r="BS96" i="4"/>
  <c r="BF96" i="4" s="1"/>
  <c r="BO96" i="4"/>
  <c r="BB96" i="4" s="1"/>
  <c r="BK96" i="4"/>
  <c r="AX96" i="4" s="1"/>
  <c r="BT464" i="4"/>
  <c r="BG464" i="4" s="1"/>
  <c r="BP464" i="4"/>
  <c r="BC464" i="4" s="1"/>
  <c r="BL464" i="4"/>
  <c r="AY464" i="4" s="1"/>
  <c r="BR464" i="4"/>
  <c r="BE464" i="4" s="1"/>
  <c r="BN464" i="4"/>
  <c r="BA464" i="4" s="1"/>
  <c r="BJ464" i="4"/>
  <c r="AW464" i="4" s="1"/>
  <c r="BQ464" i="4"/>
  <c r="BD464" i="4" s="1"/>
  <c r="BI464" i="4"/>
  <c r="BO464" i="4"/>
  <c r="BB464" i="4" s="1"/>
  <c r="BM464" i="4"/>
  <c r="AZ464" i="4" s="1"/>
  <c r="BS464" i="4"/>
  <c r="BF464" i="4" s="1"/>
  <c r="BK464" i="4"/>
  <c r="AX464" i="4" s="1"/>
  <c r="BQ284" i="4"/>
  <c r="BD284" i="4" s="1"/>
  <c r="BM284" i="4"/>
  <c r="AZ284" i="4" s="1"/>
  <c r="BI284" i="4"/>
  <c r="BT284" i="4"/>
  <c r="BG284" i="4" s="1"/>
  <c r="BP284" i="4"/>
  <c r="BC284" i="4" s="1"/>
  <c r="BL284" i="4"/>
  <c r="AY284" i="4" s="1"/>
  <c r="BS284" i="4"/>
  <c r="BF284" i="4" s="1"/>
  <c r="BO284" i="4"/>
  <c r="BB284" i="4" s="1"/>
  <c r="BK284" i="4"/>
  <c r="AX284" i="4" s="1"/>
  <c r="BR284" i="4"/>
  <c r="BE284" i="4" s="1"/>
  <c r="BN284" i="4"/>
  <c r="BA284" i="4" s="1"/>
  <c r="BJ284" i="4"/>
  <c r="AW284" i="4" s="1"/>
  <c r="BQ101" i="4"/>
  <c r="BD101" i="4" s="1"/>
  <c r="BM101" i="4"/>
  <c r="AZ101" i="4" s="1"/>
  <c r="BT101" i="4"/>
  <c r="BG101" i="4" s="1"/>
  <c r="BP101" i="4"/>
  <c r="BC101" i="4" s="1"/>
  <c r="BL101" i="4"/>
  <c r="BS101" i="4"/>
  <c r="BF101" i="4" s="1"/>
  <c r="BO101" i="4"/>
  <c r="BB101" i="4" s="1"/>
  <c r="BK101" i="4"/>
  <c r="AX101" i="4" s="1"/>
  <c r="BJ101" i="4"/>
  <c r="BR101" i="4"/>
  <c r="BE101" i="4" s="1"/>
  <c r="BN101" i="4"/>
  <c r="BA101" i="4" s="1"/>
  <c r="BL166" i="4"/>
  <c r="BR166" i="4"/>
  <c r="BE166" i="4" s="1"/>
  <c r="BT389" i="4"/>
  <c r="BG389" i="4" s="1"/>
  <c r="BP389" i="4"/>
  <c r="BC389" i="4" s="1"/>
  <c r="BL389" i="4"/>
  <c r="AY389" i="4" s="1"/>
  <c r="BS389" i="4"/>
  <c r="BF389" i="4" s="1"/>
  <c r="BO389" i="4"/>
  <c r="BB389" i="4" s="1"/>
  <c r="BK389" i="4"/>
  <c r="AX389" i="4" s="1"/>
  <c r="BR389" i="4"/>
  <c r="BE389" i="4" s="1"/>
  <c r="BN389" i="4"/>
  <c r="BA389" i="4" s="1"/>
  <c r="BJ389" i="4"/>
  <c r="AW389" i="4" s="1"/>
  <c r="BQ389" i="4"/>
  <c r="BD389" i="4" s="1"/>
  <c r="BM389" i="4"/>
  <c r="AZ389" i="4" s="1"/>
  <c r="BI389" i="4"/>
  <c r="BR390" i="4"/>
  <c r="BE390" i="4" s="1"/>
  <c r="BN390" i="4"/>
  <c r="BA390" i="4" s="1"/>
  <c r="BJ390" i="4"/>
  <c r="AW390" i="4" s="1"/>
  <c r="BQ390" i="4"/>
  <c r="BD390" i="4" s="1"/>
  <c r="BM390" i="4"/>
  <c r="AZ390" i="4" s="1"/>
  <c r="BI390" i="4"/>
  <c r="BT390" i="4"/>
  <c r="BG390" i="4" s="1"/>
  <c r="BP390" i="4"/>
  <c r="BC390" i="4" s="1"/>
  <c r="BL390" i="4"/>
  <c r="AY390" i="4" s="1"/>
  <c r="BS390" i="4"/>
  <c r="BF390" i="4" s="1"/>
  <c r="BO390" i="4"/>
  <c r="BB390" i="4" s="1"/>
  <c r="BK390" i="4"/>
  <c r="BS388" i="4"/>
  <c r="BF388" i="4" s="1"/>
  <c r="BO388" i="4"/>
  <c r="BB388" i="4" s="1"/>
  <c r="BK388" i="4"/>
  <c r="AX388" i="4" s="1"/>
  <c r="BR388" i="4"/>
  <c r="BE388" i="4" s="1"/>
  <c r="BN388" i="4"/>
  <c r="BA388" i="4" s="1"/>
  <c r="BJ388" i="4"/>
  <c r="AW388" i="4" s="1"/>
  <c r="BQ388" i="4"/>
  <c r="BD388" i="4" s="1"/>
  <c r="BM388" i="4"/>
  <c r="AZ388" i="4" s="1"/>
  <c r="BI388" i="4"/>
  <c r="BT388" i="4"/>
  <c r="BG388" i="4" s="1"/>
  <c r="BP388" i="4"/>
  <c r="BC388" i="4" s="1"/>
  <c r="BL388" i="4"/>
  <c r="AY388" i="4" s="1"/>
  <c r="AV391" i="4"/>
  <c r="AO391" i="4"/>
  <c r="AS276" i="4"/>
  <c r="AT276" i="4" s="1"/>
  <c r="AP276" i="4"/>
  <c r="AQ276" i="4" s="1"/>
  <c r="AY386" i="4"/>
  <c r="AZ386" i="4"/>
  <c r="BE386" i="4"/>
  <c r="AS212" i="4"/>
  <c r="AT212" i="4" s="1"/>
  <c r="AP212" i="4"/>
  <c r="AQ212" i="4" s="1"/>
  <c r="BQ148" i="4"/>
  <c r="BD148" i="4" s="1"/>
  <c r="BK148" i="4"/>
  <c r="AX148" i="4" s="1"/>
  <c r="BP148" i="4"/>
  <c r="BC148" i="4" s="1"/>
  <c r="AR66" i="4"/>
  <c r="AY66" i="4"/>
  <c r="AO66" i="4"/>
  <c r="AS393" i="4"/>
  <c r="AT393" i="4" s="1"/>
  <c r="AP393" i="4"/>
  <c r="AQ393" i="4" s="1"/>
  <c r="AV270" i="4"/>
  <c r="AO270" i="4"/>
  <c r="AR401" i="4"/>
  <c r="AX401" i="4"/>
  <c r="AY153" i="4"/>
  <c r="AO153" i="4"/>
  <c r="AR153" i="4"/>
  <c r="AR147" i="4"/>
  <c r="AY147" i="4"/>
  <c r="BD147" i="4"/>
  <c r="BB462" i="4"/>
  <c r="BB473" i="4" s="1"/>
  <c r="BO473" i="4"/>
  <c r="BC462" i="4"/>
  <c r="BC473" i="4" s="1"/>
  <c r="BP473" i="4"/>
  <c r="BE462" i="4"/>
  <c r="BE473" i="4" s="1"/>
  <c r="BR473" i="4"/>
  <c r="BL269" i="4"/>
  <c r="AY269" i="4" s="1"/>
  <c r="BM269" i="4"/>
  <c r="AZ269" i="4" s="1"/>
  <c r="BR269" i="4"/>
  <c r="BE269" i="4" s="1"/>
  <c r="AR193" i="4"/>
  <c r="AY193" i="4"/>
  <c r="BS197" i="4"/>
  <c r="BF197" i="4" s="1"/>
  <c r="BO197" i="4"/>
  <c r="BB197" i="4" s="1"/>
  <c r="BK197" i="4"/>
  <c r="AX197" i="4" s="1"/>
  <c r="BR197" i="4"/>
  <c r="BE197" i="4" s="1"/>
  <c r="BN197" i="4"/>
  <c r="BA197" i="4" s="1"/>
  <c r="BJ197" i="4"/>
  <c r="BQ197" i="4"/>
  <c r="BD197" i="4" s="1"/>
  <c r="BM197" i="4"/>
  <c r="AZ197" i="4" s="1"/>
  <c r="BT197" i="4"/>
  <c r="BG197" i="4" s="1"/>
  <c r="BP197" i="4"/>
  <c r="BC197" i="4" s="1"/>
  <c r="BL197" i="4"/>
  <c r="AY463" i="4"/>
  <c r="AY473" i="4" s="1"/>
  <c r="AO463" i="4"/>
  <c r="AR463" i="4"/>
  <c r="AV306" i="4"/>
  <c r="AO306" i="4"/>
  <c r="AW268" i="4"/>
  <c r="BB268" i="4"/>
  <c r="BG268" i="4"/>
  <c r="BT218" i="1"/>
  <c r="BG218" i="1" s="1"/>
  <c r="BQ218" i="4"/>
  <c r="BD218" i="4" s="1"/>
  <c r="BM218" i="4"/>
  <c r="AZ218" i="4" s="1"/>
  <c r="BT218" i="4"/>
  <c r="BG218" i="4" s="1"/>
  <c r="BP218" i="4"/>
  <c r="BC218" i="4" s="1"/>
  <c r="BL218" i="4"/>
  <c r="BS218" i="4"/>
  <c r="BF218" i="4" s="1"/>
  <c r="BO218" i="4"/>
  <c r="BB218" i="4" s="1"/>
  <c r="BK218" i="4"/>
  <c r="AX218" i="4" s="1"/>
  <c r="BR218" i="4"/>
  <c r="BE218" i="4" s="1"/>
  <c r="BN218" i="4"/>
  <c r="BA218" i="4" s="1"/>
  <c r="BJ218" i="4"/>
  <c r="BM218" i="1"/>
  <c r="BQ218" i="1"/>
  <c r="BD218" i="1" s="1"/>
  <c r="BK124" i="4"/>
  <c r="BP124" i="4"/>
  <c r="BA61" i="4"/>
  <c r="BF61" i="4"/>
  <c r="BB94" i="4"/>
  <c r="AZ94" i="4"/>
  <c r="BE94" i="4"/>
  <c r="BS493" i="4"/>
  <c r="BF493" i="4" s="1"/>
  <c r="BO493" i="4"/>
  <c r="BB493" i="4" s="1"/>
  <c r="BK493" i="4"/>
  <c r="AX493" i="4" s="1"/>
  <c r="BR493" i="4"/>
  <c r="BE493" i="4" s="1"/>
  <c r="BN493" i="4"/>
  <c r="BA493" i="4" s="1"/>
  <c r="BJ493" i="4"/>
  <c r="AW493" i="4" s="1"/>
  <c r="BQ493" i="4"/>
  <c r="BD493" i="4" s="1"/>
  <c r="BM493" i="4"/>
  <c r="AZ493" i="4" s="1"/>
  <c r="BI493" i="4"/>
  <c r="BL493" i="4"/>
  <c r="AY493" i="4" s="1"/>
  <c r="BT493" i="4"/>
  <c r="BG493" i="4" s="1"/>
  <c r="BP493" i="4"/>
  <c r="BC493" i="4" s="1"/>
  <c r="BR397" i="4"/>
  <c r="BE397" i="4" s="1"/>
  <c r="BN397" i="4"/>
  <c r="BA397" i="4" s="1"/>
  <c r="BJ397" i="4"/>
  <c r="AW397" i="4" s="1"/>
  <c r="BQ397" i="4"/>
  <c r="BD397" i="4" s="1"/>
  <c r="BM397" i="4"/>
  <c r="AZ397" i="4" s="1"/>
  <c r="BI397" i="4"/>
  <c r="AV397" i="4" s="1"/>
  <c r="BT397" i="4"/>
  <c r="BG397" i="4" s="1"/>
  <c r="BP397" i="4"/>
  <c r="BC397" i="4" s="1"/>
  <c r="BL397" i="4"/>
  <c r="BS397" i="4"/>
  <c r="BF397" i="4" s="1"/>
  <c r="BO397" i="4"/>
  <c r="BB397" i="4" s="1"/>
  <c r="BK397" i="4"/>
  <c r="BS422" i="4"/>
  <c r="BF422" i="4" s="1"/>
  <c r="BO422" i="4"/>
  <c r="BB422" i="4" s="1"/>
  <c r="BK422" i="4"/>
  <c r="AX422" i="4" s="1"/>
  <c r="BQ422" i="4"/>
  <c r="BD422" i="4" s="1"/>
  <c r="BL422" i="4"/>
  <c r="AY422" i="4" s="1"/>
  <c r="BP422" i="4"/>
  <c r="BC422" i="4" s="1"/>
  <c r="BJ422" i="4"/>
  <c r="AW422" i="4" s="1"/>
  <c r="BT422" i="4"/>
  <c r="BG422" i="4" s="1"/>
  <c r="BN422" i="4"/>
  <c r="BA422" i="4" s="1"/>
  <c r="BI422" i="4"/>
  <c r="BR422" i="4"/>
  <c r="BE422" i="4" s="1"/>
  <c r="BM422" i="4"/>
  <c r="AZ422" i="4" s="1"/>
  <c r="BT438" i="4"/>
  <c r="BG438" i="4" s="1"/>
  <c r="BP438" i="4"/>
  <c r="BC438" i="4" s="1"/>
  <c r="BL438" i="4"/>
  <c r="AY438" i="4" s="1"/>
  <c r="BR438" i="4"/>
  <c r="BE438" i="4" s="1"/>
  <c r="BN438" i="4"/>
  <c r="BA438" i="4" s="1"/>
  <c r="BJ438" i="4"/>
  <c r="AW438" i="4" s="1"/>
  <c r="BS438" i="4"/>
  <c r="BF438" i="4" s="1"/>
  <c r="BK438" i="4"/>
  <c r="AX438" i="4" s="1"/>
  <c r="BQ438" i="4"/>
  <c r="BD438" i="4" s="1"/>
  <c r="BI438" i="4"/>
  <c r="BO438" i="4"/>
  <c r="BB438" i="4" s="1"/>
  <c r="BM438" i="4"/>
  <c r="AZ438" i="4" s="1"/>
  <c r="BQ320" i="4"/>
  <c r="BD320" i="4" s="1"/>
  <c r="BM320" i="4"/>
  <c r="AZ320" i="4" s="1"/>
  <c r="BI320" i="4"/>
  <c r="BT320" i="4"/>
  <c r="BG320" i="4" s="1"/>
  <c r="BP320" i="4"/>
  <c r="BC320" i="4" s="1"/>
  <c r="BL320" i="4"/>
  <c r="AY320" i="4" s="1"/>
  <c r="BS320" i="4"/>
  <c r="BF320" i="4" s="1"/>
  <c r="BO320" i="4"/>
  <c r="BB320" i="4" s="1"/>
  <c r="BK320" i="4"/>
  <c r="AX320" i="4" s="1"/>
  <c r="BR320" i="4"/>
  <c r="BE320" i="4" s="1"/>
  <c r="BN320" i="4"/>
  <c r="BA320" i="4" s="1"/>
  <c r="BJ320" i="4"/>
  <c r="AW320" i="4" s="1"/>
  <c r="BQ226" i="4"/>
  <c r="BD226" i="4" s="1"/>
  <c r="BM226" i="4"/>
  <c r="AZ226" i="4" s="1"/>
  <c r="BT226" i="4"/>
  <c r="BG226" i="4" s="1"/>
  <c r="BP226" i="4"/>
  <c r="BC226" i="4" s="1"/>
  <c r="BL226" i="4"/>
  <c r="AY226" i="4" s="1"/>
  <c r="BS226" i="4"/>
  <c r="BF226" i="4" s="1"/>
  <c r="BO226" i="4"/>
  <c r="BB226" i="4" s="1"/>
  <c r="BK226" i="4"/>
  <c r="BR226" i="4"/>
  <c r="BE226" i="4" s="1"/>
  <c r="BN226" i="4"/>
  <c r="BA226" i="4" s="1"/>
  <c r="BJ226" i="4"/>
  <c r="BQ230" i="4"/>
  <c r="BD230" i="4" s="1"/>
  <c r="BM230" i="4"/>
  <c r="AZ230" i="4" s="1"/>
  <c r="BT230" i="4"/>
  <c r="BG230" i="4" s="1"/>
  <c r="BP230" i="4"/>
  <c r="BC230" i="4" s="1"/>
  <c r="BL230" i="4"/>
  <c r="AY230" i="4" s="1"/>
  <c r="BS230" i="4"/>
  <c r="BF230" i="4" s="1"/>
  <c r="BO230" i="4"/>
  <c r="BB230" i="4" s="1"/>
  <c r="BK230" i="4"/>
  <c r="AX230" i="4" s="1"/>
  <c r="BR230" i="4"/>
  <c r="BE230" i="4" s="1"/>
  <c r="BN230" i="4"/>
  <c r="BA230" i="4" s="1"/>
  <c r="BJ230" i="4"/>
  <c r="BQ521" i="4"/>
  <c r="BD521" i="4" s="1"/>
  <c r="BM521" i="4"/>
  <c r="AZ521" i="4" s="1"/>
  <c r="BI521" i="4"/>
  <c r="BT521" i="4"/>
  <c r="BG521" i="4" s="1"/>
  <c r="BP521" i="4"/>
  <c r="BC521" i="4" s="1"/>
  <c r="BL521" i="4"/>
  <c r="AY521" i="4" s="1"/>
  <c r="BS521" i="4"/>
  <c r="BF521" i="4" s="1"/>
  <c r="BO521" i="4"/>
  <c r="BB521" i="4" s="1"/>
  <c r="BK521" i="4"/>
  <c r="AX521" i="4" s="1"/>
  <c r="BJ521" i="4"/>
  <c r="AW521" i="4" s="1"/>
  <c r="BR521" i="4"/>
  <c r="BE521" i="4" s="1"/>
  <c r="BN521" i="4"/>
  <c r="BA521" i="4" s="1"/>
  <c r="BS104" i="4"/>
  <c r="BF104" i="4" s="1"/>
  <c r="BO104" i="4"/>
  <c r="BB104" i="4" s="1"/>
  <c r="BK104" i="4"/>
  <c r="AX104" i="4" s="1"/>
  <c r="BR104" i="4"/>
  <c r="BE104" i="4" s="1"/>
  <c r="BN104" i="4"/>
  <c r="BA104" i="4" s="1"/>
  <c r="BJ104" i="4"/>
  <c r="BQ104" i="4"/>
  <c r="BD104" i="4" s="1"/>
  <c r="BM104" i="4"/>
  <c r="AZ104" i="4" s="1"/>
  <c r="BT104" i="4"/>
  <c r="BG104" i="4" s="1"/>
  <c r="BP104" i="4"/>
  <c r="BC104" i="4" s="1"/>
  <c r="BL104" i="4"/>
  <c r="BS155" i="4"/>
  <c r="BF155" i="4" s="1"/>
  <c r="BO155" i="4"/>
  <c r="BB155" i="4" s="1"/>
  <c r="BK155" i="4"/>
  <c r="AX155" i="4" s="1"/>
  <c r="BR155" i="4"/>
  <c r="BE155" i="4" s="1"/>
  <c r="BN155" i="4"/>
  <c r="BA155" i="4" s="1"/>
  <c r="BJ155" i="4"/>
  <c r="BQ155" i="4"/>
  <c r="BD155" i="4" s="1"/>
  <c r="BM155" i="4"/>
  <c r="AZ155" i="4" s="1"/>
  <c r="BT155" i="4"/>
  <c r="BG155" i="4" s="1"/>
  <c r="BP155" i="4"/>
  <c r="BC155" i="4" s="1"/>
  <c r="BL155" i="4"/>
  <c r="AY155" i="4" s="1"/>
  <c r="BQ478" i="4"/>
  <c r="BD478" i="4" s="1"/>
  <c r="BM478" i="4"/>
  <c r="AZ478" i="4" s="1"/>
  <c r="BI478" i="4"/>
  <c r="BT478" i="4"/>
  <c r="BG478" i="4" s="1"/>
  <c r="BP478" i="4"/>
  <c r="BC478" i="4" s="1"/>
  <c r="BL478" i="4"/>
  <c r="AY478" i="4" s="1"/>
  <c r="BS478" i="4"/>
  <c r="BF478" i="4" s="1"/>
  <c r="BO478" i="4"/>
  <c r="BB478" i="4" s="1"/>
  <c r="BK478" i="4"/>
  <c r="BR478" i="4"/>
  <c r="BE478" i="4" s="1"/>
  <c r="BN478" i="4"/>
  <c r="BA478" i="4" s="1"/>
  <c r="BJ478" i="4"/>
  <c r="AW478" i="4" s="1"/>
  <c r="BQ418" i="4"/>
  <c r="BD418" i="4" s="1"/>
  <c r="BM418" i="4"/>
  <c r="AZ418" i="4" s="1"/>
  <c r="BI418" i="4"/>
  <c r="AV418" i="4" s="1"/>
  <c r="BT418" i="4"/>
  <c r="BG418" i="4" s="1"/>
  <c r="BP418" i="4"/>
  <c r="BC418" i="4" s="1"/>
  <c r="BL418" i="4"/>
  <c r="BS418" i="4"/>
  <c r="BF418" i="4" s="1"/>
  <c r="BO418" i="4"/>
  <c r="BB418" i="4" s="1"/>
  <c r="BK418" i="4"/>
  <c r="BJ418" i="4"/>
  <c r="AW418" i="4" s="1"/>
  <c r="BR418" i="4"/>
  <c r="BE418" i="4" s="1"/>
  <c r="BN418" i="4"/>
  <c r="BA418" i="4" s="1"/>
  <c r="O276" i="2"/>
  <c r="BQ406" i="4"/>
  <c r="BD406" i="4" s="1"/>
  <c r="BM406" i="4"/>
  <c r="AZ406" i="4" s="1"/>
  <c r="BI406" i="4"/>
  <c r="BT406" i="4"/>
  <c r="BG406" i="4" s="1"/>
  <c r="BP406" i="4"/>
  <c r="BC406" i="4" s="1"/>
  <c r="BL406" i="4"/>
  <c r="AY406" i="4" s="1"/>
  <c r="BR406" i="4"/>
  <c r="BE406" i="4" s="1"/>
  <c r="BJ406" i="4"/>
  <c r="AW406" i="4" s="1"/>
  <c r="BO406" i="4"/>
  <c r="BB406" i="4" s="1"/>
  <c r="BN406" i="4"/>
  <c r="BA406" i="4" s="1"/>
  <c r="BS406" i="4"/>
  <c r="BF406" i="4" s="1"/>
  <c r="BK406" i="4"/>
  <c r="AY413" i="4"/>
  <c r="AR413" i="4"/>
  <c r="AO413" i="4"/>
  <c r="AR402" i="4"/>
  <c r="AX402" i="4"/>
  <c r="AX386" i="4"/>
  <c r="BC386" i="4"/>
  <c r="BD386" i="4"/>
  <c r="BJ148" i="4"/>
  <c r="BO148" i="4"/>
  <c r="BB148" i="4" s="1"/>
  <c r="BT148" i="4"/>
  <c r="BG148" i="4" s="1"/>
  <c r="AX147" i="4"/>
  <c r="BC147" i="4"/>
  <c r="AW147" i="4"/>
  <c r="AR462" i="4"/>
  <c r="AX462" i="4"/>
  <c r="AX473" i="4" s="1"/>
  <c r="BK473" i="4"/>
  <c r="AV462" i="4"/>
  <c r="AO462" i="4"/>
  <c r="BI473" i="4"/>
  <c r="BG462" i="4"/>
  <c r="BG473" i="4" s="1"/>
  <c r="BT473" i="4"/>
  <c r="BP269" i="4"/>
  <c r="BC269" i="4" s="1"/>
  <c r="BQ269" i="4"/>
  <c r="BD269" i="4" s="1"/>
  <c r="BK269" i="4"/>
  <c r="AX269" i="4" s="1"/>
  <c r="AO404" i="4"/>
  <c r="AP404" i="4" s="1"/>
  <c r="AQ404" i="4" s="1"/>
  <c r="AV404" i="4"/>
  <c r="AR404" i="4"/>
  <c r="AS404" i="4" s="1"/>
  <c r="AT404" i="4" s="1"/>
  <c r="AY408" i="4"/>
  <c r="AR408" i="4"/>
  <c r="AO408" i="4"/>
  <c r="AW193" i="4"/>
  <c r="AO193" i="4"/>
  <c r="AY152" i="4"/>
  <c r="AR152" i="4"/>
  <c r="AO152" i="4"/>
  <c r="AV268" i="4"/>
  <c r="AO268" i="4"/>
  <c r="AR268" i="4"/>
  <c r="BA268" i="4"/>
  <c r="BF268" i="4"/>
  <c r="AS411" i="4"/>
  <c r="AT411" i="4" s="1"/>
  <c r="AP411" i="4"/>
  <c r="AQ411" i="4" s="1"/>
  <c r="AO403" i="4"/>
  <c r="AY403" i="4"/>
  <c r="AO221" i="4"/>
  <c r="AW221" i="4"/>
  <c r="AR221" i="4"/>
  <c r="AR210" i="4"/>
  <c r="AY210" i="4"/>
  <c r="AY213" i="4"/>
  <c r="AO213" i="4"/>
  <c r="AR213" i="4"/>
  <c r="BJ124" i="4"/>
  <c r="BO124" i="4"/>
  <c r="BT124" i="4"/>
  <c r="AZ61" i="4"/>
  <c r="BE61" i="4"/>
  <c r="AY61" i="4"/>
  <c r="AY94" i="4"/>
  <c r="BD94" i="4"/>
  <c r="BR492" i="4"/>
  <c r="BE492" i="4" s="1"/>
  <c r="BN492" i="4"/>
  <c r="BA492" i="4" s="1"/>
  <c r="BJ492" i="4"/>
  <c r="AW492" i="4" s="1"/>
  <c r="BQ492" i="4"/>
  <c r="BD492" i="4" s="1"/>
  <c r="BM492" i="4"/>
  <c r="AZ492" i="4" s="1"/>
  <c r="BI492" i="4"/>
  <c r="BT492" i="4"/>
  <c r="BG492" i="4" s="1"/>
  <c r="BP492" i="4"/>
  <c r="BC492" i="4" s="1"/>
  <c r="BL492" i="4"/>
  <c r="BK492" i="4"/>
  <c r="AX492" i="4" s="1"/>
  <c r="BS492" i="4"/>
  <c r="BF492" i="4" s="1"/>
  <c r="BO492" i="4"/>
  <c r="BB492" i="4" s="1"/>
  <c r="BR312" i="4"/>
  <c r="BE312" i="4" s="1"/>
  <c r="BN312" i="4"/>
  <c r="BA312" i="4" s="1"/>
  <c r="BJ312" i="4"/>
  <c r="AW312" i="4" s="1"/>
  <c r="BQ312" i="4"/>
  <c r="BD312" i="4" s="1"/>
  <c r="BM312" i="4"/>
  <c r="AZ312" i="4" s="1"/>
  <c r="BI312" i="4"/>
  <c r="BT312" i="4"/>
  <c r="BG312" i="4" s="1"/>
  <c r="BP312" i="4"/>
  <c r="BC312" i="4" s="1"/>
  <c r="BL312" i="4"/>
  <c r="AY312" i="4" s="1"/>
  <c r="BS312" i="4"/>
  <c r="BF312" i="4" s="1"/>
  <c r="BO312" i="4"/>
  <c r="BB312" i="4" s="1"/>
  <c r="BK312" i="4"/>
  <c r="AX312" i="4" s="1"/>
  <c r="BR425" i="4"/>
  <c r="BE425" i="4" s="1"/>
  <c r="BN425" i="4"/>
  <c r="BA425" i="4" s="1"/>
  <c r="BJ425" i="4"/>
  <c r="AW425" i="4" s="1"/>
  <c r="BT425" i="4"/>
  <c r="BG425" i="4" s="1"/>
  <c r="BP425" i="4"/>
  <c r="BC425" i="4" s="1"/>
  <c r="BL425" i="4"/>
  <c r="AY425" i="4" s="1"/>
  <c r="BO425" i="4"/>
  <c r="BB425" i="4" s="1"/>
  <c r="BM425" i="4"/>
  <c r="AZ425" i="4" s="1"/>
  <c r="BS425" i="4"/>
  <c r="BF425" i="4" s="1"/>
  <c r="BK425" i="4"/>
  <c r="AX425" i="4" s="1"/>
  <c r="BI425" i="4"/>
  <c r="BQ425" i="4"/>
  <c r="BD425" i="4" s="1"/>
  <c r="BT314" i="4"/>
  <c r="BG314" i="4" s="1"/>
  <c r="BP314" i="4"/>
  <c r="BC314" i="4" s="1"/>
  <c r="BL314" i="4"/>
  <c r="AY314" i="4" s="1"/>
  <c r="BS314" i="4"/>
  <c r="BF314" i="4" s="1"/>
  <c r="BO314" i="4"/>
  <c r="BB314" i="4" s="1"/>
  <c r="BK314" i="4"/>
  <c r="AX314" i="4" s="1"/>
  <c r="BQ314" i="4"/>
  <c r="BD314" i="4" s="1"/>
  <c r="BM314" i="4"/>
  <c r="AZ314" i="4" s="1"/>
  <c r="BI314" i="4"/>
  <c r="BN314" i="4"/>
  <c r="BA314" i="4" s="1"/>
  <c r="BJ314" i="4"/>
  <c r="AW314" i="4" s="1"/>
  <c r="BR314" i="4"/>
  <c r="BE314" i="4" s="1"/>
  <c r="BR299" i="4"/>
  <c r="BE299" i="4" s="1"/>
  <c r="BN299" i="4"/>
  <c r="BA299" i="4" s="1"/>
  <c r="BJ299" i="4"/>
  <c r="AW299" i="4" s="1"/>
  <c r="BQ299" i="4"/>
  <c r="BD299" i="4" s="1"/>
  <c r="BM299" i="4"/>
  <c r="AZ299" i="4" s="1"/>
  <c r="BI299" i="4"/>
  <c r="BT299" i="4"/>
  <c r="BG299" i="4" s="1"/>
  <c r="BP299" i="4"/>
  <c r="BC299" i="4" s="1"/>
  <c r="BL299" i="4"/>
  <c r="AY299" i="4" s="1"/>
  <c r="BS299" i="4"/>
  <c r="BF299" i="4" s="1"/>
  <c r="BO299" i="4"/>
  <c r="BB299" i="4" s="1"/>
  <c r="BK299" i="4"/>
  <c r="AX299" i="4" s="1"/>
  <c r="BQ441" i="4"/>
  <c r="BD441" i="4" s="1"/>
  <c r="BM441" i="4"/>
  <c r="AZ441" i="4" s="1"/>
  <c r="BI441" i="4"/>
  <c r="BS441" i="4"/>
  <c r="BF441" i="4" s="1"/>
  <c r="BO441" i="4"/>
  <c r="BB441" i="4" s="1"/>
  <c r="BK441" i="4"/>
  <c r="AX441" i="4" s="1"/>
  <c r="BT441" i="4"/>
  <c r="BG441" i="4" s="1"/>
  <c r="BL441" i="4"/>
  <c r="AY441" i="4" s="1"/>
  <c r="BR441" i="4"/>
  <c r="BE441" i="4" s="1"/>
  <c r="BJ441" i="4"/>
  <c r="AW441" i="4" s="1"/>
  <c r="BP441" i="4"/>
  <c r="BC441" i="4" s="1"/>
  <c r="BN441" i="4"/>
  <c r="BA441" i="4" s="1"/>
  <c r="BT231" i="4"/>
  <c r="BG231" i="4" s="1"/>
  <c r="BP231" i="4"/>
  <c r="BC231" i="4" s="1"/>
  <c r="BL231" i="4"/>
  <c r="BS231" i="4"/>
  <c r="BF231" i="4" s="1"/>
  <c r="BO231" i="4"/>
  <c r="BB231" i="4" s="1"/>
  <c r="BK231" i="4"/>
  <c r="AX231" i="4" s="1"/>
  <c r="BR231" i="4"/>
  <c r="BE231" i="4" s="1"/>
  <c r="BN231" i="4"/>
  <c r="BA231" i="4" s="1"/>
  <c r="BJ231" i="4"/>
  <c r="BQ231" i="4"/>
  <c r="BD231" i="4" s="1"/>
  <c r="BM231" i="4"/>
  <c r="AZ231" i="4" s="1"/>
  <c r="BR439" i="4"/>
  <c r="BE439" i="4" s="1"/>
  <c r="BN439" i="4"/>
  <c r="BA439" i="4" s="1"/>
  <c r="BJ439" i="4"/>
  <c r="AW439" i="4" s="1"/>
  <c r="BT439" i="4"/>
  <c r="BG439" i="4" s="1"/>
  <c r="BP439" i="4"/>
  <c r="BC439" i="4" s="1"/>
  <c r="BL439" i="4"/>
  <c r="AY439" i="4" s="1"/>
  <c r="BQ439" i="4"/>
  <c r="BD439" i="4" s="1"/>
  <c r="BI439" i="4"/>
  <c r="BO439" i="4"/>
  <c r="BB439" i="4" s="1"/>
  <c r="BM439" i="4"/>
  <c r="AZ439" i="4" s="1"/>
  <c r="BS439" i="4"/>
  <c r="BF439" i="4" s="1"/>
  <c r="BK439" i="4"/>
  <c r="BQ130" i="4"/>
  <c r="BD130" i="4" s="1"/>
  <c r="BM130" i="4"/>
  <c r="AZ130" i="4" s="1"/>
  <c r="BT102" i="4"/>
  <c r="BG102" i="4" s="1"/>
  <c r="BP102" i="4"/>
  <c r="BC102" i="4" s="1"/>
  <c r="BL102" i="4"/>
  <c r="AY102" i="4" s="1"/>
  <c r="BT130" i="4"/>
  <c r="BG130" i="4" s="1"/>
  <c r="BP130" i="4"/>
  <c r="BC130" i="4" s="1"/>
  <c r="BL130" i="4"/>
  <c r="AY130" i="4" s="1"/>
  <c r="BS102" i="4"/>
  <c r="BF102" i="4" s="1"/>
  <c r="BO102" i="4"/>
  <c r="BB102" i="4" s="1"/>
  <c r="BK102" i="4"/>
  <c r="BS130" i="4"/>
  <c r="BF130" i="4" s="1"/>
  <c r="BO130" i="4"/>
  <c r="BB130" i="4" s="1"/>
  <c r="BK130" i="4"/>
  <c r="BR102" i="4"/>
  <c r="BE102" i="4" s="1"/>
  <c r="BN102" i="4"/>
  <c r="BA102" i="4" s="1"/>
  <c r="BR130" i="4"/>
  <c r="BE130" i="4" s="1"/>
  <c r="BN130" i="4"/>
  <c r="BA130" i="4" s="1"/>
  <c r="BM102" i="4"/>
  <c r="AZ102" i="4" s="1"/>
  <c r="BR71" i="4"/>
  <c r="BE71" i="4" s="1"/>
  <c r="BN71" i="4"/>
  <c r="BA71" i="4" s="1"/>
  <c r="BQ71" i="4"/>
  <c r="BD71" i="4" s="1"/>
  <c r="BM71" i="4"/>
  <c r="AZ71" i="4" s="1"/>
  <c r="BT71" i="4"/>
  <c r="BG71" i="4" s="1"/>
  <c r="BP71" i="4"/>
  <c r="BC71" i="4" s="1"/>
  <c r="BL71" i="4"/>
  <c r="AY71" i="4" s="1"/>
  <c r="BQ102" i="4"/>
  <c r="BD102" i="4" s="1"/>
  <c r="BS71" i="4"/>
  <c r="BF71" i="4" s="1"/>
  <c r="BO71" i="4"/>
  <c r="BB71" i="4" s="1"/>
  <c r="BK71" i="4"/>
  <c r="BR216" i="4"/>
  <c r="BE216" i="4" s="1"/>
  <c r="BN216" i="4"/>
  <c r="BA216" i="4" s="1"/>
  <c r="BJ216" i="4"/>
  <c r="BQ216" i="4"/>
  <c r="BD216" i="4" s="1"/>
  <c r="BM216" i="4"/>
  <c r="AZ216" i="4" s="1"/>
  <c r="BT216" i="4"/>
  <c r="BG216" i="4" s="1"/>
  <c r="BP216" i="4"/>
  <c r="BC216" i="4" s="1"/>
  <c r="BL216" i="4"/>
  <c r="AY216" i="4" s="1"/>
  <c r="BS216" i="4"/>
  <c r="BF216" i="4" s="1"/>
  <c r="BO216" i="4"/>
  <c r="BB216" i="4" s="1"/>
  <c r="BK216" i="4"/>
  <c r="AX216" i="4" s="1"/>
  <c r="BQ420" i="4"/>
  <c r="BD420" i="4" s="1"/>
  <c r="BM420" i="4"/>
  <c r="AZ420" i="4" s="1"/>
  <c r="BI420" i="4"/>
  <c r="BT420" i="4"/>
  <c r="BG420" i="4" s="1"/>
  <c r="BP420" i="4"/>
  <c r="BC420" i="4" s="1"/>
  <c r="BL420" i="4"/>
  <c r="AY420" i="4" s="1"/>
  <c r="BS420" i="4"/>
  <c r="BF420" i="4" s="1"/>
  <c r="BO420" i="4"/>
  <c r="BB420" i="4" s="1"/>
  <c r="BK420" i="4"/>
  <c r="AX420" i="4" s="1"/>
  <c r="BJ420" i="4"/>
  <c r="AW420" i="4" s="1"/>
  <c r="BR420" i="4"/>
  <c r="BE420" i="4" s="1"/>
  <c r="BN420" i="4"/>
  <c r="BA420" i="4" s="1"/>
  <c r="BT217" i="4"/>
  <c r="BG217" i="4" s="1"/>
  <c r="BP217" i="4"/>
  <c r="BC217" i="4" s="1"/>
  <c r="BL217" i="4"/>
  <c r="BS217" i="4"/>
  <c r="BF217" i="4" s="1"/>
  <c r="BO217" i="4"/>
  <c r="BB217" i="4" s="1"/>
  <c r="BK217" i="4"/>
  <c r="AX217" i="4" s="1"/>
  <c r="BR217" i="4"/>
  <c r="BE217" i="4" s="1"/>
  <c r="BN217" i="4"/>
  <c r="BA217" i="4" s="1"/>
  <c r="BJ217" i="4"/>
  <c r="BQ217" i="4"/>
  <c r="BD217" i="4" s="1"/>
  <c r="BM217" i="4"/>
  <c r="AZ217" i="4" s="1"/>
  <c r="BT163" i="4"/>
  <c r="BG163" i="4" s="1"/>
  <c r="BP163" i="4"/>
  <c r="BC163" i="4" s="1"/>
  <c r="BL163" i="4"/>
  <c r="BS163" i="4"/>
  <c r="BF163" i="4" s="1"/>
  <c r="BO163" i="4"/>
  <c r="BB163" i="4" s="1"/>
  <c r="BK163" i="4"/>
  <c r="AX163" i="4" s="1"/>
  <c r="BR163" i="4"/>
  <c r="BE163" i="4" s="1"/>
  <c r="BN163" i="4"/>
  <c r="BA163" i="4" s="1"/>
  <c r="BJ163" i="4"/>
  <c r="AW163" i="4" s="1"/>
  <c r="BQ163" i="4"/>
  <c r="BD163" i="4" s="1"/>
  <c r="BM163" i="4"/>
  <c r="BR589" i="4"/>
  <c r="BN589" i="4"/>
  <c r="BJ589" i="4"/>
  <c r="BQ589" i="4"/>
  <c r="BM589" i="4"/>
  <c r="BP589" i="4"/>
  <c r="BL589" i="4"/>
  <c r="BK589" i="4"/>
  <c r="BS589" i="4"/>
  <c r="BO589" i="4"/>
  <c r="AR391" i="4"/>
  <c r="AX391" i="4"/>
  <c r="BQ424" i="4"/>
  <c r="BD424" i="4" s="1"/>
  <c r="BM424" i="4"/>
  <c r="AZ424" i="4" s="1"/>
  <c r="BI424" i="4"/>
  <c r="AV424" i="4" s="1"/>
  <c r="BS424" i="4"/>
  <c r="BF424" i="4" s="1"/>
  <c r="BO424" i="4"/>
  <c r="BB424" i="4" s="1"/>
  <c r="BK424" i="4"/>
  <c r="BT424" i="4"/>
  <c r="BG424" i="4" s="1"/>
  <c r="BL424" i="4"/>
  <c r="BR424" i="4"/>
  <c r="BE424" i="4" s="1"/>
  <c r="BJ424" i="4"/>
  <c r="AW424" i="4" s="1"/>
  <c r="BP424" i="4"/>
  <c r="BC424" i="4" s="1"/>
  <c r="BN424" i="4"/>
  <c r="BA424" i="4" s="1"/>
  <c r="BB386" i="4"/>
  <c r="BG386" i="4"/>
  <c r="AW386" i="4"/>
  <c r="AY224" i="4"/>
  <c r="AO224" i="4"/>
  <c r="AR224" i="4"/>
  <c r="AO222" i="4"/>
  <c r="AW222" i="4"/>
  <c r="AR222" i="4"/>
  <c r="BN148" i="4"/>
  <c r="BA148" i="4" s="1"/>
  <c r="BS148" i="4"/>
  <c r="BF148" i="4" s="1"/>
  <c r="AY127" i="4"/>
  <c r="AR127" i="4"/>
  <c r="AO127" i="4"/>
  <c r="AP127" i="4" s="1"/>
  <c r="AQ127" i="4" s="1"/>
  <c r="AO490" i="4"/>
  <c r="AY490" i="4"/>
  <c r="AR490" i="4"/>
  <c r="AR270" i="4"/>
  <c r="AX270" i="4"/>
  <c r="AR387" i="4"/>
  <c r="AO387" i="4"/>
  <c r="AY387" i="4"/>
  <c r="AO192" i="4"/>
  <c r="AP192" i="4" s="1"/>
  <c r="AQ192" i="4" s="1"/>
  <c r="AR192" i="4"/>
  <c r="AW192" i="4"/>
  <c r="BB147" i="4"/>
  <c r="BG147" i="4"/>
  <c r="BA147" i="4"/>
  <c r="AO272" i="4"/>
  <c r="AP272" i="4" s="1"/>
  <c r="AQ272" i="4" s="1"/>
  <c r="AV272" i="4"/>
  <c r="AR272" i="4"/>
  <c r="AS272" i="4" s="1"/>
  <c r="AT272" i="4" s="1"/>
  <c r="BF462" i="4"/>
  <c r="BF473" i="4" s="1"/>
  <c r="BS473" i="4"/>
  <c r="BD462" i="4"/>
  <c r="BD473" i="4" s="1"/>
  <c r="BQ473" i="4"/>
  <c r="AW462" i="4"/>
  <c r="AW473" i="4" s="1"/>
  <c r="BJ473" i="4"/>
  <c r="AY278" i="4"/>
  <c r="AR278" i="4"/>
  <c r="AO278" i="4"/>
  <c r="BT269" i="4"/>
  <c r="BG269" i="4" s="1"/>
  <c r="BJ269" i="4"/>
  <c r="AW269" i="4" s="1"/>
  <c r="AO152" i="1"/>
  <c r="AS152" i="1" s="1"/>
  <c r="AT152" i="1" s="1"/>
  <c r="AR152" i="1"/>
  <c r="AY98" i="4"/>
  <c r="AR98" i="4"/>
  <c r="AO98" i="4"/>
  <c r="AY280" i="4"/>
  <c r="AR280" i="4"/>
  <c r="AO280" i="4"/>
  <c r="AR306" i="4"/>
  <c r="AX306" i="4"/>
  <c r="AZ268" i="4"/>
  <c r="BE268" i="4"/>
  <c r="AY268" i="4"/>
  <c r="AR403" i="4"/>
  <c r="AX403" i="4"/>
  <c r="BN124" i="4"/>
  <c r="BS124" i="4"/>
  <c r="BD61" i="4"/>
  <c r="AX61" i="4"/>
  <c r="BC61" i="4"/>
  <c r="BF94" i="4"/>
  <c r="BC94" i="4"/>
  <c r="AR94" i="4"/>
  <c r="AW94" i="4"/>
  <c r="AO94" i="4"/>
  <c r="V215" i="2"/>
  <c r="AA74" i="2"/>
  <c r="B305" i="2"/>
  <c r="BS148" i="1"/>
  <c r="BN148" i="1"/>
  <c r="BM148" i="1"/>
  <c r="U110" i="2"/>
  <c r="BO148" i="1"/>
  <c r="BJ148" i="1"/>
  <c r="BT148" i="1"/>
  <c r="AA14" i="2"/>
  <c r="BK148" i="1"/>
  <c r="BP148" i="1"/>
  <c r="R175" i="2"/>
  <c r="BM96" i="1"/>
  <c r="BQ96" i="1"/>
  <c r="BD96" i="1" s="1"/>
  <c r="BS96" i="1"/>
  <c r="BL96" i="1"/>
  <c r="BJ96" i="1"/>
  <c r="BT96" i="1"/>
  <c r="BG96" i="1" s="1"/>
  <c r="BN96" i="1"/>
  <c r="BR96" i="1"/>
  <c r="BK96" i="1"/>
  <c r="BO96" i="1"/>
  <c r="BB96" i="1" s="1"/>
  <c r="BP96" i="1"/>
  <c r="BL148" i="1"/>
  <c r="BR148" i="1"/>
  <c r="BQ148" i="1"/>
  <c r="S212" i="2"/>
  <c r="BR390" i="1"/>
  <c r="BE390" i="1" s="1"/>
  <c r="BN390" i="1"/>
  <c r="BA390" i="1" s="1"/>
  <c r="BJ390" i="1"/>
  <c r="AW390" i="1" s="1"/>
  <c r="BQ390" i="1"/>
  <c r="BD390" i="1" s="1"/>
  <c r="BM390" i="1"/>
  <c r="AZ390" i="1" s="1"/>
  <c r="BI390" i="1"/>
  <c r="BT390" i="1"/>
  <c r="BG390" i="1" s="1"/>
  <c r="BP390" i="1"/>
  <c r="BC390" i="1" s="1"/>
  <c r="BL390" i="1"/>
  <c r="AY390" i="1" s="1"/>
  <c r="BS390" i="1"/>
  <c r="BF390" i="1" s="1"/>
  <c r="BO390" i="1"/>
  <c r="BB390" i="1" s="1"/>
  <c r="BK390" i="1"/>
  <c r="AX390" i="1" s="1"/>
  <c r="AD683" i="1"/>
  <c r="AS519" i="1"/>
  <c r="AT519" i="1" s="1"/>
  <c r="AF331" i="1"/>
  <c r="AS116" i="1"/>
  <c r="AT116" i="1" s="1"/>
  <c r="AR30" i="1"/>
  <c r="AO233" i="1"/>
  <c r="AO30" i="1"/>
  <c r="AS30" i="1" s="1"/>
  <c r="AT30" i="1" s="1"/>
  <c r="AR180" i="1"/>
  <c r="BT102" i="1"/>
  <c r="BT71" i="1"/>
  <c r="BT130" i="1"/>
  <c r="BG130" i="1" s="1"/>
  <c r="E12" i="1"/>
  <c r="E11" i="1" s="1"/>
  <c r="AO138" i="1"/>
  <c r="U273" i="2"/>
  <c r="P260" i="2"/>
  <c r="B261" i="2" s="1"/>
  <c r="S246" i="2"/>
  <c r="T252" i="2"/>
  <c r="T167" i="2"/>
  <c r="V80" i="2"/>
  <c r="BP130" i="1"/>
  <c r="BC130" i="1" s="1"/>
  <c r="BN102" i="1"/>
  <c r="BA102" i="1" s="1"/>
  <c r="BR102" i="1"/>
  <c r="BE102" i="1" s="1"/>
  <c r="BK102" i="1"/>
  <c r="BO71" i="1"/>
  <c r="BB71" i="1" s="1"/>
  <c r="BS71" i="1"/>
  <c r="BF71" i="1" s="1"/>
  <c r="BQ130" i="1"/>
  <c r="BD130" i="1" s="1"/>
  <c r="BK130" i="1"/>
  <c r="BQ102" i="1"/>
  <c r="BD102" i="1" s="1"/>
  <c r="BL71" i="1"/>
  <c r="AY71" i="1" s="1"/>
  <c r="BQ71" i="1"/>
  <c r="BD71" i="1" s="1"/>
  <c r="BO130" i="1"/>
  <c r="BB130" i="1" s="1"/>
  <c r="BM102" i="1"/>
  <c r="AZ102" i="1" s="1"/>
  <c r="BG102" i="1"/>
  <c r="BP71" i="1"/>
  <c r="BC71" i="1" s="1"/>
  <c r="BR130" i="1"/>
  <c r="BE130" i="1" s="1"/>
  <c r="BO102" i="1"/>
  <c r="BB102" i="1" s="1"/>
  <c r="BL102" i="1"/>
  <c r="AY102" i="1" s="1"/>
  <c r="BR71" i="1"/>
  <c r="BE71" i="1" s="1"/>
  <c r="BM130" i="1"/>
  <c r="AZ130" i="1" s="1"/>
  <c r="BS130" i="1"/>
  <c r="BF130" i="1" s="1"/>
  <c r="BP102" i="1"/>
  <c r="BC102" i="1" s="1"/>
  <c r="BM71" i="1"/>
  <c r="BN130" i="1"/>
  <c r="BA130" i="1" s="1"/>
  <c r="BL130" i="1"/>
  <c r="AY130" i="1" s="1"/>
  <c r="BS102" i="1"/>
  <c r="BF102" i="1" s="1"/>
  <c r="BN71" i="1"/>
  <c r="BK71" i="1"/>
  <c r="U267" i="2"/>
  <c r="W176" i="2"/>
  <c r="Q175" i="2"/>
  <c r="AA61" i="2"/>
  <c r="V55" i="2"/>
  <c r="B104" i="2"/>
  <c r="BS163" i="1"/>
  <c r="BF163" i="1" s="1"/>
  <c r="BO163" i="1"/>
  <c r="BB163" i="1" s="1"/>
  <c r="BK163" i="1"/>
  <c r="AX163" i="1" s="1"/>
  <c r="BJ163" i="1"/>
  <c r="BR163" i="1"/>
  <c r="BN163" i="1"/>
  <c r="BT163" i="1"/>
  <c r="BG163" i="1" s="1"/>
  <c r="BQ163" i="1"/>
  <c r="BM163" i="1"/>
  <c r="BP163" i="1"/>
  <c r="BC163" i="1" s="1"/>
  <c r="BL163" i="1"/>
  <c r="AY163" i="1" s="1"/>
  <c r="AS500" i="1"/>
  <c r="AT500" i="1" s="1"/>
  <c r="AS404" i="1"/>
  <c r="AT404" i="1" s="1"/>
  <c r="AG331" i="1"/>
  <c r="BL366" i="1"/>
  <c r="AO173" i="1"/>
  <c r="AR147" i="1"/>
  <c r="AD15" i="1"/>
  <c r="AS518" i="1"/>
  <c r="AT518" i="1" s="1"/>
  <c r="AS516" i="1"/>
  <c r="AT516" i="1" s="1"/>
  <c r="AS445" i="1"/>
  <c r="AT445" i="1" s="1"/>
  <c r="AA226" i="2"/>
  <c r="AO147" i="1"/>
  <c r="AC55" i="1"/>
  <c r="AC689" i="1" s="1"/>
  <c r="AS309" i="1"/>
  <c r="AT309" i="1" s="1"/>
  <c r="AO113" i="1"/>
  <c r="AO185" i="1"/>
  <c r="AO140" i="1"/>
  <c r="AX140" i="1"/>
  <c r="V23" i="2"/>
  <c r="BK70" i="1"/>
  <c r="AX70" i="1" s="1"/>
  <c r="BO70" i="1"/>
  <c r="BS70" i="1"/>
  <c r="BF70" i="1" s="1"/>
  <c r="BJ70" i="1"/>
  <c r="BP70" i="1"/>
  <c r="BC70" i="1" s="1"/>
  <c r="BL70" i="1"/>
  <c r="AY70" i="1" s="1"/>
  <c r="BR70" i="1"/>
  <c r="BE70" i="1" s="1"/>
  <c r="BM70" i="1"/>
  <c r="AZ70" i="1" s="1"/>
  <c r="BT70" i="1"/>
  <c r="BG70" i="1" s="1"/>
  <c r="BN70" i="1"/>
  <c r="BA70" i="1" s="1"/>
  <c r="BQ70" i="1"/>
  <c r="BD70" i="1" s="1"/>
  <c r="BT159" i="1"/>
  <c r="BG159" i="1" s="1"/>
  <c r="BQ159" i="1"/>
  <c r="BD159" i="1" s="1"/>
  <c r="BM159" i="1"/>
  <c r="BP159" i="1"/>
  <c r="BC159" i="1" s="1"/>
  <c r="BL159" i="1"/>
  <c r="BS159" i="1"/>
  <c r="BF159" i="1" s="1"/>
  <c r="BO159" i="1"/>
  <c r="BB159" i="1" s="1"/>
  <c r="BK159" i="1"/>
  <c r="BJ159" i="1"/>
  <c r="BR159" i="1"/>
  <c r="BN159" i="1"/>
  <c r="BA159" i="1" s="1"/>
  <c r="BR166" i="1"/>
  <c r="BE166" i="1" s="1"/>
  <c r="BL166" i="1"/>
  <c r="AO180" i="1"/>
  <c r="AV180" i="1"/>
  <c r="S260" i="2"/>
  <c r="V256" i="2"/>
  <c r="R243" i="2"/>
  <c r="V163" i="2"/>
  <c r="AD163" i="2" s="1"/>
  <c r="V139" i="2"/>
  <c r="U176" i="2"/>
  <c r="Z176" i="2"/>
  <c r="AA50" i="2"/>
  <c r="V20" i="2"/>
  <c r="AS153" i="1"/>
  <c r="AT153" i="1" s="1"/>
  <c r="AS645" i="1"/>
  <c r="AT645" i="1" s="1"/>
  <c r="AR94" i="1"/>
  <c r="W212" i="2"/>
  <c r="BQ389" i="1"/>
  <c r="BD389" i="1" s="1"/>
  <c r="BM389" i="1"/>
  <c r="AZ389" i="1" s="1"/>
  <c r="BI389" i="1"/>
  <c r="BT389" i="1"/>
  <c r="BG389" i="1" s="1"/>
  <c r="BP389" i="1"/>
  <c r="BC389" i="1" s="1"/>
  <c r="BL389" i="1"/>
  <c r="AY389" i="1" s="1"/>
  <c r="BR389" i="1"/>
  <c r="BE389" i="1" s="1"/>
  <c r="BN389" i="1"/>
  <c r="BA389" i="1" s="1"/>
  <c r="BJ389" i="1"/>
  <c r="AW389" i="1" s="1"/>
  <c r="BO389" i="1"/>
  <c r="BB389" i="1" s="1"/>
  <c r="BS389" i="1"/>
  <c r="BF389" i="1" s="1"/>
  <c r="BK389" i="1"/>
  <c r="AX389" i="1" s="1"/>
  <c r="V297" i="2"/>
  <c r="Z246" i="2"/>
  <c r="V165" i="2"/>
  <c r="V114" i="2"/>
  <c r="V149" i="2"/>
  <c r="V151" i="2" s="1"/>
  <c r="AO401" i="1"/>
  <c r="AS379" i="1"/>
  <c r="AT379" i="1" s="1"/>
  <c r="AO191" i="1"/>
  <c r="R259" i="2"/>
  <c r="Q176" i="2"/>
  <c r="V54" i="2"/>
  <c r="V28" i="2"/>
  <c r="V11" i="2"/>
  <c r="BS155" i="1"/>
  <c r="BO155" i="1"/>
  <c r="BK155" i="1"/>
  <c r="AX155" i="1" s="1"/>
  <c r="BJ155" i="1"/>
  <c r="BR155" i="1"/>
  <c r="BN155" i="1"/>
  <c r="BT155" i="1"/>
  <c r="BG155" i="1" s="1"/>
  <c r="BQ155" i="1"/>
  <c r="BD155" i="1" s="1"/>
  <c r="BM155" i="1"/>
  <c r="BP155" i="1"/>
  <c r="BL155" i="1"/>
  <c r="AA73" i="2"/>
  <c r="AD14" i="1"/>
  <c r="AS502" i="1"/>
  <c r="AT502" i="1" s="1"/>
  <c r="AR401" i="1"/>
  <c r="AS338" i="1"/>
  <c r="AT338" i="1" s="1"/>
  <c r="AS270" i="1"/>
  <c r="AT270" i="1" s="1"/>
  <c r="Q259" i="2"/>
  <c r="Q260" i="2" s="1"/>
  <c r="AL608" i="1"/>
  <c r="BT139" i="1"/>
  <c r="BG139" i="1" s="1"/>
  <c r="BP139" i="1"/>
  <c r="BC139" i="1" s="1"/>
  <c r="BL139" i="1"/>
  <c r="AY139" i="1" s="1"/>
  <c r="BR114" i="1"/>
  <c r="BE114" i="1" s="1"/>
  <c r="BN114" i="1"/>
  <c r="BA114" i="1" s="1"/>
  <c r="BJ114" i="1"/>
  <c r="AW114" i="1" s="1"/>
  <c r="BK84" i="1"/>
  <c r="AX84" i="1" s="1"/>
  <c r="BO84" i="1"/>
  <c r="BB84" i="1" s="1"/>
  <c r="BS84" i="1"/>
  <c r="BF84" i="1" s="1"/>
  <c r="BR139" i="1"/>
  <c r="BE139" i="1" s="1"/>
  <c r="BM139" i="1"/>
  <c r="AZ139" i="1" s="1"/>
  <c r="BS114" i="1"/>
  <c r="BF114" i="1" s="1"/>
  <c r="BM114" i="1"/>
  <c r="AZ114" i="1" s="1"/>
  <c r="BJ84" i="1"/>
  <c r="AW84" i="1" s="1"/>
  <c r="BP84" i="1"/>
  <c r="BC84" i="1" s="1"/>
  <c r="BI84" i="1"/>
  <c r="AV84" i="1" s="1"/>
  <c r="BQ139" i="1"/>
  <c r="BD139" i="1" s="1"/>
  <c r="BK139" i="1"/>
  <c r="AX139" i="1" s="1"/>
  <c r="BQ114" i="1"/>
  <c r="BD114" i="1" s="1"/>
  <c r="BL114" i="1"/>
  <c r="AY114" i="1" s="1"/>
  <c r="BN139" i="1"/>
  <c r="BA139" i="1" s="1"/>
  <c r="BT114" i="1"/>
  <c r="BG114" i="1" s="1"/>
  <c r="BI114" i="1"/>
  <c r="BL84" i="1"/>
  <c r="AY84" i="1" s="1"/>
  <c r="BR84" i="1"/>
  <c r="BE84" i="1" s="1"/>
  <c r="BJ139" i="1"/>
  <c r="AW139" i="1" s="1"/>
  <c r="BP114" i="1"/>
  <c r="BC114" i="1" s="1"/>
  <c r="BM84" i="1"/>
  <c r="AZ84" i="1" s="1"/>
  <c r="BT84" i="1"/>
  <c r="BG84" i="1" s="1"/>
  <c r="BS139" i="1"/>
  <c r="BF139" i="1" s="1"/>
  <c r="BI139" i="1"/>
  <c r="BO114" i="1"/>
  <c r="BB114" i="1" s="1"/>
  <c r="BN84" i="1"/>
  <c r="BA84" i="1" s="1"/>
  <c r="BO139" i="1"/>
  <c r="BB139" i="1" s="1"/>
  <c r="BK114" i="1"/>
  <c r="AX114" i="1" s="1"/>
  <c r="BQ84" i="1"/>
  <c r="BD84" i="1" s="1"/>
  <c r="T125" i="2"/>
  <c r="AH55" i="1"/>
  <c r="AS663" i="1"/>
  <c r="AT663" i="1" s="1"/>
  <c r="AS224" i="1"/>
  <c r="AT224" i="1" s="1"/>
  <c r="AV138" i="1"/>
  <c r="AO85" i="1"/>
  <c r="AO170" i="1"/>
  <c r="Q197" i="2"/>
  <c r="O197" i="2"/>
  <c r="R197" i="2"/>
  <c r="AS525" i="1"/>
  <c r="AT525" i="1" s="1"/>
  <c r="AS63" i="1"/>
  <c r="AT63" i="1" s="1"/>
  <c r="AS24" i="1"/>
  <c r="AT24" i="1" s="1"/>
  <c r="AS675" i="1"/>
  <c r="AT675" i="1" s="1"/>
  <c r="AS560" i="1"/>
  <c r="AT560" i="1" s="1"/>
  <c r="AR85" i="1"/>
  <c r="AS454" i="1"/>
  <c r="AT454" i="1" s="1"/>
  <c r="AO452" i="1"/>
  <c r="AR364" i="1"/>
  <c r="AR366" i="1" s="1"/>
  <c r="AR264" i="1"/>
  <c r="AR451" i="1"/>
  <c r="AR234" i="1"/>
  <c r="AS188" i="1"/>
  <c r="AT188" i="1" s="1"/>
  <c r="AS141" i="1"/>
  <c r="AT141" i="1" s="1"/>
  <c r="AS39" i="1"/>
  <c r="AT39" i="1" s="1"/>
  <c r="AO451" i="1"/>
  <c r="AS673" i="1"/>
  <c r="AT673" i="1" s="1"/>
  <c r="AS455" i="1"/>
  <c r="AT455" i="1" s="1"/>
  <c r="AS177" i="1"/>
  <c r="AT177" i="1" s="1"/>
  <c r="AS117" i="1"/>
  <c r="AT117" i="1" s="1"/>
  <c r="AS46" i="1"/>
  <c r="AT46" i="1" s="1"/>
  <c r="AS40" i="1"/>
  <c r="AT40" i="1" s="1"/>
  <c r="AS261" i="1"/>
  <c r="AT261" i="1" s="1"/>
  <c r="AO83" i="1"/>
  <c r="AS43" i="1"/>
  <c r="AT43" i="1" s="1"/>
  <c r="BI366" i="1"/>
  <c r="AS183" i="1"/>
  <c r="AT183" i="1" s="1"/>
  <c r="AR82" i="1"/>
  <c r="AR172" i="1"/>
  <c r="AS45" i="1"/>
  <c r="AT45" i="1" s="1"/>
  <c r="AJ683" i="1"/>
  <c r="AJ15" i="1"/>
  <c r="BN366" i="1"/>
  <c r="BA364" i="1"/>
  <c r="BA366" i="1" s="1"/>
  <c r="AS179" i="1"/>
  <c r="AT179" i="1" s="1"/>
  <c r="AO172" i="1"/>
  <c r="AS448" i="1"/>
  <c r="AT448" i="1" s="1"/>
  <c r="AO234" i="1"/>
  <c r="AF242" i="1"/>
  <c r="BM366" i="1"/>
  <c r="AZ364" i="1"/>
  <c r="AZ366" i="1" s="1"/>
  <c r="AG683" i="1"/>
  <c r="AS539" i="1"/>
  <c r="AT539" i="1" s="1"/>
  <c r="AI331" i="1"/>
  <c r="AO358" i="1"/>
  <c r="AO169" i="1"/>
  <c r="AZ94" i="1"/>
  <c r="AR140" i="1"/>
  <c r="E568" i="1"/>
  <c r="E572" i="1" s="1"/>
  <c r="AR191" i="1"/>
  <c r="AO174" i="1"/>
  <c r="AR233" i="1"/>
  <c r="AS233" i="1" s="1"/>
  <c r="AT233" i="1" s="1"/>
  <c r="AR175" i="1"/>
  <c r="BD364" i="1"/>
  <c r="BD366" i="1" s="1"/>
  <c r="AO82" i="1"/>
  <c r="AO175" i="1"/>
  <c r="AR113" i="1"/>
  <c r="AS534" i="1"/>
  <c r="AT534" i="1" s="1"/>
  <c r="AR452" i="1"/>
  <c r="AS182" i="1"/>
  <c r="AT182" i="1" s="1"/>
  <c r="AS514" i="1"/>
  <c r="AT514" i="1" s="1"/>
  <c r="AS372" i="1"/>
  <c r="AT372" i="1" s="1"/>
  <c r="AC331" i="1"/>
  <c r="AS513" i="1"/>
  <c r="AT513" i="1" s="1"/>
  <c r="AJ242" i="1"/>
  <c r="AS47" i="1"/>
  <c r="AT47" i="1" s="1"/>
  <c r="AS238" i="1"/>
  <c r="AT238" i="1" s="1"/>
  <c r="AS167" i="1"/>
  <c r="AT167" i="1" s="1"/>
  <c r="AR83" i="1"/>
  <c r="AR176" i="1"/>
  <c r="AL683" i="1"/>
  <c r="AE608" i="1"/>
  <c r="AS554" i="1"/>
  <c r="AT554" i="1" s="1"/>
  <c r="AS489" i="1"/>
  <c r="AT489" i="1" s="1"/>
  <c r="AO328" i="1"/>
  <c r="AO94" i="1"/>
  <c r="AS507" i="1"/>
  <c r="AT507" i="1" s="1"/>
  <c r="AS517" i="1"/>
  <c r="AT517" i="1" s="1"/>
  <c r="AR169" i="1"/>
  <c r="AR173" i="1"/>
  <c r="AS173" i="1" s="1"/>
  <c r="AT173" i="1" s="1"/>
  <c r="AW364" i="1"/>
  <c r="AW366" i="1" s="1"/>
  <c r="AS662" i="1"/>
  <c r="AT662" i="1" s="1"/>
  <c r="AS639" i="1"/>
  <c r="AT639" i="1" s="1"/>
  <c r="AO176" i="1"/>
  <c r="AD242" i="1"/>
  <c r="AA650" i="1"/>
  <c r="AD331" i="1"/>
  <c r="E691" i="1"/>
  <c r="AS553" i="1"/>
  <c r="AT553" i="1" s="1"/>
  <c r="AS533" i="1"/>
  <c r="AT533" i="1" s="1"/>
  <c r="AS505" i="1"/>
  <c r="AT505" i="1" s="1"/>
  <c r="AR222" i="1"/>
  <c r="AB242" i="1"/>
  <c r="AS87" i="1"/>
  <c r="AT87" i="1" s="1"/>
  <c r="AS38" i="1"/>
  <c r="AT38" i="1" s="1"/>
  <c r="AI55" i="1"/>
  <c r="AI689" i="1" s="1"/>
  <c r="AJ55" i="1"/>
  <c r="AJ689" i="1" s="1"/>
  <c r="AK55" i="1"/>
  <c r="AK689" i="1" s="1"/>
  <c r="AL55" i="1"/>
  <c r="AL689" i="1" s="1"/>
  <c r="T496" i="1"/>
  <c r="U496" i="1" s="1"/>
  <c r="V496" i="1" s="1"/>
  <c r="AE331" i="1"/>
  <c r="AB331" i="1"/>
  <c r="AS193" i="1"/>
  <c r="AT193" i="1" s="1"/>
  <c r="AG55" i="1"/>
  <c r="AG689" i="1" s="1"/>
  <c r="AK683" i="1"/>
  <c r="AK242" i="1"/>
  <c r="AJ331" i="1"/>
  <c r="AS181" i="1"/>
  <c r="AT181" i="1" s="1"/>
  <c r="AO264" i="1"/>
  <c r="AR268" i="1"/>
  <c r="AR138" i="1"/>
  <c r="AS86" i="1"/>
  <c r="AT86" i="1" s="1"/>
  <c r="AH331" i="1"/>
  <c r="AR174" i="1"/>
  <c r="AD55" i="1"/>
  <c r="AO374" i="1"/>
  <c r="AS461" i="1"/>
  <c r="AT461" i="1" s="1"/>
  <c r="AS235" i="1"/>
  <c r="AT235" i="1" s="1"/>
  <c r="AS643" i="1"/>
  <c r="AT643" i="1" s="1"/>
  <c r="AS49" i="1"/>
  <c r="AT49" i="1" s="1"/>
  <c r="AS640" i="1"/>
  <c r="AT640" i="1" s="1"/>
  <c r="AS557" i="1"/>
  <c r="AT557" i="1" s="1"/>
  <c r="AR374" i="1"/>
  <c r="AS178" i="1"/>
  <c r="AT178" i="1" s="1"/>
  <c r="T295" i="2"/>
  <c r="T293" i="2" s="1"/>
  <c r="T294" i="2" s="1"/>
  <c r="O295" i="2"/>
  <c r="Q295" i="2"/>
  <c r="Z295" i="2"/>
  <c r="Z293" i="2" s="1"/>
  <c r="Z294" i="2" s="1"/>
  <c r="R295" i="2"/>
  <c r="S295" i="2"/>
  <c r="U295" i="2"/>
  <c r="W295" i="2"/>
  <c r="S277" i="2"/>
  <c r="U277" i="2"/>
  <c r="O277" i="2"/>
  <c r="Q277" i="2"/>
  <c r="Z277" i="2"/>
  <c r="W277" i="2"/>
  <c r="R277" i="2"/>
  <c r="T277" i="2"/>
  <c r="P160" i="2"/>
  <c r="B161" i="2" s="1"/>
  <c r="R157" i="2"/>
  <c r="R160" i="2" s="1"/>
  <c r="T157" i="2"/>
  <c r="U157" i="2"/>
  <c r="U160" i="2" s="1"/>
  <c r="Q157" i="2"/>
  <c r="S157" i="2"/>
  <c r="Z157" i="2"/>
  <c r="AA157" i="2" s="1"/>
  <c r="P283" i="2"/>
  <c r="B284" i="2" s="1"/>
  <c r="V492" i="1"/>
  <c r="Z276" i="2"/>
  <c r="AA256" i="2"/>
  <c r="AA248" i="2"/>
  <c r="AD165" i="2"/>
  <c r="AE165" i="2" s="1"/>
  <c r="V242" i="2"/>
  <c r="T197" i="2"/>
  <c r="U197" i="2"/>
  <c r="V31" i="2"/>
  <c r="V61" i="2"/>
  <c r="V29" i="2"/>
  <c r="AA33" i="2"/>
  <c r="AA34" i="2" s="1"/>
  <c r="AA35" i="2" s="1"/>
  <c r="AA16" i="2"/>
  <c r="AA30" i="2"/>
  <c r="AA31" i="2" s="1"/>
  <c r="AA32" i="2" s="1"/>
  <c r="AC683" i="1"/>
  <c r="T513" i="1"/>
  <c r="AO403" i="1"/>
  <c r="AS355" i="1"/>
  <c r="AT355" i="1" s="1"/>
  <c r="AO222" i="1"/>
  <c r="AE242" i="1"/>
  <c r="AH242" i="1"/>
  <c r="U246" i="2"/>
  <c r="T246" i="2"/>
  <c r="Q246" i="2"/>
  <c r="BR337" i="1"/>
  <c r="BE337" i="1" s="1"/>
  <c r="BN337" i="1"/>
  <c r="BA337" i="1" s="1"/>
  <c r="BJ337" i="1"/>
  <c r="BS337" i="1"/>
  <c r="BF337" i="1" s="1"/>
  <c r="BM337" i="1"/>
  <c r="AZ337" i="1" s="1"/>
  <c r="BT337" i="1"/>
  <c r="BG337" i="1" s="1"/>
  <c r="BO337" i="1"/>
  <c r="BB337" i="1" s="1"/>
  <c r="BP337" i="1"/>
  <c r="BC337" i="1" s="1"/>
  <c r="BL337" i="1"/>
  <c r="AY337" i="1" s="1"/>
  <c r="BQ337" i="1"/>
  <c r="BD337" i="1" s="1"/>
  <c r="BK337" i="1"/>
  <c r="AX337" i="1" s="1"/>
  <c r="BG364" i="1"/>
  <c r="BG366" i="1" s="1"/>
  <c r="BT366" i="1"/>
  <c r="BP366" i="1"/>
  <c r="BC364" i="1"/>
  <c r="BC366" i="1" s="1"/>
  <c r="AO364" i="1"/>
  <c r="AO366" i="1" s="1"/>
  <c r="AS366" i="1" s="1"/>
  <c r="AT366" i="1" s="1"/>
  <c r="AO449" i="1"/>
  <c r="AS306" i="1"/>
  <c r="AT306" i="1" s="1"/>
  <c r="U125" i="2"/>
  <c r="AE55" i="1"/>
  <c r="AE689" i="1" s="1"/>
  <c r="T223" i="2"/>
  <c r="T276" i="2"/>
  <c r="BS406" i="1"/>
  <c r="BF406" i="1" s="1"/>
  <c r="BO406" i="1"/>
  <c r="BB406" i="1" s="1"/>
  <c r="BK406" i="1"/>
  <c r="AX406" i="1" s="1"/>
  <c r="BT406" i="1"/>
  <c r="BG406" i="1" s="1"/>
  <c r="BN406" i="1"/>
  <c r="BA406" i="1" s="1"/>
  <c r="BI406" i="1"/>
  <c r="BP406" i="1"/>
  <c r="BC406" i="1" s="1"/>
  <c r="BJ406" i="1"/>
  <c r="AW406" i="1" s="1"/>
  <c r="BQ406" i="1"/>
  <c r="BD406" i="1" s="1"/>
  <c r="BM406" i="1"/>
  <c r="AZ406" i="1" s="1"/>
  <c r="BR406" i="1"/>
  <c r="BE406" i="1" s="1"/>
  <c r="BL406" i="1"/>
  <c r="AY406" i="1" s="1"/>
  <c r="BF96" i="1"/>
  <c r="AX96" i="1"/>
  <c r="BE96" i="1"/>
  <c r="BC96" i="1"/>
  <c r="AY96" i="1"/>
  <c r="BA96" i="1"/>
  <c r="AZ96" i="1"/>
  <c r="BT284" i="1"/>
  <c r="BG284" i="1" s="1"/>
  <c r="BP284" i="1"/>
  <c r="BC284" i="1" s="1"/>
  <c r="BL284" i="1"/>
  <c r="AY284" i="1" s="1"/>
  <c r="BQ284" i="1"/>
  <c r="BD284" i="1" s="1"/>
  <c r="BM284" i="1"/>
  <c r="AZ284" i="1" s="1"/>
  <c r="BI284" i="1"/>
  <c r="BR284" i="1"/>
  <c r="BE284" i="1" s="1"/>
  <c r="BJ284" i="1"/>
  <c r="AW284" i="1" s="1"/>
  <c r="BO284" i="1"/>
  <c r="BB284" i="1" s="1"/>
  <c r="BS284" i="1"/>
  <c r="BF284" i="1" s="1"/>
  <c r="BK284" i="1"/>
  <c r="AX284" i="1" s="1"/>
  <c r="BN284" i="1"/>
  <c r="BA284" i="1" s="1"/>
  <c r="BS288" i="1"/>
  <c r="BF288" i="1" s="1"/>
  <c r="BO288" i="1"/>
  <c r="BB288" i="1" s="1"/>
  <c r="BK288" i="1"/>
  <c r="AX288" i="1" s="1"/>
  <c r="BT288" i="1"/>
  <c r="BG288" i="1" s="1"/>
  <c r="BP288" i="1"/>
  <c r="BC288" i="1" s="1"/>
  <c r="BL288" i="1"/>
  <c r="AY288" i="1" s="1"/>
  <c r="BQ288" i="1"/>
  <c r="BD288" i="1" s="1"/>
  <c r="BI288" i="1"/>
  <c r="BN288" i="1"/>
  <c r="BA288" i="1" s="1"/>
  <c r="BR288" i="1"/>
  <c r="BE288" i="1" s="1"/>
  <c r="BJ288" i="1"/>
  <c r="AW288" i="1" s="1"/>
  <c r="BM288" i="1"/>
  <c r="AZ288" i="1" s="1"/>
  <c r="V237" i="2"/>
  <c r="R167" i="2"/>
  <c r="V266" i="2"/>
  <c r="S197" i="2"/>
  <c r="U141" i="2"/>
  <c r="V93" i="2"/>
  <c r="V158" i="2"/>
  <c r="AD158" i="2" s="1"/>
  <c r="AE158" i="2" s="1"/>
  <c r="V19" i="2"/>
  <c r="AA331" i="1"/>
  <c r="AR240" i="1"/>
  <c r="AL331" i="1"/>
  <c r="AC242" i="1"/>
  <c r="AO268" i="1"/>
  <c r="BS388" i="1"/>
  <c r="BF388" i="1" s="1"/>
  <c r="BO388" i="1"/>
  <c r="BB388" i="1" s="1"/>
  <c r="BK388" i="1"/>
  <c r="AX388" i="1" s="1"/>
  <c r="BT388" i="1"/>
  <c r="BG388" i="1" s="1"/>
  <c r="BN388" i="1"/>
  <c r="BA388" i="1" s="1"/>
  <c r="BI388" i="1"/>
  <c r="BP388" i="1"/>
  <c r="BC388" i="1" s="1"/>
  <c r="BJ388" i="1"/>
  <c r="AW388" i="1" s="1"/>
  <c r="BM388" i="1"/>
  <c r="AZ388" i="1" s="1"/>
  <c r="BL388" i="1"/>
  <c r="AY388" i="1" s="1"/>
  <c r="BQ388" i="1"/>
  <c r="BD388" i="1" s="1"/>
  <c r="BR388" i="1"/>
  <c r="BE388" i="1" s="1"/>
  <c r="AE650" i="1"/>
  <c r="AE14" i="1"/>
  <c r="AF683" i="1"/>
  <c r="AF15" i="1"/>
  <c r="AF55" i="1"/>
  <c r="AF689" i="1" s="1"/>
  <c r="AO61" i="1"/>
  <c r="AO402" i="1"/>
  <c r="AV402" i="1"/>
  <c r="AR403" i="1"/>
  <c r="AS403" i="1" s="1"/>
  <c r="AT403" i="1" s="1"/>
  <c r="AR50" i="1"/>
  <c r="T502" i="1"/>
  <c r="U502" i="1" s="1"/>
  <c r="AA242" i="1"/>
  <c r="AA566" i="1" s="1"/>
  <c r="AG242" i="1"/>
  <c r="AG566" i="1" s="1"/>
  <c r="H566" i="1"/>
  <c r="H568" i="1" s="1"/>
  <c r="U293" i="2"/>
  <c r="W293" i="2"/>
  <c r="BR424" i="1"/>
  <c r="BE424" i="1" s="1"/>
  <c r="BN424" i="1"/>
  <c r="BA424" i="1" s="1"/>
  <c r="BJ424" i="1"/>
  <c r="AW424" i="1" s="1"/>
  <c r="BQ424" i="1"/>
  <c r="BD424" i="1" s="1"/>
  <c r="BL424" i="1"/>
  <c r="AY424" i="1" s="1"/>
  <c r="BS424" i="1"/>
  <c r="BF424" i="1" s="1"/>
  <c r="BM424" i="1"/>
  <c r="AZ424" i="1" s="1"/>
  <c r="BP424" i="1"/>
  <c r="BC424" i="1" s="1"/>
  <c r="BT424" i="1"/>
  <c r="BG424" i="1" s="1"/>
  <c r="BI424" i="1"/>
  <c r="BO424" i="1"/>
  <c r="BB424" i="1" s="1"/>
  <c r="BK424" i="1"/>
  <c r="K44" i="2"/>
  <c r="P44" i="2"/>
  <c r="AR449" i="1"/>
  <c r="U276" i="2"/>
  <c r="S276" i="2"/>
  <c r="Z260" i="2"/>
  <c r="AA141" i="2"/>
  <c r="V95" i="2"/>
  <c r="W197" i="2"/>
  <c r="T175" i="2"/>
  <c r="S175" i="2"/>
  <c r="U118" i="2"/>
  <c r="V36" i="2"/>
  <c r="AA17" i="2"/>
  <c r="R276" i="2"/>
  <c r="BS423" i="4" s="1"/>
  <c r="BF423" i="4" s="1"/>
  <c r="W276" i="2"/>
  <c r="AA296" i="2"/>
  <c r="AA278" i="2"/>
  <c r="Z223" i="2"/>
  <c r="Z252" i="2"/>
  <c r="Z197" i="2"/>
  <c r="U175" i="2"/>
  <c r="W175" i="2"/>
  <c r="V21" i="2"/>
  <c r="Z141" i="2"/>
  <c r="T118" i="2"/>
  <c r="V60" i="2"/>
  <c r="V18" i="2"/>
  <c r="V27" i="2"/>
  <c r="V10" i="2"/>
  <c r="V232" i="2"/>
  <c r="V51" i="2"/>
  <c r="AA19" i="2"/>
  <c r="AA15" i="2"/>
  <c r="AB650" i="1"/>
  <c r="AR402" i="1"/>
  <c r="AK331" i="1"/>
  <c r="AK566" i="1" s="1"/>
  <c r="AI242" i="1"/>
  <c r="AI566" i="1" s="1"/>
  <c r="AL242" i="1"/>
  <c r="AR61" i="1"/>
  <c r="V207" i="2"/>
  <c r="AR358" i="1"/>
  <c r="AY358" i="1"/>
  <c r="AH608" i="1"/>
  <c r="AB683" i="1"/>
  <c r="AB15" i="1"/>
  <c r="AD608" i="1"/>
  <c r="AR328" i="1"/>
  <c r="AB55" i="1"/>
  <c r="AB689" i="1" s="1"/>
  <c r="T229" i="2"/>
  <c r="W229" i="2"/>
  <c r="BM289" i="1" s="1"/>
  <c r="AZ289" i="1" s="1"/>
  <c r="S229" i="2"/>
  <c r="BR300" i="4" s="1"/>
  <c r="BE300" i="4" s="1"/>
  <c r="Z229" i="2"/>
  <c r="U229" i="2"/>
  <c r="U233" i="2" s="1"/>
  <c r="R229" i="2"/>
  <c r="R233" i="2" s="1"/>
  <c r="Q229" i="2"/>
  <c r="BL283" i="4" s="1"/>
  <c r="BS269" i="1"/>
  <c r="BO269" i="1"/>
  <c r="BK269" i="1"/>
  <c r="BR269" i="1"/>
  <c r="BN269" i="1"/>
  <c r="BJ269" i="1"/>
  <c r="BQ269" i="1"/>
  <c r="BM269" i="1"/>
  <c r="BI269" i="1"/>
  <c r="BT269" i="1"/>
  <c r="BP269" i="1"/>
  <c r="BL269" i="1"/>
  <c r="P233" i="2"/>
  <c r="B234" i="2" s="1"/>
  <c r="Z298" i="2"/>
  <c r="T298" i="2"/>
  <c r="W298" i="2"/>
  <c r="S298" i="2"/>
  <c r="O298" i="2"/>
  <c r="R298" i="2"/>
  <c r="U298" i="2"/>
  <c r="Q298" i="2"/>
  <c r="BR478" i="1"/>
  <c r="BE478" i="1" s="1"/>
  <c r="BN478" i="1"/>
  <c r="BA478" i="1" s="1"/>
  <c r="BJ478" i="1"/>
  <c r="AW478" i="1" s="1"/>
  <c r="BQ478" i="1"/>
  <c r="BD478" i="1" s="1"/>
  <c r="BM478" i="1"/>
  <c r="AZ478" i="1" s="1"/>
  <c r="BI478" i="1"/>
  <c r="BT478" i="1"/>
  <c r="BG478" i="1" s="1"/>
  <c r="BP478" i="1"/>
  <c r="BC478" i="1" s="1"/>
  <c r="BL478" i="1"/>
  <c r="AY478" i="1" s="1"/>
  <c r="BS478" i="1"/>
  <c r="BF478" i="1" s="1"/>
  <c r="BO478" i="1"/>
  <c r="BB478" i="1" s="1"/>
  <c r="BK478" i="1"/>
  <c r="AX478" i="1" s="1"/>
  <c r="P302" i="2"/>
  <c r="B303" i="2" s="1"/>
  <c r="Z172" i="2"/>
  <c r="T172" i="2"/>
  <c r="W172" i="2"/>
  <c r="S172" i="2"/>
  <c r="O172" i="2"/>
  <c r="Q172" i="2"/>
  <c r="U172" i="2"/>
  <c r="R172" i="2"/>
  <c r="U173" i="2"/>
  <c r="Q173" i="2"/>
  <c r="T173" i="2"/>
  <c r="R173" i="2"/>
  <c r="Z173" i="2"/>
  <c r="AA173" i="2" s="1"/>
  <c r="S173" i="2"/>
  <c r="R182" i="2"/>
  <c r="R188" i="2" s="1"/>
  <c r="P188" i="2"/>
  <c r="B189" i="2" s="1"/>
  <c r="U182" i="2"/>
  <c r="U188" i="2" s="1"/>
  <c r="T182" i="2"/>
  <c r="T188" i="2" s="1"/>
  <c r="O182" i="2"/>
  <c r="W182" i="2"/>
  <c r="S182" i="2"/>
  <c r="Q182" i="2"/>
  <c r="Z182" i="2"/>
  <c r="Z188" i="2" s="1"/>
  <c r="BS521" i="1"/>
  <c r="BF521" i="1" s="1"/>
  <c r="BO521" i="1"/>
  <c r="BB521" i="1" s="1"/>
  <c r="BK521" i="1"/>
  <c r="AX521" i="1" s="1"/>
  <c r="BP521" i="1"/>
  <c r="BC521" i="1" s="1"/>
  <c r="BJ521" i="1"/>
  <c r="AW521" i="1" s="1"/>
  <c r="BT521" i="1"/>
  <c r="BG521" i="1" s="1"/>
  <c r="BN521" i="1"/>
  <c r="BA521" i="1" s="1"/>
  <c r="BI521" i="1"/>
  <c r="BR521" i="1"/>
  <c r="BE521" i="1" s="1"/>
  <c r="BM521" i="1"/>
  <c r="AZ521" i="1" s="1"/>
  <c r="BQ521" i="1"/>
  <c r="BD521" i="1" s="1"/>
  <c r="BL521" i="1"/>
  <c r="AY521" i="1" s="1"/>
  <c r="U300" i="2"/>
  <c r="Q300" i="2"/>
  <c r="Z300" i="2"/>
  <c r="T300" i="2"/>
  <c r="W300" i="2"/>
  <c r="BI484" i="1" s="1"/>
  <c r="S300" i="2"/>
  <c r="R300" i="2"/>
  <c r="T287" i="2"/>
  <c r="T289" i="2" s="1"/>
  <c r="W287" i="2"/>
  <c r="S287" i="2"/>
  <c r="O287" i="2"/>
  <c r="Z287" i="2"/>
  <c r="Z289" i="2" s="1"/>
  <c r="R287" i="2"/>
  <c r="R289" i="2" s="1"/>
  <c r="Q287" i="2"/>
  <c r="U287" i="2"/>
  <c r="U289" i="2" s="1"/>
  <c r="BQ392" i="1"/>
  <c r="BM392" i="1"/>
  <c r="BI392" i="1"/>
  <c r="BR392" i="1"/>
  <c r="BN392" i="1"/>
  <c r="BJ392" i="1"/>
  <c r="BS392" i="1"/>
  <c r="BK392" i="1"/>
  <c r="BP392" i="1"/>
  <c r="BO392" i="1"/>
  <c r="BT392" i="1"/>
  <c r="BL392" i="1"/>
  <c r="P289" i="2"/>
  <c r="Z171" i="2"/>
  <c r="Z179" i="2" s="1"/>
  <c r="T171" i="2"/>
  <c r="W171" i="2"/>
  <c r="S171" i="2"/>
  <c r="S179" i="2" s="1"/>
  <c r="O171" i="2"/>
  <c r="Q171" i="2"/>
  <c r="U171" i="2"/>
  <c r="R171" i="2"/>
  <c r="R179" i="2" s="1"/>
  <c r="P179" i="2"/>
  <c r="S201" i="2"/>
  <c r="O201" i="2"/>
  <c r="Q201" i="2"/>
  <c r="Z201" i="2"/>
  <c r="W201" i="2"/>
  <c r="R201" i="2"/>
  <c r="F422" i="1"/>
  <c r="G422" i="1" s="1"/>
  <c r="I422" i="1"/>
  <c r="J422" i="1" s="1"/>
  <c r="V269" i="2"/>
  <c r="Q273" i="2"/>
  <c r="BT286" i="1"/>
  <c r="BG286" i="1" s="1"/>
  <c r="BP286" i="1"/>
  <c r="BC286" i="1" s="1"/>
  <c r="BL286" i="1"/>
  <c r="AY286" i="1" s="1"/>
  <c r="BS286" i="1"/>
  <c r="BF286" i="1" s="1"/>
  <c r="BO286" i="1"/>
  <c r="BB286" i="1" s="1"/>
  <c r="BK286" i="1"/>
  <c r="AX286" i="1" s="1"/>
  <c r="BR286" i="1"/>
  <c r="BE286" i="1" s="1"/>
  <c r="BN286" i="1"/>
  <c r="BA286" i="1" s="1"/>
  <c r="BJ286" i="1"/>
  <c r="AW286" i="1" s="1"/>
  <c r="BQ286" i="1"/>
  <c r="BD286" i="1" s="1"/>
  <c r="BM286" i="1"/>
  <c r="AZ286" i="1" s="1"/>
  <c r="BI286" i="1"/>
  <c r="BR441" i="1"/>
  <c r="BE441" i="1" s="1"/>
  <c r="BN441" i="1"/>
  <c r="BA441" i="1" s="1"/>
  <c r="BJ441" i="1"/>
  <c r="AW441" i="1" s="1"/>
  <c r="BQ441" i="1"/>
  <c r="BD441" i="1" s="1"/>
  <c r="BM441" i="1"/>
  <c r="AZ441" i="1" s="1"/>
  <c r="BI441" i="1"/>
  <c r="BT441" i="1"/>
  <c r="BG441" i="1" s="1"/>
  <c r="BP441" i="1"/>
  <c r="BC441" i="1" s="1"/>
  <c r="BL441" i="1"/>
  <c r="AY441" i="1" s="1"/>
  <c r="BS441" i="1"/>
  <c r="BF441" i="1" s="1"/>
  <c r="BO441" i="1"/>
  <c r="BB441" i="1" s="1"/>
  <c r="BK441" i="1"/>
  <c r="AX441" i="1" s="1"/>
  <c r="U222" i="2"/>
  <c r="U223" i="2" s="1"/>
  <c r="R222" i="2"/>
  <c r="Q222" i="2"/>
  <c r="BT231" i="1"/>
  <c r="BG231" i="1" s="1"/>
  <c r="BP231" i="1"/>
  <c r="BC231" i="1" s="1"/>
  <c r="BL231" i="1"/>
  <c r="AY231" i="1" s="1"/>
  <c r="BS231" i="1"/>
  <c r="BF231" i="1" s="1"/>
  <c r="BO231" i="1"/>
  <c r="BB231" i="1" s="1"/>
  <c r="BK231" i="1"/>
  <c r="AX231" i="1" s="1"/>
  <c r="BR231" i="1"/>
  <c r="BE231" i="1" s="1"/>
  <c r="BN231" i="1"/>
  <c r="BA231" i="1" s="1"/>
  <c r="BJ231" i="1"/>
  <c r="BQ231" i="1"/>
  <c r="BD231" i="1" s="1"/>
  <c r="BM231" i="1"/>
  <c r="AZ231" i="1" s="1"/>
  <c r="AA227" i="2"/>
  <c r="BQ289" i="1"/>
  <c r="BD289" i="1" s="1"/>
  <c r="BP289" i="1"/>
  <c r="BC289" i="1" s="1"/>
  <c r="BK289" i="1"/>
  <c r="AX289" i="1" s="1"/>
  <c r="S118" i="2"/>
  <c r="BR219" i="1"/>
  <c r="BE219" i="1" s="1"/>
  <c r="BN219" i="1"/>
  <c r="BA219" i="1" s="1"/>
  <c r="BJ219" i="1"/>
  <c r="BQ219" i="1"/>
  <c r="BD219" i="1" s="1"/>
  <c r="BM219" i="1"/>
  <c r="AZ219" i="1" s="1"/>
  <c r="BT219" i="1"/>
  <c r="BG219" i="1" s="1"/>
  <c r="BP219" i="1"/>
  <c r="BC219" i="1" s="1"/>
  <c r="BL219" i="1"/>
  <c r="AY219" i="1" s="1"/>
  <c r="BK219" i="1"/>
  <c r="AX219" i="1" s="1"/>
  <c r="BS219" i="1"/>
  <c r="BF219" i="1" s="1"/>
  <c r="BO219" i="1"/>
  <c r="BB219" i="1" s="1"/>
  <c r="BT101" i="1"/>
  <c r="BP101" i="1"/>
  <c r="BL101" i="1"/>
  <c r="BS101" i="1"/>
  <c r="BO101" i="1"/>
  <c r="BK101" i="1"/>
  <c r="BR101" i="1"/>
  <c r="BN101" i="1"/>
  <c r="BJ101" i="1"/>
  <c r="BQ101" i="1"/>
  <c r="BM101" i="1"/>
  <c r="Q293" i="2"/>
  <c r="AA228" i="2"/>
  <c r="BT290" i="1"/>
  <c r="BG290" i="1" s="1"/>
  <c r="BP290" i="1"/>
  <c r="BC290" i="1" s="1"/>
  <c r="BL290" i="1"/>
  <c r="AY290" i="1" s="1"/>
  <c r="BO290" i="1"/>
  <c r="BB290" i="1" s="1"/>
  <c r="BJ290" i="1"/>
  <c r="AW290" i="1" s="1"/>
  <c r="BS290" i="1"/>
  <c r="BF290" i="1" s="1"/>
  <c r="BN290" i="1"/>
  <c r="BA290" i="1" s="1"/>
  <c r="BI290" i="1"/>
  <c r="BR290" i="1"/>
  <c r="BE290" i="1" s="1"/>
  <c r="BM290" i="1"/>
  <c r="AZ290" i="1" s="1"/>
  <c r="BQ290" i="1"/>
  <c r="BD290" i="1" s="1"/>
  <c r="BK290" i="1"/>
  <c r="AX290" i="1" s="1"/>
  <c r="AA255" i="2"/>
  <c r="AA260" i="2" s="1"/>
  <c r="W260" i="2"/>
  <c r="R267" i="2"/>
  <c r="BR464" i="1"/>
  <c r="BN464" i="1"/>
  <c r="BJ464" i="1"/>
  <c r="BQ464" i="1"/>
  <c r="BM464" i="1"/>
  <c r="BI464" i="1"/>
  <c r="BT464" i="1"/>
  <c r="BP464" i="1"/>
  <c r="BL464" i="1"/>
  <c r="BO464" i="1"/>
  <c r="BK464" i="1"/>
  <c r="BS464" i="1"/>
  <c r="AA263" i="2"/>
  <c r="AA267" i="2" s="1"/>
  <c r="W267" i="2"/>
  <c r="BQ465" i="1"/>
  <c r="BD465" i="1" s="1"/>
  <c r="BM465" i="1"/>
  <c r="AZ465" i="1" s="1"/>
  <c r="BI465" i="1"/>
  <c r="BT465" i="1"/>
  <c r="BG465" i="1" s="1"/>
  <c r="BP465" i="1"/>
  <c r="BC465" i="1" s="1"/>
  <c r="BL465" i="1"/>
  <c r="AY465" i="1" s="1"/>
  <c r="BS465" i="1"/>
  <c r="BF465" i="1" s="1"/>
  <c r="BO465" i="1"/>
  <c r="BB465" i="1" s="1"/>
  <c r="BK465" i="1"/>
  <c r="AX465" i="1" s="1"/>
  <c r="BJ465" i="1"/>
  <c r="AW465" i="1" s="1"/>
  <c r="BR465" i="1"/>
  <c r="BE465" i="1" s="1"/>
  <c r="BN465" i="1"/>
  <c r="BA465" i="1" s="1"/>
  <c r="R223" i="2"/>
  <c r="BR418" i="1"/>
  <c r="BE418" i="1" s="1"/>
  <c r="BN418" i="1"/>
  <c r="BA418" i="1" s="1"/>
  <c r="BJ418" i="1"/>
  <c r="AW418" i="1" s="1"/>
  <c r="BQ418" i="1"/>
  <c r="BD418" i="1" s="1"/>
  <c r="BM418" i="1"/>
  <c r="AZ418" i="1" s="1"/>
  <c r="BI418" i="1"/>
  <c r="BO418" i="1"/>
  <c r="BB418" i="1" s="1"/>
  <c r="BS418" i="1"/>
  <c r="BF418" i="1" s="1"/>
  <c r="BK418" i="1"/>
  <c r="AX418" i="1" s="1"/>
  <c r="BP418" i="1"/>
  <c r="BC418" i="1" s="1"/>
  <c r="BT418" i="1"/>
  <c r="BG418" i="1" s="1"/>
  <c r="BL418" i="1"/>
  <c r="AY418" i="1" s="1"/>
  <c r="S223" i="2"/>
  <c r="BQ438" i="1"/>
  <c r="BD438" i="1" s="1"/>
  <c r="BM438" i="1"/>
  <c r="AZ438" i="1" s="1"/>
  <c r="BI438" i="1"/>
  <c r="BT438" i="1"/>
  <c r="BG438" i="1" s="1"/>
  <c r="BP438" i="1"/>
  <c r="BC438" i="1" s="1"/>
  <c r="BL438" i="1"/>
  <c r="AY438" i="1" s="1"/>
  <c r="BS438" i="1"/>
  <c r="BF438" i="1" s="1"/>
  <c r="BO438" i="1"/>
  <c r="BB438" i="1" s="1"/>
  <c r="BK438" i="1"/>
  <c r="AX438" i="1" s="1"/>
  <c r="BN438" i="1"/>
  <c r="BA438" i="1" s="1"/>
  <c r="BR438" i="1"/>
  <c r="BE438" i="1" s="1"/>
  <c r="BJ438" i="1"/>
  <c r="AW438" i="1" s="1"/>
  <c r="U243" i="2"/>
  <c r="AA218" i="2"/>
  <c r="BR428" i="1"/>
  <c r="BE428" i="1" s="1"/>
  <c r="BN428" i="1"/>
  <c r="BA428" i="1" s="1"/>
  <c r="BJ428" i="1"/>
  <c r="AW428" i="1" s="1"/>
  <c r="BQ428" i="1"/>
  <c r="BD428" i="1" s="1"/>
  <c r="BM428" i="1"/>
  <c r="AZ428" i="1" s="1"/>
  <c r="BI428" i="1"/>
  <c r="BO428" i="1"/>
  <c r="BB428" i="1" s="1"/>
  <c r="BS428" i="1"/>
  <c r="BF428" i="1" s="1"/>
  <c r="BK428" i="1"/>
  <c r="AX428" i="1" s="1"/>
  <c r="BP428" i="1"/>
  <c r="BC428" i="1" s="1"/>
  <c r="BL428" i="1"/>
  <c r="AY428" i="1" s="1"/>
  <c r="BT428" i="1"/>
  <c r="BG428" i="1" s="1"/>
  <c r="V162" i="2"/>
  <c r="Q167" i="2"/>
  <c r="BR225" i="1"/>
  <c r="BE225" i="1" s="1"/>
  <c r="BN225" i="1"/>
  <c r="BA225" i="1" s="1"/>
  <c r="BJ225" i="1"/>
  <c r="BQ225" i="1"/>
  <c r="BD225" i="1" s="1"/>
  <c r="BM225" i="1"/>
  <c r="AZ225" i="1" s="1"/>
  <c r="BT225" i="1"/>
  <c r="BG225" i="1" s="1"/>
  <c r="BP225" i="1"/>
  <c r="BC225" i="1" s="1"/>
  <c r="BL225" i="1"/>
  <c r="AY225" i="1" s="1"/>
  <c r="BK225" i="1"/>
  <c r="AX225" i="1" s="1"/>
  <c r="BS225" i="1"/>
  <c r="BF225" i="1" s="1"/>
  <c r="BO225" i="1"/>
  <c r="BB225" i="1" s="1"/>
  <c r="AA122" i="2"/>
  <c r="BR227" i="1"/>
  <c r="BE227" i="1" s="1"/>
  <c r="BN227" i="1"/>
  <c r="BA227" i="1" s="1"/>
  <c r="BJ227" i="1"/>
  <c r="BQ227" i="1"/>
  <c r="BD227" i="1" s="1"/>
  <c r="BM227" i="1"/>
  <c r="AZ227" i="1" s="1"/>
  <c r="BT227" i="1"/>
  <c r="BG227" i="1" s="1"/>
  <c r="BP227" i="1"/>
  <c r="BC227" i="1" s="1"/>
  <c r="BL227" i="1"/>
  <c r="AY227" i="1" s="1"/>
  <c r="BK227" i="1"/>
  <c r="AX227" i="1" s="1"/>
  <c r="BS227" i="1"/>
  <c r="BF227" i="1" s="1"/>
  <c r="BO227" i="1"/>
  <c r="BB227" i="1" s="1"/>
  <c r="S110" i="2"/>
  <c r="BT201" i="1"/>
  <c r="BG201" i="1" s="1"/>
  <c r="BP201" i="1"/>
  <c r="BC201" i="1" s="1"/>
  <c r="BL201" i="1"/>
  <c r="AY201" i="1" s="1"/>
  <c r="BR201" i="1"/>
  <c r="BE201" i="1" s="1"/>
  <c r="BN201" i="1"/>
  <c r="BA201" i="1" s="1"/>
  <c r="BJ201" i="1"/>
  <c r="BQ201" i="1"/>
  <c r="BD201" i="1" s="1"/>
  <c r="BO201" i="1"/>
  <c r="BB201" i="1" s="1"/>
  <c r="BM201" i="1"/>
  <c r="AZ201" i="1" s="1"/>
  <c r="BS201" i="1"/>
  <c r="BF201" i="1" s="1"/>
  <c r="BK201" i="1"/>
  <c r="AX201" i="1" s="1"/>
  <c r="V63" i="2"/>
  <c r="BL158" i="1"/>
  <c r="BR158" i="1"/>
  <c r="BE158" i="1" s="1"/>
  <c r="BT439" i="1"/>
  <c r="BG439" i="1" s="1"/>
  <c r="BP439" i="1"/>
  <c r="BC439" i="1" s="1"/>
  <c r="BL439" i="1"/>
  <c r="AY439" i="1" s="1"/>
  <c r="BS439" i="1"/>
  <c r="BF439" i="1" s="1"/>
  <c r="BO439" i="1"/>
  <c r="BB439" i="1" s="1"/>
  <c r="BK439" i="1"/>
  <c r="AX439" i="1" s="1"/>
  <c r="BR439" i="1"/>
  <c r="BE439" i="1" s="1"/>
  <c r="BN439" i="1"/>
  <c r="BA439" i="1" s="1"/>
  <c r="BJ439" i="1"/>
  <c r="AW439" i="1" s="1"/>
  <c r="BM439" i="1"/>
  <c r="AZ439" i="1" s="1"/>
  <c r="BI439" i="1"/>
  <c r="BQ439" i="1"/>
  <c r="BD439" i="1" s="1"/>
  <c r="R125" i="2"/>
  <c r="AA121" i="2"/>
  <c r="W125" i="2"/>
  <c r="BT230" i="1"/>
  <c r="BG230" i="1" s="1"/>
  <c r="BP230" i="1"/>
  <c r="BC230" i="1" s="1"/>
  <c r="BL230" i="1"/>
  <c r="AY230" i="1" s="1"/>
  <c r="BS230" i="1"/>
  <c r="BF230" i="1" s="1"/>
  <c r="BO230" i="1"/>
  <c r="BB230" i="1" s="1"/>
  <c r="BK230" i="1"/>
  <c r="AX230" i="1" s="1"/>
  <c r="BR230" i="1"/>
  <c r="BE230" i="1" s="1"/>
  <c r="BN230" i="1"/>
  <c r="BA230" i="1" s="1"/>
  <c r="BJ230" i="1"/>
  <c r="BM230" i="1"/>
  <c r="AZ230" i="1" s="1"/>
  <c r="BQ230" i="1"/>
  <c r="BD230" i="1" s="1"/>
  <c r="V211" i="2"/>
  <c r="V212" i="2" s="1"/>
  <c r="Q212" i="2"/>
  <c r="V200" i="2"/>
  <c r="V255" i="2"/>
  <c r="V164" i="2"/>
  <c r="AD164" i="2" s="1"/>
  <c r="BR300" i="1"/>
  <c r="BE300" i="1" s="1"/>
  <c r="BN300" i="1"/>
  <c r="BA300" i="1" s="1"/>
  <c r="BJ300" i="1"/>
  <c r="AW300" i="1" s="1"/>
  <c r="BT300" i="1"/>
  <c r="BG300" i="1" s="1"/>
  <c r="BP300" i="1"/>
  <c r="BC300" i="1" s="1"/>
  <c r="BL300" i="1"/>
  <c r="AY300" i="1" s="1"/>
  <c r="BS300" i="1"/>
  <c r="BF300" i="1" s="1"/>
  <c r="BK300" i="1"/>
  <c r="AX300" i="1" s="1"/>
  <c r="BQ300" i="1"/>
  <c r="BD300" i="1" s="1"/>
  <c r="BI300" i="1"/>
  <c r="BO300" i="1"/>
  <c r="BB300" i="1" s="1"/>
  <c r="BM300" i="1"/>
  <c r="AZ300" i="1" s="1"/>
  <c r="S141" i="2"/>
  <c r="R118" i="2"/>
  <c r="V94" i="2"/>
  <c r="V59" i="2"/>
  <c r="V90" i="2"/>
  <c r="U78" i="2"/>
  <c r="Q78" i="2"/>
  <c r="T78" i="2"/>
  <c r="W78" i="2"/>
  <c r="S78" i="2"/>
  <c r="R78" i="2"/>
  <c r="Z78" i="2"/>
  <c r="V32" i="2"/>
  <c r="V22" i="2"/>
  <c r="AA20" i="2"/>
  <c r="V122" i="2"/>
  <c r="Z97" i="2"/>
  <c r="Z103" i="2" s="1"/>
  <c r="R97" i="2"/>
  <c r="U97" i="2"/>
  <c r="U103" i="2" s="1"/>
  <c r="Q97" i="2"/>
  <c r="BQ156" i="1" s="1"/>
  <c r="W97" i="2"/>
  <c r="AA97" i="2" s="1"/>
  <c r="T97" i="2"/>
  <c r="S97" i="2"/>
  <c r="BP164" i="1" s="1"/>
  <c r="BC164" i="1" s="1"/>
  <c r="BD163" i="1"/>
  <c r="AZ163" i="1"/>
  <c r="BE163" i="1"/>
  <c r="BA163" i="1"/>
  <c r="V33" i="2"/>
  <c r="AS660" i="1"/>
  <c r="AT660" i="1" s="1"/>
  <c r="Y646" i="1"/>
  <c r="V73" i="2"/>
  <c r="AE683" i="1"/>
  <c r="AE15" i="1"/>
  <c r="AL14" i="1"/>
  <c r="AL650" i="1"/>
  <c r="AS672" i="1"/>
  <c r="AT672" i="1" s="1"/>
  <c r="V25" i="2"/>
  <c r="AS679" i="1"/>
  <c r="AT679" i="1" s="1"/>
  <c r="S596" i="1"/>
  <c r="T596" i="1" s="1"/>
  <c r="AD650" i="1"/>
  <c r="M606" i="1"/>
  <c r="M608" i="1" s="1"/>
  <c r="N585" i="1"/>
  <c r="AS677" i="1"/>
  <c r="AT677" i="1" s="1"/>
  <c r="AG650" i="1"/>
  <c r="AS555" i="1"/>
  <c r="AT555" i="1" s="1"/>
  <c r="AS559" i="1"/>
  <c r="AT559" i="1" s="1"/>
  <c r="AS551" i="1"/>
  <c r="AT551" i="1" s="1"/>
  <c r="T507" i="1"/>
  <c r="U507" i="1" s="1"/>
  <c r="AA286" i="2"/>
  <c r="BR397" i="1"/>
  <c r="BE397" i="1" s="1"/>
  <c r="BN397" i="1"/>
  <c r="BA397" i="1" s="1"/>
  <c r="BJ397" i="1"/>
  <c r="AW397" i="1" s="1"/>
  <c r="BS397" i="1"/>
  <c r="BF397" i="1" s="1"/>
  <c r="BO397" i="1"/>
  <c r="BB397" i="1" s="1"/>
  <c r="BK397" i="1"/>
  <c r="AX397" i="1" s="1"/>
  <c r="BP397" i="1"/>
  <c r="BC397" i="1" s="1"/>
  <c r="BM397" i="1"/>
  <c r="AZ397" i="1" s="1"/>
  <c r="BT397" i="1"/>
  <c r="BG397" i="1" s="1"/>
  <c r="BL397" i="1"/>
  <c r="AY397" i="1" s="1"/>
  <c r="BQ397" i="1"/>
  <c r="BD397" i="1" s="1"/>
  <c r="BI397" i="1"/>
  <c r="Z299" i="2"/>
  <c r="Z302" i="2" s="1"/>
  <c r="T299" i="2"/>
  <c r="W299" i="2"/>
  <c r="S299" i="2"/>
  <c r="O299" i="2"/>
  <c r="R299" i="2"/>
  <c r="U299" i="2"/>
  <c r="Q299" i="2"/>
  <c r="BS477" i="1"/>
  <c r="BO477" i="1"/>
  <c r="BK477" i="1"/>
  <c r="BR477" i="1"/>
  <c r="BN477" i="1"/>
  <c r="BJ477" i="1"/>
  <c r="BQ477" i="1"/>
  <c r="BM477" i="1"/>
  <c r="BI477" i="1"/>
  <c r="BT477" i="1"/>
  <c r="BP477" i="1"/>
  <c r="BL477" i="1"/>
  <c r="S267" i="2"/>
  <c r="BR468" i="1"/>
  <c r="BE468" i="1" s="1"/>
  <c r="BN468" i="1"/>
  <c r="BA468" i="1" s="1"/>
  <c r="BJ468" i="1"/>
  <c r="AW468" i="1" s="1"/>
  <c r="BQ468" i="1"/>
  <c r="BD468" i="1" s="1"/>
  <c r="BM468" i="1"/>
  <c r="AZ468" i="1" s="1"/>
  <c r="BI468" i="1"/>
  <c r="BT468" i="1"/>
  <c r="BG468" i="1" s="1"/>
  <c r="BP468" i="1"/>
  <c r="BC468" i="1" s="1"/>
  <c r="BL468" i="1"/>
  <c r="AY468" i="1" s="1"/>
  <c r="BS468" i="1"/>
  <c r="BF468" i="1" s="1"/>
  <c r="BO468" i="1"/>
  <c r="BB468" i="1" s="1"/>
  <c r="BK468" i="1"/>
  <c r="AX468" i="1" s="1"/>
  <c r="V218" i="2"/>
  <c r="BT422" i="1"/>
  <c r="BG422" i="1" s="1"/>
  <c r="BP422" i="1"/>
  <c r="BC422" i="1" s="1"/>
  <c r="BL422" i="1"/>
  <c r="AY422" i="1" s="1"/>
  <c r="BS422" i="1"/>
  <c r="BF422" i="1" s="1"/>
  <c r="BO422" i="1"/>
  <c r="BB422" i="1" s="1"/>
  <c r="BK422" i="1"/>
  <c r="AX422" i="1" s="1"/>
  <c r="BN422" i="1"/>
  <c r="BA422" i="1" s="1"/>
  <c r="BR422" i="1"/>
  <c r="BE422" i="1" s="1"/>
  <c r="BJ422" i="1"/>
  <c r="AW422" i="1" s="1"/>
  <c r="BQ422" i="1"/>
  <c r="BD422" i="1" s="1"/>
  <c r="BI422" i="1"/>
  <c r="BM422" i="1"/>
  <c r="AZ422" i="1" s="1"/>
  <c r="Q243" i="2"/>
  <c r="V236" i="2"/>
  <c r="AA217" i="2"/>
  <c r="BS427" i="1"/>
  <c r="BF427" i="1" s="1"/>
  <c r="BO427" i="1"/>
  <c r="BB427" i="1" s="1"/>
  <c r="BK427" i="1"/>
  <c r="AX427" i="1" s="1"/>
  <c r="BR427" i="1"/>
  <c r="BE427" i="1" s="1"/>
  <c r="BN427" i="1"/>
  <c r="BA427" i="1" s="1"/>
  <c r="BJ427" i="1"/>
  <c r="AW427" i="1" s="1"/>
  <c r="BT427" i="1"/>
  <c r="BG427" i="1" s="1"/>
  <c r="BL427" i="1"/>
  <c r="AY427" i="1" s="1"/>
  <c r="BP427" i="1"/>
  <c r="BC427" i="1" s="1"/>
  <c r="BM427" i="1"/>
  <c r="AZ427" i="1" s="1"/>
  <c r="BQ427" i="1"/>
  <c r="BD427" i="1" s="1"/>
  <c r="BI427" i="1"/>
  <c r="AA29" i="2"/>
  <c r="P85" i="2"/>
  <c r="P86" i="2" s="1"/>
  <c r="K85" i="2"/>
  <c r="BO487" i="1"/>
  <c r="BB487" i="1" s="1"/>
  <c r="BT493" i="1"/>
  <c r="BG493" i="1" s="1"/>
  <c r="BP493" i="1"/>
  <c r="BC493" i="1" s="1"/>
  <c r="BL493" i="1"/>
  <c r="AY493" i="1" s="1"/>
  <c r="BQ493" i="1"/>
  <c r="BD493" i="1" s="1"/>
  <c r="BM493" i="1"/>
  <c r="AZ493" i="1" s="1"/>
  <c r="BI493" i="1"/>
  <c r="BO493" i="1"/>
  <c r="BB493" i="1" s="1"/>
  <c r="BN493" i="1"/>
  <c r="BA493" i="1" s="1"/>
  <c r="BS493" i="1"/>
  <c r="BF493" i="1" s="1"/>
  <c r="BK493" i="1"/>
  <c r="AX493" i="1" s="1"/>
  <c r="BR493" i="1"/>
  <c r="BE493" i="1" s="1"/>
  <c r="BJ493" i="1"/>
  <c r="AW493" i="1" s="1"/>
  <c r="V292" i="2"/>
  <c r="BR491" i="1"/>
  <c r="BE491" i="1" s="1"/>
  <c r="BN491" i="1"/>
  <c r="BA491" i="1" s="1"/>
  <c r="BJ491" i="1"/>
  <c r="AW491" i="1" s="1"/>
  <c r="BS491" i="1"/>
  <c r="BF491" i="1" s="1"/>
  <c r="BO491" i="1"/>
  <c r="BB491" i="1" s="1"/>
  <c r="BK491" i="1"/>
  <c r="AX491" i="1" s="1"/>
  <c r="BQ491" i="1"/>
  <c r="BD491" i="1" s="1"/>
  <c r="BI491" i="1"/>
  <c r="BP491" i="1"/>
  <c r="BC491" i="1" s="1"/>
  <c r="BM491" i="1"/>
  <c r="AZ491" i="1" s="1"/>
  <c r="BT491" i="1"/>
  <c r="BG491" i="1" s="1"/>
  <c r="BL491" i="1"/>
  <c r="AY491" i="1" s="1"/>
  <c r="V228" i="2"/>
  <c r="BQ301" i="1"/>
  <c r="BD301" i="1" s="1"/>
  <c r="BM301" i="1"/>
  <c r="AZ301" i="1" s="1"/>
  <c r="BI301" i="1"/>
  <c r="BS301" i="1"/>
  <c r="BF301" i="1" s="1"/>
  <c r="BO301" i="1"/>
  <c r="BB301" i="1" s="1"/>
  <c r="BK301" i="1"/>
  <c r="AX301" i="1" s="1"/>
  <c r="BP301" i="1"/>
  <c r="BC301" i="1" s="1"/>
  <c r="BN301" i="1"/>
  <c r="BA301" i="1" s="1"/>
  <c r="BT301" i="1"/>
  <c r="BG301" i="1" s="1"/>
  <c r="BL301" i="1"/>
  <c r="AY301" i="1" s="1"/>
  <c r="BJ301" i="1"/>
  <c r="AW301" i="1" s="1"/>
  <c r="BR301" i="1"/>
  <c r="BE301" i="1" s="1"/>
  <c r="V296" i="2"/>
  <c r="V278" i="2"/>
  <c r="V263" i="2"/>
  <c r="BS354" i="1"/>
  <c r="BF354" i="1" s="1"/>
  <c r="BO354" i="1"/>
  <c r="BB354" i="1" s="1"/>
  <c r="BK354" i="1"/>
  <c r="AX354" i="1" s="1"/>
  <c r="BQ354" i="1"/>
  <c r="BD354" i="1" s="1"/>
  <c r="BL354" i="1"/>
  <c r="AY354" i="1" s="1"/>
  <c r="BP354" i="1"/>
  <c r="BC354" i="1" s="1"/>
  <c r="BJ354" i="1"/>
  <c r="BT354" i="1"/>
  <c r="BG354" i="1" s="1"/>
  <c r="BN354" i="1"/>
  <c r="BA354" i="1" s="1"/>
  <c r="BR354" i="1"/>
  <c r="BE354" i="1" s="1"/>
  <c r="BM354" i="1"/>
  <c r="AZ354" i="1" s="1"/>
  <c r="Z243" i="2"/>
  <c r="AA237" i="2"/>
  <c r="AA243" i="2" s="1"/>
  <c r="W223" i="2"/>
  <c r="AA215" i="2"/>
  <c r="BQ425" i="1"/>
  <c r="BD425" i="1" s="1"/>
  <c r="BM425" i="1"/>
  <c r="AZ425" i="1" s="1"/>
  <c r="BI425" i="1"/>
  <c r="BT425" i="1"/>
  <c r="BG425" i="1" s="1"/>
  <c r="BP425" i="1"/>
  <c r="BC425" i="1" s="1"/>
  <c r="BL425" i="1"/>
  <c r="AY425" i="1" s="1"/>
  <c r="BN425" i="1"/>
  <c r="BA425" i="1" s="1"/>
  <c r="BR425" i="1"/>
  <c r="BE425" i="1" s="1"/>
  <c r="BJ425" i="1"/>
  <c r="AW425" i="1" s="1"/>
  <c r="BO425" i="1"/>
  <c r="BB425" i="1" s="1"/>
  <c r="BS425" i="1"/>
  <c r="BF425" i="1" s="1"/>
  <c r="BK425" i="1"/>
  <c r="AX425" i="1" s="1"/>
  <c r="U252" i="2"/>
  <c r="S252" i="2"/>
  <c r="BQ320" i="1"/>
  <c r="BD320" i="1" s="1"/>
  <c r="BM320" i="1"/>
  <c r="AZ320" i="1" s="1"/>
  <c r="BI320" i="1"/>
  <c r="BS320" i="1"/>
  <c r="BF320" i="1" s="1"/>
  <c r="BO320" i="1"/>
  <c r="BB320" i="1" s="1"/>
  <c r="BK320" i="1"/>
  <c r="AX320" i="1" s="1"/>
  <c r="BN320" i="1"/>
  <c r="BA320" i="1" s="1"/>
  <c r="BT320" i="1"/>
  <c r="BG320" i="1" s="1"/>
  <c r="BL320" i="1"/>
  <c r="AY320" i="1" s="1"/>
  <c r="BR320" i="1"/>
  <c r="BE320" i="1" s="1"/>
  <c r="BJ320" i="1"/>
  <c r="AW320" i="1" s="1"/>
  <c r="BP320" i="1"/>
  <c r="BC320" i="1" s="1"/>
  <c r="V248" i="2"/>
  <c r="V216" i="2"/>
  <c r="BQ419" i="1"/>
  <c r="BD419" i="1" s="1"/>
  <c r="BM419" i="1"/>
  <c r="AZ419" i="1" s="1"/>
  <c r="BI419" i="1"/>
  <c r="BT419" i="1"/>
  <c r="BG419" i="1" s="1"/>
  <c r="BP419" i="1"/>
  <c r="BC419" i="1" s="1"/>
  <c r="BL419" i="1"/>
  <c r="AY419" i="1" s="1"/>
  <c r="BS419" i="1"/>
  <c r="BF419" i="1" s="1"/>
  <c r="BK419" i="1"/>
  <c r="AX419" i="1" s="1"/>
  <c r="BO419" i="1"/>
  <c r="BB419" i="1" s="1"/>
  <c r="BN419" i="1"/>
  <c r="BA419" i="1" s="1"/>
  <c r="BJ419" i="1"/>
  <c r="AW419" i="1" s="1"/>
  <c r="BR419" i="1"/>
  <c r="BE419" i="1" s="1"/>
  <c r="AA106" i="2"/>
  <c r="W110" i="2"/>
  <c r="BT199" i="1"/>
  <c r="BG199" i="1" s="1"/>
  <c r="BP199" i="1"/>
  <c r="BC199" i="1" s="1"/>
  <c r="BL199" i="1"/>
  <c r="AY199" i="1" s="1"/>
  <c r="BR199" i="1"/>
  <c r="BE199" i="1" s="1"/>
  <c r="BN199" i="1"/>
  <c r="BA199" i="1" s="1"/>
  <c r="BJ199" i="1"/>
  <c r="BQ199" i="1"/>
  <c r="BD199" i="1" s="1"/>
  <c r="BO199" i="1"/>
  <c r="BB199" i="1" s="1"/>
  <c r="BM199" i="1"/>
  <c r="AZ199" i="1" s="1"/>
  <c r="BS199" i="1"/>
  <c r="BF199" i="1" s="1"/>
  <c r="BK199" i="1"/>
  <c r="AX199" i="1" s="1"/>
  <c r="V272" i="2"/>
  <c r="AA216" i="2"/>
  <c r="BT426" i="1"/>
  <c r="BG426" i="1" s="1"/>
  <c r="BP426" i="1"/>
  <c r="BC426" i="1" s="1"/>
  <c r="BL426" i="1"/>
  <c r="AY426" i="1" s="1"/>
  <c r="BS426" i="1"/>
  <c r="BF426" i="1" s="1"/>
  <c r="BO426" i="1"/>
  <c r="BB426" i="1" s="1"/>
  <c r="BK426" i="1"/>
  <c r="AX426" i="1" s="1"/>
  <c r="BM426" i="1"/>
  <c r="AZ426" i="1" s="1"/>
  <c r="BQ426" i="1"/>
  <c r="BD426" i="1" s="1"/>
  <c r="BI426" i="1"/>
  <c r="BN426" i="1"/>
  <c r="BA426" i="1" s="1"/>
  <c r="BJ426" i="1"/>
  <c r="AW426" i="1" s="1"/>
  <c r="BR426" i="1"/>
  <c r="BE426" i="1" s="1"/>
  <c r="Q146" i="2"/>
  <c r="V144" i="2"/>
  <c r="V146" i="2" s="1"/>
  <c r="AZ71" i="1"/>
  <c r="BG71" i="1"/>
  <c r="BA71" i="1"/>
  <c r="Z125" i="2"/>
  <c r="AA115" i="2"/>
  <c r="BT216" i="1"/>
  <c r="BG216" i="1" s="1"/>
  <c r="BP216" i="1"/>
  <c r="BC216" i="1" s="1"/>
  <c r="BL216" i="1"/>
  <c r="AY216" i="1" s="1"/>
  <c r="BS216" i="1"/>
  <c r="BF216" i="1" s="1"/>
  <c r="BO216" i="1"/>
  <c r="BB216" i="1" s="1"/>
  <c r="BK216" i="1"/>
  <c r="AX216" i="1" s="1"/>
  <c r="BR216" i="1"/>
  <c r="BE216" i="1" s="1"/>
  <c r="BN216" i="1"/>
  <c r="BA216" i="1" s="1"/>
  <c r="BJ216" i="1"/>
  <c r="BQ216" i="1"/>
  <c r="BD216" i="1" s="1"/>
  <c r="BM216" i="1"/>
  <c r="AZ216" i="1" s="1"/>
  <c r="V217" i="2"/>
  <c r="BT420" i="1"/>
  <c r="BG420" i="1" s="1"/>
  <c r="BP420" i="1"/>
  <c r="BC420" i="1" s="1"/>
  <c r="BL420" i="1"/>
  <c r="AY420" i="1" s="1"/>
  <c r="BS420" i="1"/>
  <c r="BF420" i="1" s="1"/>
  <c r="BO420" i="1"/>
  <c r="BB420" i="1" s="1"/>
  <c r="BK420" i="1"/>
  <c r="AX420" i="1" s="1"/>
  <c r="BR420" i="1"/>
  <c r="BE420" i="1" s="1"/>
  <c r="BJ420" i="1"/>
  <c r="AW420" i="1" s="1"/>
  <c r="BN420" i="1"/>
  <c r="BA420" i="1" s="1"/>
  <c r="BM420" i="1"/>
  <c r="AZ420" i="1" s="1"/>
  <c r="BQ420" i="1"/>
  <c r="BD420" i="1" s="1"/>
  <c r="BI420" i="1"/>
  <c r="BT200" i="1"/>
  <c r="BG200" i="1" s="1"/>
  <c r="BP200" i="1"/>
  <c r="BC200" i="1" s="1"/>
  <c r="BL200" i="1"/>
  <c r="AY200" i="1" s="1"/>
  <c r="BR200" i="1"/>
  <c r="BE200" i="1" s="1"/>
  <c r="BN200" i="1"/>
  <c r="BA200" i="1" s="1"/>
  <c r="BJ200" i="1"/>
  <c r="BM200" i="1"/>
  <c r="AZ200" i="1" s="1"/>
  <c r="BS200" i="1"/>
  <c r="BF200" i="1" s="1"/>
  <c r="BK200" i="1"/>
  <c r="AX200" i="1" s="1"/>
  <c r="BQ200" i="1"/>
  <c r="BD200" i="1" s="1"/>
  <c r="BO200" i="1"/>
  <c r="BB200" i="1" s="1"/>
  <c r="V251" i="2"/>
  <c r="W199" i="2"/>
  <c r="S199" i="2"/>
  <c r="O199" i="2"/>
  <c r="R199" i="2"/>
  <c r="Q199" i="2"/>
  <c r="Z199" i="2"/>
  <c r="U199" i="2"/>
  <c r="T199" i="2"/>
  <c r="V176" i="2"/>
  <c r="V174" i="2"/>
  <c r="V156" i="2"/>
  <c r="AD156" i="2" s="1"/>
  <c r="AE156" i="2" s="1"/>
  <c r="V24" i="2"/>
  <c r="T141" i="2"/>
  <c r="W118" i="2"/>
  <c r="AA113" i="2"/>
  <c r="AA118" i="2" s="1"/>
  <c r="BT217" i="1"/>
  <c r="BG217" i="1" s="1"/>
  <c r="BP217" i="1"/>
  <c r="BC217" i="1" s="1"/>
  <c r="BL217" i="1"/>
  <c r="AY217" i="1" s="1"/>
  <c r="BS217" i="1"/>
  <c r="BF217" i="1" s="1"/>
  <c r="BO217" i="1"/>
  <c r="BB217" i="1" s="1"/>
  <c r="BK217" i="1"/>
  <c r="AX217" i="1" s="1"/>
  <c r="BR217" i="1"/>
  <c r="BE217" i="1" s="1"/>
  <c r="BN217" i="1"/>
  <c r="BA217" i="1" s="1"/>
  <c r="BJ217" i="1"/>
  <c r="BQ217" i="1"/>
  <c r="BD217" i="1" s="1"/>
  <c r="BM217" i="1"/>
  <c r="AZ217" i="1" s="1"/>
  <c r="Z118" i="2"/>
  <c r="AA94" i="2"/>
  <c r="V48" i="2"/>
  <c r="AA71" i="2"/>
  <c r="V71" i="2"/>
  <c r="V53" i="2"/>
  <c r="V50" i="2"/>
  <c r="V34" i="2"/>
  <c r="S160" i="2"/>
  <c r="Z160" i="2"/>
  <c r="AA155" i="2"/>
  <c r="AA160" i="2" s="1"/>
  <c r="V155" i="2"/>
  <c r="V91" i="2"/>
  <c r="V35" i="2"/>
  <c r="V13" i="2"/>
  <c r="V6" i="2"/>
  <c r="V106" i="2"/>
  <c r="W103" i="2"/>
  <c r="AA89" i="2"/>
  <c r="AY159" i="1"/>
  <c r="BE159" i="1"/>
  <c r="AZ159" i="1"/>
  <c r="AX159" i="1"/>
  <c r="V16" i="2"/>
  <c r="V8" i="2"/>
  <c r="S674" i="1"/>
  <c r="V52" i="2"/>
  <c r="AS641" i="1"/>
  <c r="AT641" i="1" s="1"/>
  <c r="L650" i="1"/>
  <c r="L14" i="1"/>
  <c r="V49" i="2"/>
  <c r="M648" i="1"/>
  <c r="AJ608" i="1"/>
  <c r="L13" i="1"/>
  <c r="AS558" i="1"/>
  <c r="AT558" i="1" s="1"/>
  <c r="T517" i="1"/>
  <c r="U517" i="1" s="1"/>
  <c r="R503" i="1"/>
  <c r="U495" i="1"/>
  <c r="V495" i="1" s="1"/>
  <c r="R314" i="1"/>
  <c r="AC566" i="1"/>
  <c r="BP430" i="1"/>
  <c r="BC430" i="1" s="1"/>
  <c r="AB302" i="2"/>
  <c r="AB305" i="2" s="1"/>
  <c r="V247" i="2"/>
  <c r="Q252" i="2"/>
  <c r="BS312" i="1"/>
  <c r="BF312" i="1" s="1"/>
  <c r="BO312" i="1"/>
  <c r="BB312" i="1" s="1"/>
  <c r="BK312" i="1"/>
  <c r="AX312" i="1" s="1"/>
  <c r="BQ312" i="1"/>
  <c r="BD312" i="1" s="1"/>
  <c r="BM312" i="1"/>
  <c r="AZ312" i="1" s="1"/>
  <c r="BI312" i="1"/>
  <c r="BN312" i="1"/>
  <c r="BA312" i="1" s="1"/>
  <c r="BT312" i="1"/>
  <c r="BG312" i="1" s="1"/>
  <c r="BL312" i="1"/>
  <c r="AY312" i="1" s="1"/>
  <c r="BR312" i="1"/>
  <c r="BE312" i="1" s="1"/>
  <c r="BJ312" i="1"/>
  <c r="AW312" i="1" s="1"/>
  <c r="BP312" i="1"/>
  <c r="BC312" i="1" s="1"/>
  <c r="V115" i="2"/>
  <c r="BT214" i="1"/>
  <c r="BG214" i="1" s="1"/>
  <c r="BP214" i="1"/>
  <c r="BC214" i="1" s="1"/>
  <c r="BL214" i="1"/>
  <c r="AY214" i="1" s="1"/>
  <c r="BS214" i="1"/>
  <c r="BF214" i="1" s="1"/>
  <c r="BO214" i="1"/>
  <c r="BB214" i="1" s="1"/>
  <c r="BK214" i="1"/>
  <c r="AX214" i="1" s="1"/>
  <c r="BR214" i="1"/>
  <c r="BE214" i="1" s="1"/>
  <c r="BN214" i="1"/>
  <c r="BA214" i="1" s="1"/>
  <c r="BJ214" i="1"/>
  <c r="BQ214" i="1"/>
  <c r="BD214" i="1" s="1"/>
  <c r="BM214" i="1"/>
  <c r="AZ214" i="1" s="1"/>
  <c r="V96" i="2"/>
  <c r="AA297" i="2"/>
  <c r="AD297" i="2" s="1"/>
  <c r="AE297" i="2" s="1"/>
  <c r="S273" i="2"/>
  <c r="BS303" i="1"/>
  <c r="BF303" i="1" s="1"/>
  <c r="BO303" i="1"/>
  <c r="BB303" i="1" s="1"/>
  <c r="BK303" i="1"/>
  <c r="AX303" i="1" s="1"/>
  <c r="BQ303" i="1"/>
  <c r="BD303" i="1" s="1"/>
  <c r="BM303" i="1"/>
  <c r="AZ303" i="1" s="1"/>
  <c r="BI303" i="1"/>
  <c r="BR303" i="1"/>
  <c r="BE303" i="1" s="1"/>
  <c r="BJ303" i="1"/>
  <c r="AW303" i="1" s="1"/>
  <c r="BP303" i="1"/>
  <c r="BC303" i="1" s="1"/>
  <c r="BN303" i="1"/>
  <c r="BA303" i="1" s="1"/>
  <c r="BT303" i="1"/>
  <c r="BG303" i="1" s="1"/>
  <c r="BL303" i="1"/>
  <c r="AY303" i="1" s="1"/>
  <c r="R293" i="2"/>
  <c r="BQ483" i="1"/>
  <c r="BD483" i="1" s="1"/>
  <c r="BO483" i="1"/>
  <c r="BB483" i="1" s="1"/>
  <c r="BR483" i="1"/>
  <c r="BE483" i="1" s="1"/>
  <c r="AA292" i="2"/>
  <c r="BS492" i="1"/>
  <c r="BF492" i="1" s="1"/>
  <c r="BO492" i="1"/>
  <c r="BB492" i="1" s="1"/>
  <c r="BK492" i="1"/>
  <c r="AX492" i="1" s="1"/>
  <c r="BT492" i="1"/>
  <c r="BG492" i="1" s="1"/>
  <c r="BP492" i="1"/>
  <c r="BC492" i="1" s="1"/>
  <c r="BL492" i="1"/>
  <c r="AY492" i="1" s="1"/>
  <c r="BR492" i="1"/>
  <c r="BE492" i="1" s="1"/>
  <c r="BJ492" i="1"/>
  <c r="AW492" i="1" s="1"/>
  <c r="BQ492" i="1"/>
  <c r="BD492" i="1" s="1"/>
  <c r="BI492" i="1"/>
  <c r="BN492" i="1"/>
  <c r="BA492" i="1" s="1"/>
  <c r="BM492" i="1"/>
  <c r="AZ492" i="1" s="1"/>
  <c r="S289" i="2"/>
  <c r="BT399" i="1"/>
  <c r="BG399" i="1" s="1"/>
  <c r="BP399" i="1"/>
  <c r="BC399" i="1" s="1"/>
  <c r="BL399" i="1"/>
  <c r="AY399" i="1" s="1"/>
  <c r="BQ399" i="1"/>
  <c r="BD399" i="1" s="1"/>
  <c r="BM399" i="1"/>
  <c r="AZ399" i="1" s="1"/>
  <c r="BI399" i="1"/>
  <c r="BO399" i="1"/>
  <c r="BB399" i="1" s="1"/>
  <c r="BN399" i="1"/>
  <c r="BA399" i="1" s="1"/>
  <c r="BS399" i="1"/>
  <c r="BF399" i="1" s="1"/>
  <c r="BK399" i="1"/>
  <c r="AX399" i="1" s="1"/>
  <c r="BJ399" i="1"/>
  <c r="AW399" i="1" s="1"/>
  <c r="BR399" i="1"/>
  <c r="BE399" i="1" s="1"/>
  <c r="V286" i="2"/>
  <c r="BT395" i="1"/>
  <c r="BG395" i="1" s="1"/>
  <c r="BP395" i="1"/>
  <c r="BC395" i="1" s="1"/>
  <c r="BL395" i="1"/>
  <c r="AY395" i="1" s="1"/>
  <c r="BQ395" i="1"/>
  <c r="BD395" i="1" s="1"/>
  <c r="BM395" i="1"/>
  <c r="AZ395" i="1" s="1"/>
  <c r="BI395" i="1"/>
  <c r="BR395" i="1"/>
  <c r="BE395" i="1" s="1"/>
  <c r="BJ395" i="1"/>
  <c r="AW395" i="1" s="1"/>
  <c r="BO395" i="1"/>
  <c r="BB395" i="1" s="1"/>
  <c r="BN395" i="1"/>
  <c r="BA395" i="1" s="1"/>
  <c r="BS395" i="1"/>
  <c r="BF395" i="1" s="1"/>
  <c r="BK395" i="1"/>
  <c r="AX395" i="1" s="1"/>
  <c r="BT443" i="1"/>
  <c r="BG443" i="1" s="1"/>
  <c r="BO443" i="1"/>
  <c r="BB443" i="1" s="1"/>
  <c r="BJ443" i="1"/>
  <c r="AW443" i="1" s="1"/>
  <c r="V301" i="2"/>
  <c r="Q267" i="2"/>
  <c r="AA246" i="2"/>
  <c r="BQ348" i="1"/>
  <c r="BD348" i="1" s="1"/>
  <c r="BM348" i="1"/>
  <c r="AZ348" i="1" s="1"/>
  <c r="BT348" i="1"/>
  <c r="BG348" i="1" s="1"/>
  <c r="BP348" i="1"/>
  <c r="BC348" i="1" s="1"/>
  <c r="BL348" i="1"/>
  <c r="AY348" i="1" s="1"/>
  <c r="BS348" i="1"/>
  <c r="BF348" i="1" s="1"/>
  <c r="BO348" i="1"/>
  <c r="BB348" i="1" s="1"/>
  <c r="BK348" i="1"/>
  <c r="AX348" i="1" s="1"/>
  <c r="BR348" i="1"/>
  <c r="BE348" i="1" s="1"/>
  <c r="BN348" i="1"/>
  <c r="BA348" i="1" s="1"/>
  <c r="BJ348" i="1"/>
  <c r="Q233" i="2"/>
  <c r="V226" i="2"/>
  <c r="BR282" i="1"/>
  <c r="BE282" i="1" s="1"/>
  <c r="BN282" i="1"/>
  <c r="BA282" i="1" s="1"/>
  <c r="BJ282" i="1"/>
  <c r="AW282" i="1" s="1"/>
  <c r="BQ282" i="1"/>
  <c r="BD282" i="1" s="1"/>
  <c r="BM282" i="1"/>
  <c r="AZ282" i="1" s="1"/>
  <c r="BI282" i="1"/>
  <c r="BT282" i="1"/>
  <c r="BG282" i="1" s="1"/>
  <c r="BP282" i="1"/>
  <c r="BC282" i="1" s="1"/>
  <c r="BL282" i="1"/>
  <c r="AY282" i="1" s="1"/>
  <c r="BS282" i="1"/>
  <c r="BF282" i="1" s="1"/>
  <c r="BO282" i="1"/>
  <c r="BB282" i="1" s="1"/>
  <c r="BK282" i="1"/>
  <c r="AX282" i="1" s="1"/>
  <c r="P223" i="2"/>
  <c r="B224" i="2" s="1"/>
  <c r="R252" i="2"/>
  <c r="AA247" i="2"/>
  <c r="AA252" i="2" s="1"/>
  <c r="W252" i="2"/>
  <c r="BS314" i="1"/>
  <c r="BF314" i="1" s="1"/>
  <c r="BO314" i="1"/>
  <c r="BB314" i="1" s="1"/>
  <c r="BK314" i="1"/>
  <c r="AX314" i="1" s="1"/>
  <c r="BQ314" i="1"/>
  <c r="BD314" i="1" s="1"/>
  <c r="BM314" i="1"/>
  <c r="AZ314" i="1" s="1"/>
  <c r="BI314" i="1"/>
  <c r="BT314" i="1"/>
  <c r="BG314" i="1" s="1"/>
  <c r="BL314" i="1"/>
  <c r="AY314" i="1" s="1"/>
  <c r="BR314" i="1"/>
  <c r="BE314" i="1" s="1"/>
  <c r="BJ314" i="1"/>
  <c r="AW314" i="1" s="1"/>
  <c r="BP314" i="1"/>
  <c r="BC314" i="1" s="1"/>
  <c r="BN314" i="1"/>
  <c r="BA314" i="1" s="1"/>
  <c r="T243" i="2"/>
  <c r="S233" i="2"/>
  <c r="BT299" i="1"/>
  <c r="BG299" i="1" s="1"/>
  <c r="BP299" i="1"/>
  <c r="BC299" i="1" s="1"/>
  <c r="BL299" i="1"/>
  <c r="AY299" i="1" s="1"/>
  <c r="BR299" i="1"/>
  <c r="BE299" i="1" s="1"/>
  <c r="BN299" i="1"/>
  <c r="BA299" i="1" s="1"/>
  <c r="BJ299" i="1"/>
  <c r="AW299" i="1" s="1"/>
  <c r="BQ299" i="1"/>
  <c r="BD299" i="1" s="1"/>
  <c r="BI299" i="1"/>
  <c r="BO299" i="1"/>
  <c r="BB299" i="1" s="1"/>
  <c r="BM299" i="1"/>
  <c r="AZ299" i="1" s="1"/>
  <c r="BK299" i="1"/>
  <c r="AX299" i="1" s="1"/>
  <c r="BS299" i="1"/>
  <c r="BF299" i="1" s="1"/>
  <c r="Z233" i="2"/>
  <c r="Q125" i="2"/>
  <c r="V121" i="2"/>
  <c r="BR226" i="1"/>
  <c r="BE226" i="1" s="1"/>
  <c r="BN226" i="1"/>
  <c r="BA226" i="1" s="1"/>
  <c r="BJ226" i="1"/>
  <c r="BQ226" i="1"/>
  <c r="BD226" i="1" s="1"/>
  <c r="BM226" i="1"/>
  <c r="AZ226" i="1" s="1"/>
  <c r="BT226" i="1"/>
  <c r="BG226" i="1" s="1"/>
  <c r="BP226" i="1"/>
  <c r="BC226" i="1" s="1"/>
  <c r="BL226" i="1"/>
  <c r="AY226" i="1" s="1"/>
  <c r="BS226" i="1"/>
  <c r="BF226" i="1" s="1"/>
  <c r="BO226" i="1"/>
  <c r="BB226" i="1" s="1"/>
  <c r="BK226" i="1"/>
  <c r="AX226" i="1" s="1"/>
  <c r="T110" i="2"/>
  <c r="BT197" i="1"/>
  <c r="BG197" i="1" s="1"/>
  <c r="BP197" i="1"/>
  <c r="BC197" i="1" s="1"/>
  <c r="BL197" i="1"/>
  <c r="AY197" i="1" s="1"/>
  <c r="BR197" i="1"/>
  <c r="BE197" i="1" s="1"/>
  <c r="BN197" i="1"/>
  <c r="BA197" i="1" s="1"/>
  <c r="BJ197" i="1"/>
  <c r="BQ197" i="1"/>
  <c r="BD197" i="1" s="1"/>
  <c r="BO197" i="1"/>
  <c r="BB197" i="1" s="1"/>
  <c r="BM197" i="1"/>
  <c r="AZ197" i="1" s="1"/>
  <c r="BS197" i="1"/>
  <c r="BF197" i="1" s="1"/>
  <c r="BK197" i="1"/>
  <c r="AX197" i="1" s="1"/>
  <c r="S167" i="2"/>
  <c r="V107" i="2"/>
  <c r="BT196" i="1"/>
  <c r="BG196" i="1" s="1"/>
  <c r="BP196" i="1"/>
  <c r="BC196" i="1" s="1"/>
  <c r="BL196" i="1"/>
  <c r="AY196" i="1" s="1"/>
  <c r="BR196" i="1"/>
  <c r="BE196" i="1" s="1"/>
  <c r="BN196" i="1"/>
  <c r="BA196" i="1" s="1"/>
  <c r="BJ196" i="1"/>
  <c r="BM196" i="1"/>
  <c r="AZ196" i="1" s="1"/>
  <c r="BS196" i="1"/>
  <c r="BF196" i="1" s="1"/>
  <c r="BK196" i="1"/>
  <c r="AX196" i="1" s="1"/>
  <c r="BQ196" i="1"/>
  <c r="BD196" i="1" s="1"/>
  <c r="BO196" i="1"/>
  <c r="BB196" i="1" s="1"/>
  <c r="AA95" i="2"/>
  <c r="AA277" i="2"/>
  <c r="BS440" i="1"/>
  <c r="BF440" i="1" s="1"/>
  <c r="BO440" i="1"/>
  <c r="BB440" i="1" s="1"/>
  <c r="BK440" i="1"/>
  <c r="AX440" i="1" s="1"/>
  <c r="BR440" i="1"/>
  <c r="BE440" i="1" s="1"/>
  <c r="BN440" i="1"/>
  <c r="BA440" i="1" s="1"/>
  <c r="BJ440" i="1"/>
  <c r="AW440" i="1" s="1"/>
  <c r="BQ440" i="1"/>
  <c r="BD440" i="1" s="1"/>
  <c r="BM440" i="1"/>
  <c r="AZ440" i="1" s="1"/>
  <c r="BI440" i="1"/>
  <c r="BP440" i="1"/>
  <c r="BC440" i="1" s="1"/>
  <c r="BL440" i="1"/>
  <c r="AY440" i="1" s="1"/>
  <c r="BT440" i="1"/>
  <c r="BG440" i="1" s="1"/>
  <c r="AA200" i="2"/>
  <c r="V140" i="2"/>
  <c r="AA107" i="2"/>
  <c r="BT198" i="1"/>
  <c r="BG198" i="1" s="1"/>
  <c r="BP198" i="1"/>
  <c r="BC198" i="1" s="1"/>
  <c r="BL198" i="1"/>
  <c r="AY198" i="1" s="1"/>
  <c r="BR198" i="1"/>
  <c r="BE198" i="1" s="1"/>
  <c r="BN198" i="1"/>
  <c r="BA198" i="1" s="1"/>
  <c r="BJ198" i="1"/>
  <c r="BM198" i="1"/>
  <c r="AZ198" i="1" s="1"/>
  <c r="BS198" i="1"/>
  <c r="BF198" i="1" s="1"/>
  <c r="BK198" i="1"/>
  <c r="AX198" i="1" s="1"/>
  <c r="BQ198" i="1"/>
  <c r="BD198" i="1" s="1"/>
  <c r="BO198" i="1"/>
  <c r="BB198" i="1" s="1"/>
  <c r="AA175" i="2"/>
  <c r="Q179" i="2"/>
  <c r="V170" i="2"/>
  <c r="V92" i="2"/>
  <c r="K67" i="2"/>
  <c r="P67" i="2"/>
  <c r="V227" i="2"/>
  <c r="BM283" i="1"/>
  <c r="AZ283" i="1" s="1"/>
  <c r="BO283" i="1"/>
  <c r="BB283" i="1" s="1"/>
  <c r="Q141" i="2"/>
  <c r="V138" i="2"/>
  <c r="R141" i="2"/>
  <c r="V113" i="2"/>
  <c r="Q118" i="2"/>
  <c r="BT215" i="1"/>
  <c r="BG215" i="1" s="1"/>
  <c r="BP215" i="1"/>
  <c r="BC215" i="1" s="1"/>
  <c r="BL215" i="1"/>
  <c r="AY215" i="1" s="1"/>
  <c r="BS215" i="1"/>
  <c r="BF215" i="1" s="1"/>
  <c r="BO215" i="1"/>
  <c r="BB215" i="1" s="1"/>
  <c r="BK215" i="1"/>
  <c r="AX215" i="1" s="1"/>
  <c r="BR215" i="1"/>
  <c r="BE215" i="1" s="1"/>
  <c r="BN215" i="1"/>
  <c r="BA215" i="1" s="1"/>
  <c r="BJ215" i="1"/>
  <c r="BM215" i="1"/>
  <c r="AZ215" i="1" s="1"/>
  <c r="BQ215" i="1"/>
  <c r="BD215" i="1" s="1"/>
  <c r="AA93" i="2"/>
  <c r="V57" i="2"/>
  <c r="AA36" i="2"/>
  <c r="AA90" i="2"/>
  <c r="V72" i="2"/>
  <c r="Z75" i="2"/>
  <c r="R75" i="2"/>
  <c r="U75" i="2"/>
  <c r="Q75" i="2"/>
  <c r="BO129" i="4" s="1"/>
  <c r="BB129" i="4" s="1"/>
  <c r="T75" i="2"/>
  <c r="W75" i="2"/>
  <c r="BT131" i="4" s="1"/>
  <c r="BG131" i="4" s="1"/>
  <c r="S75" i="2"/>
  <c r="BK136" i="4" s="1"/>
  <c r="AX136" i="4" s="1"/>
  <c r="BQ124" i="1"/>
  <c r="BM124" i="1"/>
  <c r="BT124" i="1"/>
  <c r="BP124" i="1"/>
  <c r="BL124" i="1"/>
  <c r="BS124" i="1"/>
  <c r="BO124" i="1"/>
  <c r="BK124" i="1"/>
  <c r="BR124" i="1"/>
  <c r="BN124" i="1"/>
  <c r="BJ124" i="1"/>
  <c r="V58" i="2"/>
  <c r="AA55" i="2"/>
  <c r="BS110" i="1"/>
  <c r="BF110" i="1" s="1"/>
  <c r="BO110" i="1"/>
  <c r="BB110" i="1" s="1"/>
  <c r="BK110" i="1"/>
  <c r="AX110" i="1" s="1"/>
  <c r="BR110" i="1"/>
  <c r="BE110" i="1" s="1"/>
  <c r="BN110" i="1"/>
  <c r="BA110" i="1" s="1"/>
  <c r="BJ110" i="1"/>
  <c r="BQ110" i="1"/>
  <c r="BD110" i="1" s="1"/>
  <c r="BM110" i="1"/>
  <c r="AZ110" i="1" s="1"/>
  <c r="BT110" i="1"/>
  <c r="BG110" i="1" s="1"/>
  <c r="BP110" i="1"/>
  <c r="BC110" i="1" s="1"/>
  <c r="BL110" i="1"/>
  <c r="AY110" i="1" s="1"/>
  <c r="V17" i="2"/>
  <c r="V154" i="2"/>
  <c r="Q160" i="2"/>
  <c r="V12" i="2"/>
  <c r="AA12" i="2"/>
  <c r="AA13" i="2" s="1"/>
  <c r="Y305" i="2"/>
  <c r="Y308" i="2" s="1"/>
  <c r="AA91" i="2"/>
  <c r="V56" i="2"/>
  <c r="AA23" i="2"/>
  <c r="V14" i="2"/>
  <c r="V9" i="2"/>
  <c r="X305" i="2"/>
  <c r="X308" i="2" s="1"/>
  <c r="L683" i="1"/>
  <c r="L15" i="1"/>
  <c r="R640" i="1"/>
  <c r="Q110" i="2"/>
  <c r="R103" i="2"/>
  <c r="T103" i="2"/>
  <c r="V74" i="2"/>
  <c r="BS79" i="1"/>
  <c r="BF79" i="1" s="1"/>
  <c r="BO79" i="1"/>
  <c r="BB79" i="1" s="1"/>
  <c r="BK79" i="1"/>
  <c r="AX79" i="1" s="1"/>
  <c r="BR79" i="1"/>
  <c r="BE79" i="1" s="1"/>
  <c r="BN79" i="1"/>
  <c r="BA79" i="1" s="1"/>
  <c r="BJ79" i="1"/>
  <c r="BQ79" i="1"/>
  <c r="BD79" i="1" s="1"/>
  <c r="BM79" i="1"/>
  <c r="AZ79" i="1" s="1"/>
  <c r="BT79" i="1"/>
  <c r="BG79" i="1" s="1"/>
  <c r="BP79" i="1"/>
  <c r="BC79" i="1" s="1"/>
  <c r="BL79" i="1"/>
  <c r="AY79" i="1" s="1"/>
  <c r="R660" i="1"/>
  <c r="W76" i="2"/>
  <c r="S76" i="2"/>
  <c r="Z76" i="2"/>
  <c r="R76" i="2"/>
  <c r="U76" i="2"/>
  <c r="Q76" i="2"/>
  <c r="T76" i="2"/>
  <c r="M681" i="1"/>
  <c r="AS661" i="1"/>
  <c r="AT661" i="1" s="1"/>
  <c r="AS642" i="1"/>
  <c r="AT642" i="1" s="1"/>
  <c r="AS638" i="1"/>
  <c r="AT638" i="1" s="1"/>
  <c r="V15" i="2"/>
  <c r="O630" i="1"/>
  <c r="AS678" i="1"/>
  <c r="AT678" i="1" s="1"/>
  <c r="AJ14" i="1"/>
  <c r="AJ650" i="1"/>
  <c r="AA26" i="2"/>
  <c r="R663" i="1"/>
  <c r="AF608" i="1"/>
  <c r="AS671" i="1"/>
  <c r="AT671" i="1" s="1"/>
  <c r="R628" i="1"/>
  <c r="R630" i="1" s="1"/>
  <c r="AI608" i="1"/>
  <c r="BI608" i="1"/>
  <c r="BI13" i="1"/>
  <c r="R524" i="1"/>
  <c r="R467" i="1"/>
  <c r="S467" i="1" s="1"/>
  <c r="V497" i="1"/>
  <c r="V494" i="1"/>
  <c r="W494" i="1" s="1"/>
  <c r="D450" i="1"/>
  <c r="Y450" i="1"/>
  <c r="AN450" i="1"/>
  <c r="R440" i="1"/>
  <c r="T436" i="1"/>
  <c r="U436" i="1" s="1"/>
  <c r="V436" i="1" s="1"/>
  <c r="AS462" i="1"/>
  <c r="AT462" i="1" s="1"/>
  <c r="AD566" i="1"/>
  <c r="AD690" i="1" s="1"/>
  <c r="AA269" i="2"/>
  <c r="AA273" i="2" s="1"/>
  <c r="W273" i="2"/>
  <c r="BT292" i="1"/>
  <c r="BG292" i="1" s="1"/>
  <c r="BP292" i="1"/>
  <c r="BC292" i="1" s="1"/>
  <c r="BL292" i="1"/>
  <c r="AY292" i="1" s="1"/>
  <c r="BQ292" i="1"/>
  <c r="BD292" i="1" s="1"/>
  <c r="BK292" i="1"/>
  <c r="AX292" i="1" s="1"/>
  <c r="BO292" i="1"/>
  <c r="BB292" i="1" s="1"/>
  <c r="BJ292" i="1"/>
  <c r="AW292" i="1" s="1"/>
  <c r="BS292" i="1"/>
  <c r="BF292" i="1" s="1"/>
  <c r="BN292" i="1"/>
  <c r="BA292" i="1" s="1"/>
  <c r="BI292" i="1"/>
  <c r="BM292" i="1"/>
  <c r="AZ292" i="1" s="1"/>
  <c r="BR292" i="1"/>
  <c r="BE292" i="1" s="1"/>
  <c r="W196" i="2"/>
  <c r="S196" i="2"/>
  <c r="O196" i="2"/>
  <c r="P204" i="2"/>
  <c r="B205" i="2" s="1"/>
  <c r="R196" i="2"/>
  <c r="Z196" i="2"/>
  <c r="U196" i="2"/>
  <c r="Q196" i="2"/>
  <c r="T196" i="2"/>
  <c r="U198" i="2"/>
  <c r="Q198" i="2"/>
  <c r="Z198" i="2"/>
  <c r="T198" i="2"/>
  <c r="W198" i="2"/>
  <c r="S198" i="2"/>
  <c r="R198" i="2"/>
  <c r="BP589" i="1"/>
  <c r="BL589" i="1"/>
  <c r="BS589" i="1"/>
  <c r="BO589" i="1"/>
  <c r="BK589" i="1"/>
  <c r="BR589" i="1"/>
  <c r="BJ589" i="1"/>
  <c r="BQ589" i="1"/>
  <c r="BN589" i="1"/>
  <c r="BM589" i="1"/>
  <c r="Z167" i="2"/>
  <c r="AA162" i="2"/>
  <c r="AA167" i="2" s="1"/>
  <c r="S125" i="2"/>
  <c r="BT232" i="1"/>
  <c r="BG232" i="1" s="1"/>
  <c r="BP232" i="1"/>
  <c r="BC232" i="1" s="1"/>
  <c r="BL232" i="1"/>
  <c r="AY232" i="1" s="1"/>
  <c r="BS232" i="1"/>
  <c r="BF232" i="1" s="1"/>
  <c r="BO232" i="1"/>
  <c r="BB232" i="1" s="1"/>
  <c r="BK232" i="1"/>
  <c r="AX232" i="1" s="1"/>
  <c r="BR232" i="1"/>
  <c r="BE232" i="1" s="1"/>
  <c r="BN232" i="1"/>
  <c r="BA232" i="1" s="1"/>
  <c r="BJ232" i="1"/>
  <c r="BQ232" i="1"/>
  <c r="BD232" i="1" s="1"/>
  <c r="BM232" i="1"/>
  <c r="AZ232" i="1" s="1"/>
  <c r="AA18" i="2"/>
  <c r="T77" i="2"/>
  <c r="W77" i="2"/>
  <c r="S77" i="2"/>
  <c r="Z77" i="2"/>
  <c r="R77" i="2"/>
  <c r="U77" i="2"/>
  <c r="Q77" i="2"/>
  <c r="W68" i="2"/>
  <c r="AA48" i="2"/>
  <c r="BS104" i="1"/>
  <c r="BF104" i="1" s="1"/>
  <c r="BO104" i="1"/>
  <c r="BB104" i="1" s="1"/>
  <c r="BK104" i="1"/>
  <c r="AX104" i="1" s="1"/>
  <c r="BR104" i="1"/>
  <c r="BE104" i="1" s="1"/>
  <c r="BN104" i="1"/>
  <c r="BA104" i="1" s="1"/>
  <c r="BJ104" i="1"/>
  <c r="BQ104" i="1"/>
  <c r="BD104" i="1" s="1"/>
  <c r="BM104" i="1"/>
  <c r="AZ104" i="1" s="1"/>
  <c r="BT104" i="1"/>
  <c r="BG104" i="1" s="1"/>
  <c r="BP104" i="1"/>
  <c r="BC104" i="1" s="1"/>
  <c r="BL104" i="1"/>
  <c r="AY104" i="1" s="1"/>
  <c r="V5" i="2"/>
  <c r="BB70" i="1"/>
  <c r="V89" i="2"/>
  <c r="BE155" i="1"/>
  <c r="BA155" i="1"/>
  <c r="BC155" i="1"/>
  <c r="AY155" i="1"/>
  <c r="BF155" i="1"/>
  <c r="BB155" i="1"/>
  <c r="AZ155" i="1"/>
  <c r="W45" i="2"/>
  <c r="AA5" i="2"/>
  <c r="BQ73" i="1"/>
  <c r="BD73" i="1" s="1"/>
  <c r="BM73" i="1"/>
  <c r="AZ73" i="1" s="1"/>
  <c r="BT73" i="1"/>
  <c r="BG73" i="1" s="1"/>
  <c r="BP73" i="1"/>
  <c r="BC73" i="1" s="1"/>
  <c r="BL73" i="1"/>
  <c r="AY73" i="1" s="1"/>
  <c r="BS73" i="1"/>
  <c r="BF73" i="1" s="1"/>
  <c r="BO73" i="1"/>
  <c r="BB73" i="1" s="1"/>
  <c r="BK73" i="1"/>
  <c r="AX73" i="1" s="1"/>
  <c r="BR73" i="1"/>
  <c r="BE73" i="1" s="1"/>
  <c r="BN73" i="1"/>
  <c r="BA73" i="1" s="1"/>
  <c r="BJ73" i="1"/>
  <c r="N681" i="1"/>
  <c r="AI683" i="1"/>
  <c r="AI15" i="1"/>
  <c r="AS637" i="1"/>
  <c r="AT637" i="1" s="1"/>
  <c r="AC14" i="1"/>
  <c r="AC650" i="1"/>
  <c r="N630" i="1"/>
  <c r="V26" i="2"/>
  <c r="AF650" i="1"/>
  <c r="AA13" i="1"/>
  <c r="AA608" i="1"/>
  <c r="AH650" i="1"/>
  <c r="AK650" i="1"/>
  <c r="R555" i="1"/>
  <c r="R561" i="1"/>
  <c r="AN504" i="1"/>
  <c r="V491" i="1"/>
  <c r="W491" i="1" s="1"/>
  <c r="R471" i="1"/>
  <c r="S471" i="1" s="1"/>
  <c r="T471" i="1" s="1"/>
  <c r="R446" i="1"/>
  <c r="R418" i="1"/>
  <c r="S418" i="1" s="1"/>
  <c r="R488" i="1"/>
  <c r="S488" i="1" s="1"/>
  <c r="AS453" i="1"/>
  <c r="AT453" i="1" s="1"/>
  <c r="R379" i="1"/>
  <c r="N547" i="1"/>
  <c r="AS532" i="1"/>
  <c r="AT532" i="1" s="1"/>
  <c r="AS490" i="1"/>
  <c r="AT490" i="1" s="1"/>
  <c r="W490" i="1"/>
  <c r="D490" i="1" s="1"/>
  <c r="R449" i="1"/>
  <c r="S449" i="1" s="1"/>
  <c r="T449" i="1" s="1"/>
  <c r="R433" i="1"/>
  <c r="AS508" i="1"/>
  <c r="AT508" i="1" s="1"/>
  <c r="T489" i="1"/>
  <c r="U489" i="1" s="1"/>
  <c r="AS469" i="1"/>
  <c r="AT469" i="1" s="1"/>
  <c r="AS411" i="1"/>
  <c r="AT411" i="1" s="1"/>
  <c r="AS470" i="1"/>
  <c r="AT470" i="1" s="1"/>
  <c r="Y422" i="1"/>
  <c r="AS417" i="1"/>
  <c r="AT417" i="1" s="1"/>
  <c r="AS413" i="1"/>
  <c r="AT413" i="1" s="1"/>
  <c r="S409" i="1"/>
  <c r="T409" i="1" s="1"/>
  <c r="U409" i="1" s="1"/>
  <c r="D402" i="1"/>
  <c r="AS391" i="1"/>
  <c r="AT391" i="1" s="1"/>
  <c r="AS378" i="1"/>
  <c r="AT378" i="1" s="1"/>
  <c r="AS356" i="1"/>
  <c r="AT356" i="1" s="1"/>
  <c r="AS340" i="1"/>
  <c r="AT340" i="1" s="1"/>
  <c r="AS370" i="1"/>
  <c r="AT370" i="1" s="1"/>
  <c r="R305" i="1"/>
  <c r="S305" i="1" s="1"/>
  <c r="R414" i="1"/>
  <c r="S414" i="1" s="1"/>
  <c r="R371" i="1"/>
  <c r="S371" i="1" s="1"/>
  <c r="T371" i="1" s="1"/>
  <c r="U371" i="1" s="1"/>
  <c r="AS192" i="1"/>
  <c r="AT192" i="1" s="1"/>
  <c r="R329" i="1"/>
  <c r="AS278" i="1"/>
  <c r="AT278" i="1" s="1"/>
  <c r="S314" i="1"/>
  <c r="AS276" i="1"/>
  <c r="AT276" i="1" s="1"/>
  <c r="R195" i="1"/>
  <c r="S195" i="1" s="1"/>
  <c r="AS151" i="1"/>
  <c r="AT151" i="1" s="1"/>
  <c r="L566" i="1"/>
  <c r="L690" i="1" s="1"/>
  <c r="AS260" i="1"/>
  <c r="AT260" i="1" s="1"/>
  <c r="R109" i="1"/>
  <c r="S109" i="1" s="1"/>
  <c r="N53" i="1"/>
  <c r="D33" i="1"/>
  <c r="AS27" i="1"/>
  <c r="AT27" i="1" s="1"/>
  <c r="M120" i="1"/>
  <c r="R115" i="1"/>
  <c r="R40" i="1"/>
  <c r="AS37" i="1"/>
  <c r="AT37" i="1" s="1"/>
  <c r="AS26" i="1"/>
  <c r="AT26" i="1" s="1"/>
  <c r="N366" i="1"/>
  <c r="N382" i="1"/>
  <c r="R295" i="1"/>
  <c r="M264" i="1"/>
  <c r="R437" i="1"/>
  <c r="S437" i="1" s="1"/>
  <c r="AR239" i="1"/>
  <c r="AS272" i="1"/>
  <c r="AT272" i="1" s="1"/>
  <c r="AS237" i="1"/>
  <c r="AT237" i="1" s="1"/>
  <c r="Y214" i="1"/>
  <c r="AS236" i="1"/>
  <c r="AT236" i="1" s="1"/>
  <c r="R135" i="1"/>
  <c r="S135" i="1" s="1"/>
  <c r="M90" i="1"/>
  <c r="AS28" i="1"/>
  <c r="AT28" i="1" s="1"/>
  <c r="AS44" i="1"/>
  <c r="AT44" i="1" s="1"/>
  <c r="L55" i="1"/>
  <c r="AH689" i="1"/>
  <c r="M564" i="1"/>
  <c r="AS540" i="1"/>
  <c r="AT540" i="1" s="1"/>
  <c r="T519" i="1"/>
  <c r="U519" i="1" s="1"/>
  <c r="T515" i="1"/>
  <c r="U515" i="1" s="1"/>
  <c r="T477" i="1"/>
  <c r="R465" i="1"/>
  <c r="T448" i="1"/>
  <c r="U448" i="1" s="1"/>
  <c r="AS506" i="1"/>
  <c r="AT506" i="1" s="1"/>
  <c r="R478" i="1"/>
  <c r="AS408" i="1"/>
  <c r="AT408" i="1" s="1"/>
  <c r="AS463" i="1"/>
  <c r="AT463" i="1" s="1"/>
  <c r="AS447" i="1"/>
  <c r="AT447" i="1" s="1"/>
  <c r="AN422" i="1"/>
  <c r="N374" i="1"/>
  <c r="AS409" i="1"/>
  <c r="AT409" i="1" s="1"/>
  <c r="R398" i="1"/>
  <c r="S398" i="1" s="1"/>
  <c r="R310" i="1"/>
  <c r="AS386" i="1"/>
  <c r="AT386" i="1" s="1"/>
  <c r="M360" i="1"/>
  <c r="R277" i="1"/>
  <c r="AO239" i="1"/>
  <c r="AS186" i="1"/>
  <c r="AT186" i="1" s="1"/>
  <c r="AS262" i="1"/>
  <c r="AT262" i="1" s="1"/>
  <c r="R276" i="1"/>
  <c r="R149" i="1"/>
  <c r="M242" i="1"/>
  <c r="M331" i="1"/>
  <c r="N331" i="1"/>
  <c r="AS184" i="1"/>
  <c r="AT184" i="1" s="1"/>
  <c r="R181" i="1"/>
  <c r="AS180" i="1"/>
  <c r="AT180" i="1" s="1"/>
  <c r="R182" i="1"/>
  <c r="AS127" i="1"/>
  <c r="AT127" i="1" s="1"/>
  <c r="M143" i="1"/>
  <c r="AO53" i="1"/>
  <c r="AS52" i="1"/>
  <c r="AT52" i="1" s="1"/>
  <c r="M34" i="1"/>
  <c r="R130" i="1"/>
  <c r="AS80" i="1"/>
  <c r="AT80" i="1" s="1"/>
  <c r="AN33" i="1"/>
  <c r="R156" i="1"/>
  <c r="Y33" i="1"/>
  <c r="AD689" i="1"/>
  <c r="AA683" i="1"/>
  <c r="AA15" i="1"/>
  <c r="AS634" i="1"/>
  <c r="AT634" i="1" s="1"/>
  <c r="AS664" i="1"/>
  <c r="AT664" i="1" s="1"/>
  <c r="V30" i="2"/>
  <c r="AA25" i="2"/>
  <c r="R594" i="1"/>
  <c r="V7" i="2"/>
  <c r="AB608" i="1"/>
  <c r="M668" i="1"/>
  <c r="AS674" i="1"/>
  <c r="AT674" i="1" s="1"/>
  <c r="AS635" i="1"/>
  <c r="AT635" i="1" s="1"/>
  <c r="AS665" i="1"/>
  <c r="AT665" i="1" s="1"/>
  <c r="AV608" i="1"/>
  <c r="AV13" i="1"/>
  <c r="R518" i="1"/>
  <c r="M547" i="1"/>
  <c r="U493" i="1"/>
  <c r="V493" i="1" s="1"/>
  <c r="R454" i="1"/>
  <c r="R444" i="1"/>
  <c r="M527" i="1"/>
  <c r="U500" i="1"/>
  <c r="V500" i="1" s="1"/>
  <c r="W500" i="1" s="1"/>
  <c r="T498" i="1"/>
  <c r="U498" i="1" s="1"/>
  <c r="R438" i="1"/>
  <c r="S433" i="1"/>
  <c r="S432" i="1"/>
  <c r="T432" i="1" s="1"/>
  <c r="AS446" i="1"/>
  <c r="AT446" i="1" s="1"/>
  <c r="R441" i="1"/>
  <c r="R424" i="1"/>
  <c r="R389" i="1"/>
  <c r="Y402" i="1"/>
  <c r="AS394" i="1"/>
  <c r="AT394" i="1" s="1"/>
  <c r="M457" i="1"/>
  <c r="R469" i="1"/>
  <c r="R392" i="1"/>
  <c r="AS329" i="1"/>
  <c r="AT329" i="1" s="1"/>
  <c r="AW240" i="1"/>
  <c r="AO240" i="1"/>
  <c r="R395" i="1"/>
  <c r="AS371" i="1"/>
  <c r="AT371" i="1" s="1"/>
  <c r="R231" i="1"/>
  <c r="R229" i="1"/>
  <c r="S229" i="1" s="1"/>
  <c r="D214" i="1"/>
  <c r="AS221" i="1"/>
  <c r="AT221" i="1" s="1"/>
  <c r="AS211" i="1"/>
  <c r="AT211" i="1" s="1"/>
  <c r="AS210" i="1"/>
  <c r="AT210" i="1" s="1"/>
  <c r="R203" i="1"/>
  <c r="R137" i="1"/>
  <c r="R84" i="1"/>
  <c r="S84" i="1" s="1"/>
  <c r="T84" i="1" s="1"/>
  <c r="N50" i="1"/>
  <c r="AS168" i="1"/>
  <c r="AT168" i="1" s="1"/>
  <c r="N143" i="1"/>
  <c r="N120" i="1"/>
  <c r="R78" i="1"/>
  <c r="M41" i="1"/>
  <c r="R126" i="1"/>
  <c r="AS48" i="1"/>
  <c r="AT48" i="1" s="1"/>
  <c r="AO50" i="1"/>
  <c r="AY283" i="4" l="1"/>
  <c r="BQ81" i="4"/>
  <c r="BD81" i="4" s="1"/>
  <c r="BM81" i="4"/>
  <c r="AZ81" i="4" s="1"/>
  <c r="BT81" i="4"/>
  <c r="BG81" i="4" s="1"/>
  <c r="BP81" i="4"/>
  <c r="BC81" i="4" s="1"/>
  <c r="BL81" i="4"/>
  <c r="AY81" i="4" s="1"/>
  <c r="BS81" i="4"/>
  <c r="BF81" i="4" s="1"/>
  <c r="BO81" i="4"/>
  <c r="BB81" i="4" s="1"/>
  <c r="BK81" i="4"/>
  <c r="AX81" i="4" s="1"/>
  <c r="BR81" i="4"/>
  <c r="BE81" i="4" s="1"/>
  <c r="BN81" i="4"/>
  <c r="BA81" i="4" s="1"/>
  <c r="BJ81" i="4"/>
  <c r="BS594" i="4"/>
  <c r="BF594" i="4" s="1"/>
  <c r="BO594" i="4"/>
  <c r="BB594" i="4" s="1"/>
  <c r="BK594" i="4"/>
  <c r="AX594" i="4" s="1"/>
  <c r="BR594" i="4"/>
  <c r="BE594" i="4" s="1"/>
  <c r="BN594" i="4"/>
  <c r="BA594" i="4" s="1"/>
  <c r="BJ594" i="4"/>
  <c r="BQ594" i="4"/>
  <c r="BD594" i="4" s="1"/>
  <c r="BM594" i="4"/>
  <c r="AZ594" i="4" s="1"/>
  <c r="BL594" i="4"/>
  <c r="AY594" i="4" s="1"/>
  <c r="BP594" i="4"/>
  <c r="BC594" i="4" s="1"/>
  <c r="BL443" i="1"/>
  <c r="AY443" i="1" s="1"/>
  <c r="BT443" i="4"/>
  <c r="BG443" i="4" s="1"/>
  <c r="BP443" i="4"/>
  <c r="BC443" i="4" s="1"/>
  <c r="BL443" i="4"/>
  <c r="AY443" i="4" s="1"/>
  <c r="BR443" i="4"/>
  <c r="BE443" i="4" s="1"/>
  <c r="BN443" i="4"/>
  <c r="BA443" i="4" s="1"/>
  <c r="BJ443" i="4"/>
  <c r="AW443" i="4" s="1"/>
  <c r="BS443" i="4"/>
  <c r="BF443" i="4" s="1"/>
  <c r="BK443" i="4"/>
  <c r="BQ443" i="4"/>
  <c r="BD443" i="4" s="1"/>
  <c r="BI443" i="4"/>
  <c r="BO443" i="4"/>
  <c r="BB443" i="4" s="1"/>
  <c r="BM443" i="4"/>
  <c r="AZ443" i="4" s="1"/>
  <c r="BR481" i="4"/>
  <c r="BE481" i="4" s="1"/>
  <c r="BN481" i="4"/>
  <c r="BA481" i="4" s="1"/>
  <c r="BJ481" i="4"/>
  <c r="AW481" i="4" s="1"/>
  <c r="BQ481" i="4"/>
  <c r="BD481" i="4" s="1"/>
  <c r="BM481" i="4"/>
  <c r="AZ481" i="4" s="1"/>
  <c r="BI481" i="4"/>
  <c r="BT481" i="4"/>
  <c r="BG481" i="4" s="1"/>
  <c r="BP481" i="4"/>
  <c r="BC481" i="4" s="1"/>
  <c r="BL481" i="4"/>
  <c r="AY481" i="4" s="1"/>
  <c r="BS481" i="4"/>
  <c r="BF481" i="4" s="1"/>
  <c r="BO481" i="4"/>
  <c r="BB481" i="4" s="1"/>
  <c r="BK481" i="4"/>
  <c r="AX481" i="4" s="1"/>
  <c r="AS278" i="4"/>
  <c r="AT278" i="4" s="1"/>
  <c r="AP278" i="4"/>
  <c r="AQ278" i="4" s="1"/>
  <c r="AS490" i="4"/>
  <c r="AT490" i="4" s="1"/>
  <c r="AP490" i="4"/>
  <c r="AQ490" i="4" s="1"/>
  <c r="AS222" i="4"/>
  <c r="AT222" i="4" s="1"/>
  <c r="AP222" i="4"/>
  <c r="AQ222" i="4" s="1"/>
  <c r="AR424" i="4"/>
  <c r="AX424" i="4"/>
  <c r="BB589" i="4"/>
  <c r="BC589" i="4"/>
  <c r="BA589" i="4"/>
  <c r="BK300" i="4"/>
  <c r="AX300" i="4" s="1"/>
  <c r="BP300" i="4"/>
  <c r="BC300" i="4" s="1"/>
  <c r="BQ300" i="4"/>
  <c r="BD300" i="4" s="1"/>
  <c r="AO216" i="4"/>
  <c r="AP216" i="4" s="1"/>
  <c r="AQ216" i="4" s="1"/>
  <c r="AR216" i="4"/>
  <c r="AW216" i="4"/>
  <c r="BJ423" i="4"/>
  <c r="AW423" i="4" s="1"/>
  <c r="BN423" i="4"/>
  <c r="BA423" i="4" s="1"/>
  <c r="BQ423" i="4"/>
  <c r="BD423" i="4" s="1"/>
  <c r="AW124" i="4"/>
  <c r="AR124" i="4"/>
  <c r="AO124" i="4"/>
  <c r="AS221" i="4"/>
  <c r="AT221" i="4" s="1"/>
  <c r="AP221" i="4"/>
  <c r="AQ221" i="4" s="1"/>
  <c r="AS193" i="4"/>
  <c r="AT193" i="4" s="1"/>
  <c r="AP193" i="4"/>
  <c r="AQ193" i="4" s="1"/>
  <c r="AO418" i="4"/>
  <c r="AY418" i="4"/>
  <c r="BK161" i="4"/>
  <c r="AX161" i="4" s="1"/>
  <c r="BP161" i="4"/>
  <c r="BC161" i="4" s="1"/>
  <c r="BJ161" i="4"/>
  <c r="AO521" i="4"/>
  <c r="AP521" i="4" s="1"/>
  <c r="AQ521" i="4" s="1"/>
  <c r="AV521" i="4"/>
  <c r="AR521" i="4"/>
  <c r="AS521" i="4" s="1"/>
  <c r="AT521" i="4" s="1"/>
  <c r="BN289" i="4"/>
  <c r="BA289" i="4" s="1"/>
  <c r="BS289" i="4"/>
  <c r="BF289" i="4" s="1"/>
  <c r="BI289" i="4"/>
  <c r="AV289" i="4" s="1"/>
  <c r="AO397" i="4"/>
  <c r="AY397" i="4"/>
  <c r="AO493" i="4"/>
  <c r="AV493" i="4"/>
  <c r="AR493" i="4"/>
  <c r="AX124" i="4"/>
  <c r="AS463" i="4"/>
  <c r="AT463" i="4" s="1"/>
  <c r="AP463" i="4"/>
  <c r="AQ463" i="4" s="1"/>
  <c r="AO390" i="4"/>
  <c r="AX390" i="4"/>
  <c r="AR389" i="4"/>
  <c r="AV389" i="4"/>
  <c r="AO389" i="4"/>
  <c r="AW101" i="4"/>
  <c r="AO101" i="4"/>
  <c r="AR101" i="4"/>
  <c r="AY101" i="4"/>
  <c r="BG477" i="4"/>
  <c r="AZ477" i="4"/>
  <c r="BE477" i="4"/>
  <c r="AX337" i="4"/>
  <c r="BC337" i="4"/>
  <c r="AO337" i="4"/>
  <c r="AW337" i="4"/>
  <c r="AR337" i="4"/>
  <c r="AW73" i="4"/>
  <c r="AO73" i="4"/>
  <c r="BT129" i="4"/>
  <c r="BG129" i="4" s="1"/>
  <c r="BN129" i="4"/>
  <c r="BA129" i="4" s="1"/>
  <c r="BS129" i="4"/>
  <c r="BF129" i="4" s="1"/>
  <c r="BN131" i="4"/>
  <c r="BA131" i="4" s="1"/>
  <c r="BS131" i="4"/>
  <c r="BF131" i="4" s="1"/>
  <c r="BL164" i="4"/>
  <c r="AY164" i="4" s="1"/>
  <c r="BQ164" i="4"/>
  <c r="BD164" i="4" s="1"/>
  <c r="BK164" i="4"/>
  <c r="AX164" i="4" s="1"/>
  <c r="BQ283" i="4"/>
  <c r="BD283" i="4" s="1"/>
  <c r="BK283" i="4"/>
  <c r="BP283" i="4"/>
  <c r="BC283" i="4" s="1"/>
  <c r="AO198" i="4"/>
  <c r="AP198" i="4" s="1"/>
  <c r="AQ198" i="4" s="1"/>
  <c r="AR198" i="4"/>
  <c r="AS198" i="4" s="1"/>
  <c r="AT198" i="4" s="1"/>
  <c r="AW198" i="4"/>
  <c r="AO232" i="4"/>
  <c r="AW232" i="4"/>
  <c r="AR232" i="4"/>
  <c r="AO419" i="4"/>
  <c r="AV419" i="4"/>
  <c r="AR419" i="4"/>
  <c r="AV282" i="4"/>
  <c r="AO282" i="4"/>
  <c r="AO465" i="4"/>
  <c r="AV465" i="4"/>
  <c r="AR465" i="4"/>
  <c r="AS61" i="4"/>
  <c r="AT61" i="4" s="1"/>
  <c r="AP61" i="4"/>
  <c r="AQ61" i="4" s="1"/>
  <c r="AY124" i="4"/>
  <c r="BL473" i="4"/>
  <c r="AS147" i="4"/>
  <c r="AT147" i="4" s="1"/>
  <c r="AP147" i="4"/>
  <c r="AQ147" i="4" s="1"/>
  <c r="AS401" i="4"/>
  <c r="AT401" i="4" s="1"/>
  <c r="AP401" i="4"/>
  <c r="AQ401" i="4" s="1"/>
  <c r="AS223" i="4"/>
  <c r="AT223" i="4" s="1"/>
  <c r="AP223" i="4"/>
  <c r="AQ223" i="4" s="1"/>
  <c r="AR288" i="4"/>
  <c r="AX288" i="4"/>
  <c r="AO70" i="4"/>
  <c r="AR70" i="4"/>
  <c r="AW70" i="4"/>
  <c r="BP136" i="4"/>
  <c r="BC136" i="4" s="1"/>
  <c r="BJ136" i="4"/>
  <c r="BO136" i="4"/>
  <c r="BB136" i="4" s="1"/>
  <c r="BJ156" i="4"/>
  <c r="BO156" i="4"/>
  <c r="BT156" i="4"/>
  <c r="AO440" i="4"/>
  <c r="AY440" i="4"/>
  <c r="AO201" i="4"/>
  <c r="AW201" i="4"/>
  <c r="AR428" i="4"/>
  <c r="AX428" i="4"/>
  <c r="AV290" i="4"/>
  <c r="AO290" i="4"/>
  <c r="AR395" i="4"/>
  <c r="AW395" i="4"/>
  <c r="BS522" i="4"/>
  <c r="BF522" i="4" s="1"/>
  <c r="BO522" i="4"/>
  <c r="BB522" i="4" s="1"/>
  <c r="BK522" i="4"/>
  <c r="AX522" i="4" s="1"/>
  <c r="BR522" i="4"/>
  <c r="BE522" i="4" s="1"/>
  <c r="BN522" i="4"/>
  <c r="BA522" i="4" s="1"/>
  <c r="BJ522" i="4"/>
  <c r="AW522" i="4" s="1"/>
  <c r="BQ522" i="4"/>
  <c r="BD522" i="4" s="1"/>
  <c r="BM522" i="4"/>
  <c r="AZ522" i="4" s="1"/>
  <c r="BI522" i="4"/>
  <c r="BL522" i="4"/>
  <c r="AY522" i="4" s="1"/>
  <c r="BT522" i="4"/>
  <c r="BG522" i="4" s="1"/>
  <c r="BP522" i="4"/>
  <c r="BC522" i="4" s="1"/>
  <c r="BS430" i="4"/>
  <c r="BF430" i="4" s="1"/>
  <c r="BO430" i="4"/>
  <c r="BB430" i="4" s="1"/>
  <c r="BK430" i="4"/>
  <c r="AX430" i="4" s="1"/>
  <c r="BQ430" i="4"/>
  <c r="BD430" i="4" s="1"/>
  <c r="BM430" i="4"/>
  <c r="AZ430" i="4" s="1"/>
  <c r="BI430" i="4"/>
  <c r="BT430" i="4"/>
  <c r="BG430" i="4" s="1"/>
  <c r="BL430" i="4"/>
  <c r="AY430" i="4" s="1"/>
  <c r="BR430" i="4"/>
  <c r="BE430" i="4" s="1"/>
  <c r="BJ430" i="4"/>
  <c r="AW430" i="4" s="1"/>
  <c r="BP430" i="4"/>
  <c r="BC430" i="4" s="1"/>
  <c r="BN430" i="4"/>
  <c r="BA430" i="4" s="1"/>
  <c r="BS484" i="4"/>
  <c r="BF484" i="4" s="1"/>
  <c r="BO484" i="4"/>
  <c r="BB484" i="4" s="1"/>
  <c r="BK484" i="4"/>
  <c r="AX484" i="4" s="1"/>
  <c r="BR484" i="4"/>
  <c r="BE484" i="4" s="1"/>
  <c r="BN484" i="4"/>
  <c r="BA484" i="4" s="1"/>
  <c r="BJ484" i="4"/>
  <c r="AW484" i="4" s="1"/>
  <c r="BQ484" i="4"/>
  <c r="BD484" i="4" s="1"/>
  <c r="BM484" i="4"/>
  <c r="AZ484" i="4" s="1"/>
  <c r="BI484" i="4"/>
  <c r="BP484" i="4"/>
  <c r="BC484" i="4" s="1"/>
  <c r="BL484" i="4"/>
  <c r="AY484" i="4" s="1"/>
  <c r="BT484" i="4"/>
  <c r="BG484" i="4" s="1"/>
  <c r="BS487" i="4"/>
  <c r="BF487" i="4" s="1"/>
  <c r="BO487" i="4"/>
  <c r="BB487" i="4" s="1"/>
  <c r="BK487" i="4"/>
  <c r="BR487" i="4"/>
  <c r="BE487" i="4" s="1"/>
  <c r="BN487" i="4"/>
  <c r="BA487" i="4" s="1"/>
  <c r="BJ487" i="4"/>
  <c r="AW487" i="4" s="1"/>
  <c r="BQ487" i="4"/>
  <c r="BD487" i="4" s="1"/>
  <c r="BM487" i="4"/>
  <c r="AZ487" i="4" s="1"/>
  <c r="BI487" i="4"/>
  <c r="AV487" i="4" s="1"/>
  <c r="BT487" i="4"/>
  <c r="BG487" i="4" s="1"/>
  <c r="BP487" i="4"/>
  <c r="BC487" i="4" s="1"/>
  <c r="BL487" i="4"/>
  <c r="BS592" i="4"/>
  <c r="BF592" i="4" s="1"/>
  <c r="BO592" i="4"/>
  <c r="BB592" i="4" s="1"/>
  <c r="BK592" i="4"/>
  <c r="AX592" i="4" s="1"/>
  <c r="BR592" i="4"/>
  <c r="BE592" i="4" s="1"/>
  <c r="BN592" i="4"/>
  <c r="BA592" i="4" s="1"/>
  <c r="BJ592" i="4"/>
  <c r="BQ592" i="4"/>
  <c r="BD592" i="4" s="1"/>
  <c r="BM592" i="4"/>
  <c r="AZ592" i="4" s="1"/>
  <c r="BL592" i="4"/>
  <c r="AY592" i="4" s="1"/>
  <c r="BP592" i="4"/>
  <c r="BC592" i="4" s="1"/>
  <c r="BQ103" i="4"/>
  <c r="BD103" i="4" s="1"/>
  <c r="BM103" i="4"/>
  <c r="AZ103" i="4" s="1"/>
  <c r="AZ120" i="4" s="1"/>
  <c r="BT103" i="4"/>
  <c r="BG103" i="4" s="1"/>
  <c r="BG120" i="4" s="1"/>
  <c r="BP103" i="4"/>
  <c r="BL103" i="4"/>
  <c r="AY103" i="4" s="1"/>
  <c r="BS103" i="4"/>
  <c r="BO103" i="4"/>
  <c r="BB103" i="4" s="1"/>
  <c r="BK103" i="4"/>
  <c r="AX103" i="4" s="1"/>
  <c r="BR103" i="4"/>
  <c r="BE103" i="4" s="1"/>
  <c r="BN103" i="4"/>
  <c r="BA103" i="4" s="1"/>
  <c r="BJ103" i="4"/>
  <c r="AS94" i="4"/>
  <c r="AT94" i="4" s="1"/>
  <c r="AP94" i="4"/>
  <c r="AQ94" i="4" s="1"/>
  <c r="AP98" i="4"/>
  <c r="AQ98" i="4" s="1"/>
  <c r="AS98" i="4"/>
  <c r="AT98" i="4" s="1"/>
  <c r="BF589" i="4"/>
  <c r="AZ589" i="4"/>
  <c r="BE589" i="4"/>
  <c r="AR217" i="4"/>
  <c r="AY217" i="4"/>
  <c r="BO300" i="4"/>
  <c r="BB300" i="4" s="1"/>
  <c r="BT300" i="4"/>
  <c r="BG300" i="4" s="1"/>
  <c r="BJ300" i="4"/>
  <c r="AW300" i="4" s="1"/>
  <c r="AO420" i="4"/>
  <c r="AV420" i="4"/>
  <c r="AR420" i="4"/>
  <c r="AR439" i="4"/>
  <c r="AX439" i="4"/>
  <c r="AO439" i="4"/>
  <c r="AV439" i="4"/>
  <c r="AO231" i="4"/>
  <c r="AP231" i="4" s="1"/>
  <c r="AQ231" i="4" s="1"/>
  <c r="AY231" i="4"/>
  <c r="AO441" i="4"/>
  <c r="AP441" i="4" s="1"/>
  <c r="AQ441" i="4" s="1"/>
  <c r="AV441" i="4"/>
  <c r="AR441" i="4"/>
  <c r="AS441" i="4" s="1"/>
  <c r="AT441" i="4" s="1"/>
  <c r="AO425" i="4"/>
  <c r="AV425" i="4"/>
  <c r="AR425" i="4"/>
  <c r="BR423" i="4"/>
  <c r="BE423" i="4" s="1"/>
  <c r="BP423" i="4"/>
  <c r="BC423" i="4" s="1"/>
  <c r="BK423" i="4"/>
  <c r="AS152" i="4"/>
  <c r="AT152" i="4" s="1"/>
  <c r="AP152" i="4"/>
  <c r="AQ152" i="4" s="1"/>
  <c r="AO148" i="4"/>
  <c r="AR148" i="4"/>
  <c r="AW148" i="4"/>
  <c r="AR406" i="4"/>
  <c r="AX406" i="4"/>
  <c r="AR418" i="4"/>
  <c r="AX418" i="4"/>
  <c r="AR478" i="4"/>
  <c r="AX478" i="4"/>
  <c r="AR104" i="4"/>
  <c r="AY104" i="4"/>
  <c r="BO161" i="4"/>
  <c r="BB161" i="4" s="1"/>
  <c r="BT161" i="4"/>
  <c r="BG161" i="4" s="1"/>
  <c r="BN161" i="4"/>
  <c r="BA161" i="4" s="1"/>
  <c r="BR289" i="4"/>
  <c r="BE289" i="4" s="1"/>
  <c r="BL289" i="4"/>
  <c r="BL331" i="4" s="1"/>
  <c r="BM289" i="4"/>
  <c r="AZ289" i="4" s="1"/>
  <c r="AO226" i="4"/>
  <c r="AP226" i="4" s="1"/>
  <c r="AQ226" i="4" s="1"/>
  <c r="AX226" i="4"/>
  <c r="AR397" i="4"/>
  <c r="AX397" i="4"/>
  <c r="AR218" i="4"/>
  <c r="AY218" i="4"/>
  <c r="AS306" i="4"/>
  <c r="AT306" i="4" s="1"/>
  <c r="AP306" i="4"/>
  <c r="AQ306" i="4" s="1"/>
  <c r="AY166" i="4"/>
  <c r="AR166" i="4"/>
  <c r="AO166" i="4"/>
  <c r="AO464" i="4"/>
  <c r="AP464" i="4" s="1"/>
  <c r="AQ464" i="4" s="1"/>
  <c r="AV464" i="4"/>
  <c r="AR464" i="4"/>
  <c r="AO96" i="4"/>
  <c r="AW96" i="4"/>
  <c r="AR96" i="4"/>
  <c r="AY477" i="4"/>
  <c r="BD477" i="4"/>
  <c r="AX477" i="4"/>
  <c r="BB337" i="4"/>
  <c r="BG337" i="4"/>
  <c r="BA337" i="4"/>
  <c r="BM129" i="4"/>
  <c r="BR129" i="4"/>
  <c r="BE129" i="4" s="1"/>
  <c r="BM131" i="4"/>
  <c r="AZ131" i="4" s="1"/>
  <c r="BR131" i="4"/>
  <c r="BE131" i="4" s="1"/>
  <c r="BL131" i="4"/>
  <c r="AY131" i="4" s="1"/>
  <c r="BP164" i="4"/>
  <c r="BC164" i="4" s="1"/>
  <c r="BJ164" i="4"/>
  <c r="BO164" i="4"/>
  <c r="BB164" i="4" s="1"/>
  <c r="BJ283" i="4"/>
  <c r="AW283" i="4" s="1"/>
  <c r="AW331" i="4" s="1"/>
  <c r="BO283" i="4"/>
  <c r="BT283" i="4"/>
  <c r="BG283" i="4" s="1"/>
  <c r="AO301" i="4"/>
  <c r="AR301" i="4"/>
  <c r="AV301" i="4"/>
  <c r="AO491" i="4"/>
  <c r="AV491" i="4"/>
  <c r="AV392" i="4"/>
  <c r="AR392" i="4"/>
  <c r="AO392" i="4"/>
  <c r="AO303" i="4"/>
  <c r="AY303" i="4"/>
  <c r="BE124" i="4"/>
  <c r="AO269" i="4"/>
  <c r="AV269" i="4"/>
  <c r="AR269" i="4"/>
  <c r="AR159" i="4"/>
  <c r="AY159" i="4"/>
  <c r="BT136" i="4"/>
  <c r="BG136" i="4" s="1"/>
  <c r="BN136" i="4"/>
  <c r="BA136" i="4" s="1"/>
  <c r="BS136" i="4"/>
  <c r="BF136" i="4" s="1"/>
  <c r="BN156" i="4"/>
  <c r="BS156" i="4"/>
  <c r="BF156" i="4" s="1"/>
  <c r="AO215" i="4"/>
  <c r="AW215" i="4"/>
  <c r="AO200" i="4"/>
  <c r="AP200" i="4" s="1"/>
  <c r="AQ200" i="4" s="1"/>
  <c r="AW200" i="4"/>
  <c r="AR200" i="4"/>
  <c r="AR440" i="4"/>
  <c r="AX440" i="4"/>
  <c r="AW227" i="4"/>
  <c r="AR227" i="4"/>
  <c r="AO227" i="4"/>
  <c r="AV395" i="4"/>
  <c r="AO395" i="4"/>
  <c r="AR292" i="4"/>
  <c r="AX292" i="4"/>
  <c r="BS541" i="4"/>
  <c r="BO541" i="4"/>
  <c r="BK541" i="4"/>
  <c r="BR541" i="4"/>
  <c r="BN541" i="4"/>
  <c r="BJ541" i="4"/>
  <c r="BQ541" i="4"/>
  <c r="BM541" i="4"/>
  <c r="BI541" i="4"/>
  <c r="BL541" i="4"/>
  <c r="BT541" i="4"/>
  <c r="BP541" i="4"/>
  <c r="Q289" i="2"/>
  <c r="BT396" i="4"/>
  <c r="BP396" i="4"/>
  <c r="BL396" i="4"/>
  <c r="BS396" i="4"/>
  <c r="BF396" i="4" s="1"/>
  <c r="BF457" i="4" s="1"/>
  <c r="BO396" i="4"/>
  <c r="BK396" i="4"/>
  <c r="BR396" i="4"/>
  <c r="BN396" i="4"/>
  <c r="BA396" i="4" s="1"/>
  <c r="BJ396" i="4"/>
  <c r="BQ396" i="4"/>
  <c r="BM396" i="4"/>
  <c r="BI396" i="4"/>
  <c r="BI457" i="4" s="1"/>
  <c r="BS400" i="4"/>
  <c r="BF400" i="4" s="1"/>
  <c r="BO400" i="4"/>
  <c r="BB400" i="4" s="1"/>
  <c r="BK400" i="4"/>
  <c r="BR400" i="4"/>
  <c r="BE400" i="4" s="1"/>
  <c r="BN400" i="4"/>
  <c r="BA400" i="4" s="1"/>
  <c r="BJ400" i="4"/>
  <c r="AW400" i="4" s="1"/>
  <c r="BQ400" i="4"/>
  <c r="BD400" i="4" s="1"/>
  <c r="BM400" i="4"/>
  <c r="AZ400" i="4" s="1"/>
  <c r="BI400" i="4"/>
  <c r="BT400" i="4"/>
  <c r="BG400" i="4" s="1"/>
  <c r="BP400" i="4"/>
  <c r="BC400" i="4" s="1"/>
  <c r="BL400" i="4"/>
  <c r="AY400" i="4" s="1"/>
  <c r="BQ523" i="4"/>
  <c r="BD523" i="4" s="1"/>
  <c r="BM523" i="4"/>
  <c r="AZ523" i="4" s="1"/>
  <c r="BI523" i="4"/>
  <c r="BT523" i="4"/>
  <c r="BG523" i="4" s="1"/>
  <c r="BP523" i="4"/>
  <c r="BC523" i="4" s="1"/>
  <c r="BL523" i="4"/>
  <c r="AY523" i="4" s="1"/>
  <c r="BS523" i="4"/>
  <c r="BF523" i="4" s="1"/>
  <c r="BO523" i="4"/>
  <c r="BB523" i="4" s="1"/>
  <c r="BK523" i="4"/>
  <c r="AX523" i="4" s="1"/>
  <c r="BN523" i="4"/>
  <c r="BA523" i="4" s="1"/>
  <c r="BJ523" i="4"/>
  <c r="AW523" i="4" s="1"/>
  <c r="BR523" i="4"/>
  <c r="BE523" i="4" s="1"/>
  <c r="BT105" i="4"/>
  <c r="BG105" i="4" s="1"/>
  <c r="BP105" i="4"/>
  <c r="BC105" i="4" s="1"/>
  <c r="BL105" i="4"/>
  <c r="AY105" i="4" s="1"/>
  <c r="BS105" i="4"/>
  <c r="BF105" i="4" s="1"/>
  <c r="BO105" i="4"/>
  <c r="BB105" i="4" s="1"/>
  <c r="BK105" i="4"/>
  <c r="AX105" i="4" s="1"/>
  <c r="BR105" i="4"/>
  <c r="BE105" i="4" s="1"/>
  <c r="BN105" i="4"/>
  <c r="BA105" i="4" s="1"/>
  <c r="BJ105" i="4"/>
  <c r="BQ105" i="4"/>
  <c r="BD105" i="4" s="1"/>
  <c r="BD120" i="4" s="1"/>
  <c r="BM105" i="4"/>
  <c r="AZ105" i="4" s="1"/>
  <c r="BT111" i="4"/>
  <c r="BG111" i="4" s="1"/>
  <c r="BP111" i="4"/>
  <c r="BC111" i="4" s="1"/>
  <c r="BL111" i="4"/>
  <c r="AY111" i="4" s="1"/>
  <c r="BS111" i="4"/>
  <c r="BF111" i="4" s="1"/>
  <c r="BO111" i="4"/>
  <c r="BB111" i="4" s="1"/>
  <c r="BK111" i="4"/>
  <c r="AX111" i="4" s="1"/>
  <c r="BR111" i="4"/>
  <c r="BE111" i="4" s="1"/>
  <c r="BN111" i="4"/>
  <c r="BA111" i="4" s="1"/>
  <c r="BJ111" i="4"/>
  <c r="BQ111" i="4"/>
  <c r="BD111" i="4" s="1"/>
  <c r="BM111" i="4"/>
  <c r="AZ111" i="4" s="1"/>
  <c r="BS596" i="4"/>
  <c r="BF596" i="4" s="1"/>
  <c r="BO596" i="4"/>
  <c r="BB596" i="4" s="1"/>
  <c r="BK596" i="4"/>
  <c r="AX596" i="4" s="1"/>
  <c r="BR596" i="4"/>
  <c r="BE596" i="4" s="1"/>
  <c r="BN596" i="4"/>
  <c r="BA596" i="4" s="1"/>
  <c r="BJ596" i="4"/>
  <c r="BQ596" i="4"/>
  <c r="BD596" i="4" s="1"/>
  <c r="BM596" i="4"/>
  <c r="AZ596" i="4" s="1"/>
  <c r="BL596" i="4"/>
  <c r="AY596" i="4" s="1"/>
  <c r="BP596" i="4"/>
  <c r="BC596" i="4" s="1"/>
  <c r="BF124" i="4"/>
  <c r="BF143" i="4" s="1"/>
  <c r="BS143" i="4"/>
  <c r="AP280" i="4"/>
  <c r="AQ280" i="4" s="1"/>
  <c r="AS280" i="4"/>
  <c r="AT280" i="4" s="1"/>
  <c r="AS387" i="4"/>
  <c r="AT387" i="4" s="1"/>
  <c r="AP387" i="4"/>
  <c r="AQ387" i="4" s="1"/>
  <c r="AS127" i="4"/>
  <c r="AT127" i="4" s="1"/>
  <c r="AS224" i="4"/>
  <c r="AT224" i="4" s="1"/>
  <c r="AP224" i="4"/>
  <c r="AQ224" i="4" s="1"/>
  <c r="AO424" i="4"/>
  <c r="AY424" i="4"/>
  <c r="BK606" i="4"/>
  <c r="AX589" i="4"/>
  <c r="AX606" i="4" s="1"/>
  <c r="BQ606" i="4"/>
  <c r="BD589" i="4"/>
  <c r="BD606" i="4" s="1"/>
  <c r="AO163" i="4"/>
  <c r="AZ163" i="4"/>
  <c r="AR163" i="4"/>
  <c r="AY163" i="4"/>
  <c r="BS300" i="4"/>
  <c r="BF300" i="4" s="1"/>
  <c r="BI300" i="4"/>
  <c r="BN300" i="4"/>
  <c r="BA300" i="4" s="1"/>
  <c r="AX102" i="4"/>
  <c r="AR102" i="4"/>
  <c r="AO102" i="4"/>
  <c r="AO299" i="4"/>
  <c r="AP299" i="4" s="1"/>
  <c r="AQ299" i="4" s="1"/>
  <c r="AV299" i="4"/>
  <c r="AR299" i="4"/>
  <c r="AO312" i="4"/>
  <c r="AV312" i="4"/>
  <c r="AR312" i="4"/>
  <c r="BL423" i="4"/>
  <c r="AY423" i="4" s="1"/>
  <c r="BI423" i="4"/>
  <c r="BO423" i="4"/>
  <c r="BB423" i="4" s="1"/>
  <c r="AR492" i="4"/>
  <c r="AV492" i="4"/>
  <c r="BL120" i="4"/>
  <c r="BG124" i="4"/>
  <c r="BG143" i="4" s="1"/>
  <c r="BT143" i="4"/>
  <c r="AS213" i="4"/>
  <c r="AT213" i="4" s="1"/>
  <c r="AP213" i="4"/>
  <c r="AQ213" i="4" s="1"/>
  <c r="AS403" i="4"/>
  <c r="AT403" i="4" s="1"/>
  <c r="AP403" i="4"/>
  <c r="AQ403" i="4" s="1"/>
  <c r="AS268" i="4"/>
  <c r="AT268" i="4" s="1"/>
  <c r="AP268" i="4"/>
  <c r="AQ268" i="4" s="1"/>
  <c r="AS408" i="4"/>
  <c r="AT408" i="4" s="1"/>
  <c r="AP408" i="4"/>
  <c r="AQ408" i="4" s="1"/>
  <c r="AS462" i="4"/>
  <c r="AT462" i="4" s="1"/>
  <c r="AP462" i="4"/>
  <c r="AQ462" i="4" s="1"/>
  <c r="AS413" i="4"/>
  <c r="AT413" i="4" s="1"/>
  <c r="AP413" i="4"/>
  <c r="AQ413" i="4" s="1"/>
  <c r="AV406" i="4"/>
  <c r="AO406" i="4"/>
  <c r="AW104" i="4"/>
  <c r="AO104" i="4"/>
  <c r="BS161" i="4"/>
  <c r="BF161" i="4" s="1"/>
  <c r="BM161" i="4"/>
  <c r="AZ161" i="4" s="1"/>
  <c r="BR161" i="4"/>
  <c r="BE161" i="4" s="1"/>
  <c r="BK289" i="4"/>
  <c r="BP289" i="4"/>
  <c r="BC289" i="4" s="1"/>
  <c r="BQ289" i="4"/>
  <c r="BD289" i="4" s="1"/>
  <c r="AW226" i="4"/>
  <c r="AR226" i="4"/>
  <c r="AS226" i="4" s="1"/>
  <c r="AT226" i="4" s="1"/>
  <c r="AV320" i="4"/>
  <c r="AO320" i="4"/>
  <c r="AP320" i="4" s="1"/>
  <c r="AQ320" i="4" s="1"/>
  <c r="AR320" i="4"/>
  <c r="BE120" i="4"/>
  <c r="BB120" i="4"/>
  <c r="AZ218" i="1"/>
  <c r="AR218" i="1"/>
  <c r="AO218" i="1"/>
  <c r="AS218" i="1" s="1"/>
  <c r="AT218" i="1" s="1"/>
  <c r="AR197" i="4"/>
  <c r="AY197" i="4"/>
  <c r="AS153" i="4"/>
  <c r="AT153" i="4" s="1"/>
  <c r="AP153" i="4"/>
  <c r="AQ153" i="4" s="1"/>
  <c r="AS270" i="4"/>
  <c r="AT270" i="4" s="1"/>
  <c r="AP270" i="4"/>
  <c r="AQ270" i="4" s="1"/>
  <c r="AS66" i="4"/>
  <c r="AT66" i="4" s="1"/>
  <c r="AP66" i="4"/>
  <c r="AQ66" i="4" s="1"/>
  <c r="AS391" i="4"/>
  <c r="AT391" i="4" s="1"/>
  <c r="AP391" i="4"/>
  <c r="AQ391" i="4" s="1"/>
  <c r="AV390" i="4"/>
  <c r="AR390" i="4"/>
  <c r="AO284" i="4"/>
  <c r="AV284" i="4"/>
  <c r="AR284" i="4"/>
  <c r="BC477" i="4"/>
  <c r="AW477" i="4"/>
  <c r="BB477" i="4"/>
  <c r="BF337" i="4"/>
  <c r="AZ337" i="4"/>
  <c r="BE337" i="4"/>
  <c r="AR73" i="4"/>
  <c r="AY73" i="4"/>
  <c r="BL129" i="4"/>
  <c r="AY129" i="4" s="1"/>
  <c r="BQ129" i="4"/>
  <c r="BD129" i="4" s="1"/>
  <c r="BK129" i="4"/>
  <c r="AX129" i="4" s="1"/>
  <c r="BQ131" i="4"/>
  <c r="BD131" i="4" s="1"/>
  <c r="BK131" i="4"/>
  <c r="AX131" i="4" s="1"/>
  <c r="BP131" i="4"/>
  <c r="BC131" i="4" s="1"/>
  <c r="BT164" i="4"/>
  <c r="BG164" i="4" s="1"/>
  <c r="BN164" i="4"/>
  <c r="BA164" i="4" s="1"/>
  <c r="BS164" i="4"/>
  <c r="BF164" i="4" s="1"/>
  <c r="BI283" i="4"/>
  <c r="BN283" i="4"/>
  <c r="BS283" i="4"/>
  <c r="AR427" i="4"/>
  <c r="AX427" i="4"/>
  <c r="AO214" i="4"/>
  <c r="AP214" i="4" s="1"/>
  <c r="AQ214" i="4" s="1"/>
  <c r="AR214" i="4"/>
  <c r="AW214" i="4"/>
  <c r="AR199" i="4"/>
  <c r="AY199" i="4"/>
  <c r="AR282" i="4"/>
  <c r="AX282" i="4"/>
  <c r="AO348" i="4"/>
  <c r="AR348" i="4"/>
  <c r="AW348" i="4"/>
  <c r="AO399" i="4"/>
  <c r="AV399" i="4"/>
  <c r="AR399" i="4"/>
  <c r="AR303" i="4"/>
  <c r="AX303" i="4"/>
  <c r="BA120" i="4"/>
  <c r="AX120" i="4"/>
  <c r="AS210" i="4"/>
  <c r="AT210" i="4" s="1"/>
  <c r="AP210" i="4"/>
  <c r="AQ210" i="4" s="1"/>
  <c r="BK331" i="4"/>
  <c r="BN473" i="4"/>
  <c r="BM473" i="4"/>
  <c r="BF242" i="4"/>
  <c r="AS409" i="4"/>
  <c r="AT409" i="4" s="1"/>
  <c r="AP409" i="4"/>
  <c r="AQ409" i="4" s="1"/>
  <c r="AS386" i="4"/>
  <c r="AT386" i="4" s="1"/>
  <c r="AP386" i="4"/>
  <c r="AQ386" i="4" s="1"/>
  <c r="AP402" i="4"/>
  <c r="AQ402" i="4" s="1"/>
  <c r="AS402" i="4"/>
  <c r="AT402" i="4" s="1"/>
  <c r="AS489" i="4"/>
  <c r="AT489" i="4" s="1"/>
  <c r="AP489" i="4"/>
  <c r="AQ489" i="4" s="1"/>
  <c r="AV288" i="4"/>
  <c r="AO288" i="4"/>
  <c r="AO79" i="4"/>
  <c r="AR79" i="4"/>
  <c r="AW79" i="4"/>
  <c r="AW159" i="4"/>
  <c r="AO159" i="4"/>
  <c r="BM136" i="4"/>
  <c r="AZ136" i="4" s="1"/>
  <c r="BR136" i="4"/>
  <c r="BE136" i="4" s="1"/>
  <c r="BM156" i="4"/>
  <c r="AZ156" i="4" s="1"/>
  <c r="BR156" i="4"/>
  <c r="BE156" i="4" s="1"/>
  <c r="BE242" i="4" s="1"/>
  <c r="BL156" i="4"/>
  <c r="AY156" i="4" s="1"/>
  <c r="AY158" i="4"/>
  <c r="AO158" i="4"/>
  <c r="AR158" i="4"/>
  <c r="AR201" i="4"/>
  <c r="AY201" i="4"/>
  <c r="AO428" i="4"/>
  <c r="AY428" i="4"/>
  <c r="AR290" i="4"/>
  <c r="AX290" i="4"/>
  <c r="AO286" i="4"/>
  <c r="AP286" i="4" s="1"/>
  <c r="AQ286" i="4" s="1"/>
  <c r="AV286" i="4"/>
  <c r="AR286" i="4"/>
  <c r="BQ62" i="4"/>
  <c r="BM62" i="4"/>
  <c r="BT62" i="4"/>
  <c r="BP62" i="4"/>
  <c r="BL62" i="4"/>
  <c r="BS62" i="4"/>
  <c r="BO62" i="4"/>
  <c r="BK62" i="4"/>
  <c r="BR62" i="4"/>
  <c r="BN62" i="4"/>
  <c r="BJ62" i="4"/>
  <c r="W289" i="2"/>
  <c r="BS398" i="4"/>
  <c r="BF398" i="4" s="1"/>
  <c r="BO398" i="4"/>
  <c r="BB398" i="4" s="1"/>
  <c r="BK398" i="4"/>
  <c r="AX398" i="4" s="1"/>
  <c r="BR398" i="4"/>
  <c r="BE398" i="4" s="1"/>
  <c r="BN398" i="4"/>
  <c r="BA398" i="4" s="1"/>
  <c r="BJ398" i="4"/>
  <c r="AW398" i="4" s="1"/>
  <c r="BQ398" i="4"/>
  <c r="BD398" i="4" s="1"/>
  <c r="BM398" i="4"/>
  <c r="AZ398" i="4" s="1"/>
  <c r="BI398" i="4"/>
  <c r="BT398" i="4"/>
  <c r="BG398" i="4" s="1"/>
  <c r="BP398" i="4"/>
  <c r="BC398" i="4" s="1"/>
  <c r="BL398" i="4"/>
  <c r="AY398" i="4" s="1"/>
  <c r="BS345" i="4"/>
  <c r="BF345" i="4" s="1"/>
  <c r="BO345" i="4"/>
  <c r="BB345" i="4" s="1"/>
  <c r="BK345" i="4"/>
  <c r="AX345" i="4" s="1"/>
  <c r="BR345" i="4"/>
  <c r="BE345" i="4" s="1"/>
  <c r="BN345" i="4"/>
  <c r="BA345" i="4" s="1"/>
  <c r="BJ345" i="4"/>
  <c r="BJ360" i="4" s="1"/>
  <c r="BQ345" i="4"/>
  <c r="BD345" i="4" s="1"/>
  <c r="BM345" i="4"/>
  <c r="AZ345" i="4" s="1"/>
  <c r="BT345" i="4"/>
  <c r="BG345" i="4" s="1"/>
  <c r="BP345" i="4"/>
  <c r="BC345" i="4" s="1"/>
  <c r="BL345" i="4"/>
  <c r="AY345" i="4" s="1"/>
  <c r="BR483" i="4"/>
  <c r="BE483" i="4" s="1"/>
  <c r="BN483" i="4"/>
  <c r="BA483" i="4" s="1"/>
  <c r="BJ483" i="4"/>
  <c r="AW483" i="4" s="1"/>
  <c r="BQ483" i="4"/>
  <c r="BD483" i="4" s="1"/>
  <c r="BM483" i="4"/>
  <c r="AZ483" i="4" s="1"/>
  <c r="BI483" i="4"/>
  <c r="AV483" i="4" s="1"/>
  <c r="BT483" i="4"/>
  <c r="BG483" i="4" s="1"/>
  <c r="BP483" i="4"/>
  <c r="BC483" i="4" s="1"/>
  <c r="BL483" i="4"/>
  <c r="BO483" i="4"/>
  <c r="BB483" i="4" s="1"/>
  <c r="BK483" i="4"/>
  <c r="BS483" i="4"/>
  <c r="BF483" i="4" s="1"/>
  <c r="BT354" i="4"/>
  <c r="BG354" i="4" s="1"/>
  <c r="BP354" i="4"/>
  <c r="BC354" i="4" s="1"/>
  <c r="BL354" i="4"/>
  <c r="AY354" i="4" s="1"/>
  <c r="BS354" i="4"/>
  <c r="BF354" i="4" s="1"/>
  <c r="BO354" i="4"/>
  <c r="BB354" i="4" s="1"/>
  <c r="BK354" i="4"/>
  <c r="AX354" i="4" s="1"/>
  <c r="BR354" i="4"/>
  <c r="BE354" i="4" s="1"/>
  <c r="BN354" i="4"/>
  <c r="BA354" i="4" s="1"/>
  <c r="BJ354" i="4"/>
  <c r="BQ354" i="4"/>
  <c r="BD354" i="4" s="1"/>
  <c r="BM354" i="4"/>
  <c r="AZ354" i="4" s="1"/>
  <c r="BA124" i="4"/>
  <c r="BA143" i="4" s="1"/>
  <c r="BN143" i="4"/>
  <c r="AS192" i="4"/>
  <c r="AT192" i="4" s="1"/>
  <c r="BL606" i="4"/>
  <c r="AY589" i="4"/>
  <c r="AY606" i="4" s="1"/>
  <c r="BJ606" i="4"/>
  <c r="AO589" i="4"/>
  <c r="AR589" i="4"/>
  <c r="AW589" i="4"/>
  <c r="AO217" i="4"/>
  <c r="AW217" i="4"/>
  <c r="BL300" i="4"/>
  <c r="AY300" i="4" s="1"/>
  <c r="BM300" i="4"/>
  <c r="AZ300" i="4" s="1"/>
  <c r="AX71" i="4"/>
  <c r="AO71" i="4"/>
  <c r="AR71" i="4"/>
  <c r="AR130" i="4"/>
  <c r="AX130" i="4"/>
  <c r="AO130" i="4"/>
  <c r="AW231" i="4"/>
  <c r="AR231" i="4"/>
  <c r="AS231" i="4" s="1"/>
  <c r="AT231" i="4" s="1"/>
  <c r="AO314" i="4"/>
  <c r="AR314" i="4"/>
  <c r="AV314" i="4"/>
  <c r="BT423" i="4"/>
  <c r="BG423" i="4" s="1"/>
  <c r="BM423" i="4"/>
  <c r="AZ423" i="4" s="1"/>
  <c r="AO492" i="4"/>
  <c r="AY492" i="4"/>
  <c r="AY120" i="4"/>
  <c r="BB124" i="4"/>
  <c r="BB143" i="4" s="1"/>
  <c r="AV478" i="4"/>
  <c r="AO478" i="4"/>
  <c r="AO155" i="4"/>
  <c r="AP155" i="4" s="1"/>
  <c r="AQ155" i="4" s="1"/>
  <c r="AW155" i="4"/>
  <c r="AR155" i="4"/>
  <c r="BL161" i="4"/>
  <c r="AY161" i="4" s="1"/>
  <c r="BQ161" i="4"/>
  <c r="BD161" i="4" s="1"/>
  <c r="BJ289" i="4"/>
  <c r="AW289" i="4" s="1"/>
  <c r="BO289" i="4"/>
  <c r="BB289" i="4" s="1"/>
  <c r="BT289" i="4"/>
  <c r="BG289" i="4" s="1"/>
  <c r="AO230" i="4"/>
  <c r="AW230" i="4"/>
  <c r="AR230" i="4"/>
  <c r="AO438" i="4"/>
  <c r="AR438" i="4"/>
  <c r="AV438" i="4"/>
  <c r="AO422" i="4"/>
  <c r="AR422" i="4"/>
  <c r="AV422" i="4"/>
  <c r="BM120" i="4"/>
  <c r="BC124" i="4"/>
  <c r="AO218" i="4"/>
  <c r="AW218" i="4"/>
  <c r="BG331" i="4"/>
  <c r="BJ331" i="4"/>
  <c r="AW197" i="4"/>
  <c r="AO197" i="4"/>
  <c r="AR388" i="4"/>
  <c r="AV388" i="4"/>
  <c r="AO388" i="4"/>
  <c r="AO477" i="4"/>
  <c r="AV477" i="4"/>
  <c r="AR477" i="4"/>
  <c r="BA477" i="4"/>
  <c r="BF477" i="4"/>
  <c r="AY337" i="4"/>
  <c r="AY360" i="4" s="1"/>
  <c r="BL360" i="4"/>
  <c r="BD337" i="4"/>
  <c r="BD360" i="4" s="1"/>
  <c r="BQ360" i="4"/>
  <c r="AW110" i="4"/>
  <c r="AR110" i="4"/>
  <c r="AO110" i="4"/>
  <c r="BP129" i="4"/>
  <c r="BC129" i="4" s="1"/>
  <c r="BJ129" i="4"/>
  <c r="BJ131" i="4"/>
  <c r="BO131" i="4"/>
  <c r="BB131" i="4" s="1"/>
  <c r="BM164" i="4"/>
  <c r="AZ164" i="4" s="1"/>
  <c r="BR164" i="4"/>
  <c r="BE164" i="4" s="1"/>
  <c r="AO219" i="4"/>
  <c r="AP219" i="4" s="1"/>
  <c r="AQ219" i="4" s="1"/>
  <c r="AW219" i="4"/>
  <c r="AR219" i="4"/>
  <c r="AS219" i="4" s="1"/>
  <c r="AT219" i="4" s="1"/>
  <c r="BM283" i="4"/>
  <c r="BR283" i="4"/>
  <c r="AV427" i="4"/>
  <c r="AO427" i="4"/>
  <c r="AW199" i="4"/>
  <c r="AO199" i="4"/>
  <c r="AR491" i="4"/>
  <c r="AX491" i="4"/>
  <c r="BT120" i="4"/>
  <c r="BD124" i="4"/>
  <c r="BD143" i="4" s="1"/>
  <c r="AS195" i="4"/>
  <c r="AT195" i="4" s="1"/>
  <c r="AP195" i="4"/>
  <c r="AQ195" i="4" s="1"/>
  <c r="BC331" i="4"/>
  <c r="BD331" i="4"/>
  <c r="AS151" i="4"/>
  <c r="AT151" i="4" s="1"/>
  <c r="AP151" i="4"/>
  <c r="AQ151" i="4" s="1"/>
  <c r="BA473" i="4"/>
  <c r="AZ473" i="4"/>
  <c r="AZ242" i="4"/>
  <c r="BA457" i="4"/>
  <c r="AO225" i="4"/>
  <c r="AW225" i="4"/>
  <c r="AR225" i="4"/>
  <c r="BL136" i="4"/>
  <c r="AY136" i="4" s="1"/>
  <c r="BQ136" i="4"/>
  <c r="BD136" i="4" s="1"/>
  <c r="BQ156" i="4"/>
  <c r="BD156" i="4" s="1"/>
  <c r="BD242" i="4" s="1"/>
  <c r="BK156" i="4"/>
  <c r="BP156" i="4"/>
  <c r="AR215" i="4"/>
  <c r="AY215" i="4"/>
  <c r="AY242" i="4" s="1"/>
  <c r="AO196" i="4"/>
  <c r="AP196" i="4" s="1"/>
  <c r="AQ196" i="4" s="1"/>
  <c r="AR196" i="4"/>
  <c r="AS196" i="4" s="1"/>
  <c r="AT196" i="4" s="1"/>
  <c r="AW196" i="4"/>
  <c r="AO426" i="4"/>
  <c r="AV426" i="4"/>
  <c r="AR426" i="4"/>
  <c r="AO468" i="4"/>
  <c r="AP468" i="4" s="1"/>
  <c r="AQ468" i="4" s="1"/>
  <c r="AV468" i="4"/>
  <c r="AV473" i="4" s="1"/>
  <c r="AR468" i="4"/>
  <c r="AS468" i="4" s="1"/>
  <c r="AT468" i="4" s="1"/>
  <c r="AV292" i="4"/>
  <c r="AO292" i="4"/>
  <c r="BR481" i="1"/>
  <c r="BE481" i="1" s="1"/>
  <c r="BK423" i="1"/>
  <c r="AX423" i="1" s="1"/>
  <c r="BS345" i="1"/>
  <c r="BF345" i="1" s="1"/>
  <c r="Z283" i="2"/>
  <c r="BQ430" i="1"/>
  <c r="BD430" i="1" s="1"/>
  <c r="V295" i="2"/>
  <c r="BK161" i="1"/>
  <c r="U179" i="2"/>
  <c r="AA197" i="2"/>
  <c r="BQ443" i="1"/>
  <c r="BD443" i="1" s="1"/>
  <c r="BK443" i="1"/>
  <c r="AX443" i="1" s="1"/>
  <c r="BP443" i="1"/>
  <c r="BC443" i="1" s="1"/>
  <c r="BS430" i="1"/>
  <c r="BF430" i="1" s="1"/>
  <c r="W283" i="2"/>
  <c r="B180" i="2"/>
  <c r="BJ62" i="1"/>
  <c r="BK62" i="1"/>
  <c r="BO62" i="1"/>
  <c r="BB62" i="1" s="1"/>
  <c r="BS62" i="1"/>
  <c r="BM62" i="1"/>
  <c r="BQ62" i="1"/>
  <c r="BN62" i="1"/>
  <c r="BL62" i="1"/>
  <c r="BP62" i="1"/>
  <c r="BT62" i="1"/>
  <c r="BR62" i="1"/>
  <c r="BE62" i="1" s="1"/>
  <c r="BP283" i="1"/>
  <c r="BC283" i="1" s="1"/>
  <c r="V157" i="2"/>
  <c r="AF566" i="1"/>
  <c r="V259" i="2"/>
  <c r="BN164" i="1"/>
  <c r="BA164" i="1" s="1"/>
  <c r="BJ161" i="1"/>
  <c r="BR81" i="1"/>
  <c r="BE81" i="1" s="1"/>
  <c r="BN81" i="1"/>
  <c r="BA81" i="1" s="1"/>
  <c r="BJ81" i="1"/>
  <c r="BP81" i="1"/>
  <c r="BC81" i="1" s="1"/>
  <c r="BL81" i="1"/>
  <c r="AY81" i="1" s="1"/>
  <c r="BO81" i="1"/>
  <c r="BB81" i="1" s="1"/>
  <c r="BQ81" i="1"/>
  <c r="BD81" i="1" s="1"/>
  <c r="BM81" i="1"/>
  <c r="AZ81" i="1" s="1"/>
  <c r="BT81" i="1"/>
  <c r="BG81" i="1" s="1"/>
  <c r="BS81" i="1"/>
  <c r="BF81" i="1" s="1"/>
  <c r="BK81" i="1"/>
  <c r="AX81" i="1" s="1"/>
  <c r="V77" i="2"/>
  <c r="BQ345" i="1"/>
  <c r="BD345" i="1" s="1"/>
  <c r="BI443" i="1"/>
  <c r="BN443" i="1"/>
  <c r="BA443" i="1" s="1"/>
  <c r="BS443" i="1"/>
  <c r="BF443" i="1" s="1"/>
  <c r="S283" i="2"/>
  <c r="BR430" i="1"/>
  <c r="BE430" i="1" s="1"/>
  <c r="BI430" i="1"/>
  <c r="S293" i="2"/>
  <c r="V243" i="2"/>
  <c r="BI487" i="1"/>
  <c r="AV487" i="1" s="1"/>
  <c r="W179" i="2"/>
  <c r="AA276" i="2"/>
  <c r="U283" i="2"/>
  <c r="BK164" i="1"/>
  <c r="AX164" i="1" s="1"/>
  <c r="BQ161" i="1"/>
  <c r="BD161" i="1" s="1"/>
  <c r="BL161" i="1"/>
  <c r="AY161" i="1" s="1"/>
  <c r="BM103" i="1"/>
  <c r="AZ103" i="1" s="1"/>
  <c r="BQ103" i="1"/>
  <c r="BD103" i="1" s="1"/>
  <c r="BP103" i="1"/>
  <c r="BC103" i="1" s="1"/>
  <c r="BT103" i="1"/>
  <c r="BG103" i="1" s="1"/>
  <c r="BN103" i="1"/>
  <c r="BA103" i="1" s="1"/>
  <c r="BR103" i="1"/>
  <c r="BE103" i="1" s="1"/>
  <c r="BK103" i="1"/>
  <c r="AX103" i="1" s="1"/>
  <c r="BO103" i="1"/>
  <c r="BB103" i="1" s="1"/>
  <c r="BS103" i="1"/>
  <c r="BF103" i="1" s="1"/>
  <c r="BL103" i="1"/>
  <c r="AY103" i="1" s="1"/>
  <c r="BJ103" i="1"/>
  <c r="AV390" i="1"/>
  <c r="AR390" i="1"/>
  <c r="AO390" i="1"/>
  <c r="AS390" i="1" s="1"/>
  <c r="AT390" i="1" s="1"/>
  <c r="AO96" i="1"/>
  <c r="BM443" i="1"/>
  <c r="AZ443" i="1" s="1"/>
  <c r="BR443" i="1"/>
  <c r="BE443" i="1" s="1"/>
  <c r="BK430" i="1"/>
  <c r="AX430" i="1" s="1"/>
  <c r="BT105" i="1"/>
  <c r="BG105" i="1" s="1"/>
  <c r="BM105" i="1"/>
  <c r="AZ105" i="1" s="1"/>
  <c r="BQ105" i="1"/>
  <c r="BD105" i="1" s="1"/>
  <c r="BO105" i="1"/>
  <c r="BB105" i="1" s="1"/>
  <c r="BL105" i="1"/>
  <c r="AY105" i="1" s="1"/>
  <c r="BP105" i="1"/>
  <c r="BC105" i="1" s="1"/>
  <c r="BN105" i="1"/>
  <c r="BA105" i="1" s="1"/>
  <c r="BR105" i="1"/>
  <c r="BE105" i="1" s="1"/>
  <c r="BK105" i="1"/>
  <c r="AX105" i="1" s="1"/>
  <c r="BS105" i="1"/>
  <c r="BF105" i="1" s="1"/>
  <c r="BJ105" i="1"/>
  <c r="V276" i="2"/>
  <c r="V175" i="2"/>
  <c r="BT111" i="1"/>
  <c r="BG111" i="1" s="1"/>
  <c r="BK111" i="1"/>
  <c r="AX111" i="1" s="1"/>
  <c r="BO111" i="1"/>
  <c r="BB111" i="1" s="1"/>
  <c r="BS111" i="1"/>
  <c r="BF111" i="1" s="1"/>
  <c r="BQ111" i="1"/>
  <c r="BD111" i="1" s="1"/>
  <c r="BN111" i="1"/>
  <c r="BA111" i="1" s="1"/>
  <c r="BL111" i="1"/>
  <c r="AY111" i="1" s="1"/>
  <c r="BP111" i="1"/>
  <c r="BC111" i="1" s="1"/>
  <c r="BJ111" i="1"/>
  <c r="BM111" i="1"/>
  <c r="AZ111" i="1" s="1"/>
  <c r="BR111" i="1"/>
  <c r="BE111" i="1" s="1"/>
  <c r="U302" i="2"/>
  <c r="BR345" i="1"/>
  <c r="BE345" i="1" s="1"/>
  <c r="V277" i="2"/>
  <c r="BI483" i="1"/>
  <c r="BT161" i="1"/>
  <c r="BG161" i="1" s="1"/>
  <c r="BP161" i="1"/>
  <c r="AA176" i="2"/>
  <c r="AS268" i="1"/>
  <c r="AT268" i="1" s="1"/>
  <c r="AS94" i="1"/>
  <c r="AT94" i="1" s="1"/>
  <c r="AJ566" i="1"/>
  <c r="AS147" i="1"/>
  <c r="AT147" i="1" s="1"/>
  <c r="AS451" i="1"/>
  <c r="AT451" i="1" s="1"/>
  <c r="AS401" i="1"/>
  <c r="AT401" i="1" s="1"/>
  <c r="AS113" i="1"/>
  <c r="AT113" i="1" s="1"/>
  <c r="AS176" i="1"/>
  <c r="AT176" i="1" s="1"/>
  <c r="AR139" i="1"/>
  <c r="AR114" i="1"/>
  <c r="H690" i="1"/>
  <c r="H691" i="1" s="1"/>
  <c r="E616" i="1"/>
  <c r="E620" i="1" s="1"/>
  <c r="BK156" i="1"/>
  <c r="BN156" i="1"/>
  <c r="BA156" i="1" s="1"/>
  <c r="BR283" i="1"/>
  <c r="BE283" i="1" s="1"/>
  <c r="BQ283" i="1"/>
  <c r="BD283" i="1" s="1"/>
  <c r="BL345" i="1"/>
  <c r="AY345" i="1" s="1"/>
  <c r="BK483" i="1"/>
  <c r="AX483" i="1" s="1"/>
  <c r="BT483" i="1"/>
  <c r="BG483" i="1" s="1"/>
  <c r="AA295" i="2"/>
  <c r="AA293" i="2" s="1"/>
  <c r="AA294" i="2" s="1"/>
  <c r="Q283" i="2"/>
  <c r="BK484" i="1"/>
  <c r="AX484" i="1" s="1"/>
  <c r="T233" i="2"/>
  <c r="AS222" i="1"/>
  <c r="AT222" i="1" s="1"/>
  <c r="AE566" i="1"/>
  <c r="AE690" i="1" s="1"/>
  <c r="AE691" i="1" s="1"/>
  <c r="BM164" i="1"/>
  <c r="AZ164" i="1" s="1"/>
  <c r="AD691" i="1"/>
  <c r="Q103" i="2"/>
  <c r="BK283" i="1"/>
  <c r="AX283" i="1" s="1"/>
  <c r="BT283" i="1"/>
  <c r="BG283" i="1" s="1"/>
  <c r="BM345" i="1"/>
  <c r="AZ345" i="1" s="1"/>
  <c r="BK345" i="1"/>
  <c r="AX345" i="1" s="1"/>
  <c r="W302" i="2"/>
  <c r="BL483" i="1"/>
  <c r="AY483" i="1" s="1"/>
  <c r="BJ483" i="1"/>
  <c r="AW483" i="1" s="1"/>
  <c r="BM483" i="1"/>
  <c r="AZ483" i="1" s="1"/>
  <c r="T160" i="2"/>
  <c r="BM423" i="1"/>
  <c r="AZ423" i="1" s="1"/>
  <c r="H12" i="1"/>
  <c r="H11" i="1" s="1"/>
  <c r="AA125" i="2"/>
  <c r="BP484" i="1"/>
  <c r="BC484" i="1" s="1"/>
  <c r="T179" i="2"/>
  <c r="BP72" i="1" s="1"/>
  <c r="BC72" i="1" s="1"/>
  <c r="AL566" i="1"/>
  <c r="AL568" i="1" s="1"/>
  <c r="AL616" i="1" s="1"/>
  <c r="BL484" i="1"/>
  <c r="AY484" i="1" s="1"/>
  <c r="AR84" i="1"/>
  <c r="AO389" i="1"/>
  <c r="AV389" i="1"/>
  <c r="AR389" i="1"/>
  <c r="BJ164" i="1"/>
  <c r="BL164" i="1"/>
  <c r="AY164" i="1" s="1"/>
  <c r="BT164" i="1"/>
  <c r="BG164" i="1" s="1"/>
  <c r="BM161" i="1"/>
  <c r="AZ161" i="1" s="1"/>
  <c r="BR161" i="1"/>
  <c r="BS161" i="1"/>
  <c r="BF161" i="1" s="1"/>
  <c r="AY166" i="1"/>
  <c r="AR166" i="1"/>
  <c r="AO166" i="1"/>
  <c r="BJ156" i="1"/>
  <c r="BL156" i="1"/>
  <c r="AY156" i="1" s="1"/>
  <c r="BT156" i="1"/>
  <c r="AX130" i="1"/>
  <c r="AO130" i="1"/>
  <c r="AR130" i="1"/>
  <c r="AR102" i="1"/>
  <c r="AO102" i="1"/>
  <c r="AX102" i="1"/>
  <c r="BP156" i="1"/>
  <c r="BC156" i="1" s="1"/>
  <c r="BQ131" i="1"/>
  <c r="BD131" i="1" s="1"/>
  <c r="V118" i="2"/>
  <c r="BL283" i="1"/>
  <c r="AY283" i="1" s="1"/>
  <c r="BN345" i="1"/>
  <c r="BA345" i="1" s="1"/>
  <c r="BN483" i="1"/>
  <c r="BA483" i="1" s="1"/>
  <c r="BJ487" i="1"/>
  <c r="AW487" i="1" s="1"/>
  <c r="BO345" i="1"/>
  <c r="BB345" i="1" s="1"/>
  <c r="R260" i="2"/>
  <c r="BO164" i="1"/>
  <c r="BB164" i="1" s="1"/>
  <c r="BR164" i="1"/>
  <c r="BE164" i="1" s="1"/>
  <c r="BO156" i="1"/>
  <c r="BM156" i="1"/>
  <c r="BR156" i="1"/>
  <c r="BE156" i="1" s="1"/>
  <c r="BN283" i="1"/>
  <c r="BA283" i="1" s="1"/>
  <c r="V125" i="2"/>
  <c r="BT345" i="1"/>
  <c r="BG345" i="1" s="1"/>
  <c r="BP483" i="1"/>
  <c r="BC483" i="1" s="1"/>
  <c r="BS483" i="1"/>
  <c r="BF483" i="1" s="1"/>
  <c r="V267" i="2"/>
  <c r="BT423" i="1"/>
  <c r="BG423" i="1" s="1"/>
  <c r="BM487" i="1"/>
  <c r="AZ487" i="1" s="1"/>
  <c r="S103" i="2"/>
  <c r="V260" i="2"/>
  <c r="AO84" i="1"/>
  <c r="AS84" i="1" s="1"/>
  <c r="AT84" i="1" s="1"/>
  <c r="AO139" i="1"/>
  <c r="AS139" i="1" s="1"/>
  <c r="AT139" i="1" s="1"/>
  <c r="AV139" i="1"/>
  <c r="AO114" i="1"/>
  <c r="AV114" i="1"/>
  <c r="BS164" i="1"/>
  <c r="BF164" i="1" s="1"/>
  <c r="BQ164" i="1"/>
  <c r="BD164" i="1" s="1"/>
  <c r="BN161" i="1"/>
  <c r="BA161" i="1" s="1"/>
  <c r="BO161" i="1"/>
  <c r="BB161" i="1" s="1"/>
  <c r="BS156" i="1"/>
  <c r="BF156" i="1" s="1"/>
  <c r="V197" i="2"/>
  <c r="BS596" i="1"/>
  <c r="BF596" i="1" s="1"/>
  <c r="BP596" i="1"/>
  <c r="BC596" i="1" s="1"/>
  <c r="AP243" i="1"/>
  <c r="AS85" i="1"/>
  <c r="AT85" i="1" s="1"/>
  <c r="AS452" i="1"/>
  <c r="AT452" i="1" s="1"/>
  <c r="AS328" i="1"/>
  <c r="AT328" i="1" s="1"/>
  <c r="AS264" i="1"/>
  <c r="AT264" i="1" s="1"/>
  <c r="AS175" i="1"/>
  <c r="AT175" i="1" s="1"/>
  <c r="AS191" i="1"/>
  <c r="AT191" i="1" s="1"/>
  <c r="AS234" i="1"/>
  <c r="AT234" i="1" s="1"/>
  <c r="AS169" i="1"/>
  <c r="AT169" i="1" s="1"/>
  <c r="AS172" i="1"/>
  <c r="AT172" i="1" s="1"/>
  <c r="AS114" i="1"/>
  <c r="AT114" i="1" s="1"/>
  <c r="AS82" i="1"/>
  <c r="AT82" i="1" s="1"/>
  <c r="AS138" i="1"/>
  <c r="AT138" i="1" s="1"/>
  <c r="AS364" i="1"/>
  <c r="AT364" i="1" s="1"/>
  <c r="AS374" i="1"/>
  <c r="AT374" i="1" s="1"/>
  <c r="AS358" i="1"/>
  <c r="AT358" i="1" s="1"/>
  <c r="AS83" i="1"/>
  <c r="AT83" i="1" s="1"/>
  <c r="AS174" i="1"/>
  <c r="AT174" i="1" s="1"/>
  <c r="AB566" i="1"/>
  <c r="AB12" i="1" s="1"/>
  <c r="AB11" i="1" s="1"/>
  <c r="AS140" i="1"/>
  <c r="AT140" i="1" s="1"/>
  <c r="W492" i="1"/>
  <c r="AN492" i="1" s="1"/>
  <c r="M13" i="1"/>
  <c r="AH566" i="1"/>
  <c r="W496" i="1"/>
  <c r="Y496" i="1" s="1"/>
  <c r="AS449" i="1"/>
  <c r="AT449" i="1" s="1"/>
  <c r="R204" i="2"/>
  <c r="AN494" i="1"/>
  <c r="AP494" i="1" s="1"/>
  <c r="AQ494" i="1" s="1"/>
  <c r="BM596" i="1"/>
  <c r="AZ596" i="1" s="1"/>
  <c r="T467" i="1"/>
  <c r="U467" i="1" s="1"/>
  <c r="AD568" i="1"/>
  <c r="AD616" i="1" s="1"/>
  <c r="AA198" i="2"/>
  <c r="Z204" i="2"/>
  <c r="S204" i="2"/>
  <c r="BJ129" i="1"/>
  <c r="AW129" i="1" s="1"/>
  <c r="BM136" i="1"/>
  <c r="AZ136" i="1" s="1"/>
  <c r="AW161" i="1"/>
  <c r="BJ283" i="1"/>
  <c r="AW283" i="1" s="1"/>
  <c r="BS283" i="1"/>
  <c r="BF283" i="1" s="1"/>
  <c r="BI283" i="1"/>
  <c r="BP345" i="1"/>
  <c r="BC345" i="1" s="1"/>
  <c r="BJ345" i="1"/>
  <c r="BK596" i="1"/>
  <c r="AX596" i="1" s="1"/>
  <c r="V252" i="2"/>
  <c r="BJ430" i="1"/>
  <c r="AW430" i="1" s="1"/>
  <c r="BL430" i="1"/>
  <c r="AY430" i="1" s="1"/>
  <c r="BM430" i="1"/>
  <c r="AZ430" i="1" s="1"/>
  <c r="W495" i="1"/>
  <c r="D495" i="1" s="1"/>
  <c r="BN131" i="1"/>
  <c r="BA131" i="1" s="1"/>
  <c r="AD176" i="2"/>
  <c r="AE176" i="2" s="1"/>
  <c r="V199" i="2"/>
  <c r="AA199" i="2"/>
  <c r="BP423" i="1"/>
  <c r="BC423" i="1" s="1"/>
  <c r="BJ423" i="1"/>
  <c r="AW423" i="1" s="1"/>
  <c r="BO423" i="1"/>
  <c r="BB423" i="1" s="1"/>
  <c r="BP487" i="1"/>
  <c r="BC487" i="1" s="1"/>
  <c r="BN487" i="1"/>
  <c r="BA487" i="1" s="1"/>
  <c r="BQ487" i="1"/>
  <c r="BD487" i="1" s="1"/>
  <c r="AA299" i="2"/>
  <c r="V507" i="1"/>
  <c r="W507" i="1" s="1"/>
  <c r="D507" i="1" s="1"/>
  <c r="V97" i="2"/>
  <c r="BQ484" i="1"/>
  <c r="BD484" i="1" s="1"/>
  <c r="BN484" i="1"/>
  <c r="BA484" i="1" s="1"/>
  <c r="BT484" i="1"/>
  <c r="BG484" i="1" s="1"/>
  <c r="BN289" i="1"/>
  <c r="BA289" i="1" s="1"/>
  <c r="BO289" i="1"/>
  <c r="BB289" i="1" s="1"/>
  <c r="BT289" i="1"/>
  <c r="BG289" i="1" s="1"/>
  <c r="AA300" i="2"/>
  <c r="R283" i="2"/>
  <c r="U513" i="1"/>
  <c r="V502" i="1"/>
  <c r="T283" i="2"/>
  <c r="BI423" i="1"/>
  <c r="BN423" i="1"/>
  <c r="BA423" i="1" s="1"/>
  <c r="BS423" i="1"/>
  <c r="BF423" i="1" s="1"/>
  <c r="BL487" i="1"/>
  <c r="AY487" i="1" s="1"/>
  <c r="BK487" i="1"/>
  <c r="AX487" i="1" s="1"/>
  <c r="BR487" i="1"/>
  <c r="BE487" i="1" s="1"/>
  <c r="T302" i="2"/>
  <c r="W233" i="2"/>
  <c r="BJ484" i="1"/>
  <c r="AW484" i="1" s="1"/>
  <c r="BM484" i="1"/>
  <c r="AZ484" i="1" s="1"/>
  <c r="BS484" i="1"/>
  <c r="BF484" i="1" s="1"/>
  <c r="BR289" i="1"/>
  <c r="BE289" i="1" s="1"/>
  <c r="BS289" i="1"/>
  <c r="BF289" i="1" s="1"/>
  <c r="BI289" i="1"/>
  <c r="AV289" i="1" s="1"/>
  <c r="V222" i="2"/>
  <c r="V223" i="2" s="1"/>
  <c r="V298" i="2"/>
  <c r="Q44" i="2"/>
  <c r="R44" i="2"/>
  <c r="R45" i="2" s="1"/>
  <c r="O44" i="2"/>
  <c r="T44" i="2"/>
  <c r="T45" i="2" s="1"/>
  <c r="Z44" i="2"/>
  <c r="U44" i="2"/>
  <c r="U45" i="2" s="1"/>
  <c r="S44" i="2"/>
  <c r="S45" i="2" s="1"/>
  <c r="P45" i="2"/>
  <c r="B46" i="2" s="1"/>
  <c r="AO424" i="1"/>
  <c r="AV424" i="1"/>
  <c r="AO288" i="1"/>
  <c r="AV288" i="1"/>
  <c r="AR288" i="1"/>
  <c r="V513" i="1"/>
  <c r="AN500" i="1"/>
  <c r="AP500" i="1" s="1"/>
  <c r="AQ500" i="1" s="1"/>
  <c r="V409" i="1"/>
  <c r="W409" i="1" s="1"/>
  <c r="D409" i="1" s="1"/>
  <c r="S561" i="1"/>
  <c r="T561" i="1" s="1"/>
  <c r="U561" i="1" s="1"/>
  <c r="V561" i="1" s="1"/>
  <c r="D494" i="1"/>
  <c r="I494" i="1" s="1"/>
  <c r="J494" i="1" s="1"/>
  <c r="T86" i="2"/>
  <c r="AX161" i="1"/>
  <c r="BC161" i="1"/>
  <c r="BE161" i="1"/>
  <c r="BN430" i="1"/>
  <c r="BA430" i="1" s="1"/>
  <c r="BO430" i="1"/>
  <c r="BB430" i="1" s="1"/>
  <c r="BT430" i="1"/>
  <c r="BG430" i="1" s="1"/>
  <c r="AD155" i="2"/>
  <c r="AE155" i="2" s="1"/>
  <c r="BL423" i="1"/>
  <c r="AY423" i="1" s="1"/>
  <c r="BQ423" i="1"/>
  <c r="BD423" i="1" s="1"/>
  <c r="BR423" i="1"/>
  <c r="BE423" i="1" s="1"/>
  <c r="BT487" i="1"/>
  <c r="BG487" i="1" s="1"/>
  <c r="BS487" i="1"/>
  <c r="BF487" i="1" s="1"/>
  <c r="BO484" i="1"/>
  <c r="BB484" i="1" s="1"/>
  <c r="BR484" i="1"/>
  <c r="BE484" i="1" s="1"/>
  <c r="BJ289" i="1"/>
  <c r="AW289" i="1" s="1"/>
  <c r="BL289" i="1"/>
  <c r="AY289" i="1" s="1"/>
  <c r="V172" i="2"/>
  <c r="AS402" i="1"/>
  <c r="AT402" i="1" s="1"/>
  <c r="AS61" i="1"/>
  <c r="AT61" i="1" s="1"/>
  <c r="AV388" i="1"/>
  <c r="AO388" i="1"/>
  <c r="AR388" i="1"/>
  <c r="AV406" i="1"/>
  <c r="AR406" i="1"/>
  <c r="AO406" i="1"/>
  <c r="V246" i="2"/>
  <c r="AD12" i="1"/>
  <c r="AD11" i="1" s="1"/>
  <c r="BO592" i="1"/>
  <c r="BB592" i="1" s="1"/>
  <c r="AA76" i="2"/>
  <c r="BS131" i="1"/>
  <c r="BF131" i="1" s="1"/>
  <c r="AR424" i="1"/>
  <c r="AX424" i="1"/>
  <c r="AV284" i="1"/>
  <c r="AO284" i="1"/>
  <c r="AR284" i="1"/>
  <c r="AW96" i="1"/>
  <c r="AR96" i="1"/>
  <c r="AW337" i="1"/>
  <c r="AR337" i="1"/>
  <c r="AO337" i="1"/>
  <c r="R165" i="1"/>
  <c r="S165" i="1" s="1"/>
  <c r="BS33" i="1"/>
  <c r="BF33" i="1" s="1"/>
  <c r="BO33" i="1"/>
  <c r="BB33" i="1" s="1"/>
  <c r="BK33" i="1"/>
  <c r="AX33" i="1" s="1"/>
  <c r="F33" i="1"/>
  <c r="G33" i="1" s="1"/>
  <c r="BR33" i="1"/>
  <c r="BE33" i="1" s="1"/>
  <c r="BN33" i="1"/>
  <c r="BA33" i="1" s="1"/>
  <c r="BJ33" i="1"/>
  <c r="AW33" i="1" s="1"/>
  <c r="BQ33" i="1"/>
  <c r="BD33" i="1" s="1"/>
  <c r="BM33" i="1"/>
  <c r="AZ33" i="1" s="1"/>
  <c r="BI33" i="1"/>
  <c r="I33" i="1"/>
  <c r="J33" i="1" s="1"/>
  <c r="BT33" i="1"/>
  <c r="BG33" i="1" s="1"/>
  <c r="BP33" i="1"/>
  <c r="BC33" i="1" s="1"/>
  <c r="BL33" i="1"/>
  <c r="AY33" i="1" s="1"/>
  <c r="R434" i="1"/>
  <c r="S434" i="1" s="1"/>
  <c r="R274" i="1"/>
  <c r="S274" i="1" s="1"/>
  <c r="R215" i="1"/>
  <c r="S215" i="1" s="1"/>
  <c r="T215" i="1" s="1"/>
  <c r="AN308" i="1"/>
  <c r="AP308" i="1" s="1"/>
  <c r="AQ308" i="1" s="1"/>
  <c r="Y308" i="1"/>
  <c r="F402" i="1"/>
  <c r="G402" i="1" s="1"/>
  <c r="I402" i="1"/>
  <c r="J402" i="1" s="1"/>
  <c r="R117" i="1"/>
  <c r="S117" i="1" s="1"/>
  <c r="Y206" i="1"/>
  <c r="AN210" i="1"/>
  <c r="AP210" i="1" s="1"/>
  <c r="AQ210" i="1" s="1"/>
  <c r="S446" i="1"/>
  <c r="T446" i="1" s="1"/>
  <c r="W436" i="1"/>
  <c r="D436" i="1" s="1"/>
  <c r="Y504" i="1"/>
  <c r="R124" i="1"/>
  <c r="R177" i="1"/>
  <c r="S177" i="1" s="1"/>
  <c r="AB308" i="2"/>
  <c r="BT541" i="1"/>
  <c r="BP541" i="1"/>
  <c r="BL541" i="1"/>
  <c r="BR541" i="1"/>
  <c r="BN541" i="1"/>
  <c r="BJ541" i="1"/>
  <c r="BM541" i="1"/>
  <c r="BS541" i="1"/>
  <c r="BK541" i="1"/>
  <c r="BQ541" i="1"/>
  <c r="BI541" i="1"/>
  <c r="BO541" i="1"/>
  <c r="R589" i="1"/>
  <c r="R324" i="1"/>
  <c r="S324" i="1" s="1"/>
  <c r="R511" i="1"/>
  <c r="M683" i="1"/>
  <c r="M15" i="1"/>
  <c r="AS53" i="1"/>
  <c r="AT53" i="1" s="1"/>
  <c r="T229" i="1"/>
  <c r="S181" i="1"/>
  <c r="T181" i="1" s="1"/>
  <c r="Y291" i="1"/>
  <c r="R462" i="1"/>
  <c r="V498" i="1"/>
  <c r="N564" i="1"/>
  <c r="N242" i="1"/>
  <c r="S149" i="1"/>
  <c r="T149" i="1" s="1"/>
  <c r="Y210" i="1"/>
  <c r="R200" i="1"/>
  <c r="R70" i="1"/>
  <c r="R111" i="1"/>
  <c r="S111" i="1" s="1"/>
  <c r="O53" i="1"/>
  <c r="R101" i="1"/>
  <c r="AN206" i="1"/>
  <c r="AP206" i="1" s="1"/>
  <c r="AQ206" i="1" s="1"/>
  <c r="S295" i="1"/>
  <c r="T295" i="1" s="1"/>
  <c r="R167" i="1"/>
  <c r="S167" i="1" s="1"/>
  <c r="Y190" i="1"/>
  <c r="T195" i="1"/>
  <c r="D210" i="1"/>
  <c r="S277" i="1"/>
  <c r="S518" i="1"/>
  <c r="T518" i="1" s="1"/>
  <c r="AN214" i="1"/>
  <c r="S329" i="1"/>
  <c r="T329" i="1" s="1"/>
  <c r="R180" i="1"/>
  <c r="S379" i="1"/>
  <c r="T379" i="1" s="1"/>
  <c r="U379" i="1" s="1"/>
  <c r="AK690" i="1"/>
  <c r="AK691" i="1" s="1"/>
  <c r="AK12" i="1"/>
  <c r="AK11" i="1" s="1"/>
  <c r="AK568" i="1"/>
  <c r="AK616" i="1" s="1"/>
  <c r="W497" i="1"/>
  <c r="Y497" i="1" s="1"/>
  <c r="U471" i="1"/>
  <c r="V471" i="1" s="1"/>
  <c r="W471" i="1" s="1"/>
  <c r="R499" i="1"/>
  <c r="D491" i="1"/>
  <c r="N606" i="1"/>
  <c r="N608" i="1" s="1"/>
  <c r="V103" i="2"/>
  <c r="AO232" i="1"/>
  <c r="AW232" i="1"/>
  <c r="AR232" i="1"/>
  <c r="AZ589" i="1"/>
  <c r="BE589" i="1"/>
  <c r="AY589" i="1"/>
  <c r="AR292" i="1"/>
  <c r="AO292" i="1"/>
  <c r="AV292" i="1"/>
  <c r="S440" i="1"/>
  <c r="R442" i="1"/>
  <c r="R505" i="1"/>
  <c r="R678" i="1"/>
  <c r="R592" i="1"/>
  <c r="S592" i="1" s="1"/>
  <c r="AW110" i="1"/>
  <c r="AR110" i="1"/>
  <c r="AO110" i="1"/>
  <c r="BE124" i="1"/>
  <c r="AY124" i="1"/>
  <c r="BD124" i="1"/>
  <c r="V75" i="2"/>
  <c r="AW81" i="1"/>
  <c r="BQ596" i="1"/>
  <c r="BD596" i="1" s="1"/>
  <c r="BR596" i="1"/>
  <c r="BE596" i="1" s="1"/>
  <c r="BL596" i="1"/>
  <c r="AY596" i="1" s="1"/>
  <c r="AJ690" i="1"/>
  <c r="AJ691" i="1" s="1"/>
  <c r="AJ568" i="1"/>
  <c r="AJ616" i="1" s="1"/>
  <c r="AJ12" i="1"/>
  <c r="AJ11" i="1" s="1"/>
  <c r="AC690" i="1"/>
  <c r="AC691" i="1" s="1"/>
  <c r="AC568" i="1"/>
  <c r="AC616" i="1" s="1"/>
  <c r="AC12" i="1"/>
  <c r="AC11" i="1" s="1"/>
  <c r="T414" i="1"/>
  <c r="U477" i="1"/>
  <c r="V477" i="1" s="1"/>
  <c r="S503" i="1"/>
  <c r="T503" i="1" s="1"/>
  <c r="U503" i="1" s="1"/>
  <c r="V503" i="1" s="1"/>
  <c r="W503" i="1" s="1"/>
  <c r="Y503" i="1" s="1"/>
  <c r="AA103" i="2"/>
  <c r="BS129" i="1"/>
  <c r="BF129" i="1" s="1"/>
  <c r="BP129" i="1"/>
  <c r="BC129" i="1" s="1"/>
  <c r="BK131" i="1"/>
  <c r="AX131" i="1" s="1"/>
  <c r="BJ131" i="1"/>
  <c r="AO200" i="1"/>
  <c r="AR200" i="1"/>
  <c r="AW200" i="1"/>
  <c r="AV419" i="1"/>
  <c r="AO419" i="1"/>
  <c r="AR419" i="1"/>
  <c r="AA223" i="2"/>
  <c r="AW354" i="1"/>
  <c r="AR354" i="1"/>
  <c r="AO354" i="1"/>
  <c r="V283" i="2"/>
  <c r="S294" i="2"/>
  <c r="BT488" i="1" s="1"/>
  <c r="BG488" i="1" s="1"/>
  <c r="AD175" i="2"/>
  <c r="AE175" i="2" s="1"/>
  <c r="AR468" i="1"/>
  <c r="AV468" i="1"/>
  <c r="AO468" i="1"/>
  <c r="BC477" i="1"/>
  <c r="BD477" i="1"/>
  <c r="AX477" i="1"/>
  <c r="AR397" i="1"/>
  <c r="AO397" i="1"/>
  <c r="AV397" i="1"/>
  <c r="S130" i="1"/>
  <c r="T130" i="1" s="1"/>
  <c r="D500" i="1"/>
  <c r="U596" i="1"/>
  <c r="BG148" i="1"/>
  <c r="AX148" i="1"/>
  <c r="BD148" i="1"/>
  <c r="V78" i="2"/>
  <c r="BS136" i="1"/>
  <c r="BF136" i="1" s="1"/>
  <c r="BJ136" i="1"/>
  <c r="BQ136" i="1"/>
  <c r="BD136" i="1" s="1"/>
  <c r="AX156" i="1"/>
  <c r="BD156" i="1"/>
  <c r="BL592" i="1"/>
  <c r="AY592" i="1" s="1"/>
  <c r="BR592" i="1"/>
  <c r="BE592" i="1" s="1"/>
  <c r="AO230" i="1"/>
  <c r="AW230" i="1"/>
  <c r="AR230" i="1"/>
  <c r="AO201" i="1"/>
  <c r="AR201" i="1"/>
  <c r="AW201" i="1"/>
  <c r="AV438" i="1"/>
  <c r="AO438" i="1"/>
  <c r="AR438" i="1"/>
  <c r="AX464" i="1"/>
  <c r="AX473" i="1" s="1"/>
  <c r="BK473" i="1"/>
  <c r="BG464" i="1"/>
  <c r="BG473" i="1" s="1"/>
  <c r="BT473" i="1"/>
  <c r="AW464" i="1"/>
  <c r="AW473" i="1" s="1"/>
  <c r="BJ473" i="1"/>
  <c r="BT481" i="1"/>
  <c r="BG481" i="1" s="1"/>
  <c r="BQ481" i="1"/>
  <c r="BD481" i="1" s="1"/>
  <c r="BO481" i="1"/>
  <c r="BB481" i="1" s="1"/>
  <c r="BA101" i="1"/>
  <c r="BF101" i="1"/>
  <c r="BP594" i="1"/>
  <c r="BC594" i="1" s="1"/>
  <c r="BN594" i="1"/>
  <c r="BA594" i="1" s="1"/>
  <c r="BS594" i="1"/>
  <c r="BF594" i="1" s="1"/>
  <c r="AO231" i="1"/>
  <c r="AW231" i="1"/>
  <c r="AR231" i="1"/>
  <c r="V201" i="2"/>
  <c r="AX62" i="1"/>
  <c r="BC62" i="1"/>
  <c r="BG392" i="1"/>
  <c r="BF392" i="1"/>
  <c r="AV392" i="1"/>
  <c r="AR392" i="1"/>
  <c r="AO392" i="1"/>
  <c r="V287" i="2"/>
  <c r="BS396" i="1"/>
  <c r="BF396" i="1" s="1"/>
  <c r="BO396" i="1"/>
  <c r="BB396" i="1" s="1"/>
  <c r="BK396" i="1"/>
  <c r="AX396" i="1" s="1"/>
  <c r="BT396" i="1"/>
  <c r="BG396" i="1" s="1"/>
  <c r="BP396" i="1"/>
  <c r="BC396" i="1" s="1"/>
  <c r="BL396" i="1"/>
  <c r="AY396" i="1" s="1"/>
  <c r="BQ396" i="1"/>
  <c r="BD396" i="1" s="1"/>
  <c r="BI396" i="1"/>
  <c r="BN396" i="1"/>
  <c r="BA396" i="1" s="1"/>
  <c r="BM396" i="1"/>
  <c r="AZ396" i="1" s="1"/>
  <c r="BR396" i="1"/>
  <c r="BE396" i="1" s="1"/>
  <c r="BJ396" i="1"/>
  <c r="AW396" i="1" s="1"/>
  <c r="BS400" i="1"/>
  <c r="BF400" i="1" s="1"/>
  <c r="BO400" i="1"/>
  <c r="BB400" i="1" s="1"/>
  <c r="BK400" i="1"/>
  <c r="AX400" i="1" s="1"/>
  <c r="BT400" i="1"/>
  <c r="BG400" i="1" s="1"/>
  <c r="BP400" i="1"/>
  <c r="BC400" i="1" s="1"/>
  <c r="BL400" i="1"/>
  <c r="AY400" i="1" s="1"/>
  <c r="BN400" i="1"/>
  <c r="BA400" i="1" s="1"/>
  <c r="BM400" i="1"/>
  <c r="AZ400" i="1" s="1"/>
  <c r="BR400" i="1"/>
  <c r="BE400" i="1" s="1"/>
  <c r="BJ400" i="1"/>
  <c r="AW400" i="1" s="1"/>
  <c r="BQ400" i="1"/>
  <c r="BD400" i="1" s="1"/>
  <c r="BI400" i="1"/>
  <c r="W188" i="2"/>
  <c r="AA182" i="2"/>
  <c r="AA188" i="2" s="1"/>
  <c r="AA298" i="2"/>
  <c r="AO269" i="1"/>
  <c r="AR269" i="1"/>
  <c r="AV269" i="1"/>
  <c r="BA269" i="1"/>
  <c r="BN331" i="1"/>
  <c r="BF269" i="1"/>
  <c r="BF331" i="1" s="1"/>
  <c r="R556" i="1"/>
  <c r="D285" i="1"/>
  <c r="R296" i="1"/>
  <c r="S296" i="1" s="1"/>
  <c r="V519" i="1"/>
  <c r="W519" i="1" s="1"/>
  <c r="AN519" i="1" s="1"/>
  <c r="AP519" i="1" s="1"/>
  <c r="AQ519" i="1" s="1"/>
  <c r="R540" i="1"/>
  <c r="M566" i="1"/>
  <c r="M690" i="1" s="1"/>
  <c r="U84" i="1"/>
  <c r="R66" i="1"/>
  <c r="S66" i="1" s="1"/>
  <c r="S310" i="1"/>
  <c r="T310" i="1" s="1"/>
  <c r="N264" i="1"/>
  <c r="R98" i="1"/>
  <c r="S98" i="1" s="1"/>
  <c r="D291" i="1"/>
  <c r="R397" i="1"/>
  <c r="AN190" i="1"/>
  <c r="R237" i="1"/>
  <c r="S237" i="1" s="1"/>
  <c r="S424" i="1"/>
  <c r="T424" i="1" s="1"/>
  <c r="V489" i="1"/>
  <c r="Y491" i="1"/>
  <c r="P585" i="1"/>
  <c r="AO155" i="1"/>
  <c r="AW155" i="1"/>
  <c r="AR155" i="1"/>
  <c r="AW104" i="1"/>
  <c r="AR104" i="1"/>
  <c r="AO104" i="1"/>
  <c r="BA589" i="1"/>
  <c r="AX589" i="1"/>
  <c r="BC589" i="1"/>
  <c r="T204" i="2"/>
  <c r="AA196" i="2"/>
  <c r="W204" i="2"/>
  <c r="S137" i="1"/>
  <c r="R301" i="1"/>
  <c r="S301" i="1" s="1"/>
  <c r="T305" i="1"/>
  <c r="S389" i="1"/>
  <c r="BS450" i="1"/>
  <c r="BF450" i="1" s="1"/>
  <c r="BO450" i="1"/>
  <c r="BB450" i="1" s="1"/>
  <c r="BK450" i="1"/>
  <c r="AX450" i="1" s="1"/>
  <c r="F450" i="1"/>
  <c r="G450" i="1" s="1"/>
  <c r="BR450" i="1"/>
  <c r="BE450" i="1" s="1"/>
  <c r="BN450" i="1"/>
  <c r="BA450" i="1" s="1"/>
  <c r="BJ450" i="1"/>
  <c r="AW450" i="1" s="1"/>
  <c r="BQ450" i="1"/>
  <c r="BD450" i="1" s="1"/>
  <c r="BM450" i="1"/>
  <c r="AZ450" i="1" s="1"/>
  <c r="BI450" i="1"/>
  <c r="I450" i="1"/>
  <c r="J450" i="1" s="1"/>
  <c r="BL450" i="1"/>
  <c r="AY450" i="1" s="1"/>
  <c r="BT450" i="1"/>
  <c r="BG450" i="1" s="1"/>
  <c r="BP450" i="1"/>
  <c r="BC450" i="1" s="1"/>
  <c r="V160" i="2"/>
  <c r="AD154" i="2"/>
  <c r="AX124" i="1"/>
  <c r="BC124" i="1"/>
  <c r="Z67" i="2"/>
  <c r="R67" i="2"/>
  <c r="R68" i="2" s="1"/>
  <c r="U67" i="2"/>
  <c r="U68" i="2" s="1"/>
  <c r="Q67" i="2"/>
  <c r="T67" i="2"/>
  <c r="T68" i="2" s="1"/>
  <c r="S67" i="2"/>
  <c r="S68" i="2" s="1"/>
  <c r="O67" i="2"/>
  <c r="P68" i="2"/>
  <c r="AW105" i="1"/>
  <c r="AR299" i="1"/>
  <c r="AO299" i="1"/>
  <c r="AV299" i="1"/>
  <c r="AO314" i="1"/>
  <c r="AV314" i="1"/>
  <c r="AR314" i="1"/>
  <c r="AR282" i="1"/>
  <c r="AV282" i="1"/>
  <c r="AO282" i="1"/>
  <c r="AO348" i="1"/>
  <c r="AW348" i="1"/>
  <c r="AR348" i="1"/>
  <c r="AV395" i="1"/>
  <c r="AR395" i="1"/>
  <c r="AO395" i="1"/>
  <c r="AO492" i="1"/>
  <c r="AR492" i="1"/>
  <c r="AV492" i="1"/>
  <c r="AO303" i="1"/>
  <c r="AV303" i="1"/>
  <c r="AR303" i="1"/>
  <c r="AO214" i="1"/>
  <c r="AR214" i="1"/>
  <c r="AW214" i="1"/>
  <c r="AO312" i="1"/>
  <c r="AV312" i="1"/>
  <c r="AR312" i="1"/>
  <c r="AA690" i="1"/>
  <c r="AA691" i="1" s="1"/>
  <c r="AA568" i="1"/>
  <c r="AA616" i="1" s="1"/>
  <c r="AA12" i="1"/>
  <c r="AA11" i="1" s="1"/>
  <c r="S392" i="1"/>
  <c r="T392" i="1" s="1"/>
  <c r="S454" i="1"/>
  <c r="M14" i="1"/>
  <c r="M650" i="1"/>
  <c r="BL129" i="1"/>
  <c r="AY129" i="1" s="1"/>
  <c r="BO129" i="1"/>
  <c r="BB129" i="1" s="1"/>
  <c r="AO216" i="1"/>
  <c r="AW216" i="1"/>
  <c r="AR216" i="1"/>
  <c r="AV425" i="1"/>
  <c r="AR425" i="1"/>
  <c r="AO425" i="1"/>
  <c r="AR491" i="1"/>
  <c r="AO491" i="1"/>
  <c r="AV491" i="1"/>
  <c r="AV493" i="1"/>
  <c r="AO493" i="1"/>
  <c r="AR493" i="1"/>
  <c r="AO427" i="1"/>
  <c r="AR427" i="1"/>
  <c r="AV427" i="1"/>
  <c r="BG477" i="1"/>
  <c r="AW477" i="1"/>
  <c r="BB477" i="1"/>
  <c r="H616" i="1"/>
  <c r="H620" i="1" s="1"/>
  <c r="AR618" i="1" s="1"/>
  <c r="H572" i="1"/>
  <c r="AR570" i="1" s="1"/>
  <c r="D170" i="1"/>
  <c r="AI690" i="1"/>
  <c r="AI691" i="1" s="1"/>
  <c r="AI568" i="1"/>
  <c r="AI616" i="1" s="1"/>
  <c r="AI12" i="1"/>
  <c r="AI11" i="1" s="1"/>
  <c r="D308" i="1"/>
  <c r="R445" i="1"/>
  <c r="Y500" i="1"/>
  <c r="R638" i="1"/>
  <c r="S663" i="1"/>
  <c r="T663" i="1" s="1"/>
  <c r="AW163" i="1"/>
  <c r="AR163" i="1"/>
  <c r="AO163" i="1"/>
  <c r="AW148" i="1"/>
  <c r="AR148" i="1"/>
  <c r="AO148" i="1"/>
  <c r="BB148" i="1"/>
  <c r="O681" i="1"/>
  <c r="BL136" i="1"/>
  <c r="AY136" i="1" s="1"/>
  <c r="BN136" i="1"/>
  <c r="BA136" i="1" s="1"/>
  <c r="S86" i="2"/>
  <c r="BB156" i="1"/>
  <c r="AR300" i="1"/>
  <c r="AO300" i="1"/>
  <c r="AV300" i="1"/>
  <c r="BM592" i="1"/>
  <c r="AZ592" i="1" s="1"/>
  <c r="BK592" i="1"/>
  <c r="AX592" i="1" s="1"/>
  <c r="AO439" i="1"/>
  <c r="AR439" i="1"/>
  <c r="AV439" i="1"/>
  <c r="AO158" i="1"/>
  <c r="AY158" i="1"/>
  <c r="AR158" i="1"/>
  <c r="BB464" i="1"/>
  <c r="BB473" i="1" s="1"/>
  <c r="BO473" i="1"/>
  <c r="AR464" i="1"/>
  <c r="AV464" i="1"/>
  <c r="BI473" i="1"/>
  <c r="AO464" i="1"/>
  <c r="BA464" i="1"/>
  <c r="BA473" i="1" s="1"/>
  <c r="BN473" i="1"/>
  <c r="BJ481" i="1"/>
  <c r="AW481" i="1" s="1"/>
  <c r="BM481" i="1"/>
  <c r="AZ481" i="1" s="1"/>
  <c r="BS481" i="1"/>
  <c r="BF481" i="1" s="1"/>
  <c r="AZ101" i="1"/>
  <c r="BE101" i="1"/>
  <c r="AY101" i="1"/>
  <c r="BQ594" i="1"/>
  <c r="BD594" i="1" s="1"/>
  <c r="BR594" i="1"/>
  <c r="BE594" i="1" s="1"/>
  <c r="AO286" i="1"/>
  <c r="AR286" i="1"/>
  <c r="AV286" i="1"/>
  <c r="Y676" i="1"/>
  <c r="AO62" i="1"/>
  <c r="AW62" i="1"/>
  <c r="BG62" i="1"/>
  <c r="AA171" i="2"/>
  <c r="Q223" i="2"/>
  <c r="BB392" i="1"/>
  <c r="AW392" i="1"/>
  <c r="AZ392" i="1"/>
  <c r="AA287" i="2"/>
  <c r="AA289" i="2" s="1"/>
  <c r="BQ398" i="1"/>
  <c r="BD398" i="1" s="1"/>
  <c r="BM398" i="1"/>
  <c r="AZ398" i="1" s="1"/>
  <c r="BI398" i="1"/>
  <c r="BR398" i="1"/>
  <c r="BE398" i="1" s="1"/>
  <c r="BN398" i="1"/>
  <c r="BA398" i="1" s="1"/>
  <c r="BJ398" i="1"/>
  <c r="AW398" i="1" s="1"/>
  <c r="BS398" i="1"/>
  <c r="BF398" i="1" s="1"/>
  <c r="BK398" i="1"/>
  <c r="AX398" i="1" s="1"/>
  <c r="BP398" i="1"/>
  <c r="BC398" i="1" s="1"/>
  <c r="BO398" i="1"/>
  <c r="BB398" i="1" s="1"/>
  <c r="BT398" i="1"/>
  <c r="BG398" i="1" s="1"/>
  <c r="BL398" i="1"/>
  <c r="AY398" i="1" s="1"/>
  <c r="V300" i="2"/>
  <c r="AR521" i="1"/>
  <c r="AV521" i="1"/>
  <c r="AO521" i="1"/>
  <c r="R644" i="1"/>
  <c r="AR478" i="1"/>
  <c r="AV478" i="1"/>
  <c r="AO478" i="1"/>
  <c r="AY269" i="1"/>
  <c r="AZ269" i="1"/>
  <c r="AZ331" i="1" s="1"/>
  <c r="BM331" i="1"/>
  <c r="BE269" i="1"/>
  <c r="V229" i="2"/>
  <c r="R223" i="1"/>
  <c r="P374" i="1"/>
  <c r="T433" i="1"/>
  <c r="U433" i="1" s="1"/>
  <c r="S469" i="1"/>
  <c r="T469" i="1" s="1"/>
  <c r="U469" i="1" s="1"/>
  <c r="S78" i="1"/>
  <c r="N41" i="1"/>
  <c r="S276" i="1"/>
  <c r="F214" i="1"/>
  <c r="G214" i="1" s="1"/>
  <c r="I214" i="1"/>
  <c r="J214" i="1" s="1"/>
  <c r="N360" i="1"/>
  <c r="R194" i="1"/>
  <c r="D206" i="1"/>
  <c r="R309" i="1"/>
  <c r="O382" i="1"/>
  <c r="R419" i="1"/>
  <c r="N473" i="1"/>
  <c r="S156" i="1"/>
  <c r="M55" i="1"/>
  <c r="S182" i="1"/>
  <c r="T182" i="1" s="1"/>
  <c r="R294" i="1"/>
  <c r="R208" i="1"/>
  <c r="T398" i="1"/>
  <c r="O374" i="1"/>
  <c r="N457" i="1"/>
  <c r="R132" i="1"/>
  <c r="L689" i="1"/>
  <c r="L691" i="1" s="1"/>
  <c r="L568" i="1"/>
  <c r="L616" i="1" s="1"/>
  <c r="L12" i="1"/>
  <c r="L11" i="1" s="1"/>
  <c r="N90" i="1"/>
  <c r="R141" i="1"/>
  <c r="Y171" i="1"/>
  <c r="R116" i="1"/>
  <c r="S116" i="1" s="1"/>
  <c r="D218" i="1"/>
  <c r="R207" i="1"/>
  <c r="R325" i="1"/>
  <c r="S325" i="1" s="1"/>
  <c r="R396" i="1"/>
  <c r="S396" i="1" s="1"/>
  <c r="D67" i="1"/>
  <c r="AN29" i="1"/>
  <c r="R140" i="1"/>
  <c r="S140" i="1" s="1"/>
  <c r="R176" i="1"/>
  <c r="R184" i="1"/>
  <c r="S184" i="1" s="1"/>
  <c r="T184" i="1" s="1"/>
  <c r="U184" i="1" s="1"/>
  <c r="R201" i="1"/>
  <c r="S203" i="1"/>
  <c r="AN402" i="1"/>
  <c r="AP402" i="1" s="1"/>
  <c r="AQ402" i="1" s="1"/>
  <c r="D190" i="1"/>
  <c r="R199" i="1"/>
  <c r="S199" i="1" s="1"/>
  <c r="S231" i="1"/>
  <c r="T231" i="1" s="1"/>
  <c r="AN291" i="1"/>
  <c r="AP291" i="1" s="1"/>
  <c r="AQ291" i="1" s="1"/>
  <c r="R429" i="1"/>
  <c r="F490" i="1"/>
  <c r="G490" i="1" s="1"/>
  <c r="I490" i="1"/>
  <c r="J490" i="1" s="1"/>
  <c r="T418" i="1"/>
  <c r="R461" i="1"/>
  <c r="R468" i="1"/>
  <c r="AN491" i="1"/>
  <c r="D504" i="1"/>
  <c r="S555" i="1"/>
  <c r="T555" i="1" s="1"/>
  <c r="R590" i="1"/>
  <c r="AA6" i="2"/>
  <c r="AA7" i="2" s="1"/>
  <c r="AA77" i="2"/>
  <c r="BD589" i="1"/>
  <c r="BB589" i="1"/>
  <c r="Q204" i="2"/>
  <c r="V196" i="2"/>
  <c r="S40" i="1"/>
  <c r="T40" i="1" s="1"/>
  <c r="U40" i="1" s="1"/>
  <c r="R297" i="1"/>
  <c r="T440" i="1"/>
  <c r="U440" i="1" s="1"/>
  <c r="V440" i="1" s="1"/>
  <c r="N527" i="1"/>
  <c r="Y494" i="1"/>
  <c r="T437" i="1"/>
  <c r="U437" i="1" s="1"/>
  <c r="R559" i="1"/>
  <c r="R675" i="1"/>
  <c r="S675" i="1" s="1"/>
  <c r="N668" i="1"/>
  <c r="AO124" i="1"/>
  <c r="AW124" i="1"/>
  <c r="AR124" i="1"/>
  <c r="BB124" i="1"/>
  <c r="BG124" i="1"/>
  <c r="AA75" i="2"/>
  <c r="AO215" i="1"/>
  <c r="AW215" i="1"/>
  <c r="AR215" i="1"/>
  <c r="V141" i="2"/>
  <c r="AO198" i="1"/>
  <c r="AR198" i="1"/>
  <c r="AW198" i="1"/>
  <c r="AO440" i="1"/>
  <c r="AR440" i="1"/>
  <c r="AV440" i="1"/>
  <c r="AO196" i="1"/>
  <c r="AR196" i="1"/>
  <c r="AW196" i="1"/>
  <c r="AO226" i="1"/>
  <c r="AW226" i="1"/>
  <c r="AR226" i="1"/>
  <c r="AO443" i="1"/>
  <c r="AV483" i="1"/>
  <c r="R294" i="2"/>
  <c r="R302" i="2" s="1"/>
  <c r="BJ596" i="1"/>
  <c r="BO596" i="1"/>
  <c r="BB596" i="1" s="1"/>
  <c r="AA283" i="2"/>
  <c r="R104" i="1"/>
  <c r="S104" i="1" s="1"/>
  <c r="T104" i="1" s="1"/>
  <c r="R204" i="1"/>
  <c r="S132" i="1"/>
  <c r="T132" i="1" s="1"/>
  <c r="T314" i="1"/>
  <c r="R453" i="1"/>
  <c r="S453" i="1" s="1"/>
  <c r="S438" i="1"/>
  <c r="W493" i="1"/>
  <c r="AN493" i="1" s="1"/>
  <c r="V517" i="1"/>
  <c r="R521" i="1"/>
  <c r="S521" i="1" s="1"/>
  <c r="S524" i="1"/>
  <c r="T524" i="1" s="1"/>
  <c r="R637" i="1"/>
  <c r="S637" i="1" s="1"/>
  <c r="AO159" i="1"/>
  <c r="AR159" i="1"/>
  <c r="AW159" i="1"/>
  <c r="BQ129" i="1"/>
  <c r="BD129" i="1" s="1"/>
  <c r="BT129" i="1"/>
  <c r="BG129" i="1" s="1"/>
  <c r="BN129" i="1"/>
  <c r="BA129" i="1" s="1"/>
  <c r="BO131" i="1"/>
  <c r="BB131" i="1" s="1"/>
  <c r="BL131" i="1"/>
  <c r="AY131" i="1" s="1"/>
  <c r="BR131" i="1"/>
  <c r="BE131" i="1" s="1"/>
  <c r="W86" i="2"/>
  <c r="AW164" i="1"/>
  <c r="AO420" i="1"/>
  <c r="AR420" i="1"/>
  <c r="AV420" i="1"/>
  <c r="AX71" i="1"/>
  <c r="AO71" i="1"/>
  <c r="AR71" i="1"/>
  <c r="AA110" i="2"/>
  <c r="AV423" i="1"/>
  <c r="AW103" i="1"/>
  <c r="AR103" i="1"/>
  <c r="AO422" i="1"/>
  <c r="AR422" i="1"/>
  <c r="AV422" i="1"/>
  <c r="AO477" i="1"/>
  <c r="AR477" i="1"/>
  <c r="AV477" i="1"/>
  <c r="BA477" i="1"/>
  <c r="BF477" i="1"/>
  <c r="AG690" i="1"/>
  <c r="AG691" i="1" s="1"/>
  <c r="AG568" i="1"/>
  <c r="AG616" i="1" s="1"/>
  <c r="AG12" i="1"/>
  <c r="AG11" i="1" s="1"/>
  <c r="R178" i="1"/>
  <c r="R455" i="1"/>
  <c r="R464" i="1"/>
  <c r="U449" i="1"/>
  <c r="Q585" i="1"/>
  <c r="AN646" i="1"/>
  <c r="R677" i="1"/>
  <c r="AY148" i="1"/>
  <c r="BA148" i="1"/>
  <c r="BF148" i="1"/>
  <c r="AA78" i="2"/>
  <c r="BP136" i="1"/>
  <c r="BC136" i="1" s="1"/>
  <c r="BT136" i="1"/>
  <c r="BG136" i="1" s="1"/>
  <c r="BR136" i="1"/>
  <c r="BE136" i="1" s="1"/>
  <c r="BG156" i="1"/>
  <c r="BP592" i="1"/>
  <c r="BC592" i="1" s="1"/>
  <c r="BJ592" i="1"/>
  <c r="AV484" i="1"/>
  <c r="AR428" i="1"/>
  <c r="AV428" i="1"/>
  <c r="AO428" i="1"/>
  <c r="AR418" i="1"/>
  <c r="AV418" i="1"/>
  <c r="AO418" i="1"/>
  <c r="AV465" i="1"/>
  <c r="AO465" i="1"/>
  <c r="AR465" i="1"/>
  <c r="AY464" i="1"/>
  <c r="AY473" i="1" s="1"/>
  <c r="BL473" i="1"/>
  <c r="AZ464" i="1"/>
  <c r="AZ473" i="1" s="1"/>
  <c r="BM473" i="1"/>
  <c r="BE464" i="1"/>
  <c r="BE473" i="1" s="1"/>
  <c r="BR473" i="1"/>
  <c r="AR290" i="1"/>
  <c r="AV290" i="1"/>
  <c r="AO290" i="1"/>
  <c r="BI481" i="1"/>
  <c r="BP481" i="1"/>
  <c r="BC481" i="1" s="1"/>
  <c r="Q294" i="2"/>
  <c r="Q302" i="2" s="1"/>
  <c r="BT482" i="1"/>
  <c r="BG482" i="1" s="1"/>
  <c r="BD101" i="1"/>
  <c r="AX101" i="1"/>
  <c r="BC101" i="1"/>
  <c r="AO219" i="1"/>
  <c r="AR219" i="1"/>
  <c r="AW219" i="1"/>
  <c r="BL594" i="1"/>
  <c r="AY594" i="1" s="1"/>
  <c r="BK594" i="1"/>
  <c r="AX594" i="1" s="1"/>
  <c r="AR441" i="1"/>
  <c r="AV441" i="1"/>
  <c r="AO441" i="1"/>
  <c r="V273" i="2"/>
  <c r="S628" i="1"/>
  <c r="AA201" i="2"/>
  <c r="BF62" i="1"/>
  <c r="AZ62" i="1"/>
  <c r="V171" i="2"/>
  <c r="BC392" i="1"/>
  <c r="BA392" i="1"/>
  <c r="BD392" i="1"/>
  <c r="T674" i="1"/>
  <c r="V182" i="2"/>
  <c r="V188" i="2" s="1"/>
  <c r="Q188" i="2"/>
  <c r="BR522" i="1"/>
  <c r="BE522" i="1" s="1"/>
  <c r="BN522" i="1"/>
  <c r="BA522" i="1" s="1"/>
  <c r="BJ522" i="1"/>
  <c r="AW522" i="1" s="1"/>
  <c r="BT522" i="1"/>
  <c r="BG522" i="1" s="1"/>
  <c r="BO522" i="1"/>
  <c r="BB522" i="1" s="1"/>
  <c r="BI522" i="1"/>
  <c r="BS522" i="1"/>
  <c r="BF522" i="1" s="1"/>
  <c r="BM522" i="1"/>
  <c r="AZ522" i="1" s="1"/>
  <c r="BQ522" i="1"/>
  <c r="BD522" i="1" s="1"/>
  <c r="BL522" i="1"/>
  <c r="AY522" i="1" s="1"/>
  <c r="BP522" i="1"/>
  <c r="BC522" i="1" s="1"/>
  <c r="BK522" i="1"/>
  <c r="AX522" i="1" s="1"/>
  <c r="V173" i="2"/>
  <c r="AA172" i="2"/>
  <c r="AD172" i="2" s="1"/>
  <c r="AE172" i="2" s="1"/>
  <c r="BC269" i="1"/>
  <c r="BC331" i="1" s="1"/>
  <c r="BP331" i="1"/>
  <c r="BD269" i="1"/>
  <c r="AX269" i="1"/>
  <c r="AX331" i="1" s="1"/>
  <c r="BK331" i="1"/>
  <c r="AA229" i="2"/>
  <c r="AA233" i="2" s="1"/>
  <c r="R407" i="1"/>
  <c r="S407" i="1" s="1"/>
  <c r="T407" i="1" s="1"/>
  <c r="R539" i="1"/>
  <c r="O143" i="1"/>
  <c r="AS50" i="1"/>
  <c r="AT50" i="1" s="1"/>
  <c r="O50" i="1"/>
  <c r="T109" i="1"/>
  <c r="D112" i="1"/>
  <c r="R133" i="1"/>
  <c r="S133" i="1" s="1"/>
  <c r="R236" i="1"/>
  <c r="R322" i="1"/>
  <c r="R292" i="1"/>
  <c r="R298" i="1"/>
  <c r="AS240" i="1"/>
  <c r="AT240" i="1" s="1"/>
  <c r="R470" i="1"/>
  <c r="S395" i="1"/>
  <c r="T395" i="1" s="1"/>
  <c r="R421" i="1"/>
  <c r="U432" i="1"/>
  <c r="R510" i="1"/>
  <c r="S441" i="1"/>
  <c r="S594" i="1"/>
  <c r="R37" i="1"/>
  <c r="R95" i="1"/>
  <c r="N34" i="1"/>
  <c r="O41" i="1"/>
  <c r="S126" i="1"/>
  <c r="R159" i="1"/>
  <c r="AS239" i="1"/>
  <c r="AT239" i="1" s="1"/>
  <c r="R318" i="1"/>
  <c r="R336" i="1"/>
  <c r="R415" i="1"/>
  <c r="R484" i="1"/>
  <c r="R412" i="1"/>
  <c r="R452" i="1"/>
  <c r="S452" i="1" s="1"/>
  <c r="W498" i="1"/>
  <c r="Y498" i="1" s="1"/>
  <c r="V515" i="1"/>
  <c r="R82" i="1"/>
  <c r="R162" i="1"/>
  <c r="S200" i="1"/>
  <c r="R168" i="1"/>
  <c r="O366" i="1"/>
  <c r="AN112" i="1"/>
  <c r="Y88" i="1"/>
  <c r="R76" i="1"/>
  <c r="R97" i="1"/>
  <c r="T135" i="1"/>
  <c r="U135" i="1" s="1"/>
  <c r="R198" i="1"/>
  <c r="R284" i="1"/>
  <c r="U229" i="1"/>
  <c r="U414" i="1"/>
  <c r="V448" i="1"/>
  <c r="S444" i="1"/>
  <c r="S478" i="1"/>
  <c r="R487" i="1"/>
  <c r="S465" i="1"/>
  <c r="S640" i="1"/>
  <c r="R595" i="1"/>
  <c r="AO73" i="1"/>
  <c r="AW73" i="1"/>
  <c r="AR73" i="1"/>
  <c r="AO70" i="1"/>
  <c r="AW70" i="1"/>
  <c r="AR70" i="1"/>
  <c r="AO589" i="1"/>
  <c r="AW589" i="1"/>
  <c r="AR589" i="1"/>
  <c r="BF589" i="1"/>
  <c r="V198" i="2"/>
  <c r="U204" i="2"/>
  <c r="AF690" i="1"/>
  <c r="AF691" i="1" s="1"/>
  <c r="AF12" i="1"/>
  <c r="AF11" i="1" s="1"/>
  <c r="AF568" i="1"/>
  <c r="AF616" i="1" s="1"/>
  <c r="R425" i="1"/>
  <c r="S425" i="1" s="1"/>
  <c r="V76" i="2"/>
  <c r="R671" i="1"/>
  <c r="AW79" i="1"/>
  <c r="AR79" i="1"/>
  <c r="AO79" i="1"/>
  <c r="BA124" i="1"/>
  <c r="BF124" i="1"/>
  <c r="AZ124" i="1"/>
  <c r="Z86" i="2"/>
  <c r="AO197" i="1"/>
  <c r="AR197" i="1"/>
  <c r="AW197" i="1"/>
  <c r="V233" i="2"/>
  <c r="V289" i="2"/>
  <c r="AV399" i="1"/>
  <c r="AO399" i="1"/>
  <c r="AR399" i="1"/>
  <c r="BN596" i="1"/>
  <c r="BA596" i="1" s="1"/>
  <c r="AV430" i="1"/>
  <c r="R110" i="1"/>
  <c r="V371" i="1"/>
  <c r="R405" i="1"/>
  <c r="R428" i="1"/>
  <c r="T488" i="1"/>
  <c r="R535" i="1"/>
  <c r="R583" i="1"/>
  <c r="R585" i="1" s="1"/>
  <c r="R634" i="1"/>
  <c r="R672" i="1"/>
  <c r="R664" i="1"/>
  <c r="S664" i="1" s="1"/>
  <c r="V110" i="2"/>
  <c r="BM129" i="1"/>
  <c r="AZ129" i="1" s="1"/>
  <c r="BK129" i="1"/>
  <c r="AX129" i="1" s="1"/>
  <c r="BR129" i="1"/>
  <c r="BE129" i="1" s="1"/>
  <c r="BP131" i="1"/>
  <c r="BC131" i="1" s="1"/>
  <c r="BT131" i="1"/>
  <c r="BG131" i="1" s="1"/>
  <c r="BM131" i="1"/>
  <c r="AZ131" i="1" s="1"/>
  <c r="AO217" i="1"/>
  <c r="AW217" i="1"/>
  <c r="AR217" i="1"/>
  <c r="AW111" i="1"/>
  <c r="AR111" i="1"/>
  <c r="AO426" i="1"/>
  <c r="AV426" i="1"/>
  <c r="AR426" i="1"/>
  <c r="AO199" i="1"/>
  <c r="AR199" i="1"/>
  <c r="AW199" i="1"/>
  <c r="AV320" i="1"/>
  <c r="AO320" i="1"/>
  <c r="AR320" i="1"/>
  <c r="AV301" i="1"/>
  <c r="AO301" i="1"/>
  <c r="AR301" i="1"/>
  <c r="S302" i="2"/>
  <c r="U85" i="2"/>
  <c r="U86" i="2" s="1"/>
  <c r="O85" i="2"/>
  <c r="R85" i="2"/>
  <c r="R86" i="2" s="1"/>
  <c r="Q85" i="2"/>
  <c r="AY477" i="1"/>
  <c r="AZ477" i="1"/>
  <c r="BE477" i="1"/>
  <c r="V299" i="2"/>
  <c r="AD299" i="2" s="1"/>
  <c r="AE299" i="2" s="1"/>
  <c r="R36" i="1"/>
  <c r="S115" i="1"/>
  <c r="T115" i="1" s="1"/>
  <c r="R163" i="1"/>
  <c r="AN490" i="1"/>
  <c r="AP490" i="1" s="1"/>
  <c r="AQ490" i="1" s="1"/>
  <c r="Y490" i="1"/>
  <c r="S511" i="1"/>
  <c r="O606" i="1"/>
  <c r="N648" i="1"/>
  <c r="N14" i="1" s="1"/>
  <c r="D646" i="1"/>
  <c r="BC148" i="1"/>
  <c r="BE148" i="1"/>
  <c r="AZ148" i="1"/>
  <c r="BK136" i="1"/>
  <c r="AX136" i="1" s="1"/>
  <c r="BO136" i="1"/>
  <c r="BB136" i="1" s="1"/>
  <c r="AZ156" i="1"/>
  <c r="BQ592" i="1"/>
  <c r="BD592" i="1" s="1"/>
  <c r="BN592" i="1"/>
  <c r="BA592" i="1" s="1"/>
  <c r="BS592" i="1"/>
  <c r="BF592" i="1" s="1"/>
  <c r="AO227" i="1"/>
  <c r="AR227" i="1"/>
  <c r="AW227" i="1"/>
  <c r="AO225" i="1"/>
  <c r="AR225" i="1"/>
  <c r="AW225" i="1"/>
  <c r="V167" i="2"/>
  <c r="AD162" i="2"/>
  <c r="BF464" i="1"/>
  <c r="BF473" i="1" s="1"/>
  <c r="BS473" i="1"/>
  <c r="BC464" i="1"/>
  <c r="BC473" i="1" s="1"/>
  <c r="BP473" i="1"/>
  <c r="BD464" i="1"/>
  <c r="BD473" i="1" s="1"/>
  <c r="BQ473" i="1"/>
  <c r="BN481" i="1"/>
  <c r="BA481" i="1" s="1"/>
  <c r="BL481" i="1"/>
  <c r="AY481" i="1" s="1"/>
  <c r="BK481" i="1"/>
  <c r="AX481" i="1" s="1"/>
  <c r="V293" i="2"/>
  <c r="V294" i="2" s="1"/>
  <c r="AO101" i="1"/>
  <c r="AW101" i="1"/>
  <c r="AR101" i="1"/>
  <c r="BB101" i="1"/>
  <c r="BG101" i="1"/>
  <c r="BM594" i="1"/>
  <c r="AZ594" i="1" s="1"/>
  <c r="BJ594" i="1"/>
  <c r="BO594" i="1"/>
  <c r="BB594" i="1" s="1"/>
  <c r="S660" i="1"/>
  <c r="AY62" i="1"/>
  <c r="BD62" i="1"/>
  <c r="AY392" i="1"/>
  <c r="AX392" i="1"/>
  <c r="BE392" i="1"/>
  <c r="S188" i="2"/>
  <c r="BQ523" i="1"/>
  <c r="BD523" i="1" s="1"/>
  <c r="BM523" i="1"/>
  <c r="AZ523" i="1" s="1"/>
  <c r="BI523" i="1"/>
  <c r="BR523" i="1"/>
  <c r="BE523" i="1" s="1"/>
  <c r="BL523" i="1"/>
  <c r="AY523" i="1" s="1"/>
  <c r="BP523" i="1"/>
  <c r="BC523" i="1" s="1"/>
  <c r="BK523" i="1"/>
  <c r="AX523" i="1" s="1"/>
  <c r="BT523" i="1"/>
  <c r="BG523" i="1" s="1"/>
  <c r="BO523" i="1"/>
  <c r="BB523" i="1" s="1"/>
  <c r="BJ523" i="1"/>
  <c r="AW523" i="1" s="1"/>
  <c r="BS523" i="1"/>
  <c r="BF523" i="1" s="1"/>
  <c r="BN523" i="1"/>
  <c r="BA523" i="1" s="1"/>
  <c r="R501" i="1"/>
  <c r="BG269" i="1"/>
  <c r="AW269" i="1"/>
  <c r="BB269" i="1"/>
  <c r="BB331" i="1" s="1"/>
  <c r="AX156" i="4" l="1"/>
  <c r="AX242" i="4" s="1"/>
  <c r="BK242" i="4"/>
  <c r="AZ283" i="4"/>
  <c r="AZ331" i="4" s="1"/>
  <c r="BM331" i="4"/>
  <c r="AW129" i="4"/>
  <c r="AO129" i="4"/>
  <c r="AR129" i="4"/>
  <c r="AS477" i="4"/>
  <c r="AT477" i="4" s="1"/>
  <c r="AP477" i="4"/>
  <c r="AQ477" i="4" s="1"/>
  <c r="BP143" i="4"/>
  <c r="AS438" i="4"/>
  <c r="AT438" i="4" s="1"/>
  <c r="AP438" i="4"/>
  <c r="AQ438" i="4" s="1"/>
  <c r="AS478" i="4"/>
  <c r="AT478" i="4" s="1"/>
  <c r="AP478" i="4"/>
  <c r="AQ478" i="4" s="1"/>
  <c r="AS314" i="4"/>
  <c r="AT314" i="4" s="1"/>
  <c r="AP314" i="4"/>
  <c r="AQ314" i="4" s="1"/>
  <c r="AS217" i="4"/>
  <c r="AT217" i="4" s="1"/>
  <c r="AP217" i="4"/>
  <c r="AQ217" i="4" s="1"/>
  <c r="BJ608" i="4"/>
  <c r="BJ13" i="4"/>
  <c r="AO398" i="4"/>
  <c r="AP398" i="4" s="1"/>
  <c r="AQ398" i="4" s="1"/>
  <c r="AV398" i="4"/>
  <c r="AR398" i="4"/>
  <c r="AS398" i="4" s="1"/>
  <c r="AT398" i="4" s="1"/>
  <c r="BE62" i="4"/>
  <c r="AR62" i="4"/>
  <c r="AY62" i="4"/>
  <c r="BD62" i="4"/>
  <c r="BJ482" i="4"/>
  <c r="BO482" i="4"/>
  <c r="BT482" i="4"/>
  <c r="BN457" i="4"/>
  <c r="BM242" i="4"/>
  <c r="AS348" i="4"/>
  <c r="AT348" i="4" s="1"/>
  <c r="AP348" i="4"/>
  <c r="AQ348" i="4" s="1"/>
  <c r="AV283" i="4"/>
  <c r="BI331" i="4"/>
  <c r="BR360" i="4"/>
  <c r="BS360" i="4"/>
  <c r="AR473" i="4"/>
  <c r="AS299" i="4"/>
  <c r="AT299" i="4" s="1"/>
  <c r="AS163" i="4"/>
  <c r="AT163" i="4" s="1"/>
  <c r="AP163" i="4"/>
  <c r="AQ163" i="4" s="1"/>
  <c r="BK13" i="4"/>
  <c r="BK608" i="4"/>
  <c r="AR523" i="4"/>
  <c r="AV523" i="4"/>
  <c r="AO523" i="4"/>
  <c r="AR400" i="4"/>
  <c r="AX400" i="4"/>
  <c r="AZ396" i="4"/>
  <c r="AZ457" i="4" s="1"/>
  <c r="BM457" i="4"/>
  <c r="BE396" i="4"/>
  <c r="BE457" i="4" s="1"/>
  <c r="BR457" i="4"/>
  <c r="AY396" i="4"/>
  <c r="AY457" i="4" s="1"/>
  <c r="BL457" i="4"/>
  <c r="BC541" i="4"/>
  <c r="BC547" i="4" s="1"/>
  <c r="BP547" i="4"/>
  <c r="AZ541" i="4"/>
  <c r="AZ547" i="4" s="1"/>
  <c r="BM547" i="4"/>
  <c r="BE541" i="4"/>
  <c r="BE547" i="4" s="1"/>
  <c r="BR547" i="4"/>
  <c r="AS227" i="4"/>
  <c r="AT227" i="4" s="1"/>
  <c r="AP227" i="4"/>
  <c r="AQ227" i="4" s="1"/>
  <c r="BK120" i="4"/>
  <c r="AS392" i="4"/>
  <c r="AT392" i="4" s="1"/>
  <c r="AP392" i="4"/>
  <c r="AQ392" i="4" s="1"/>
  <c r="AS491" i="4"/>
  <c r="AT491" i="4" s="1"/>
  <c r="AP491" i="4"/>
  <c r="AQ491" i="4" s="1"/>
  <c r="AO164" i="4"/>
  <c r="AW164" i="4"/>
  <c r="AR164" i="4"/>
  <c r="AR242" i="4" s="1"/>
  <c r="BA360" i="4"/>
  <c r="BB360" i="4"/>
  <c r="BR120" i="4"/>
  <c r="BE606" i="4"/>
  <c r="BF606" i="4"/>
  <c r="AO103" i="4"/>
  <c r="AP103" i="4" s="1"/>
  <c r="AQ103" i="4" s="1"/>
  <c r="AR103" i="4"/>
  <c r="AW103" i="4"/>
  <c r="BJ120" i="4"/>
  <c r="AO484" i="4"/>
  <c r="AP484" i="4" s="1"/>
  <c r="AQ484" i="4" s="1"/>
  <c r="AV484" i="4"/>
  <c r="AR484" i="4"/>
  <c r="AS484" i="4" s="1"/>
  <c r="AT484" i="4" s="1"/>
  <c r="AO522" i="4"/>
  <c r="AV522" i="4"/>
  <c r="AR522" i="4"/>
  <c r="AS201" i="4"/>
  <c r="AT201" i="4" s="1"/>
  <c r="AP201" i="4"/>
  <c r="AQ201" i="4" s="1"/>
  <c r="BB156" i="4"/>
  <c r="BB242" i="4" s="1"/>
  <c r="BO242" i="4"/>
  <c r="BQ331" i="4"/>
  <c r="AS282" i="4"/>
  <c r="AT282" i="4" s="1"/>
  <c r="AP282" i="4"/>
  <c r="AQ282" i="4" s="1"/>
  <c r="AS419" i="4"/>
  <c r="AT419" i="4" s="1"/>
  <c r="AP419" i="4"/>
  <c r="AQ419" i="4" s="1"/>
  <c r="AR283" i="4"/>
  <c r="AR331" i="4" s="1"/>
  <c r="AX283" i="4"/>
  <c r="AX331" i="4" s="1"/>
  <c r="BP360" i="4"/>
  <c r="AS101" i="4"/>
  <c r="AT101" i="4" s="1"/>
  <c r="AP101" i="4"/>
  <c r="AQ101" i="4" s="1"/>
  <c r="BQ242" i="4"/>
  <c r="BT331" i="4"/>
  <c r="AO161" i="4"/>
  <c r="AP161" i="4" s="1"/>
  <c r="AQ161" i="4" s="1"/>
  <c r="AR161" i="4"/>
  <c r="AS161" i="4" s="1"/>
  <c r="AT161" i="4" s="1"/>
  <c r="AW161" i="4"/>
  <c r="AS418" i="4"/>
  <c r="AT418" i="4" s="1"/>
  <c r="AP418" i="4"/>
  <c r="AQ418" i="4" s="1"/>
  <c r="AS124" i="4"/>
  <c r="AT124" i="4" s="1"/>
  <c r="AP124" i="4"/>
  <c r="AQ124" i="4" s="1"/>
  <c r="AS216" i="4"/>
  <c r="AT216" i="4" s="1"/>
  <c r="BP606" i="4"/>
  <c r="AW594" i="4"/>
  <c r="AR594" i="4"/>
  <c r="AO594" i="4"/>
  <c r="BK72" i="4"/>
  <c r="AX72" i="4" s="1"/>
  <c r="BP72" i="4"/>
  <c r="BC72" i="4" s="1"/>
  <c r="BT488" i="4"/>
  <c r="BG488" i="4" s="1"/>
  <c r="BP488" i="4"/>
  <c r="BC488" i="4" s="1"/>
  <c r="BL488" i="4"/>
  <c r="AY488" i="4" s="1"/>
  <c r="BS488" i="4"/>
  <c r="BF488" i="4" s="1"/>
  <c r="BO488" i="4"/>
  <c r="BB488" i="4" s="1"/>
  <c r="BK488" i="4"/>
  <c r="AX488" i="4" s="1"/>
  <c r="BR488" i="4"/>
  <c r="BE488" i="4" s="1"/>
  <c r="BN488" i="4"/>
  <c r="BA488" i="4" s="1"/>
  <c r="BJ488" i="4"/>
  <c r="AW488" i="4" s="1"/>
  <c r="BQ488" i="4"/>
  <c r="BD488" i="4" s="1"/>
  <c r="BM488" i="4"/>
  <c r="AZ488" i="4" s="1"/>
  <c r="BI488" i="4"/>
  <c r="AS426" i="4"/>
  <c r="AT426" i="4" s="1"/>
  <c r="AP426" i="4"/>
  <c r="AQ426" i="4" s="1"/>
  <c r="AS427" i="4"/>
  <c r="AT427" i="4" s="1"/>
  <c r="AP427" i="4"/>
  <c r="AQ427" i="4" s="1"/>
  <c r="AS388" i="4"/>
  <c r="AT388" i="4" s="1"/>
  <c r="AP388" i="4"/>
  <c r="AQ388" i="4" s="1"/>
  <c r="BC143" i="4"/>
  <c r="AP422" i="4"/>
  <c r="AQ422" i="4" s="1"/>
  <c r="AS422" i="4"/>
  <c r="AT422" i="4" s="1"/>
  <c r="AS155" i="4"/>
  <c r="AT155" i="4" s="1"/>
  <c r="AY13" i="4"/>
  <c r="AY608" i="4"/>
  <c r="AO354" i="4"/>
  <c r="AP354" i="4" s="1"/>
  <c r="AQ354" i="4" s="1"/>
  <c r="AW354" i="4"/>
  <c r="AR354" i="4"/>
  <c r="AS354" i="4" s="1"/>
  <c r="AT354" i="4" s="1"/>
  <c r="AO483" i="4"/>
  <c r="AY483" i="4"/>
  <c r="AX62" i="4"/>
  <c r="BC62" i="4"/>
  <c r="BM482" i="4"/>
  <c r="BN482" i="4"/>
  <c r="BS482" i="4"/>
  <c r="AS286" i="4"/>
  <c r="AT286" i="4" s="1"/>
  <c r="AS399" i="4"/>
  <c r="AT399" i="4" s="1"/>
  <c r="AP399" i="4"/>
  <c r="AQ399" i="4" s="1"/>
  <c r="BE360" i="4"/>
  <c r="BF360" i="4"/>
  <c r="BL242" i="4"/>
  <c r="AR289" i="4"/>
  <c r="AX289" i="4"/>
  <c r="AS104" i="4"/>
  <c r="AT104" i="4" s="1"/>
  <c r="AP104" i="4"/>
  <c r="AQ104" i="4" s="1"/>
  <c r="BD13" i="4"/>
  <c r="BD608" i="4"/>
  <c r="BD396" i="4"/>
  <c r="BD457" i="4" s="1"/>
  <c r="BQ457" i="4"/>
  <c r="AR396" i="4"/>
  <c r="AR457" i="4" s="1"/>
  <c r="AX396" i="4"/>
  <c r="BK457" i="4"/>
  <c r="BC396" i="4"/>
  <c r="BC457" i="4" s="1"/>
  <c r="BP457" i="4"/>
  <c r="BG541" i="4"/>
  <c r="BG547" i="4" s="1"/>
  <c r="BT547" i="4"/>
  <c r="BD541" i="4"/>
  <c r="BD547" i="4" s="1"/>
  <c r="BQ547" i="4"/>
  <c r="AR541" i="4"/>
  <c r="AR547" i="4" s="1"/>
  <c r="AX541" i="4"/>
  <c r="AX547" i="4" s="1"/>
  <c r="BK547" i="4"/>
  <c r="AS200" i="4"/>
  <c r="AT200" i="4" s="1"/>
  <c r="AS215" i="4"/>
  <c r="AT215" i="4" s="1"/>
  <c r="AP215" i="4"/>
  <c r="AQ215" i="4" s="1"/>
  <c r="BR143" i="4"/>
  <c r="BN120" i="4"/>
  <c r="BB283" i="4"/>
  <c r="BB331" i="4" s="1"/>
  <c r="BO331" i="4"/>
  <c r="BT360" i="4"/>
  <c r="AP96" i="4"/>
  <c r="AQ96" i="4" s="1"/>
  <c r="AS96" i="4"/>
  <c r="AT96" i="4" s="1"/>
  <c r="AS166" i="4"/>
  <c r="AT166" i="4" s="1"/>
  <c r="AP166" i="4"/>
  <c r="AQ166" i="4" s="1"/>
  <c r="AR423" i="4"/>
  <c r="AX423" i="4"/>
  <c r="AS439" i="4"/>
  <c r="AT439" i="4" s="1"/>
  <c r="AP439" i="4"/>
  <c r="AQ439" i="4" s="1"/>
  <c r="BR606" i="4"/>
  <c r="BS606" i="4"/>
  <c r="BF103" i="4"/>
  <c r="BF120" i="4" s="1"/>
  <c r="BS120" i="4"/>
  <c r="AO487" i="4"/>
  <c r="AY487" i="4"/>
  <c r="AO156" i="4"/>
  <c r="AW156" i="4"/>
  <c r="AR156" i="4"/>
  <c r="BJ242" i="4"/>
  <c r="BP331" i="4"/>
  <c r="BC360" i="4"/>
  <c r="BK143" i="4"/>
  <c r="AS397" i="4"/>
  <c r="AT397" i="4" s="1"/>
  <c r="AP397" i="4"/>
  <c r="AQ397" i="4" s="1"/>
  <c r="BA606" i="4"/>
  <c r="BB606" i="4"/>
  <c r="AO481" i="4"/>
  <c r="AV481" i="4"/>
  <c r="AR481" i="4"/>
  <c r="AO443" i="4"/>
  <c r="AV443" i="4"/>
  <c r="BJ72" i="4"/>
  <c r="BO72" i="4"/>
  <c r="BB72" i="4" s="1"/>
  <c r="BT72" i="4"/>
  <c r="BG72" i="4" s="1"/>
  <c r="BQ74" i="4"/>
  <c r="BD74" i="4" s="1"/>
  <c r="BM74" i="4"/>
  <c r="BT74" i="4"/>
  <c r="BG74" i="4" s="1"/>
  <c r="BP74" i="4"/>
  <c r="BC74" i="4" s="1"/>
  <c r="BL74" i="4"/>
  <c r="BS74" i="4"/>
  <c r="BF74" i="4" s="1"/>
  <c r="BO74" i="4"/>
  <c r="BB74" i="4" s="1"/>
  <c r="BK74" i="4"/>
  <c r="AX74" i="4" s="1"/>
  <c r="BR74" i="4"/>
  <c r="BE74" i="4" s="1"/>
  <c r="BN74" i="4"/>
  <c r="BA74" i="4" s="1"/>
  <c r="BJ74" i="4"/>
  <c r="AW74" i="4" s="1"/>
  <c r="AS292" i="4"/>
  <c r="AT292" i="4" s="1"/>
  <c r="AP292" i="4"/>
  <c r="AQ292" i="4" s="1"/>
  <c r="AS225" i="4"/>
  <c r="AT225" i="4" s="1"/>
  <c r="AP225" i="4"/>
  <c r="AQ225" i="4" s="1"/>
  <c r="BQ143" i="4"/>
  <c r="AS110" i="4"/>
  <c r="AT110" i="4" s="1"/>
  <c r="AP110" i="4"/>
  <c r="AQ110" i="4" s="1"/>
  <c r="AS197" i="4"/>
  <c r="AT197" i="4" s="1"/>
  <c r="AP197" i="4"/>
  <c r="AQ197" i="4" s="1"/>
  <c r="BO143" i="4"/>
  <c r="BL13" i="4"/>
  <c r="BL608" i="4"/>
  <c r="AW62" i="4"/>
  <c r="BJ90" i="4"/>
  <c r="BB62" i="4"/>
  <c r="BO90" i="4"/>
  <c r="BG62" i="4"/>
  <c r="BG90" i="4" s="1"/>
  <c r="BT90" i="4"/>
  <c r="BQ482" i="4"/>
  <c r="BR482" i="4"/>
  <c r="BL482" i="4"/>
  <c r="AS159" i="4"/>
  <c r="AT159" i="4" s="1"/>
  <c r="AP159" i="4"/>
  <c r="AQ159" i="4" s="1"/>
  <c r="AS79" i="4"/>
  <c r="AT79" i="4" s="1"/>
  <c r="AP79" i="4"/>
  <c r="AQ79" i="4" s="1"/>
  <c r="AS214" i="4"/>
  <c r="AT214" i="4" s="1"/>
  <c r="BF283" i="4"/>
  <c r="BF331" i="4" s="1"/>
  <c r="BS331" i="4"/>
  <c r="BM360" i="4"/>
  <c r="AS284" i="4"/>
  <c r="AT284" i="4" s="1"/>
  <c r="AP284" i="4"/>
  <c r="AQ284" i="4" s="1"/>
  <c r="AS320" i="4"/>
  <c r="AT320" i="4" s="1"/>
  <c r="AO473" i="4"/>
  <c r="BQ13" i="4"/>
  <c r="BQ608" i="4"/>
  <c r="AS424" i="4"/>
  <c r="AT424" i="4" s="1"/>
  <c r="AP424" i="4"/>
  <c r="AQ424" i="4" s="1"/>
  <c r="AO105" i="4"/>
  <c r="AP105" i="4" s="1"/>
  <c r="AQ105" i="4" s="1"/>
  <c r="AR105" i="4"/>
  <c r="AS105" i="4" s="1"/>
  <c r="AT105" i="4" s="1"/>
  <c r="AW105" i="4"/>
  <c r="AV400" i="4"/>
  <c r="AO400" i="4"/>
  <c r="AW396" i="4"/>
  <c r="AW457" i="4" s="1"/>
  <c r="BJ457" i="4"/>
  <c r="BB396" i="4"/>
  <c r="BB457" i="4" s="1"/>
  <c r="BO457" i="4"/>
  <c r="BG396" i="4"/>
  <c r="BG457" i="4" s="1"/>
  <c r="BT457" i="4"/>
  <c r="AO541" i="4"/>
  <c r="AY541" i="4"/>
  <c r="AY547" i="4" s="1"/>
  <c r="BL547" i="4"/>
  <c r="AW541" i="4"/>
  <c r="AW547" i="4" s="1"/>
  <c r="BJ547" i="4"/>
  <c r="BB541" i="4"/>
  <c r="BB547" i="4" s="1"/>
  <c r="BO547" i="4"/>
  <c r="AS395" i="4"/>
  <c r="AT395" i="4" s="1"/>
  <c r="AP395" i="4"/>
  <c r="AQ395" i="4" s="1"/>
  <c r="BE143" i="4"/>
  <c r="AZ129" i="4"/>
  <c r="AZ143" i="4" s="1"/>
  <c r="BM143" i="4"/>
  <c r="BG360" i="4"/>
  <c r="AS464" i="4"/>
  <c r="AT464" i="4" s="1"/>
  <c r="AO289" i="4"/>
  <c r="AY289" i="4"/>
  <c r="AY331" i="4" s="1"/>
  <c r="AS148" i="4"/>
  <c r="AT148" i="4" s="1"/>
  <c r="AP148" i="4"/>
  <c r="AQ148" i="4" s="1"/>
  <c r="AS425" i="4"/>
  <c r="AT425" i="4" s="1"/>
  <c r="AP425" i="4"/>
  <c r="AQ425" i="4" s="1"/>
  <c r="AS420" i="4"/>
  <c r="AT420" i="4" s="1"/>
  <c r="AP420" i="4"/>
  <c r="AQ420" i="4" s="1"/>
  <c r="AZ606" i="4"/>
  <c r="AR487" i="4"/>
  <c r="AX487" i="4"/>
  <c r="AS440" i="4"/>
  <c r="AT440" i="4" s="1"/>
  <c r="AP440" i="4"/>
  <c r="AQ440" i="4" s="1"/>
  <c r="BS457" i="4"/>
  <c r="BR242" i="4"/>
  <c r="BL143" i="4"/>
  <c r="AS73" i="4"/>
  <c r="AT73" i="4" s="1"/>
  <c r="AP73" i="4"/>
  <c r="AQ73" i="4" s="1"/>
  <c r="BK360" i="4"/>
  <c r="AS389" i="4"/>
  <c r="AT389" i="4" s="1"/>
  <c r="AP389" i="4"/>
  <c r="AQ389" i="4" s="1"/>
  <c r="AS390" i="4"/>
  <c r="AT390" i="4" s="1"/>
  <c r="AP390" i="4"/>
  <c r="AQ390" i="4" s="1"/>
  <c r="AX143" i="4"/>
  <c r="BN606" i="4"/>
  <c r="BO606" i="4"/>
  <c r="AO81" i="4"/>
  <c r="AP81" i="4" s="1"/>
  <c r="AQ81" i="4" s="1"/>
  <c r="AW81" i="4"/>
  <c r="AR81" i="4"/>
  <c r="AS81" i="4" s="1"/>
  <c r="AT81" i="4" s="1"/>
  <c r="BN72" i="4"/>
  <c r="BA72" i="4" s="1"/>
  <c r="BS72" i="4"/>
  <c r="BF72" i="4" s="1"/>
  <c r="BM72" i="4"/>
  <c r="AZ72" i="4" s="1"/>
  <c r="BC156" i="4"/>
  <c r="BC242" i="4" s="1"/>
  <c r="BP242" i="4"/>
  <c r="AS199" i="4"/>
  <c r="AT199" i="4" s="1"/>
  <c r="AP199" i="4"/>
  <c r="AQ199" i="4" s="1"/>
  <c r="BE283" i="4"/>
  <c r="BE331" i="4" s="1"/>
  <c r="BR331" i="4"/>
  <c r="AR131" i="4"/>
  <c r="AR143" i="4" s="1"/>
  <c r="AO131" i="4"/>
  <c r="AW131" i="4"/>
  <c r="AW143" i="4" s="1"/>
  <c r="AS218" i="4"/>
  <c r="AT218" i="4" s="1"/>
  <c r="AP218" i="4"/>
  <c r="AQ218" i="4" s="1"/>
  <c r="AS230" i="4"/>
  <c r="AT230" i="4" s="1"/>
  <c r="AP230" i="4"/>
  <c r="AQ230" i="4" s="1"/>
  <c r="AS492" i="4"/>
  <c r="AT492" i="4" s="1"/>
  <c r="AP492" i="4"/>
  <c r="AQ492" i="4" s="1"/>
  <c r="AS130" i="4"/>
  <c r="AT130" i="4" s="1"/>
  <c r="AP130" i="4"/>
  <c r="AQ130" i="4" s="1"/>
  <c r="AS71" i="4"/>
  <c r="AT71" i="4" s="1"/>
  <c r="AP71" i="4"/>
  <c r="AQ71" i="4" s="1"/>
  <c r="AS589" i="4"/>
  <c r="AT589" i="4" s="1"/>
  <c r="AP589" i="4"/>
  <c r="AQ589" i="4" s="1"/>
  <c r="AR483" i="4"/>
  <c r="AX483" i="4"/>
  <c r="AO345" i="4"/>
  <c r="AW345" i="4"/>
  <c r="AW360" i="4" s="1"/>
  <c r="AR345" i="4"/>
  <c r="AR360" i="4" s="1"/>
  <c r="BA62" i="4"/>
  <c r="BA90" i="4" s="1"/>
  <c r="BN90" i="4"/>
  <c r="BF62" i="4"/>
  <c r="BF90" i="4" s="1"/>
  <c r="AO62" i="4"/>
  <c r="AZ62" i="4"/>
  <c r="BM90" i="4"/>
  <c r="BI482" i="4"/>
  <c r="BK482" i="4"/>
  <c r="BP482" i="4"/>
  <c r="AS428" i="4"/>
  <c r="AT428" i="4" s="1"/>
  <c r="AP428" i="4"/>
  <c r="AQ428" i="4" s="1"/>
  <c r="AS158" i="4"/>
  <c r="AT158" i="4" s="1"/>
  <c r="AP158" i="4"/>
  <c r="AQ158" i="4" s="1"/>
  <c r="AS288" i="4"/>
  <c r="AT288" i="4" s="1"/>
  <c r="AP288" i="4"/>
  <c r="AQ288" i="4" s="1"/>
  <c r="BA283" i="4"/>
  <c r="BA331" i="4" s="1"/>
  <c r="BN331" i="4"/>
  <c r="AZ360" i="4"/>
  <c r="AS406" i="4"/>
  <c r="AT406" i="4" s="1"/>
  <c r="AP406" i="4"/>
  <c r="AQ406" i="4" s="1"/>
  <c r="AV423" i="4"/>
  <c r="AO423" i="4"/>
  <c r="AS312" i="4"/>
  <c r="AT312" i="4" s="1"/>
  <c r="AP312" i="4"/>
  <c r="AQ312" i="4" s="1"/>
  <c r="AS102" i="4"/>
  <c r="AT102" i="4" s="1"/>
  <c r="AP102" i="4"/>
  <c r="AQ102" i="4" s="1"/>
  <c r="AO300" i="4"/>
  <c r="AV300" i="4"/>
  <c r="AR300" i="4"/>
  <c r="AX13" i="4"/>
  <c r="AX608" i="4"/>
  <c r="AW596" i="4"/>
  <c r="AR596" i="4"/>
  <c r="AO596" i="4"/>
  <c r="AO111" i="4"/>
  <c r="AP111" i="4" s="1"/>
  <c r="AQ111" i="4" s="1"/>
  <c r="AR111" i="4"/>
  <c r="AW111" i="4"/>
  <c r="AO396" i="4"/>
  <c r="AO457" i="4" s="1"/>
  <c r="AV396" i="4"/>
  <c r="AV457" i="4" s="1"/>
  <c r="AV541" i="4"/>
  <c r="AV547" i="4" s="1"/>
  <c r="BI547" i="4"/>
  <c r="BA541" i="4"/>
  <c r="BA547" i="4" s="1"/>
  <c r="BN547" i="4"/>
  <c r="BF541" i="4"/>
  <c r="BF547" i="4" s="1"/>
  <c r="BS547" i="4"/>
  <c r="BA156" i="4"/>
  <c r="BA242" i="4" s="1"/>
  <c r="BN242" i="4"/>
  <c r="BS242" i="4"/>
  <c r="AS269" i="4"/>
  <c r="AT269" i="4" s="1"/>
  <c r="AP269" i="4"/>
  <c r="AQ269" i="4" s="1"/>
  <c r="AS303" i="4"/>
  <c r="AT303" i="4" s="1"/>
  <c r="AP303" i="4"/>
  <c r="AQ303" i="4" s="1"/>
  <c r="AS301" i="4"/>
  <c r="AT301" i="4" s="1"/>
  <c r="AP301" i="4"/>
  <c r="AQ301" i="4" s="1"/>
  <c r="BN360" i="4"/>
  <c r="BO360" i="4"/>
  <c r="BO120" i="4"/>
  <c r="BM606" i="4"/>
  <c r="BC103" i="4"/>
  <c r="BC120" i="4" s="1"/>
  <c r="BP120" i="4"/>
  <c r="AR592" i="4"/>
  <c r="AR606" i="4" s="1"/>
  <c r="AO592" i="4"/>
  <c r="AW592" i="4"/>
  <c r="AW606" i="4" s="1"/>
  <c r="AO430" i="4"/>
  <c r="AV430" i="4"/>
  <c r="AR430" i="4"/>
  <c r="AP290" i="4"/>
  <c r="AQ290" i="4" s="1"/>
  <c r="AS290" i="4"/>
  <c r="AT290" i="4" s="1"/>
  <c r="BG156" i="4"/>
  <c r="BG242" i="4" s="1"/>
  <c r="BT242" i="4"/>
  <c r="AW136" i="4"/>
  <c r="AO136" i="4"/>
  <c r="AR136" i="4"/>
  <c r="AS70" i="4"/>
  <c r="AT70" i="4" s="1"/>
  <c r="AP70" i="4"/>
  <c r="AQ70" i="4" s="1"/>
  <c r="AY143" i="4"/>
  <c r="AS465" i="4"/>
  <c r="AT465" i="4" s="1"/>
  <c r="AP465" i="4"/>
  <c r="AQ465" i="4" s="1"/>
  <c r="AS232" i="4"/>
  <c r="AT232" i="4" s="1"/>
  <c r="AP232" i="4"/>
  <c r="AQ232" i="4" s="1"/>
  <c r="AS337" i="4"/>
  <c r="AT337" i="4" s="1"/>
  <c r="AP337" i="4"/>
  <c r="AQ337" i="4" s="1"/>
  <c r="AO360" i="4"/>
  <c r="AX360" i="4"/>
  <c r="AS493" i="4"/>
  <c r="AT493" i="4" s="1"/>
  <c r="AP493" i="4"/>
  <c r="AQ493" i="4" s="1"/>
  <c r="BJ143" i="4"/>
  <c r="BQ120" i="4"/>
  <c r="BC606" i="4"/>
  <c r="AR443" i="4"/>
  <c r="AX443" i="4"/>
  <c r="BR72" i="4"/>
  <c r="BE72" i="4" s="1"/>
  <c r="BL72" i="4"/>
  <c r="AY72" i="4" s="1"/>
  <c r="BQ72" i="4"/>
  <c r="BD72" i="4" s="1"/>
  <c r="AO283" i="4"/>
  <c r="AR443" i="1"/>
  <c r="AR62" i="1"/>
  <c r="BN488" i="1"/>
  <c r="BA488" i="1" s="1"/>
  <c r="AO81" i="1"/>
  <c r="BS72" i="1"/>
  <c r="BF72" i="1" s="1"/>
  <c r="BN72" i="1"/>
  <c r="BA72" i="1" s="1"/>
  <c r="BM72" i="1"/>
  <c r="AZ72" i="1" s="1"/>
  <c r="BL72" i="1"/>
  <c r="AY72" i="1" s="1"/>
  <c r="BR72" i="1"/>
  <c r="BE72" i="1" s="1"/>
  <c r="BQ72" i="1"/>
  <c r="BD72" i="1" s="1"/>
  <c r="V179" i="2"/>
  <c r="BA62" i="1"/>
  <c r="AV443" i="1"/>
  <c r="AD171" i="2"/>
  <c r="AE171" i="2" s="1"/>
  <c r="AR105" i="1"/>
  <c r="AO105" i="1"/>
  <c r="BO72" i="1"/>
  <c r="BB72" i="1" s="1"/>
  <c r="BT72" i="1"/>
  <c r="BG72" i="1" s="1"/>
  <c r="BJ72" i="1"/>
  <c r="AA179" i="2"/>
  <c r="AR81" i="1"/>
  <c r="AO111" i="1"/>
  <c r="BK72" i="1"/>
  <c r="AX72" i="1" s="1"/>
  <c r="AO103" i="1"/>
  <c r="BJ74" i="1"/>
  <c r="AW74" i="1" s="1"/>
  <c r="BK74" i="1"/>
  <c r="AX74" i="1" s="1"/>
  <c r="BO74" i="1"/>
  <c r="BB74" i="1" s="1"/>
  <c r="BS74" i="1"/>
  <c r="BF74" i="1" s="1"/>
  <c r="BT74" i="1"/>
  <c r="BG74" i="1" s="1"/>
  <c r="BR74" i="1"/>
  <c r="BE74" i="1" s="1"/>
  <c r="BL74" i="1"/>
  <c r="AY74" i="1" s="1"/>
  <c r="BP74" i="1"/>
  <c r="BC74" i="1" s="1"/>
  <c r="BM74" i="1"/>
  <c r="AZ74" i="1" s="1"/>
  <c r="BQ74" i="1"/>
  <c r="BD74" i="1" s="1"/>
  <c r="BN74" i="1"/>
  <c r="BA74" i="1" s="1"/>
  <c r="BG331" i="1"/>
  <c r="AR164" i="1"/>
  <c r="AR345" i="1"/>
  <c r="AS166" i="1"/>
  <c r="AT166" i="1" s="1"/>
  <c r="AO483" i="1"/>
  <c r="AS389" i="1"/>
  <c r="AT389" i="1" s="1"/>
  <c r="AS102" i="1"/>
  <c r="AT102" i="1" s="1"/>
  <c r="AE568" i="1"/>
  <c r="AE616" i="1" s="1"/>
  <c r="AE12" i="1"/>
  <c r="AE11" i="1" s="1"/>
  <c r="AL690" i="1"/>
  <c r="AL691" i="1" s="1"/>
  <c r="AB690" i="1"/>
  <c r="AB691" i="1" s="1"/>
  <c r="V437" i="1"/>
  <c r="W437" i="1" s="1"/>
  <c r="AR483" i="1"/>
  <c r="D496" i="1"/>
  <c r="F496" i="1" s="1"/>
  <c r="G496" i="1" s="1"/>
  <c r="AS130" i="1"/>
  <c r="AT130" i="1" s="1"/>
  <c r="BD331" i="1"/>
  <c r="BK112" i="1"/>
  <c r="BO112" i="1"/>
  <c r="BS112" i="1"/>
  <c r="BN112" i="1"/>
  <c r="BT112" i="1"/>
  <c r="BJ112" i="1"/>
  <c r="BP112" i="1"/>
  <c r="BR112" i="1"/>
  <c r="BL112" i="1"/>
  <c r="BI112" i="1"/>
  <c r="BM112" i="1"/>
  <c r="BQ112" i="1"/>
  <c r="AW345" i="1"/>
  <c r="AD300" i="2"/>
  <c r="AE300" i="2" s="1"/>
  <c r="S505" i="1"/>
  <c r="T505" i="1" s="1"/>
  <c r="U505" i="1" s="1"/>
  <c r="V505" i="1" s="1"/>
  <c r="W505" i="1" s="1"/>
  <c r="AL12" i="1"/>
  <c r="AL11" i="1" s="1"/>
  <c r="BJ331" i="1"/>
  <c r="R305" i="2"/>
  <c r="R308" i="2" s="1"/>
  <c r="BQ331" i="1"/>
  <c r="BM482" i="1"/>
  <c r="AZ482" i="1" s="1"/>
  <c r="F494" i="1"/>
  <c r="G494" i="1" s="1"/>
  <c r="AD298" i="2"/>
  <c r="AE298" i="2" s="1"/>
  <c r="AN495" i="1"/>
  <c r="AP495" i="1" s="1"/>
  <c r="AQ495" i="1" s="1"/>
  <c r="AS388" i="1"/>
  <c r="AT388" i="1" s="1"/>
  <c r="W305" i="2"/>
  <c r="W308" i="2" s="1"/>
  <c r="T305" i="2"/>
  <c r="T308" i="2" s="1"/>
  <c r="BI457" i="1"/>
  <c r="AR430" i="1"/>
  <c r="AW331" i="1"/>
  <c r="N13" i="1"/>
  <c r="AO345" i="1"/>
  <c r="BR331" i="1"/>
  <c r="AR161" i="1"/>
  <c r="BI331" i="1"/>
  <c r="AB568" i="1"/>
  <c r="AB616" i="1" s="1"/>
  <c r="BT331" i="1"/>
  <c r="BE331" i="1"/>
  <c r="AO487" i="1"/>
  <c r="AS406" i="1"/>
  <c r="AT406" i="1" s="1"/>
  <c r="AO423" i="1"/>
  <c r="I496" i="1"/>
  <c r="J496" i="1" s="1"/>
  <c r="AR289" i="1"/>
  <c r="AO430" i="1"/>
  <c r="AS430" i="1" s="1"/>
  <c r="AT430" i="1" s="1"/>
  <c r="AR487" i="1"/>
  <c r="AR283" i="1"/>
  <c r="Y495" i="1"/>
  <c r="AO289" i="1"/>
  <c r="AR484" i="1"/>
  <c r="AR423" i="1"/>
  <c r="BL331" i="1"/>
  <c r="AO283" i="1"/>
  <c r="AO161" i="1"/>
  <c r="BA331" i="1"/>
  <c r="AH690" i="1"/>
  <c r="AH691" i="1" s="1"/>
  <c r="AH12" i="1"/>
  <c r="AH11" i="1" s="1"/>
  <c r="AH568" i="1"/>
  <c r="AH616" i="1" s="1"/>
  <c r="AN496" i="1"/>
  <c r="AP496" i="1" s="1"/>
  <c r="AQ496" i="1" s="1"/>
  <c r="AN497" i="1"/>
  <c r="AP497" i="1" s="1"/>
  <c r="AQ497" i="1" s="1"/>
  <c r="U310" i="1"/>
  <c r="V310" i="1" s="1"/>
  <c r="W310" i="1" s="1"/>
  <c r="Y310" i="1" s="1"/>
  <c r="BO331" i="1"/>
  <c r="BE457" i="1"/>
  <c r="AO484" i="1"/>
  <c r="AO164" i="1"/>
  <c r="T453" i="1"/>
  <c r="U453" i="1" s="1"/>
  <c r="V453" i="1" s="1"/>
  <c r="AY331" i="1"/>
  <c r="AV283" i="1"/>
  <c r="AV331" i="1" s="1"/>
  <c r="BS331" i="1"/>
  <c r="U446" i="1"/>
  <c r="V446" i="1" s="1"/>
  <c r="W446" i="1" s="1"/>
  <c r="Y492" i="1"/>
  <c r="D492" i="1"/>
  <c r="BK457" i="1"/>
  <c r="AX457" i="1"/>
  <c r="V467" i="1"/>
  <c r="W467" i="1" s="1"/>
  <c r="Y467" i="1" s="1"/>
  <c r="AS337" i="1"/>
  <c r="AT337" i="1" s="1"/>
  <c r="BJ457" i="1"/>
  <c r="BR457" i="1"/>
  <c r="AY457" i="1"/>
  <c r="W515" i="1"/>
  <c r="Y515" i="1" s="1"/>
  <c r="BC457" i="1"/>
  <c r="BQ482" i="1"/>
  <c r="BD482" i="1" s="1"/>
  <c r="AA86" i="2"/>
  <c r="U182" i="1"/>
  <c r="V182" i="1" s="1"/>
  <c r="S223" i="1"/>
  <c r="T223" i="1" s="1"/>
  <c r="T140" i="1"/>
  <c r="BI488" i="1"/>
  <c r="AV488" i="1" s="1"/>
  <c r="T592" i="1"/>
  <c r="U592" i="1" s="1"/>
  <c r="V592" i="1" s="1"/>
  <c r="U149" i="1"/>
  <c r="V149" i="1" s="1"/>
  <c r="W149" i="1" s="1"/>
  <c r="Y149" i="1" s="1"/>
  <c r="V433" i="1"/>
  <c r="W433" i="1" s="1"/>
  <c r="AN433" i="1" s="1"/>
  <c r="AP433" i="1" s="1"/>
  <c r="AQ433" i="1" s="1"/>
  <c r="U305" i="2"/>
  <c r="U308" i="2" s="1"/>
  <c r="T98" i="1"/>
  <c r="U98" i="1" s="1"/>
  <c r="V98" i="1" s="1"/>
  <c r="W98" i="1" s="1"/>
  <c r="D519" i="1"/>
  <c r="F519" i="1" s="1"/>
  <c r="G519" i="1" s="1"/>
  <c r="BJ488" i="1"/>
  <c r="AW488" i="1" s="1"/>
  <c r="BQ488" i="1"/>
  <c r="BD488" i="1" s="1"/>
  <c r="V229" i="1"/>
  <c r="W229" i="1" s="1"/>
  <c r="D229" i="1" s="1"/>
  <c r="W513" i="1"/>
  <c r="AN513" i="1" s="1"/>
  <c r="AP513" i="1" s="1"/>
  <c r="AQ513" i="1" s="1"/>
  <c r="U140" i="1"/>
  <c r="V85" i="2"/>
  <c r="V86" i="2" s="1"/>
  <c r="V135" i="1"/>
  <c r="W135" i="1" s="1"/>
  <c r="BD457" i="1"/>
  <c r="Y507" i="1"/>
  <c r="S305" i="2"/>
  <c r="S308" i="2" s="1"/>
  <c r="T296" i="1"/>
  <c r="BK488" i="1"/>
  <c r="AX488" i="1" s="1"/>
  <c r="BP488" i="1"/>
  <c r="BC488" i="1" s="1"/>
  <c r="AS96" i="1"/>
  <c r="AT96" i="1" s="1"/>
  <c r="AS284" i="1"/>
  <c r="AT284" i="1" s="1"/>
  <c r="AS288" i="1"/>
  <c r="AT288" i="1" s="1"/>
  <c r="AS424" i="1"/>
  <c r="AT424" i="1" s="1"/>
  <c r="AA44" i="2"/>
  <c r="AA45" i="2" s="1"/>
  <c r="Z45" i="2"/>
  <c r="Q45" i="2"/>
  <c r="R46" i="2" s="1"/>
  <c r="V44" i="2"/>
  <c r="V45" i="2" s="1"/>
  <c r="W502" i="1"/>
  <c r="Y502" i="1" s="1"/>
  <c r="BN457" i="1"/>
  <c r="AW457" i="1"/>
  <c r="BA457" i="1"/>
  <c r="BM457" i="1"/>
  <c r="BO457" i="1"/>
  <c r="BL457" i="1"/>
  <c r="BQ457" i="1"/>
  <c r="BP457" i="1"/>
  <c r="T133" i="1"/>
  <c r="U133" i="1" s="1"/>
  <c r="R151" i="1"/>
  <c r="V140" i="1"/>
  <c r="W140" i="1" s="1"/>
  <c r="AN140" i="1" s="1"/>
  <c r="AP140" i="1" s="1"/>
  <c r="AQ140" i="1" s="1"/>
  <c r="D503" i="1"/>
  <c r="T66" i="1"/>
  <c r="U66" i="1" s="1"/>
  <c r="R509" i="1"/>
  <c r="S509" i="1" s="1"/>
  <c r="T509" i="1" s="1"/>
  <c r="R94" i="1"/>
  <c r="S94" i="1" s="1"/>
  <c r="V184" i="1"/>
  <c r="W184" i="1" s="1"/>
  <c r="Y184" i="1" s="1"/>
  <c r="F67" i="1"/>
  <c r="G67" i="1" s="1"/>
  <c r="I67" i="1"/>
  <c r="J67" i="1" s="1"/>
  <c r="R388" i="1"/>
  <c r="S388" i="1" s="1"/>
  <c r="T388" i="1" s="1"/>
  <c r="U388" i="1" s="1"/>
  <c r="S445" i="1"/>
  <c r="T445" i="1" s="1"/>
  <c r="U445" i="1" s="1"/>
  <c r="BF170" i="1"/>
  <c r="F170" i="1"/>
  <c r="G170" i="1" s="1"/>
  <c r="BE170" i="1"/>
  <c r="AZ170" i="1"/>
  <c r="I170" i="1"/>
  <c r="J170" i="1" s="1"/>
  <c r="BG170" i="1"/>
  <c r="AY170" i="1"/>
  <c r="U392" i="1"/>
  <c r="V392" i="1" s="1"/>
  <c r="U424" i="1"/>
  <c r="V424" i="1" s="1"/>
  <c r="W424" i="1" s="1"/>
  <c r="Y424" i="1" s="1"/>
  <c r="AN187" i="1"/>
  <c r="D187" i="1"/>
  <c r="I285" i="1"/>
  <c r="J285" i="1" s="1"/>
  <c r="F285" i="1"/>
  <c r="G285" i="1" s="1"/>
  <c r="Y471" i="1"/>
  <c r="AN471" i="1"/>
  <c r="AP471" i="1" s="1"/>
  <c r="AQ471" i="1" s="1"/>
  <c r="T111" i="1"/>
  <c r="U111" i="1" s="1"/>
  <c r="V111" i="1" s="1"/>
  <c r="S590" i="1"/>
  <c r="S540" i="1"/>
  <c r="T540" i="1" s="1"/>
  <c r="U540" i="1" s="1"/>
  <c r="V540" i="1" s="1"/>
  <c r="S556" i="1"/>
  <c r="T556" i="1" s="1"/>
  <c r="I409" i="1"/>
  <c r="J409" i="1" s="1"/>
  <c r="F409" i="1"/>
  <c r="G409" i="1" s="1"/>
  <c r="W561" i="1"/>
  <c r="Y561" i="1" s="1"/>
  <c r="T177" i="1"/>
  <c r="I436" i="1"/>
  <c r="J436" i="1" s="1"/>
  <c r="F436" i="1"/>
  <c r="G436" i="1" s="1"/>
  <c r="R679" i="1"/>
  <c r="F112" i="1"/>
  <c r="G112" i="1" s="1"/>
  <c r="I112" i="1"/>
  <c r="J112" i="1" s="1"/>
  <c r="S539" i="1"/>
  <c r="T539" i="1" s="1"/>
  <c r="I218" i="1"/>
  <c r="J218" i="1" s="1"/>
  <c r="F218" i="1"/>
  <c r="G218" i="1" s="1"/>
  <c r="R86" i="1"/>
  <c r="S86" i="1" s="1"/>
  <c r="T86" i="1" s="1"/>
  <c r="R139" i="1"/>
  <c r="S139" i="1" s="1"/>
  <c r="T139" i="1" s="1"/>
  <c r="U139" i="1" s="1"/>
  <c r="V139" i="1" s="1"/>
  <c r="AN503" i="1"/>
  <c r="AP503" i="1" s="1"/>
  <c r="AQ503" i="1" s="1"/>
  <c r="S95" i="1"/>
  <c r="U130" i="1"/>
  <c r="V130" i="1" s="1"/>
  <c r="U215" i="1"/>
  <c r="V215" i="1" s="1"/>
  <c r="R80" i="1"/>
  <c r="AS225" i="1"/>
  <c r="AT225" i="1" s="1"/>
  <c r="AS426" i="1"/>
  <c r="AT426" i="1" s="1"/>
  <c r="AW594" i="1"/>
  <c r="AR594" i="1"/>
  <c r="AO594" i="1"/>
  <c r="S428" i="1"/>
  <c r="T428" i="1" s="1"/>
  <c r="AS197" i="1"/>
  <c r="AT197" i="1" s="1"/>
  <c r="T664" i="1"/>
  <c r="U664" i="1" s="1"/>
  <c r="AS79" i="1"/>
  <c r="AT79" i="1" s="1"/>
  <c r="AS70" i="1"/>
  <c r="AT70" i="1" s="1"/>
  <c r="AS73" i="1"/>
  <c r="AT73" i="1" s="1"/>
  <c r="T478" i="1"/>
  <c r="V469" i="1"/>
  <c r="W469" i="1" s="1"/>
  <c r="AS227" i="1"/>
  <c r="AT227" i="1" s="1"/>
  <c r="BT646" i="1"/>
  <c r="BP646" i="1"/>
  <c r="BL646" i="1"/>
  <c r="BS646" i="1"/>
  <c r="BO646" i="1"/>
  <c r="BK646" i="1"/>
  <c r="F646" i="1"/>
  <c r="G646" i="1" s="1"/>
  <c r="BR646" i="1"/>
  <c r="BN646" i="1"/>
  <c r="BJ646" i="1"/>
  <c r="BQ646" i="1"/>
  <c r="BM646" i="1"/>
  <c r="BI646" i="1"/>
  <c r="I646" i="1"/>
  <c r="J646" i="1" s="1"/>
  <c r="R531" i="1"/>
  <c r="S531" i="1" s="1"/>
  <c r="U488" i="1"/>
  <c r="AS399" i="1"/>
  <c r="AT399" i="1" s="1"/>
  <c r="BF606" i="1"/>
  <c r="BJ606" i="1"/>
  <c r="S487" i="1"/>
  <c r="R479" i="1"/>
  <c r="S479" i="1" s="1"/>
  <c r="T479" i="1" s="1"/>
  <c r="R233" i="1"/>
  <c r="S233" i="1" s="1"/>
  <c r="R317" i="1"/>
  <c r="S317" i="1" s="1"/>
  <c r="R105" i="1"/>
  <c r="S105" i="1" s="1"/>
  <c r="T105" i="1" s="1"/>
  <c r="P366" i="1"/>
  <c r="Q366" i="1"/>
  <c r="R69" i="1"/>
  <c r="S69" i="1" s="1"/>
  <c r="R350" i="1"/>
  <c r="R342" i="1"/>
  <c r="S342" i="1" s="1"/>
  <c r="R49" i="1"/>
  <c r="R665" i="1"/>
  <c r="S665" i="1" s="1"/>
  <c r="R537" i="1"/>
  <c r="S537" i="1" s="1"/>
  <c r="AO72" i="1"/>
  <c r="AW72" i="1"/>
  <c r="AS441" i="1"/>
  <c r="AT441" i="1" s="1"/>
  <c r="BI482" i="1"/>
  <c r="BP482" i="1"/>
  <c r="BC482" i="1" s="1"/>
  <c r="BN482" i="1"/>
  <c r="BA482" i="1" s="1"/>
  <c r="AO481" i="1"/>
  <c r="AV481" i="1"/>
  <c r="AR481" i="1"/>
  <c r="AS428" i="1"/>
  <c r="AT428" i="1" s="1"/>
  <c r="AS484" i="1"/>
  <c r="AT484" i="1" s="1"/>
  <c r="AS477" i="1"/>
  <c r="AT477" i="1" s="1"/>
  <c r="AP422" i="1"/>
  <c r="AQ422" i="1" s="1"/>
  <c r="AS422" i="1"/>
  <c r="AT422" i="1" s="1"/>
  <c r="AS483" i="1"/>
  <c r="AT483" i="1" s="1"/>
  <c r="AS198" i="1"/>
  <c r="AT198" i="1" s="1"/>
  <c r="T660" i="1"/>
  <c r="U660" i="1" s="1"/>
  <c r="R534" i="1"/>
  <c r="BB606" i="1"/>
  <c r="R483" i="1"/>
  <c r="S483" i="1" s="1"/>
  <c r="S484" i="1"/>
  <c r="R344" i="1"/>
  <c r="S284" i="1"/>
  <c r="D185" i="1"/>
  <c r="R114" i="1"/>
  <c r="S114" i="1" s="1"/>
  <c r="T396" i="1"/>
  <c r="U396" i="1" s="1"/>
  <c r="V396" i="1" s="1"/>
  <c r="R147" i="1"/>
  <c r="S162" i="1"/>
  <c r="R27" i="1"/>
  <c r="O90" i="1"/>
  <c r="S292" i="1"/>
  <c r="T292" i="1" s="1"/>
  <c r="U292" i="1" s="1"/>
  <c r="S37" i="1"/>
  <c r="T37" i="1" s="1"/>
  <c r="U37" i="1" s="1"/>
  <c r="V37" i="1" s="1"/>
  <c r="W37" i="1" s="1"/>
  <c r="R451" i="1"/>
  <c r="S419" i="1"/>
  <c r="T419" i="1" s="1"/>
  <c r="U419" i="1" s="1"/>
  <c r="R220" i="1"/>
  <c r="S220" i="1" s="1"/>
  <c r="R558" i="1"/>
  <c r="AS521" i="1"/>
  <c r="AT521" i="1" s="1"/>
  <c r="AS286" i="1"/>
  <c r="AT286" i="1" s="1"/>
  <c r="AV473" i="1"/>
  <c r="AW156" i="1"/>
  <c r="AR156" i="1"/>
  <c r="AO156" i="1"/>
  <c r="T675" i="1"/>
  <c r="U675" i="1" s="1"/>
  <c r="I308" i="1"/>
  <c r="J308" i="1" s="1"/>
  <c r="F308" i="1"/>
  <c r="G308" i="1" s="1"/>
  <c r="AS427" i="1"/>
  <c r="AT427" i="1" s="1"/>
  <c r="AS216" i="1"/>
  <c r="AT216" i="1" s="1"/>
  <c r="Y32" i="1"/>
  <c r="AS492" i="1"/>
  <c r="AT492" i="1" s="1"/>
  <c r="AP492" i="1"/>
  <c r="AQ492" i="1" s="1"/>
  <c r="AS314" i="1"/>
  <c r="AT314" i="1" s="1"/>
  <c r="AS105" i="1"/>
  <c r="AT105" i="1" s="1"/>
  <c r="U663" i="1"/>
  <c r="V663" i="1" s="1"/>
  <c r="W440" i="1"/>
  <c r="AN440" i="1" s="1"/>
  <c r="AP440" i="1" s="1"/>
  <c r="AQ440" i="1" s="1"/>
  <c r="U305" i="1"/>
  <c r="R136" i="1"/>
  <c r="S136" i="1" s="1"/>
  <c r="BK606" i="1"/>
  <c r="W489" i="1"/>
  <c r="S318" i="1"/>
  <c r="U231" i="1"/>
  <c r="V231" i="1" s="1"/>
  <c r="I291" i="1"/>
  <c r="J291" i="1" s="1"/>
  <c r="F291" i="1"/>
  <c r="G291" i="1" s="1"/>
  <c r="R154" i="1"/>
  <c r="R150" i="1"/>
  <c r="S150" i="1" s="1"/>
  <c r="T150" i="1" s="1"/>
  <c r="Y209" i="1"/>
  <c r="T95" i="1"/>
  <c r="U95" i="1" s="1"/>
  <c r="V95" i="1" s="1"/>
  <c r="W95" i="1" s="1"/>
  <c r="Y112" i="1"/>
  <c r="AN498" i="1"/>
  <c r="AP498" i="1" s="1"/>
  <c r="AQ498" i="1" s="1"/>
  <c r="R232" i="1"/>
  <c r="S232" i="1" s="1"/>
  <c r="T232" i="1" s="1"/>
  <c r="U232" i="1" s="1"/>
  <c r="V232" i="1" s="1"/>
  <c r="T137" i="1"/>
  <c r="AS269" i="1"/>
  <c r="AT269" i="1" s="1"/>
  <c r="BS457" i="1"/>
  <c r="AS231" i="1"/>
  <c r="AT231" i="1" s="1"/>
  <c r="AW136" i="1"/>
  <c r="AO136" i="1"/>
  <c r="AR136" i="1"/>
  <c r="V596" i="1"/>
  <c r="S644" i="1"/>
  <c r="AS397" i="1"/>
  <c r="AT397" i="1" s="1"/>
  <c r="AS468" i="1"/>
  <c r="AT468" i="1" s="1"/>
  <c r="AR131" i="1"/>
  <c r="AW131" i="1"/>
  <c r="AO131" i="1"/>
  <c r="W477" i="1"/>
  <c r="D477" i="1" s="1"/>
  <c r="S322" i="1"/>
  <c r="T322" i="1" s="1"/>
  <c r="S207" i="1"/>
  <c r="T207" i="1" s="1"/>
  <c r="BL606" i="1"/>
  <c r="AZ606" i="1"/>
  <c r="N650" i="1"/>
  <c r="T452" i="1"/>
  <c r="U452" i="1" s="1"/>
  <c r="V452" i="1" s="1"/>
  <c r="S180" i="1"/>
  <c r="S297" i="1"/>
  <c r="T297" i="1" s="1"/>
  <c r="U297" i="1" s="1"/>
  <c r="V297" i="1" s="1"/>
  <c r="R427" i="1"/>
  <c r="S427" i="1" s="1"/>
  <c r="I210" i="1"/>
  <c r="J210" i="1" s="1"/>
  <c r="F210" i="1"/>
  <c r="G210" i="1" s="1"/>
  <c r="R299" i="1"/>
  <c r="S299" i="1" s="1"/>
  <c r="R271" i="1"/>
  <c r="U181" i="1"/>
  <c r="V181" i="1" s="1"/>
  <c r="Y118" i="1"/>
  <c r="P53" i="1"/>
  <c r="R52" i="1"/>
  <c r="R53" i="1" s="1"/>
  <c r="AN118" i="1"/>
  <c r="V40" i="1"/>
  <c r="S429" i="1"/>
  <c r="R288" i="1"/>
  <c r="R262" i="1"/>
  <c r="O331" i="1"/>
  <c r="D493" i="1"/>
  <c r="R354" i="1"/>
  <c r="R401" i="1"/>
  <c r="R213" i="1"/>
  <c r="BB541" i="1"/>
  <c r="BF541" i="1"/>
  <c r="BE541" i="1"/>
  <c r="V414" i="1"/>
  <c r="W414" i="1" s="1"/>
  <c r="R523" i="1"/>
  <c r="S523" i="1" s="1"/>
  <c r="T441" i="1"/>
  <c r="Y218" i="1"/>
  <c r="AN436" i="1"/>
  <c r="AP436" i="1" s="1"/>
  <c r="AQ436" i="1" s="1"/>
  <c r="T325" i="1"/>
  <c r="U325" i="1" s="1"/>
  <c r="D88" i="1"/>
  <c r="D118" i="1"/>
  <c r="O473" i="1"/>
  <c r="S198" i="1"/>
  <c r="T198" i="1" s="1"/>
  <c r="S294" i="1"/>
  <c r="T78" i="1"/>
  <c r="AN507" i="1"/>
  <c r="AP507" i="1" s="1"/>
  <c r="AQ507" i="1" s="1"/>
  <c r="T434" i="1"/>
  <c r="AO129" i="1"/>
  <c r="S672" i="1"/>
  <c r="T672" i="1" s="1"/>
  <c r="U672" i="1" s="1"/>
  <c r="R158" i="1"/>
  <c r="S158" i="1" s="1"/>
  <c r="T165" i="1"/>
  <c r="U165" i="1" s="1"/>
  <c r="T637" i="1"/>
  <c r="U637" i="1" s="1"/>
  <c r="S421" i="1"/>
  <c r="R520" i="1"/>
  <c r="S520" i="1" s="1"/>
  <c r="T444" i="1"/>
  <c r="U444" i="1" s="1"/>
  <c r="R148" i="1"/>
  <c r="S148" i="1" s="1"/>
  <c r="T148" i="1" s="1"/>
  <c r="R283" i="1"/>
  <c r="S283" i="1" s="1"/>
  <c r="V432" i="1"/>
  <c r="W432" i="1" s="1"/>
  <c r="T284" i="1"/>
  <c r="R514" i="1"/>
  <c r="AR522" i="1"/>
  <c r="AV522" i="1"/>
  <c r="AO522" i="1"/>
  <c r="BO482" i="1"/>
  <c r="BL482" i="1"/>
  <c r="AY482" i="1" s="1"/>
  <c r="BR482" i="1"/>
  <c r="AS290" i="1"/>
  <c r="AT290" i="1" s="1"/>
  <c r="AS418" i="1"/>
  <c r="AT418" i="1" s="1"/>
  <c r="AS103" i="1"/>
  <c r="AT103" i="1" s="1"/>
  <c r="AS71" i="1"/>
  <c r="AT71" i="1" s="1"/>
  <c r="AS420" i="1"/>
  <c r="AT420" i="1" s="1"/>
  <c r="AS159" i="1"/>
  <c r="AT159" i="1" s="1"/>
  <c r="S405" i="1"/>
  <c r="S204" i="1"/>
  <c r="T204" i="1" s="1"/>
  <c r="U204" i="1" s="1"/>
  <c r="AS443" i="1"/>
  <c r="AT443" i="1" s="1"/>
  <c r="AS440" i="1"/>
  <c r="AT440" i="1" s="1"/>
  <c r="AS215" i="1"/>
  <c r="AT215" i="1" s="1"/>
  <c r="N683" i="1"/>
  <c r="N15" i="1"/>
  <c r="BO606" i="1"/>
  <c r="S461" i="1"/>
  <c r="U418" i="1"/>
  <c r="S236" i="1"/>
  <c r="T236" i="1" s="1"/>
  <c r="BQ190" i="1"/>
  <c r="BD190" i="1" s="1"/>
  <c r="BM190" i="1"/>
  <c r="AZ190" i="1" s="1"/>
  <c r="BI190" i="1"/>
  <c r="I190" i="1"/>
  <c r="J190" i="1" s="1"/>
  <c r="BS190" i="1"/>
  <c r="BF190" i="1" s="1"/>
  <c r="BO190" i="1"/>
  <c r="BB190" i="1" s="1"/>
  <c r="BK190" i="1"/>
  <c r="AX190" i="1" s="1"/>
  <c r="F190" i="1"/>
  <c r="G190" i="1" s="1"/>
  <c r="BP190" i="1"/>
  <c r="BC190" i="1" s="1"/>
  <c r="BN190" i="1"/>
  <c r="BA190" i="1" s="1"/>
  <c r="BT190" i="1"/>
  <c r="BG190" i="1" s="1"/>
  <c r="BL190" i="1"/>
  <c r="AY190" i="1" s="1"/>
  <c r="BR190" i="1"/>
  <c r="BE190" i="1" s="1"/>
  <c r="BJ190" i="1"/>
  <c r="AW190" i="1" s="1"/>
  <c r="U395" i="1"/>
  <c r="R222" i="1"/>
  <c r="AN88" i="1"/>
  <c r="T126" i="1"/>
  <c r="R221" i="1"/>
  <c r="R152" i="1"/>
  <c r="S152" i="1" s="1"/>
  <c r="S76" i="1"/>
  <c r="T76" i="1" s="1"/>
  <c r="N566" i="1"/>
  <c r="N690" i="1" s="1"/>
  <c r="U132" i="1"/>
  <c r="T465" i="1"/>
  <c r="U465" i="1" s="1"/>
  <c r="R349" i="1"/>
  <c r="R335" i="1"/>
  <c r="S335" i="1" s="1"/>
  <c r="D171" i="1"/>
  <c r="R174" i="1"/>
  <c r="S82" i="1"/>
  <c r="T82" i="1" s="1"/>
  <c r="U82" i="1" s="1"/>
  <c r="T156" i="1"/>
  <c r="I206" i="1"/>
  <c r="J206" i="1" s="1"/>
  <c r="F206" i="1"/>
  <c r="G206" i="1" s="1"/>
  <c r="R321" i="1"/>
  <c r="W371" i="1"/>
  <c r="AN371" i="1" s="1"/>
  <c r="AP371" i="1" s="1"/>
  <c r="AQ371" i="1" s="1"/>
  <c r="R268" i="1"/>
  <c r="S268" i="1" s="1"/>
  <c r="T594" i="1"/>
  <c r="AS478" i="1"/>
  <c r="AT478" i="1" s="1"/>
  <c r="AS62" i="1"/>
  <c r="AT62" i="1" s="1"/>
  <c r="AR473" i="1"/>
  <c r="AS439" i="1"/>
  <c r="AT439" i="1" s="1"/>
  <c r="AS300" i="1"/>
  <c r="AT300" i="1" s="1"/>
  <c r="S638" i="1"/>
  <c r="T638" i="1" s="1"/>
  <c r="R240" i="1"/>
  <c r="S240" i="1" s="1"/>
  <c r="AP493" i="1"/>
  <c r="AQ493" i="1" s="1"/>
  <c r="AS493" i="1"/>
  <c r="AT493" i="1" s="1"/>
  <c r="AS491" i="1"/>
  <c r="AT491" i="1" s="1"/>
  <c r="AP491" i="1"/>
  <c r="AQ491" i="1" s="1"/>
  <c r="P681" i="1"/>
  <c r="T324" i="1"/>
  <c r="AS303" i="1"/>
  <c r="AT303" i="1" s="1"/>
  <c r="AS395" i="1"/>
  <c r="AT395" i="1" s="1"/>
  <c r="AE154" i="2"/>
  <c r="AE167" i="2" s="1"/>
  <c r="AD167" i="2"/>
  <c r="O264" i="1"/>
  <c r="T301" i="1"/>
  <c r="U301" i="1" s="1"/>
  <c r="BC606" i="1"/>
  <c r="BA606" i="1"/>
  <c r="D498" i="1"/>
  <c r="P331" i="1"/>
  <c r="Y187" i="1"/>
  <c r="Y519" i="1"/>
  <c r="AS392" i="1"/>
  <c r="AT392" i="1" s="1"/>
  <c r="BF457" i="1"/>
  <c r="P630" i="1"/>
  <c r="T438" i="1"/>
  <c r="U438" i="1" s="1"/>
  <c r="AS230" i="1"/>
  <c r="AT230" i="1" s="1"/>
  <c r="P547" i="1"/>
  <c r="I500" i="1"/>
  <c r="J500" i="1" s="1"/>
  <c r="F500" i="1"/>
  <c r="G500" i="1" s="1"/>
  <c r="BR488" i="1"/>
  <c r="BE488" i="1" s="1"/>
  <c r="BO488" i="1"/>
  <c r="BB488" i="1" s="1"/>
  <c r="BL488" i="1"/>
  <c r="AY488" i="1" s="1"/>
  <c r="T640" i="1"/>
  <c r="S634" i="1"/>
  <c r="T634" i="1" s="1"/>
  <c r="R554" i="1"/>
  <c r="T644" i="1"/>
  <c r="AS292" i="1"/>
  <c r="AT292" i="1" s="1"/>
  <c r="BE606" i="1"/>
  <c r="D471" i="1"/>
  <c r="S298" i="1"/>
  <c r="T298" i="1" s="1"/>
  <c r="R400" i="1"/>
  <c r="U295" i="1"/>
  <c r="R44" i="1"/>
  <c r="S70" i="1"/>
  <c r="Y25" i="1"/>
  <c r="R356" i="1"/>
  <c r="R225" i="1"/>
  <c r="R235" i="1"/>
  <c r="S159" i="1"/>
  <c r="T159" i="1" s="1"/>
  <c r="R164" i="1"/>
  <c r="U518" i="1"/>
  <c r="S412" i="1"/>
  <c r="R403" i="1"/>
  <c r="AN290" i="1"/>
  <c r="AP290" i="1" s="1"/>
  <c r="AQ290" i="1" s="1"/>
  <c r="R508" i="1"/>
  <c r="S464" i="1"/>
  <c r="W517" i="1"/>
  <c r="D517" i="1" s="1"/>
  <c r="AR541" i="1"/>
  <c r="AV541" i="1"/>
  <c r="AO541" i="1"/>
  <c r="AZ541" i="1"/>
  <c r="AY541" i="1"/>
  <c r="D497" i="1"/>
  <c r="Y409" i="1"/>
  <c r="T276" i="1"/>
  <c r="U276" i="1" s="1"/>
  <c r="AN218" i="1"/>
  <c r="AP218" i="1" s="1"/>
  <c r="AQ218" i="1" s="1"/>
  <c r="V379" i="1"/>
  <c r="R311" i="1"/>
  <c r="S311" i="1" s="1"/>
  <c r="P41" i="1"/>
  <c r="D666" i="1"/>
  <c r="U555" i="1"/>
  <c r="V555" i="1" s="1"/>
  <c r="W555" i="1" s="1"/>
  <c r="D29" i="1"/>
  <c r="Y67" i="1"/>
  <c r="AR129" i="1"/>
  <c r="AN409" i="1"/>
  <c r="AP409" i="1" s="1"/>
  <c r="AQ409" i="1" s="1"/>
  <c r="U195" i="1"/>
  <c r="AN67" i="1"/>
  <c r="AP67" i="1" s="1"/>
  <c r="AQ67" i="1" s="1"/>
  <c r="T277" i="1"/>
  <c r="Y285" i="1"/>
  <c r="O648" i="1"/>
  <c r="BS606" i="1"/>
  <c r="AS589" i="1"/>
  <c r="AT589" i="1" s="1"/>
  <c r="T484" i="1"/>
  <c r="S415" i="1"/>
  <c r="T415" i="1" s="1"/>
  <c r="O608" i="1"/>
  <c r="O13" i="1"/>
  <c r="AS320" i="1"/>
  <c r="AT320" i="1" s="1"/>
  <c r="AS111" i="1"/>
  <c r="AT111" i="1" s="1"/>
  <c r="R328" i="1"/>
  <c r="R423" i="1"/>
  <c r="P50" i="1"/>
  <c r="N55" i="1"/>
  <c r="O668" i="1"/>
  <c r="S510" i="1"/>
  <c r="T510" i="1" s="1"/>
  <c r="S470" i="1"/>
  <c r="T470" i="1" s="1"/>
  <c r="U470" i="1" s="1"/>
  <c r="R293" i="1"/>
  <c r="R316" i="1"/>
  <c r="S630" i="1"/>
  <c r="T628" i="1"/>
  <c r="U628" i="1" s="1"/>
  <c r="U630" i="1" s="1"/>
  <c r="AW592" i="1"/>
  <c r="AR592" i="1"/>
  <c r="AO592" i="1"/>
  <c r="S583" i="1"/>
  <c r="T583" i="1" s="1"/>
  <c r="T585" i="1" s="1"/>
  <c r="V637" i="1"/>
  <c r="W637" i="1" s="1"/>
  <c r="AS345" i="1"/>
  <c r="AT345" i="1" s="1"/>
  <c r="AS196" i="1"/>
  <c r="AT196" i="1" s="1"/>
  <c r="AS124" i="1"/>
  <c r="AT124" i="1" s="1"/>
  <c r="V204" i="2"/>
  <c r="BD606" i="1"/>
  <c r="S168" i="1"/>
  <c r="T168" i="1" s="1"/>
  <c r="Y290" i="1"/>
  <c r="S201" i="1"/>
  <c r="Y189" i="1"/>
  <c r="R260" i="1"/>
  <c r="R481" i="1"/>
  <c r="S481" i="1" s="1"/>
  <c r="T318" i="1"/>
  <c r="R323" i="1"/>
  <c r="R275" i="1"/>
  <c r="W40" i="1"/>
  <c r="AN40" i="1" s="1"/>
  <c r="AP40" i="1" s="1"/>
  <c r="AQ40" i="1" s="1"/>
  <c r="R552" i="1"/>
  <c r="O360" i="1"/>
  <c r="R157" i="1"/>
  <c r="S176" i="1"/>
  <c r="U594" i="1"/>
  <c r="V594" i="1" s="1"/>
  <c r="AV398" i="1"/>
  <c r="AR398" i="1"/>
  <c r="AO398" i="1"/>
  <c r="AO74" i="1"/>
  <c r="S677" i="1"/>
  <c r="AS464" i="1"/>
  <c r="AT464" i="1" s="1"/>
  <c r="AO473" i="1"/>
  <c r="AS158" i="1"/>
  <c r="AT158" i="1" s="1"/>
  <c r="S671" i="1"/>
  <c r="AS163" i="1"/>
  <c r="AT163" i="1" s="1"/>
  <c r="T511" i="1"/>
  <c r="U511" i="1" s="1"/>
  <c r="Q86" i="2"/>
  <c r="Y493" i="1"/>
  <c r="T454" i="1"/>
  <c r="AS214" i="1"/>
  <c r="AT214" i="1" s="1"/>
  <c r="AP214" i="1"/>
  <c r="AQ214" i="1" s="1"/>
  <c r="AS348" i="1"/>
  <c r="AT348" i="1" s="1"/>
  <c r="AS299" i="1"/>
  <c r="AT299" i="1" s="1"/>
  <c r="AA67" i="2"/>
  <c r="AA68" i="2" s="1"/>
  <c r="Z68" i="2"/>
  <c r="AO450" i="1"/>
  <c r="AR450" i="1"/>
  <c r="AV450" i="1"/>
  <c r="BP606" i="1"/>
  <c r="BN606" i="1"/>
  <c r="AS155" i="1"/>
  <c r="AT155" i="1" s="1"/>
  <c r="Y29" i="1"/>
  <c r="R281" i="1"/>
  <c r="R341" i="1"/>
  <c r="R307" i="1"/>
  <c r="S307" i="1" s="1"/>
  <c r="R303" i="1"/>
  <c r="BT457" i="1"/>
  <c r="AS438" i="1"/>
  <c r="AT438" i="1" s="1"/>
  <c r="AS201" i="1"/>
  <c r="AT201" i="1" s="1"/>
  <c r="AS354" i="1"/>
  <c r="AT354" i="1" s="1"/>
  <c r="U115" i="1"/>
  <c r="U674" i="1"/>
  <c r="BR606" i="1"/>
  <c r="Q681" i="1"/>
  <c r="U329" i="1"/>
  <c r="V449" i="1"/>
  <c r="W449" i="1" s="1"/>
  <c r="U398" i="1"/>
  <c r="P360" i="1"/>
  <c r="U407" i="1"/>
  <c r="R287" i="1"/>
  <c r="S141" i="1"/>
  <c r="R197" i="1"/>
  <c r="T167" i="1"/>
  <c r="R48" i="1"/>
  <c r="R372" i="1"/>
  <c r="R278" i="1"/>
  <c r="S278" i="1" s="1"/>
  <c r="R337" i="1"/>
  <c r="U109" i="1"/>
  <c r="R99" i="1"/>
  <c r="S397" i="1"/>
  <c r="R138" i="1"/>
  <c r="T671" i="1"/>
  <c r="BD541" i="1"/>
  <c r="AW541" i="1"/>
  <c r="BC541" i="1"/>
  <c r="S468" i="1"/>
  <c r="T468" i="1" s="1"/>
  <c r="AN410" i="1"/>
  <c r="AP410" i="1" s="1"/>
  <c r="AQ410" i="1" s="1"/>
  <c r="S328" i="1"/>
  <c r="R538" i="1"/>
  <c r="S678" i="1"/>
  <c r="Y436" i="1"/>
  <c r="U296" i="1"/>
  <c r="S110" i="1"/>
  <c r="R79" i="1"/>
  <c r="AN135" i="1"/>
  <c r="AP135" i="1" s="1"/>
  <c r="AQ135" i="1" s="1"/>
  <c r="T117" i="1"/>
  <c r="U117" i="1" s="1"/>
  <c r="V117" i="1" s="1"/>
  <c r="W117" i="1" s="1"/>
  <c r="S208" i="1"/>
  <c r="R393" i="1"/>
  <c r="O547" i="1"/>
  <c r="AN285" i="1"/>
  <c r="AP285" i="1" s="1"/>
  <c r="AQ285" i="1" s="1"/>
  <c r="Y170" i="1"/>
  <c r="R380" i="1"/>
  <c r="S380" i="1" s="1"/>
  <c r="R272" i="1"/>
  <c r="S272" i="1" s="1"/>
  <c r="S80" i="1"/>
  <c r="S559" i="1"/>
  <c r="R327" i="1"/>
  <c r="AO33" i="1"/>
  <c r="AR33" i="1"/>
  <c r="AV33" i="1"/>
  <c r="S349" i="1"/>
  <c r="AN171" i="1"/>
  <c r="O527" i="1"/>
  <c r="AV523" i="1"/>
  <c r="AO523" i="1"/>
  <c r="AR523" i="1"/>
  <c r="AS101" i="1"/>
  <c r="AT101" i="1" s="1"/>
  <c r="AS199" i="1"/>
  <c r="AT199" i="1" s="1"/>
  <c r="R338" i="1"/>
  <c r="R591" i="1"/>
  <c r="W448" i="1"/>
  <c r="Y448" i="1" s="1"/>
  <c r="AS301" i="1"/>
  <c r="AT301" i="1" s="1"/>
  <c r="AS217" i="1"/>
  <c r="AT217" i="1" s="1"/>
  <c r="R435" i="1"/>
  <c r="T274" i="1"/>
  <c r="R192" i="1"/>
  <c r="S192" i="1" s="1"/>
  <c r="O242" i="1"/>
  <c r="R127" i="1"/>
  <c r="R62" i="1"/>
  <c r="S36" i="1"/>
  <c r="T36" i="1" s="1"/>
  <c r="R533" i="1"/>
  <c r="R466" i="1"/>
  <c r="S466" i="1" s="1"/>
  <c r="O34" i="1"/>
  <c r="O55" i="1" s="1"/>
  <c r="T425" i="1"/>
  <c r="S293" i="1"/>
  <c r="T293" i="1" s="1"/>
  <c r="R161" i="1"/>
  <c r="R155" i="1"/>
  <c r="S155" i="1" s="1"/>
  <c r="O120" i="1"/>
  <c r="R87" i="1"/>
  <c r="AS219" i="1"/>
  <c r="AT219" i="1" s="1"/>
  <c r="BS482" i="1"/>
  <c r="BK482" i="1"/>
  <c r="AX482" i="1" s="1"/>
  <c r="BJ482" i="1"/>
  <c r="AW482" i="1" s="1"/>
  <c r="AS465" i="1"/>
  <c r="AT465" i="1" s="1"/>
  <c r="I507" i="1"/>
  <c r="J507" i="1" s="1"/>
  <c r="F507" i="1"/>
  <c r="G507" i="1" s="1"/>
  <c r="S455" i="1"/>
  <c r="R506" i="1"/>
  <c r="AO596" i="1"/>
  <c r="AW596" i="1"/>
  <c r="AR596" i="1"/>
  <c r="AS226" i="1"/>
  <c r="AT226" i="1" s="1"/>
  <c r="P648" i="1"/>
  <c r="BQ606" i="1"/>
  <c r="T590" i="1"/>
  <c r="BQ504" i="1"/>
  <c r="BD504" i="1" s="1"/>
  <c r="BM504" i="1"/>
  <c r="AZ504" i="1" s="1"/>
  <c r="BI504" i="1"/>
  <c r="I504" i="1"/>
  <c r="J504" i="1" s="1"/>
  <c r="BS504" i="1"/>
  <c r="BF504" i="1" s="1"/>
  <c r="BO504" i="1"/>
  <c r="BB504" i="1" s="1"/>
  <c r="BK504" i="1"/>
  <c r="AX504" i="1" s="1"/>
  <c r="F504" i="1"/>
  <c r="G504" i="1" s="1"/>
  <c r="BR504" i="1"/>
  <c r="BE504" i="1" s="1"/>
  <c r="BN504" i="1"/>
  <c r="BA504" i="1" s="1"/>
  <c r="BJ504" i="1"/>
  <c r="AW504" i="1" s="1"/>
  <c r="BP504" i="1"/>
  <c r="BC504" i="1" s="1"/>
  <c r="BL504" i="1"/>
  <c r="AY504" i="1" s="1"/>
  <c r="BT504" i="1"/>
  <c r="BG504" i="1" s="1"/>
  <c r="S501" i="1"/>
  <c r="T501" i="1" s="1"/>
  <c r="R532" i="1"/>
  <c r="S532" i="1" s="1"/>
  <c r="R413" i="1"/>
  <c r="R404" i="1"/>
  <c r="S404" i="1" s="1"/>
  <c r="R196" i="1"/>
  <c r="R103" i="1"/>
  <c r="S103" i="1" s="1"/>
  <c r="U104" i="1"/>
  <c r="P382" i="1"/>
  <c r="P264" i="1"/>
  <c r="T203" i="1"/>
  <c r="U203" i="1" s="1"/>
  <c r="S154" i="1"/>
  <c r="T154" i="1" s="1"/>
  <c r="T162" i="1"/>
  <c r="R113" i="1"/>
  <c r="S97" i="1"/>
  <c r="R370" i="1"/>
  <c r="R417" i="1"/>
  <c r="R391" i="1"/>
  <c r="R230" i="1"/>
  <c r="M689" i="1"/>
  <c r="M691" i="1" s="1"/>
  <c r="M568" i="1"/>
  <c r="M616" i="1" s="1"/>
  <c r="M12" i="1"/>
  <c r="M11" i="1" s="1"/>
  <c r="P668" i="1"/>
  <c r="R525" i="1"/>
  <c r="R516" i="1"/>
  <c r="R480" i="1"/>
  <c r="S480" i="1" s="1"/>
  <c r="R358" i="1"/>
  <c r="R216" i="1"/>
  <c r="S321" i="1"/>
  <c r="R107" i="1"/>
  <c r="AZ457" i="1"/>
  <c r="BB457" i="1"/>
  <c r="AN676" i="1"/>
  <c r="D676" i="1"/>
  <c r="AS148" i="1"/>
  <c r="AT148" i="1" s="1"/>
  <c r="V302" i="2"/>
  <c r="AS425" i="1"/>
  <c r="AT425" i="1" s="1"/>
  <c r="T521" i="1"/>
  <c r="AS312" i="1"/>
  <c r="AT312" i="1" s="1"/>
  <c r="AS282" i="1"/>
  <c r="AT282" i="1" s="1"/>
  <c r="B69" i="2"/>
  <c r="P305" i="2"/>
  <c r="V67" i="2"/>
  <c r="V68" i="2" s="1"/>
  <c r="Q68" i="2"/>
  <c r="R319" i="1"/>
  <c r="S319" i="1" s="1"/>
  <c r="T319" i="1" s="1"/>
  <c r="AA204" i="2"/>
  <c r="AX606" i="1"/>
  <c r="AS104" i="1"/>
  <c r="AT104" i="1" s="1"/>
  <c r="R125" i="1"/>
  <c r="S125" i="1" s="1"/>
  <c r="T237" i="1"/>
  <c r="P120" i="1"/>
  <c r="R38" i="1"/>
  <c r="V84" i="1"/>
  <c r="R340" i="1"/>
  <c r="R227" i="1"/>
  <c r="S178" i="1"/>
  <c r="T178" i="1" s="1"/>
  <c r="U178" i="1" s="1"/>
  <c r="V178" i="1" s="1"/>
  <c r="S163" i="1"/>
  <c r="T163" i="1" s="1"/>
  <c r="S336" i="1"/>
  <c r="R269" i="1"/>
  <c r="AR331" i="1"/>
  <c r="AO400" i="1"/>
  <c r="AV400" i="1"/>
  <c r="AR400" i="1"/>
  <c r="AO396" i="1"/>
  <c r="AV396" i="1"/>
  <c r="AR396" i="1"/>
  <c r="BG457" i="1"/>
  <c r="AN666" i="1"/>
  <c r="BS488" i="1"/>
  <c r="BF488" i="1" s="1"/>
  <c r="BM488" i="1"/>
  <c r="AS419" i="1"/>
  <c r="AT419" i="1" s="1"/>
  <c r="AS200" i="1"/>
  <c r="AT200" i="1" s="1"/>
  <c r="R673" i="1"/>
  <c r="R541" i="1"/>
  <c r="S541" i="1" s="1"/>
  <c r="T541" i="1" s="1"/>
  <c r="U541" i="1" s="1"/>
  <c r="S535" i="1"/>
  <c r="T535" i="1" s="1"/>
  <c r="F495" i="1"/>
  <c r="G495" i="1" s="1"/>
  <c r="I495" i="1"/>
  <c r="J495" i="1" s="1"/>
  <c r="AA302" i="2"/>
  <c r="AS110" i="1"/>
  <c r="AT110" i="1" s="1"/>
  <c r="U524" i="1"/>
  <c r="V524" i="1" s="1"/>
  <c r="S442" i="1"/>
  <c r="T389" i="1"/>
  <c r="U389" i="1" s="1"/>
  <c r="AY606" i="1"/>
  <c r="BM606" i="1"/>
  <c r="AS232" i="1"/>
  <c r="AT232" i="1" s="1"/>
  <c r="P606" i="1"/>
  <c r="F491" i="1"/>
  <c r="G491" i="1" s="1"/>
  <c r="I491" i="1"/>
  <c r="J491" i="1" s="1"/>
  <c r="S499" i="1"/>
  <c r="T499" i="1" s="1"/>
  <c r="Y410" i="1"/>
  <c r="R312" i="1"/>
  <c r="S309" i="1"/>
  <c r="R228" i="1"/>
  <c r="Y185" i="1"/>
  <c r="R129" i="1"/>
  <c r="S129" i="1" s="1"/>
  <c r="S101" i="1"/>
  <c r="T101" i="1" s="1"/>
  <c r="T116" i="1"/>
  <c r="U116" i="1" s="1"/>
  <c r="R313" i="1"/>
  <c r="R280" i="1"/>
  <c r="S280" i="1" s="1"/>
  <c r="V195" i="1"/>
  <c r="W195" i="1" s="1"/>
  <c r="Y195" i="1" s="1"/>
  <c r="R153" i="1"/>
  <c r="O564" i="1"/>
  <c r="S462" i="1"/>
  <c r="O457" i="1"/>
  <c r="R304" i="1"/>
  <c r="S304" i="1" s="1"/>
  <c r="R347" i="1"/>
  <c r="S347" i="1" s="1"/>
  <c r="T199" i="1"/>
  <c r="U199" i="1" s="1"/>
  <c r="V199" i="1" s="1"/>
  <c r="R30" i="1"/>
  <c r="AN32" i="1"/>
  <c r="AP32" i="1" s="1"/>
  <c r="AQ32" i="1" s="1"/>
  <c r="R439" i="1"/>
  <c r="S439" i="1" s="1"/>
  <c r="R273" i="1"/>
  <c r="S194" i="1"/>
  <c r="T194" i="1" s="1"/>
  <c r="U194" i="1" s="1"/>
  <c r="V194" i="1" s="1"/>
  <c r="S589" i="1"/>
  <c r="U314" i="1"/>
  <c r="AX541" i="1"/>
  <c r="BA541" i="1"/>
  <c r="BG541" i="1"/>
  <c r="R47" i="1"/>
  <c r="R345" i="1"/>
  <c r="S124" i="1"/>
  <c r="D410" i="1"/>
  <c r="R217" i="1"/>
  <c r="R593" i="1"/>
  <c r="S595" i="1"/>
  <c r="T200" i="1"/>
  <c r="R186" i="1"/>
  <c r="S344" i="1"/>
  <c r="AW13" i="4" l="1"/>
  <c r="AW608" i="4"/>
  <c r="AS457" i="4"/>
  <c r="AT457" i="4" s="1"/>
  <c r="AP457" i="4"/>
  <c r="AQ457" i="4" s="1"/>
  <c r="AS283" i="4"/>
  <c r="AT283" i="4" s="1"/>
  <c r="AP283" i="4"/>
  <c r="AQ283" i="4" s="1"/>
  <c r="AO331" i="4"/>
  <c r="AS136" i="4"/>
  <c r="AT136" i="4" s="1"/>
  <c r="AP136" i="4"/>
  <c r="AQ136" i="4" s="1"/>
  <c r="AP430" i="4"/>
  <c r="AQ430" i="4" s="1"/>
  <c r="AS430" i="4"/>
  <c r="AT430" i="4" s="1"/>
  <c r="AS111" i="4"/>
  <c r="AT111" i="4" s="1"/>
  <c r="AZ13" i="4"/>
  <c r="AZ608" i="4"/>
  <c r="AS289" i="4"/>
  <c r="AT289" i="4" s="1"/>
  <c r="AP289" i="4"/>
  <c r="AQ289" i="4" s="1"/>
  <c r="AS541" i="4"/>
  <c r="AT541" i="4" s="1"/>
  <c r="AP541" i="4"/>
  <c r="AQ541" i="4" s="1"/>
  <c r="AO547" i="4"/>
  <c r="AS473" i="4"/>
  <c r="AT473" i="4" s="1"/>
  <c r="AP473" i="4"/>
  <c r="AQ473" i="4" s="1"/>
  <c r="BT556" i="4"/>
  <c r="AR74" i="4"/>
  <c r="AY74" i="4"/>
  <c r="AS481" i="4"/>
  <c r="AT481" i="4" s="1"/>
  <c r="AP481" i="4"/>
  <c r="AQ481" i="4" s="1"/>
  <c r="AS156" i="4"/>
  <c r="AT156" i="4" s="1"/>
  <c r="AP156" i="4"/>
  <c r="AQ156" i="4" s="1"/>
  <c r="BA482" i="4"/>
  <c r="BA527" i="4" s="1"/>
  <c r="BN527" i="4"/>
  <c r="BK90" i="4"/>
  <c r="AO488" i="4"/>
  <c r="AP488" i="4" s="1"/>
  <c r="AQ488" i="4" s="1"/>
  <c r="AV488" i="4"/>
  <c r="AR488" i="4"/>
  <c r="AW242" i="4"/>
  <c r="BG482" i="4"/>
  <c r="BG527" i="4" s="1"/>
  <c r="BT527" i="4"/>
  <c r="BD90" i="4"/>
  <c r="BR90" i="4"/>
  <c r="AS360" i="4"/>
  <c r="AT360" i="4" s="1"/>
  <c r="AP360" i="4"/>
  <c r="AQ360" i="4" s="1"/>
  <c r="AS300" i="4"/>
  <c r="AT300" i="4" s="1"/>
  <c r="AP300" i="4"/>
  <c r="AQ300" i="4" s="1"/>
  <c r="BC482" i="4"/>
  <c r="BC527" i="4" s="1"/>
  <c r="BP527" i="4"/>
  <c r="BN566" i="4"/>
  <c r="AS345" i="4"/>
  <c r="AT345" i="4" s="1"/>
  <c r="AP345" i="4"/>
  <c r="AQ345" i="4" s="1"/>
  <c r="BO13" i="4"/>
  <c r="BO608" i="4"/>
  <c r="AY482" i="4"/>
  <c r="AY527" i="4" s="1"/>
  <c r="BL527" i="4"/>
  <c r="AS443" i="4"/>
  <c r="AT443" i="4" s="1"/>
  <c r="AP443" i="4"/>
  <c r="AQ443" i="4" s="1"/>
  <c r="BB13" i="4"/>
  <c r="BB608" i="4"/>
  <c r="AO120" i="4"/>
  <c r="AZ482" i="4"/>
  <c r="AZ527" i="4" s="1"/>
  <c r="BM527" i="4"/>
  <c r="BM566" i="4" s="1"/>
  <c r="AX90" i="4"/>
  <c r="BP13" i="4"/>
  <c r="BP608" i="4"/>
  <c r="AS522" i="4"/>
  <c r="AT522" i="4" s="1"/>
  <c r="AP522" i="4"/>
  <c r="AQ522" i="4" s="1"/>
  <c r="BF13" i="4"/>
  <c r="BF608" i="4"/>
  <c r="AS164" i="4"/>
  <c r="AT164" i="4" s="1"/>
  <c r="AP164" i="4"/>
  <c r="AQ164" i="4" s="1"/>
  <c r="BB482" i="4"/>
  <c r="BB527" i="4" s="1"/>
  <c r="BO527" i="4"/>
  <c r="BL90" i="4"/>
  <c r="BL566" i="4" s="1"/>
  <c r="BE90" i="4"/>
  <c r="AS129" i="4"/>
  <c r="AT129" i="4" s="1"/>
  <c r="AP129" i="4"/>
  <c r="AQ129" i="4" s="1"/>
  <c r="BC13" i="4"/>
  <c r="BC608" i="4"/>
  <c r="AS592" i="4"/>
  <c r="AT592" i="4" s="1"/>
  <c r="AP592" i="4"/>
  <c r="AQ592" i="4" s="1"/>
  <c r="BM13" i="4"/>
  <c r="BM608" i="4"/>
  <c r="AS396" i="4"/>
  <c r="AT396" i="4" s="1"/>
  <c r="AP396" i="4"/>
  <c r="AQ396" i="4" s="1"/>
  <c r="AS596" i="4"/>
  <c r="AT596" i="4" s="1"/>
  <c r="AP596" i="4"/>
  <c r="AQ596" i="4" s="1"/>
  <c r="AS423" i="4"/>
  <c r="AT423" i="4" s="1"/>
  <c r="AP423" i="4"/>
  <c r="AQ423" i="4" s="1"/>
  <c r="AR482" i="4"/>
  <c r="AR527" i="4" s="1"/>
  <c r="AX482" i="4"/>
  <c r="AX527" i="4" s="1"/>
  <c r="BK527" i="4"/>
  <c r="AS62" i="4"/>
  <c r="AT62" i="4" s="1"/>
  <c r="AP62" i="4"/>
  <c r="AQ62" i="4" s="1"/>
  <c r="BA566" i="4"/>
  <c r="AO606" i="4"/>
  <c r="BN608" i="4"/>
  <c r="BN13" i="4"/>
  <c r="BE482" i="4"/>
  <c r="BE527" i="4" s="1"/>
  <c r="BR527" i="4"/>
  <c r="BO566" i="4"/>
  <c r="BA13" i="4"/>
  <c r="BA608" i="4"/>
  <c r="AS487" i="4"/>
  <c r="AT487" i="4" s="1"/>
  <c r="AP487" i="4"/>
  <c r="AQ487" i="4" s="1"/>
  <c r="BS13" i="4"/>
  <c r="BS608" i="4"/>
  <c r="AX457" i="4"/>
  <c r="BP90" i="4"/>
  <c r="BP566" i="4" s="1"/>
  <c r="AS594" i="4"/>
  <c r="AT594" i="4" s="1"/>
  <c r="AP594" i="4"/>
  <c r="AQ594" i="4" s="1"/>
  <c r="AW120" i="4"/>
  <c r="BE608" i="4"/>
  <c r="BE13" i="4"/>
  <c r="AW482" i="4"/>
  <c r="AW527" i="4" s="1"/>
  <c r="BJ527" i="4"/>
  <c r="BJ566" i="4" s="1"/>
  <c r="AY90" i="4"/>
  <c r="AY566" i="4" s="1"/>
  <c r="I519" i="1"/>
  <c r="J519" i="1" s="1"/>
  <c r="Y513" i="1"/>
  <c r="AS81" i="1"/>
  <c r="AT81" i="1" s="1"/>
  <c r="AO482" i="4"/>
  <c r="AV482" i="4"/>
  <c r="AV527" i="4" s="1"/>
  <c r="BI527" i="4"/>
  <c r="BI566" i="4" s="1"/>
  <c r="BS90" i="4"/>
  <c r="AS131" i="4"/>
  <c r="AT131" i="4" s="1"/>
  <c r="AP131" i="4"/>
  <c r="AQ131" i="4" s="1"/>
  <c r="AS400" i="4"/>
  <c r="AT400" i="4" s="1"/>
  <c r="AP400" i="4"/>
  <c r="AQ400" i="4" s="1"/>
  <c r="BD482" i="4"/>
  <c r="BD527" i="4" s="1"/>
  <c r="BQ527" i="4"/>
  <c r="BB90" i="4"/>
  <c r="BB566" i="4" s="1"/>
  <c r="AO74" i="4"/>
  <c r="AZ74" i="4"/>
  <c r="AZ90" i="4" s="1"/>
  <c r="AZ566" i="4" s="1"/>
  <c r="AO72" i="4"/>
  <c r="AR72" i="4"/>
  <c r="AW72" i="4"/>
  <c r="AW90" i="4" s="1"/>
  <c r="AW566" i="4" s="1"/>
  <c r="BR608" i="4"/>
  <c r="BR13" i="4"/>
  <c r="BF482" i="4"/>
  <c r="BF527" i="4" s="1"/>
  <c r="BF566" i="4" s="1"/>
  <c r="BS527" i="4"/>
  <c r="BC90" i="4"/>
  <c r="BC566" i="4" s="1"/>
  <c r="AS483" i="4"/>
  <c r="AT483" i="4" s="1"/>
  <c r="AP483" i="4"/>
  <c r="AQ483" i="4" s="1"/>
  <c r="AO143" i="4"/>
  <c r="AS103" i="4"/>
  <c r="AT103" i="4" s="1"/>
  <c r="AR120" i="4"/>
  <c r="AS523" i="4"/>
  <c r="AT523" i="4" s="1"/>
  <c r="AP523" i="4"/>
  <c r="AQ523" i="4" s="1"/>
  <c r="AV331" i="4"/>
  <c r="AV566" i="4" s="1"/>
  <c r="BQ90" i="4"/>
  <c r="BQ566" i="4" s="1"/>
  <c r="AR90" i="4"/>
  <c r="AO242" i="4"/>
  <c r="AR74" i="1"/>
  <c r="AR72" i="1"/>
  <c r="AS164" i="1"/>
  <c r="AT164" i="1" s="1"/>
  <c r="AS283" i="1"/>
  <c r="AT283" i="1" s="1"/>
  <c r="AN502" i="1"/>
  <c r="AP502" i="1" s="1"/>
  <c r="AQ502" i="1" s="1"/>
  <c r="AO331" i="1"/>
  <c r="AS289" i="1"/>
  <c r="AT289" i="1" s="1"/>
  <c r="AS423" i="1"/>
  <c r="AT423" i="1" s="1"/>
  <c r="Y437" i="1"/>
  <c r="AN437" i="1"/>
  <c r="AP437" i="1" s="1"/>
  <c r="AQ437" i="1" s="1"/>
  <c r="D140" i="1"/>
  <c r="U484" i="1"/>
  <c r="V484" i="1" s="1"/>
  <c r="W484" i="1" s="1"/>
  <c r="AN484" i="1" s="1"/>
  <c r="AP484" i="1" s="1"/>
  <c r="AQ484" i="1" s="1"/>
  <c r="Y140" i="1"/>
  <c r="Q305" i="2"/>
  <c r="Q308" i="2" s="1"/>
  <c r="D437" i="1"/>
  <c r="I437" i="1" s="1"/>
  <c r="J437" i="1" s="1"/>
  <c r="AS487" i="1"/>
  <c r="AT487" i="1" s="1"/>
  <c r="AO112" i="1"/>
  <c r="BM88" i="1"/>
  <c r="BQ88" i="1"/>
  <c r="BI88" i="1"/>
  <c r="BJ88" i="1"/>
  <c r="BN88" i="1"/>
  <c r="BR88" i="1"/>
  <c r="BK88" i="1"/>
  <c r="BO88" i="1"/>
  <c r="BS88" i="1"/>
  <c r="BL88" i="1"/>
  <c r="BP88" i="1"/>
  <c r="BT88" i="1"/>
  <c r="AS161" i="1"/>
  <c r="AT161" i="1" s="1"/>
  <c r="BT556" i="1"/>
  <c r="BG556" i="1" s="1"/>
  <c r="AO556" i="1" s="1"/>
  <c r="V664" i="1"/>
  <c r="W664" i="1" s="1"/>
  <c r="AN448" i="1"/>
  <c r="AP448" i="1" s="1"/>
  <c r="AQ448" i="1" s="1"/>
  <c r="AN515" i="1"/>
  <c r="AP515" i="1" s="1"/>
  <c r="AQ515" i="1" s="1"/>
  <c r="D371" i="1"/>
  <c r="AW606" i="1"/>
  <c r="AW608" i="1" s="1"/>
  <c r="AN184" i="1"/>
  <c r="AP184" i="1" s="1"/>
  <c r="AQ184" i="1" s="1"/>
  <c r="W182" i="1"/>
  <c r="AN182" i="1" s="1"/>
  <c r="AP182" i="1" s="1"/>
  <c r="AQ182" i="1" s="1"/>
  <c r="I492" i="1"/>
  <c r="J492" i="1" s="1"/>
  <c r="F492" i="1"/>
  <c r="G492" i="1" s="1"/>
  <c r="Y135" i="1"/>
  <c r="AN229" i="1"/>
  <c r="AP229" i="1" s="1"/>
  <c r="AQ229" i="1" s="1"/>
  <c r="R681" i="1"/>
  <c r="D561" i="1"/>
  <c r="F561" i="1" s="1"/>
  <c r="G561" i="1" s="1"/>
  <c r="D135" i="1"/>
  <c r="W130" i="1"/>
  <c r="D130" i="1" s="1"/>
  <c r="I130" i="1" s="1"/>
  <c r="J130" i="1" s="1"/>
  <c r="D440" i="1"/>
  <c r="I440" i="1" s="1"/>
  <c r="J440" i="1" s="1"/>
  <c r="D515" i="1"/>
  <c r="AR457" i="1"/>
  <c r="D446" i="1"/>
  <c r="AN446" i="1"/>
  <c r="AP446" i="1" s="1"/>
  <c r="AQ446" i="1" s="1"/>
  <c r="Y446" i="1"/>
  <c r="Y432" i="1"/>
  <c r="AN432" i="1"/>
  <c r="AP432" i="1" s="1"/>
  <c r="AQ432" i="1" s="1"/>
  <c r="Y95" i="1"/>
  <c r="AN95" i="1"/>
  <c r="AP95" i="1" s="1"/>
  <c r="AQ95" i="1" s="1"/>
  <c r="T531" i="1"/>
  <c r="AV457" i="1"/>
  <c r="U198" i="1"/>
  <c r="V198" i="1" s="1"/>
  <c r="V511" i="1"/>
  <c r="W511" i="1" s="1"/>
  <c r="Z305" i="2"/>
  <c r="Z308" i="2" s="1"/>
  <c r="D182" i="1"/>
  <c r="I182" i="1" s="1"/>
  <c r="J182" i="1" s="1"/>
  <c r="S27" i="1"/>
  <c r="T27" i="1" s="1"/>
  <c r="U27" i="1" s="1"/>
  <c r="V27" i="1" s="1"/>
  <c r="W396" i="1"/>
  <c r="Y396" i="1" s="1"/>
  <c r="D502" i="1"/>
  <c r="D467" i="1"/>
  <c r="U101" i="1"/>
  <c r="V101" i="1" s="1"/>
  <c r="W101" i="1" s="1"/>
  <c r="AR606" i="1"/>
  <c r="D95" i="1"/>
  <c r="I95" i="1" s="1"/>
  <c r="J95" i="1" s="1"/>
  <c r="S52" i="1"/>
  <c r="S53" i="1" s="1"/>
  <c r="U162" i="1"/>
  <c r="V162" i="1" s="1"/>
  <c r="D513" i="1"/>
  <c r="AN467" i="1"/>
  <c r="AP467" i="1" s="1"/>
  <c r="AQ467" i="1" s="1"/>
  <c r="V675" i="1"/>
  <c r="W675" i="1" s="1"/>
  <c r="U319" i="1"/>
  <c r="V305" i="2"/>
  <c r="V308" i="2" s="1"/>
  <c r="V296" i="1"/>
  <c r="W296" i="1" s="1"/>
  <c r="Y296" i="1" s="1"/>
  <c r="S316" i="1"/>
  <c r="T316" i="1" s="1"/>
  <c r="U434" i="1"/>
  <c r="V434" i="1" s="1"/>
  <c r="U223" i="1"/>
  <c r="V223" i="1" s="1"/>
  <c r="W223" i="1" s="1"/>
  <c r="T321" i="1"/>
  <c r="U321" i="1" s="1"/>
  <c r="V321" i="1" s="1"/>
  <c r="Y440" i="1"/>
  <c r="V488" i="1"/>
  <c r="AR488" i="1"/>
  <c r="T192" i="1"/>
  <c r="U192" i="1" s="1"/>
  <c r="D74" i="1"/>
  <c r="AN74" i="1"/>
  <c r="AP74" i="1" s="1"/>
  <c r="AQ74" i="1" s="1"/>
  <c r="T311" i="1"/>
  <c r="U311" i="1" s="1"/>
  <c r="V311" i="1" s="1"/>
  <c r="U159" i="1"/>
  <c r="V159" i="1" s="1"/>
  <c r="AN37" i="1"/>
  <c r="AP37" i="1" s="1"/>
  <c r="AQ37" i="1" s="1"/>
  <c r="Y37" i="1"/>
  <c r="V672" i="1"/>
  <c r="W672" i="1" s="1"/>
  <c r="AN672" i="1" s="1"/>
  <c r="AP672" i="1" s="1"/>
  <c r="AQ672" i="1" s="1"/>
  <c r="W453" i="1"/>
  <c r="AN453" i="1" s="1"/>
  <c r="AP453" i="1" s="1"/>
  <c r="AQ453" i="1" s="1"/>
  <c r="BG185" i="1"/>
  <c r="BC185" i="1"/>
  <c r="AY185" i="1"/>
  <c r="BF185" i="1"/>
  <c r="BA185" i="1"/>
  <c r="BE185" i="1"/>
  <c r="AZ185" i="1"/>
  <c r="I185" i="1"/>
  <c r="J185" i="1" s="1"/>
  <c r="BD185" i="1"/>
  <c r="AX185" i="1"/>
  <c r="F185" i="1"/>
  <c r="G185" i="1" s="1"/>
  <c r="BB185" i="1"/>
  <c r="AW185" i="1"/>
  <c r="U86" i="1"/>
  <c r="U539" i="1"/>
  <c r="V539" i="1" s="1"/>
  <c r="U105" i="1"/>
  <c r="V105" i="1" s="1"/>
  <c r="W105" i="1" s="1"/>
  <c r="AN105" i="1" s="1"/>
  <c r="AP105" i="1" s="1"/>
  <c r="AQ105" i="1" s="1"/>
  <c r="Y449" i="1"/>
  <c r="D449" i="1"/>
  <c r="AN449" i="1"/>
  <c r="AP449" i="1" s="1"/>
  <c r="AQ449" i="1" s="1"/>
  <c r="W297" i="1"/>
  <c r="AN297" i="1" s="1"/>
  <c r="AP297" i="1" s="1"/>
  <c r="AQ297" i="1" s="1"/>
  <c r="D637" i="1"/>
  <c r="Y637" i="1"/>
  <c r="D195" i="1"/>
  <c r="R420" i="1"/>
  <c r="S420" i="1" s="1"/>
  <c r="V301" i="1"/>
  <c r="W301" i="1" s="1"/>
  <c r="AN301" i="1" s="1"/>
  <c r="AP301" i="1" s="1"/>
  <c r="AQ301" i="1" s="1"/>
  <c r="Y414" i="1"/>
  <c r="D414" i="1"/>
  <c r="U322" i="1"/>
  <c r="V322" i="1" s="1"/>
  <c r="U428" i="1"/>
  <c r="V428" i="1" s="1"/>
  <c r="I229" i="1"/>
  <c r="J229" i="1" s="1"/>
  <c r="F229" i="1"/>
  <c r="G229" i="1" s="1"/>
  <c r="U293" i="1"/>
  <c r="V293" i="1" s="1"/>
  <c r="AN511" i="1"/>
  <c r="AP511" i="1" s="1"/>
  <c r="AQ511" i="1" s="1"/>
  <c r="D117" i="1"/>
  <c r="AN117" i="1"/>
  <c r="AP117" i="1" s="1"/>
  <c r="AQ117" i="1" s="1"/>
  <c r="U638" i="1"/>
  <c r="V638" i="1" s="1"/>
  <c r="V82" i="1"/>
  <c r="W82" i="1" s="1"/>
  <c r="Y82" i="1" s="1"/>
  <c r="S401" i="1"/>
  <c r="W181" i="1"/>
  <c r="AN181" i="1" s="1"/>
  <c r="AP181" i="1" s="1"/>
  <c r="AQ181" i="1" s="1"/>
  <c r="AN469" i="1"/>
  <c r="AP469" i="1" s="1"/>
  <c r="AQ469" i="1" s="1"/>
  <c r="Y469" i="1"/>
  <c r="Y98" i="1"/>
  <c r="AN98" i="1"/>
  <c r="AP98" i="1" s="1"/>
  <c r="AQ98" i="1" s="1"/>
  <c r="D98" i="1"/>
  <c r="V445" i="1"/>
  <c r="W445" i="1" s="1"/>
  <c r="P608" i="1"/>
  <c r="P13" i="1"/>
  <c r="D675" i="1"/>
  <c r="Y555" i="1"/>
  <c r="D555" i="1"/>
  <c r="AN555" i="1"/>
  <c r="AP555" i="1" s="1"/>
  <c r="AQ555" i="1" s="1"/>
  <c r="R302" i="1"/>
  <c r="S302" i="1" s="1"/>
  <c r="D505" i="1"/>
  <c r="AN505" i="1"/>
  <c r="AP505" i="1" s="1"/>
  <c r="AQ505" i="1" s="1"/>
  <c r="W452" i="1"/>
  <c r="R346" i="1"/>
  <c r="W111" i="1"/>
  <c r="Y111" i="1" s="1"/>
  <c r="V66" i="1"/>
  <c r="W66" i="1" s="1"/>
  <c r="AN66" i="1" s="1"/>
  <c r="AP66" i="1" s="1"/>
  <c r="AQ66" i="1" s="1"/>
  <c r="BQ608" i="1"/>
  <c r="BQ13" i="1"/>
  <c r="AW13" i="1"/>
  <c r="S538" i="1"/>
  <c r="T538" i="1" s="1"/>
  <c r="U538" i="1" s="1"/>
  <c r="V538" i="1" s="1"/>
  <c r="BP13" i="1"/>
  <c r="BP608" i="1"/>
  <c r="AS450" i="1"/>
  <c r="AT450" i="1" s="1"/>
  <c r="AP450" i="1"/>
  <c r="AQ450" i="1" s="1"/>
  <c r="V518" i="1"/>
  <c r="W518" i="1" s="1"/>
  <c r="R315" i="1"/>
  <c r="S315" i="1" s="1"/>
  <c r="T315" i="1" s="1"/>
  <c r="U315" i="1" s="1"/>
  <c r="T336" i="1"/>
  <c r="U336" i="1" s="1"/>
  <c r="V336" i="1" s="1"/>
  <c r="T347" i="1"/>
  <c r="U347" i="1" s="1"/>
  <c r="R551" i="1"/>
  <c r="R193" i="1"/>
  <c r="S193" i="1" s="1"/>
  <c r="T193" i="1" s="1"/>
  <c r="S313" i="1"/>
  <c r="T313" i="1" s="1"/>
  <c r="U313" i="1" s="1"/>
  <c r="V313" i="1" s="1"/>
  <c r="Q382" i="1"/>
  <c r="R378" i="1"/>
  <c r="R374" i="1"/>
  <c r="S370" i="1"/>
  <c r="T370" i="1" s="1"/>
  <c r="T103" i="1"/>
  <c r="U103" i="1" s="1"/>
  <c r="V103" i="1" s="1"/>
  <c r="AN189" i="1"/>
  <c r="S196" i="1"/>
  <c r="T196" i="1" s="1"/>
  <c r="U196" i="1" s="1"/>
  <c r="T404" i="1"/>
  <c r="U404" i="1" s="1"/>
  <c r="AV504" i="1"/>
  <c r="AO504" i="1"/>
  <c r="AR504" i="1"/>
  <c r="U479" i="1"/>
  <c r="V479" i="1" s="1"/>
  <c r="W479" i="1" s="1"/>
  <c r="AS596" i="1"/>
  <c r="AT596" i="1" s="1"/>
  <c r="T537" i="1"/>
  <c r="U537" i="1" s="1"/>
  <c r="V537" i="1" s="1"/>
  <c r="P34" i="1"/>
  <c r="P55" i="1" s="1"/>
  <c r="V660" i="1"/>
  <c r="AS523" i="1"/>
  <c r="AT523" i="1" s="1"/>
  <c r="V104" i="1"/>
  <c r="W104" i="1" s="1"/>
  <c r="I561" i="1"/>
  <c r="J561" i="1" s="1"/>
  <c r="P143" i="1"/>
  <c r="S345" i="1"/>
  <c r="T345" i="1" s="1"/>
  <c r="U345" i="1" s="1"/>
  <c r="R46" i="1"/>
  <c r="S46" i="1" s="1"/>
  <c r="T46" i="1" s="1"/>
  <c r="V116" i="1"/>
  <c r="W116" i="1" s="1"/>
  <c r="V398" i="1"/>
  <c r="W398" i="1" s="1"/>
  <c r="BR13" i="1"/>
  <c r="BR608" i="1"/>
  <c r="S593" i="1"/>
  <c r="W540" i="1"/>
  <c r="Y540" i="1" s="1"/>
  <c r="R188" i="1"/>
  <c r="S188" i="1" s="1"/>
  <c r="T188" i="1" s="1"/>
  <c r="U188" i="1" s="1"/>
  <c r="R224" i="1"/>
  <c r="S224" i="1" s="1"/>
  <c r="T224" i="1" s="1"/>
  <c r="U224" i="1" s="1"/>
  <c r="W524" i="1"/>
  <c r="AS473" i="1"/>
  <c r="AT473" i="1" s="1"/>
  <c r="S591" i="1"/>
  <c r="AS74" i="1"/>
  <c r="AT74" i="1" s="1"/>
  <c r="V388" i="1"/>
  <c r="W388" i="1" s="1"/>
  <c r="T278" i="1"/>
  <c r="U278" i="1" s="1"/>
  <c r="V278" i="1" s="1"/>
  <c r="W278" i="1" s="1"/>
  <c r="V419" i="1"/>
  <c r="W419" i="1" s="1"/>
  <c r="Y419" i="1" s="1"/>
  <c r="P473" i="1"/>
  <c r="S275" i="1"/>
  <c r="T275" i="1" s="1"/>
  <c r="U275" i="1" s="1"/>
  <c r="S48" i="1"/>
  <c r="T48" i="1" s="1"/>
  <c r="D189" i="1"/>
  <c r="AS592" i="1"/>
  <c r="AT592" i="1" s="1"/>
  <c r="R45" i="1"/>
  <c r="U425" i="1"/>
  <c r="V425" i="1" s="1"/>
  <c r="W425" i="1" s="1"/>
  <c r="O683" i="1"/>
  <c r="O15" i="1"/>
  <c r="S323" i="1"/>
  <c r="T323" i="1" s="1"/>
  <c r="T328" i="1"/>
  <c r="U415" i="1"/>
  <c r="V415" i="1" s="1"/>
  <c r="BF29" i="1"/>
  <c r="BB29" i="1"/>
  <c r="AX29" i="1"/>
  <c r="F29" i="1"/>
  <c r="G29" i="1" s="1"/>
  <c r="BA29" i="1"/>
  <c r="BE29" i="1"/>
  <c r="BD29" i="1"/>
  <c r="AZ29" i="1"/>
  <c r="I29" i="1"/>
  <c r="J29" i="1" s="1"/>
  <c r="BG29" i="1"/>
  <c r="BC29" i="1"/>
  <c r="AY29" i="1"/>
  <c r="Y117" i="1"/>
  <c r="T110" i="1"/>
  <c r="S44" i="1"/>
  <c r="I497" i="1"/>
  <c r="J497" i="1" s="1"/>
  <c r="F497" i="1"/>
  <c r="G497" i="1" s="1"/>
  <c r="R72" i="1"/>
  <c r="S72" i="1" s="1"/>
  <c r="T72" i="1" s="1"/>
  <c r="V319" i="1"/>
  <c r="W319" i="1" s="1"/>
  <c r="S99" i="1"/>
  <c r="T99" i="1" s="1"/>
  <c r="U99" i="1" s="1"/>
  <c r="V99" i="1" s="1"/>
  <c r="W99" i="1" s="1"/>
  <c r="V407" i="1"/>
  <c r="W407" i="1" s="1"/>
  <c r="AN195" i="1"/>
  <c r="AP195" i="1" s="1"/>
  <c r="AQ195" i="1" s="1"/>
  <c r="R169" i="1"/>
  <c r="Q630" i="1"/>
  <c r="AN627" i="1"/>
  <c r="S303" i="1"/>
  <c r="S227" i="1"/>
  <c r="T227" i="1" s="1"/>
  <c r="U227" i="1" s="1"/>
  <c r="V227" i="1" s="1"/>
  <c r="W227" i="1" s="1"/>
  <c r="BA13" i="1"/>
  <c r="BA608" i="1"/>
  <c r="T176" i="1"/>
  <c r="BT171" i="1"/>
  <c r="BP171" i="1"/>
  <c r="BC171" i="1" s="1"/>
  <c r="BL171" i="1"/>
  <c r="BS171" i="1"/>
  <c r="BO171" i="1"/>
  <c r="BB171" i="1" s="1"/>
  <c r="BK171" i="1"/>
  <c r="AX171" i="1" s="1"/>
  <c r="F171" i="1"/>
  <c r="G171" i="1" s="1"/>
  <c r="BR171" i="1"/>
  <c r="BN171" i="1"/>
  <c r="BA171" i="1" s="1"/>
  <c r="BJ171" i="1"/>
  <c r="AW171" i="1" s="1"/>
  <c r="BQ171" i="1"/>
  <c r="BD171" i="1" s="1"/>
  <c r="BM171" i="1"/>
  <c r="BI171" i="1"/>
  <c r="I171" i="1"/>
  <c r="J171" i="1" s="1"/>
  <c r="R71" i="1"/>
  <c r="AV190" i="1"/>
  <c r="AO190" i="1"/>
  <c r="AR190" i="1"/>
  <c r="S413" i="1"/>
  <c r="T413" i="1" s="1"/>
  <c r="BO13" i="1"/>
  <c r="BO608" i="1"/>
  <c r="BB482" i="1"/>
  <c r="Q50" i="1"/>
  <c r="S552" i="1"/>
  <c r="U148" i="1"/>
  <c r="T294" i="1"/>
  <c r="U294" i="1" s="1"/>
  <c r="V294" i="1" s="1"/>
  <c r="U318" i="1"/>
  <c r="BT118" i="1"/>
  <c r="BG118" i="1" s="1"/>
  <c r="BP118" i="1"/>
  <c r="BC118" i="1" s="1"/>
  <c r="BL118" i="1"/>
  <c r="AY118" i="1" s="1"/>
  <c r="BS118" i="1"/>
  <c r="BF118" i="1" s="1"/>
  <c r="BO118" i="1"/>
  <c r="BB118" i="1" s="1"/>
  <c r="BK118" i="1"/>
  <c r="AX118" i="1" s="1"/>
  <c r="F118" i="1"/>
  <c r="G118" i="1" s="1"/>
  <c r="BR118" i="1"/>
  <c r="BE118" i="1" s="1"/>
  <c r="BN118" i="1"/>
  <c r="BA118" i="1" s="1"/>
  <c r="BJ118" i="1"/>
  <c r="AW118" i="1" s="1"/>
  <c r="BQ118" i="1"/>
  <c r="BD118" i="1" s="1"/>
  <c r="BM118" i="1"/>
  <c r="AZ118" i="1" s="1"/>
  <c r="BI118" i="1"/>
  <c r="I118" i="1"/>
  <c r="J118" i="1" s="1"/>
  <c r="T397" i="1"/>
  <c r="I493" i="1"/>
  <c r="J493" i="1" s="1"/>
  <c r="F493" i="1"/>
  <c r="G493" i="1" s="1"/>
  <c r="S262" i="1"/>
  <c r="T262" i="1" s="1"/>
  <c r="U262" i="1" s="1"/>
  <c r="V262" i="1" s="1"/>
  <c r="R485" i="1"/>
  <c r="BL13" i="1"/>
  <c r="BL608" i="1"/>
  <c r="U137" i="1"/>
  <c r="W231" i="1"/>
  <c r="Y231" i="1" s="1"/>
  <c r="R447" i="1"/>
  <c r="T136" i="1"/>
  <c r="AS156" i="1"/>
  <c r="AT156" i="1" s="1"/>
  <c r="W594" i="1"/>
  <c r="D594" i="1" s="1"/>
  <c r="S127" i="1"/>
  <c r="T127" i="1" s="1"/>
  <c r="U127" i="1" s="1"/>
  <c r="V127" i="1" s="1"/>
  <c r="W127" i="1" s="1"/>
  <c r="S451" i="1"/>
  <c r="T451" i="1" s="1"/>
  <c r="R557" i="1"/>
  <c r="S138" i="1"/>
  <c r="T69" i="1"/>
  <c r="R83" i="1"/>
  <c r="AN185" i="1"/>
  <c r="T344" i="1"/>
  <c r="U344" i="1" s="1"/>
  <c r="AS72" i="1"/>
  <c r="AT72" i="1" s="1"/>
  <c r="T401" i="1"/>
  <c r="U401" i="1" s="1"/>
  <c r="R43" i="1"/>
  <c r="R343" i="1"/>
  <c r="V470" i="1"/>
  <c r="W470" i="1" s="1"/>
  <c r="S49" i="1"/>
  <c r="T412" i="1"/>
  <c r="U412" i="1" s="1"/>
  <c r="R26" i="1"/>
  <c r="S338" i="1"/>
  <c r="T338" i="1" s="1"/>
  <c r="S534" i="1"/>
  <c r="AZ646" i="1"/>
  <c r="AZ648" i="1" s="1"/>
  <c r="BM648" i="1"/>
  <c r="BE646" i="1"/>
  <c r="BE648" i="1" s="1"/>
  <c r="BR648" i="1"/>
  <c r="BF646" i="1"/>
  <c r="BF648" i="1" s="1"/>
  <c r="BS648" i="1"/>
  <c r="AS594" i="1"/>
  <c r="AT594" i="1" s="1"/>
  <c r="S350" i="1"/>
  <c r="T350" i="1" s="1"/>
  <c r="W215" i="1"/>
  <c r="AN215" i="1" s="1"/>
  <c r="AP215" i="1" s="1"/>
  <c r="AQ215" i="1" s="1"/>
  <c r="R212" i="1"/>
  <c r="S212" i="1" s="1"/>
  <c r="AW112" i="1"/>
  <c r="AX112" i="1"/>
  <c r="BC112" i="1"/>
  <c r="R172" i="1"/>
  <c r="U237" i="1"/>
  <c r="V237" i="1" s="1"/>
  <c r="W237" i="1" s="1"/>
  <c r="Y237" i="1" s="1"/>
  <c r="T158" i="1"/>
  <c r="U158" i="1" s="1"/>
  <c r="AN637" i="1"/>
  <c r="AP637" i="1" s="1"/>
  <c r="AQ637" i="1" s="1"/>
  <c r="V395" i="1"/>
  <c r="U36" i="1"/>
  <c r="V444" i="1"/>
  <c r="T665" i="1"/>
  <c r="BT187" i="1"/>
  <c r="BG187" i="1" s="1"/>
  <c r="BP187" i="1"/>
  <c r="BC187" i="1" s="1"/>
  <c r="BL187" i="1"/>
  <c r="AY187" i="1" s="1"/>
  <c r="BO187" i="1"/>
  <c r="BB187" i="1" s="1"/>
  <c r="BJ187" i="1"/>
  <c r="AW187" i="1" s="1"/>
  <c r="BS187" i="1"/>
  <c r="BF187" i="1" s="1"/>
  <c r="BN187" i="1"/>
  <c r="BA187" i="1" s="1"/>
  <c r="BI187" i="1"/>
  <c r="BR187" i="1"/>
  <c r="BE187" i="1" s="1"/>
  <c r="BM187" i="1"/>
  <c r="AZ187" i="1" s="1"/>
  <c r="I187" i="1"/>
  <c r="J187" i="1" s="1"/>
  <c r="BQ187" i="1"/>
  <c r="BD187" i="1" s="1"/>
  <c r="BK187" i="1"/>
  <c r="AX187" i="1" s="1"/>
  <c r="F187" i="1"/>
  <c r="G187" i="1" s="1"/>
  <c r="AN424" i="1"/>
  <c r="AP424" i="1" s="1"/>
  <c r="AQ424" i="1" s="1"/>
  <c r="AR170" i="1"/>
  <c r="AV170" i="1"/>
  <c r="BA170" i="1"/>
  <c r="BB170" i="1"/>
  <c r="R102" i="1"/>
  <c r="S102" i="1" s="1"/>
  <c r="T102" i="1" s="1"/>
  <c r="U102" i="1" s="1"/>
  <c r="V102" i="1" s="1"/>
  <c r="W102" i="1" s="1"/>
  <c r="V295" i="1"/>
  <c r="Y229" i="1"/>
  <c r="U509" i="1"/>
  <c r="V509" i="1" s="1"/>
  <c r="U499" i="1"/>
  <c r="V499" i="1" s="1"/>
  <c r="W499" i="1" s="1"/>
  <c r="Y499" i="1" s="1"/>
  <c r="D310" i="1"/>
  <c r="T280" i="1"/>
  <c r="S525" i="1"/>
  <c r="U298" i="1"/>
  <c r="V298" i="1" s="1"/>
  <c r="T283" i="1"/>
  <c r="U283" i="1" s="1"/>
  <c r="V283" i="1" s="1"/>
  <c r="W283" i="1" s="1"/>
  <c r="D184" i="1"/>
  <c r="D469" i="1"/>
  <c r="T124" i="1"/>
  <c r="B306" i="2"/>
  <c r="P319" i="2"/>
  <c r="P320" i="2" s="1"/>
  <c r="P312" i="2"/>
  <c r="P308" i="2"/>
  <c r="P307" i="2"/>
  <c r="U521" i="1"/>
  <c r="V521" i="1" s="1"/>
  <c r="W521" i="1" s="1"/>
  <c r="BR676" i="1"/>
  <c r="BN676" i="1"/>
  <c r="BJ676" i="1"/>
  <c r="BQ676" i="1"/>
  <c r="BM676" i="1"/>
  <c r="BI676" i="1"/>
  <c r="I676" i="1"/>
  <c r="J676" i="1" s="1"/>
  <c r="BT676" i="1"/>
  <c r="BP676" i="1"/>
  <c r="BL676" i="1"/>
  <c r="BS676" i="1"/>
  <c r="BO676" i="1"/>
  <c r="BK676" i="1"/>
  <c r="F676" i="1"/>
  <c r="G676" i="1" s="1"/>
  <c r="P683" i="1"/>
  <c r="P15" i="1"/>
  <c r="R73" i="1"/>
  <c r="R211" i="1"/>
  <c r="S211" i="1" s="1"/>
  <c r="AS33" i="1"/>
  <c r="AT33" i="1" s="1"/>
  <c r="AP33" i="1"/>
  <c r="AQ33" i="1" s="1"/>
  <c r="T208" i="1"/>
  <c r="AO488" i="1"/>
  <c r="T630" i="1"/>
  <c r="BS13" i="1"/>
  <c r="BS608" i="1"/>
  <c r="BQ666" i="1"/>
  <c r="BM666" i="1"/>
  <c r="BI666" i="1"/>
  <c r="I666" i="1"/>
  <c r="J666" i="1" s="1"/>
  <c r="BT666" i="1"/>
  <c r="BP666" i="1"/>
  <c r="BL666" i="1"/>
  <c r="BS666" i="1"/>
  <c r="BO666" i="1"/>
  <c r="BK666" i="1"/>
  <c r="F666" i="1"/>
  <c r="G666" i="1" s="1"/>
  <c r="BR666" i="1"/>
  <c r="BN666" i="1"/>
  <c r="BJ666" i="1"/>
  <c r="F135" i="1"/>
  <c r="G135" i="1" s="1"/>
  <c r="I135" i="1"/>
  <c r="J135" i="1" s="1"/>
  <c r="AS541" i="1"/>
  <c r="AT541" i="1" s="1"/>
  <c r="F517" i="1"/>
  <c r="G517" i="1" s="1"/>
  <c r="I517" i="1"/>
  <c r="J517" i="1" s="1"/>
  <c r="R28" i="1"/>
  <c r="S28" i="1" s="1"/>
  <c r="T28" i="1" s="1"/>
  <c r="S164" i="1"/>
  <c r="T164" i="1" s="1"/>
  <c r="U164" i="1" s="1"/>
  <c r="S197" i="1"/>
  <c r="T197" i="1" s="1"/>
  <c r="U197" i="1" s="1"/>
  <c r="T480" i="1"/>
  <c r="U480" i="1" s="1"/>
  <c r="S217" i="1"/>
  <c r="V325" i="1"/>
  <c r="W325" i="1" s="1"/>
  <c r="D325" i="1" s="1"/>
  <c r="T589" i="1"/>
  <c r="U589" i="1" s="1"/>
  <c r="R234" i="1"/>
  <c r="S234" i="1" s="1"/>
  <c r="S673" i="1"/>
  <c r="S47" i="1"/>
  <c r="T47" i="1" s="1"/>
  <c r="W194" i="1"/>
  <c r="Y194" i="1" s="1"/>
  <c r="T462" i="1"/>
  <c r="U462" i="1" s="1"/>
  <c r="T129" i="1"/>
  <c r="U129" i="1" s="1"/>
  <c r="V129" i="1" s="1"/>
  <c r="W129" i="1" s="1"/>
  <c r="S228" i="1"/>
  <c r="S312" i="1"/>
  <c r="V389" i="1"/>
  <c r="W389" i="1" s="1"/>
  <c r="T673" i="1"/>
  <c r="U673" i="1" s="1"/>
  <c r="AS400" i="1"/>
  <c r="AT400" i="1" s="1"/>
  <c r="S269" i="1"/>
  <c r="T307" i="1"/>
  <c r="U307" i="1" s="1"/>
  <c r="V307" i="1" s="1"/>
  <c r="S38" i="1"/>
  <c r="T38" i="1" s="1"/>
  <c r="R100" i="1"/>
  <c r="AX13" i="1"/>
  <c r="AX608" i="1"/>
  <c r="R643" i="1"/>
  <c r="S107" i="1"/>
  <c r="T107" i="1" s="1"/>
  <c r="U107" i="1" s="1"/>
  <c r="V107" i="1" s="1"/>
  <c r="S358" i="1"/>
  <c r="T358" i="1" s="1"/>
  <c r="S391" i="1"/>
  <c r="T391" i="1" s="1"/>
  <c r="U391" i="1" s="1"/>
  <c r="R108" i="1"/>
  <c r="S108" i="1" s="1"/>
  <c r="I371" i="1"/>
  <c r="J371" i="1" s="1"/>
  <c r="F371" i="1"/>
  <c r="G371" i="1" s="1"/>
  <c r="R239" i="1"/>
  <c r="S239" i="1" s="1"/>
  <c r="R24" i="1"/>
  <c r="O689" i="1"/>
  <c r="T466" i="1"/>
  <c r="D448" i="1"/>
  <c r="T272" i="1"/>
  <c r="U272" i="1" s="1"/>
  <c r="Y666" i="1"/>
  <c r="T678" i="1"/>
  <c r="U678" i="1" s="1"/>
  <c r="S230" i="1"/>
  <c r="U468" i="1"/>
  <c r="V468" i="1" s="1"/>
  <c r="R77" i="1"/>
  <c r="R386" i="1"/>
  <c r="S386" i="1" s="1"/>
  <c r="T386" i="1" s="1"/>
  <c r="P457" i="1"/>
  <c r="R286" i="1"/>
  <c r="R219" i="1"/>
  <c r="S219" i="1" s="1"/>
  <c r="R351" i="1"/>
  <c r="S351" i="1" s="1"/>
  <c r="U671" i="1"/>
  <c r="V671" i="1" s="1"/>
  <c r="W671" i="1" s="1"/>
  <c r="R642" i="1"/>
  <c r="S642" i="1" s="1"/>
  <c r="R238" i="1"/>
  <c r="S238" i="1" s="1"/>
  <c r="T238" i="1" s="1"/>
  <c r="S281" i="1"/>
  <c r="BN13" i="1"/>
  <c r="BN608" i="1"/>
  <c r="U454" i="1"/>
  <c r="T677" i="1"/>
  <c r="U163" i="1"/>
  <c r="V163" i="1" s="1"/>
  <c r="BD13" i="1"/>
  <c r="BD608" i="1"/>
  <c r="T559" i="1"/>
  <c r="S585" i="1"/>
  <c r="Y74" i="1"/>
  <c r="N689" i="1"/>
  <c r="N691" i="1" s="1"/>
  <c r="N568" i="1"/>
  <c r="N616" i="1" s="1"/>
  <c r="N12" i="1"/>
  <c r="N11" i="1" s="1"/>
  <c r="R387" i="1"/>
  <c r="W232" i="1"/>
  <c r="AN232" i="1" s="1"/>
  <c r="AP232" i="1" s="1"/>
  <c r="AQ232" i="1" s="1"/>
  <c r="R81" i="1"/>
  <c r="Q264" i="1"/>
  <c r="AO606" i="1"/>
  <c r="O14" i="1"/>
  <c r="O650" i="1"/>
  <c r="R326" i="1"/>
  <c r="R399" i="1"/>
  <c r="P564" i="1"/>
  <c r="W139" i="1"/>
  <c r="D139" i="1" s="1"/>
  <c r="I471" i="1"/>
  <c r="J471" i="1" s="1"/>
  <c r="F471" i="1"/>
  <c r="G471" i="1" s="1"/>
  <c r="U590" i="1"/>
  <c r="V590" i="1" s="1"/>
  <c r="Y627" i="1"/>
  <c r="Y40" i="1"/>
  <c r="R320" i="1"/>
  <c r="S320" i="1" s="1"/>
  <c r="S327" i="1"/>
  <c r="BC13" i="1"/>
  <c r="BC608" i="1"/>
  <c r="S260" i="1"/>
  <c r="T260" i="1" s="1"/>
  <c r="U324" i="1"/>
  <c r="V324" i="1" s="1"/>
  <c r="W324" i="1" s="1"/>
  <c r="W159" i="1"/>
  <c r="Y159" i="1" s="1"/>
  <c r="R486" i="1"/>
  <c r="S486" i="1" s="1"/>
  <c r="S113" i="1"/>
  <c r="T113" i="1" s="1"/>
  <c r="U113" i="1" s="1"/>
  <c r="V113" i="1" s="1"/>
  <c r="W113" i="1" s="1"/>
  <c r="S340" i="1"/>
  <c r="T340" i="1" s="1"/>
  <c r="U340" i="1" s="1"/>
  <c r="V340" i="1" s="1"/>
  <c r="W340" i="1" s="1"/>
  <c r="T349" i="1"/>
  <c r="U349" i="1" s="1"/>
  <c r="U200" i="1"/>
  <c r="V200" i="1" s="1"/>
  <c r="W200" i="1" s="1"/>
  <c r="AN200" i="1" s="1"/>
  <c r="AP200" i="1" s="1"/>
  <c r="AQ200" i="1" s="1"/>
  <c r="R31" i="1"/>
  <c r="R85" i="1"/>
  <c r="S85" i="1" s="1"/>
  <c r="S216" i="1"/>
  <c r="T421" i="1"/>
  <c r="S287" i="1"/>
  <c r="AS129" i="1"/>
  <c r="AT129" i="1" s="1"/>
  <c r="U78" i="1"/>
  <c r="R166" i="1"/>
  <c r="S166" i="1" s="1"/>
  <c r="T166" i="1" s="1"/>
  <c r="S271" i="1"/>
  <c r="T180" i="1"/>
  <c r="U180" i="1" s="1"/>
  <c r="V180" i="1" s="1"/>
  <c r="V418" i="1"/>
  <c r="W418" i="1" s="1"/>
  <c r="AS131" i="1"/>
  <c r="AT131" i="1" s="1"/>
  <c r="U76" i="1"/>
  <c r="S221" i="1"/>
  <c r="D489" i="1"/>
  <c r="AN489" i="1"/>
  <c r="AP489" i="1" s="1"/>
  <c r="AQ489" i="1" s="1"/>
  <c r="P242" i="1"/>
  <c r="R339" i="1"/>
  <c r="R411" i="1"/>
  <c r="D37" i="1"/>
  <c r="S174" i="1"/>
  <c r="S341" i="1"/>
  <c r="Q374" i="1"/>
  <c r="V465" i="1"/>
  <c r="P90" i="1"/>
  <c r="R61" i="1"/>
  <c r="S61" i="1" s="1"/>
  <c r="R64" i="1"/>
  <c r="S64" i="1" s="1"/>
  <c r="U69" i="1"/>
  <c r="V69" i="1" s="1"/>
  <c r="W69" i="1" s="1"/>
  <c r="Y69" i="1" s="1"/>
  <c r="S153" i="1"/>
  <c r="S147" i="1"/>
  <c r="T147" i="1" s="1"/>
  <c r="Y371" i="1"/>
  <c r="W199" i="1"/>
  <c r="W379" i="1"/>
  <c r="W592" i="1"/>
  <c r="Y505" i="1"/>
  <c r="T49" i="1"/>
  <c r="U49" i="1" s="1"/>
  <c r="R191" i="1"/>
  <c r="S191" i="1" s="1"/>
  <c r="T191" i="1" s="1"/>
  <c r="U191" i="1" s="1"/>
  <c r="S435" i="1"/>
  <c r="T435" i="1" s="1"/>
  <c r="U435" i="1" s="1"/>
  <c r="V435" i="1" s="1"/>
  <c r="BJ13" i="1"/>
  <c r="BJ608" i="1"/>
  <c r="Q547" i="1"/>
  <c r="BD646" i="1"/>
  <c r="BD648" i="1" s="1"/>
  <c r="BQ648" i="1"/>
  <c r="AY646" i="1"/>
  <c r="AY648" i="1" s="1"/>
  <c r="BL648" i="1"/>
  <c r="S506" i="1"/>
  <c r="T506" i="1" s="1"/>
  <c r="T80" i="1"/>
  <c r="U80" i="1" s="1"/>
  <c r="V80" i="1" s="1"/>
  <c r="W80" i="1" s="1"/>
  <c r="U167" i="1"/>
  <c r="V167" i="1" s="1"/>
  <c r="D25" i="1"/>
  <c r="S337" i="1"/>
  <c r="T337" i="1" s="1"/>
  <c r="U337" i="1" s="1"/>
  <c r="AR112" i="1"/>
  <c r="AV112" i="1"/>
  <c r="BA112" i="1"/>
  <c r="BB112" i="1"/>
  <c r="BG112" i="1"/>
  <c r="T595" i="1"/>
  <c r="U595" i="1" s="1"/>
  <c r="V595" i="1" s="1"/>
  <c r="W595" i="1" s="1"/>
  <c r="U177" i="1"/>
  <c r="V177" i="1" s="1"/>
  <c r="U556" i="1"/>
  <c r="Y489" i="1"/>
  <c r="D32" i="1"/>
  <c r="U284" i="1"/>
  <c r="D424" i="1"/>
  <c r="BC170" i="1"/>
  <c r="U126" i="1"/>
  <c r="U274" i="1"/>
  <c r="V274" i="1" s="1"/>
  <c r="W274" i="1" s="1"/>
  <c r="AN274" i="1" s="1"/>
  <c r="AP274" i="1" s="1"/>
  <c r="AQ274" i="1" s="1"/>
  <c r="T201" i="1"/>
  <c r="D432" i="1"/>
  <c r="S288" i="1"/>
  <c r="U634" i="1"/>
  <c r="V634" i="1" s="1"/>
  <c r="I410" i="1"/>
  <c r="J410" i="1" s="1"/>
  <c r="F410" i="1"/>
  <c r="G410" i="1" s="1"/>
  <c r="S551" i="1"/>
  <c r="T551" i="1" s="1"/>
  <c r="BM608" i="1"/>
  <c r="BM13" i="1"/>
  <c r="AS396" i="1"/>
  <c r="AT396" i="1" s="1"/>
  <c r="T525" i="1"/>
  <c r="D627" i="1"/>
  <c r="AO457" i="1"/>
  <c r="S423" i="1"/>
  <c r="R289" i="1"/>
  <c r="S289" i="1" s="1"/>
  <c r="AN357" i="1"/>
  <c r="D357" i="1"/>
  <c r="I498" i="1"/>
  <c r="J498" i="1" s="1"/>
  <c r="F498" i="1"/>
  <c r="G498" i="1" s="1"/>
  <c r="T240" i="1"/>
  <c r="S516" i="1"/>
  <c r="T516" i="1" s="1"/>
  <c r="U516" i="1" s="1"/>
  <c r="S30" i="1"/>
  <c r="S273" i="1"/>
  <c r="T481" i="1"/>
  <c r="U481" i="1" s="1"/>
  <c r="V481" i="1" s="1"/>
  <c r="W481" i="1" s="1"/>
  <c r="S31" i="1"/>
  <c r="S222" i="1"/>
  <c r="U236" i="1"/>
  <c r="T461" i="1"/>
  <c r="U677" i="1"/>
  <c r="V677" i="1" s="1"/>
  <c r="V204" i="1"/>
  <c r="W204" i="1" s="1"/>
  <c r="T591" i="1"/>
  <c r="U591" i="1" s="1"/>
  <c r="V591" i="1" s="1"/>
  <c r="BE482" i="1"/>
  <c r="V674" i="1"/>
  <c r="W674" i="1" s="1"/>
  <c r="S157" i="1"/>
  <c r="T520" i="1"/>
  <c r="U520" i="1" s="1"/>
  <c r="V520" i="1" s="1"/>
  <c r="W520" i="1" s="1"/>
  <c r="AN310" i="1"/>
  <c r="AP310" i="1" s="1"/>
  <c r="AQ310" i="1" s="1"/>
  <c r="I88" i="1"/>
  <c r="J88" i="1" s="1"/>
  <c r="F88" i="1"/>
  <c r="G88" i="1" s="1"/>
  <c r="D40" i="1"/>
  <c r="R134" i="1"/>
  <c r="V314" i="1"/>
  <c r="W314" i="1" s="1"/>
  <c r="S213" i="1"/>
  <c r="T439" i="1"/>
  <c r="T464" i="1"/>
  <c r="U464" i="1" s="1"/>
  <c r="V464" i="1" s="1"/>
  <c r="W464" i="1" s="1"/>
  <c r="U168" i="1"/>
  <c r="V168" i="1" s="1"/>
  <c r="W168" i="1" s="1"/>
  <c r="AN168" i="1" s="1"/>
  <c r="AP168" i="1" s="1"/>
  <c r="AQ168" i="1" s="1"/>
  <c r="T304" i="1"/>
  <c r="U304" i="1" s="1"/>
  <c r="T427" i="1"/>
  <c r="U427" i="1" s="1"/>
  <c r="V427" i="1" s="1"/>
  <c r="W427" i="1" s="1"/>
  <c r="D427" i="1" s="1"/>
  <c r="Y477" i="1"/>
  <c r="V541" i="1"/>
  <c r="W541" i="1" s="1"/>
  <c r="AN541" i="1" s="1"/>
  <c r="AP541" i="1" s="1"/>
  <c r="AQ541" i="1" s="1"/>
  <c r="AS136" i="1"/>
  <c r="AT136" i="1" s="1"/>
  <c r="AS331" i="1"/>
  <c r="AT331" i="1" s="1"/>
  <c r="R355" i="1"/>
  <c r="S355" i="1" s="1"/>
  <c r="U150" i="1"/>
  <c r="V150" i="1" s="1"/>
  <c r="W150" i="1" s="1"/>
  <c r="D150" i="1" s="1"/>
  <c r="S403" i="1"/>
  <c r="R179" i="1"/>
  <c r="S179" i="1" s="1"/>
  <c r="S514" i="1"/>
  <c r="R662" i="1"/>
  <c r="S558" i="1"/>
  <c r="T558" i="1" s="1"/>
  <c r="U558" i="1" s="1"/>
  <c r="S186" i="1"/>
  <c r="V109" i="1"/>
  <c r="T268" i="1"/>
  <c r="U268" i="1" s="1"/>
  <c r="V292" i="1"/>
  <c r="W292" i="1" s="1"/>
  <c r="O566" i="1"/>
  <c r="O690" i="1" s="1"/>
  <c r="T97" i="1"/>
  <c r="F140" i="1"/>
  <c r="G140" i="1" s="1"/>
  <c r="I140" i="1"/>
  <c r="J140" i="1" s="1"/>
  <c r="R279" i="1"/>
  <c r="S279" i="1" s="1"/>
  <c r="R636" i="1"/>
  <c r="S636" i="1" s="1"/>
  <c r="V438" i="1"/>
  <c r="W438" i="1" s="1"/>
  <c r="D438" i="1" s="1"/>
  <c r="AR482" i="1"/>
  <c r="AO482" i="1"/>
  <c r="AV482" i="1"/>
  <c r="S87" i="1"/>
  <c r="T87" i="1" s="1"/>
  <c r="R68" i="1"/>
  <c r="R306" i="1"/>
  <c r="S306" i="1" s="1"/>
  <c r="R282" i="1"/>
  <c r="S533" i="1"/>
  <c r="S235" i="1"/>
  <c r="T235" i="1" s="1"/>
  <c r="U235" i="1" s="1"/>
  <c r="R364" i="1"/>
  <c r="T317" i="1"/>
  <c r="T233" i="1"/>
  <c r="R482" i="1"/>
  <c r="S482" i="1" s="1"/>
  <c r="T487" i="1"/>
  <c r="U487" i="1" s="1"/>
  <c r="V487" i="1" s="1"/>
  <c r="W487" i="1" s="1"/>
  <c r="Y487" i="1" s="1"/>
  <c r="BF13" i="1"/>
  <c r="BF608" i="1"/>
  <c r="AW646" i="1"/>
  <c r="AW648" i="1" s="1"/>
  <c r="BJ648" i="1"/>
  <c r="AX646" i="1"/>
  <c r="AX648" i="1" s="1"/>
  <c r="BK648" i="1"/>
  <c r="BC646" i="1"/>
  <c r="BC648" i="1" s="1"/>
  <c r="BP648" i="1"/>
  <c r="U501" i="1"/>
  <c r="V501" i="1" s="1"/>
  <c r="W501" i="1" s="1"/>
  <c r="T405" i="1"/>
  <c r="S554" i="1"/>
  <c r="S679" i="1"/>
  <c r="P527" i="1"/>
  <c r="AZ112" i="1"/>
  <c r="BE112" i="1"/>
  <c r="BF112" i="1"/>
  <c r="T552" i="1"/>
  <c r="U552" i="1" s="1"/>
  <c r="V552" i="1" s="1"/>
  <c r="W552" i="1" s="1"/>
  <c r="S372" i="1"/>
  <c r="T372" i="1" s="1"/>
  <c r="R173" i="1"/>
  <c r="S173" i="1" s="1"/>
  <c r="T173" i="1" s="1"/>
  <c r="AN561" i="1"/>
  <c r="AN540" i="1"/>
  <c r="AP540" i="1" s="1"/>
  <c r="AQ540" i="1" s="1"/>
  <c r="D433" i="1"/>
  <c r="V132" i="1"/>
  <c r="W132" i="1" s="1"/>
  <c r="U110" i="1"/>
  <c r="V110" i="1" s="1"/>
  <c r="W110" i="1" s="1"/>
  <c r="AN477" i="1"/>
  <c r="W392" i="1"/>
  <c r="D392" i="1" s="1"/>
  <c r="BD170" i="1"/>
  <c r="W663" i="1"/>
  <c r="D663" i="1" s="1"/>
  <c r="T523" i="1"/>
  <c r="T94" i="1"/>
  <c r="R261" i="1"/>
  <c r="S354" i="1"/>
  <c r="S151" i="1"/>
  <c r="U207" i="1"/>
  <c r="V207" i="1" s="1"/>
  <c r="W207" i="1" s="1"/>
  <c r="D207" i="1" s="1"/>
  <c r="V133" i="1"/>
  <c r="W133" i="1" s="1"/>
  <c r="Y433" i="1"/>
  <c r="V115" i="1"/>
  <c r="W115" i="1" s="1"/>
  <c r="Y115" i="1" s="1"/>
  <c r="AZ488" i="1"/>
  <c r="Q473" i="1"/>
  <c r="T212" i="1"/>
  <c r="U212" i="1" s="1"/>
  <c r="V212" i="1" s="1"/>
  <c r="BF482" i="1"/>
  <c r="T70" i="1"/>
  <c r="U70" i="1" s="1"/>
  <c r="AY13" i="1"/>
  <c r="AY608" i="1"/>
  <c r="T442" i="1"/>
  <c r="U535" i="1"/>
  <c r="V535" i="1" s="1"/>
  <c r="W178" i="1"/>
  <c r="S225" i="1"/>
  <c r="R426" i="1"/>
  <c r="V203" i="1"/>
  <c r="W203" i="1" s="1"/>
  <c r="T455" i="1"/>
  <c r="R560" i="1"/>
  <c r="R65" i="1"/>
  <c r="T155" i="1"/>
  <c r="R205" i="1"/>
  <c r="S205" i="1" s="1"/>
  <c r="T532" i="1"/>
  <c r="S393" i="1"/>
  <c r="T393" i="1" s="1"/>
  <c r="R394" i="1"/>
  <c r="R175" i="1"/>
  <c r="R348" i="1"/>
  <c r="S348" i="1" s="1"/>
  <c r="R352" i="1"/>
  <c r="W84" i="1"/>
  <c r="R390" i="1"/>
  <c r="AN149" i="1"/>
  <c r="AP149" i="1" s="1"/>
  <c r="AQ149" i="1" s="1"/>
  <c r="V329" i="1"/>
  <c r="W329" i="1" s="1"/>
  <c r="AS398" i="1"/>
  <c r="AT398" i="1" s="1"/>
  <c r="S79" i="1"/>
  <c r="T79" i="1" s="1"/>
  <c r="U79" i="1" s="1"/>
  <c r="T125" i="1"/>
  <c r="U125" i="1" s="1"/>
  <c r="V125" i="1" s="1"/>
  <c r="W125" i="1" s="1"/>
  <c r="T141" i="1"/>
  <c r="S417" i="1"/>
  <c r="T417" i="1" s="1"/>
  <c r="U417" i="1" s="1"/>
  <c r="V417" i="1" s="1"/>
  <c r="W417" i="1" s="1"/>
  <c r="R300" i="1"/>
  <c r="R431" i="1"/>
  <c r="S431" i="1" s="1"/>
  <c r="T431" i="1" s="1"/>
  <c r="S643" i="1"/>
  <c r="V628" i="1"/>
  <c r="V630" i="1" s="1"/>
  <c r="T380" i="1"/>
  <c r="U380" i="1" s="1"/>
  <c r="V380" i="1" s="1"/>
  <c r="W380" i="1" s="1"/>
  <c r="Y380" i="1" s="1"/>
  <c r="R635" i="1"/>
  <c r="S635" i="1" s="1"/>
  <c r="U277" i="1"/>
  <c r="V277" i="1" s="1"/>
  <c r="D149" i="1"/>
  <c r="S356" i="1"/>
  <c r="T356" i="1" s="1"/>
  <c r="T44" i="1"/>
  <c r="U44" i="1" s="1"/>
  <c r="S400" i="1"/>
  <c r="BE13" i="1"/>
  <c r="BE608" i="1"/>
  <c r="P650" i="1"/>
  <c r="P14" i="1"/>
  <c r="V276" i="1"/>
  <c r="W276" i="1" s="1"/>
  <c r="D276" i="1" s="1"/>
  <c r="R353" i="1"/>
  <c r="S353" i="1" s="1"/>
  <c r="T335" i="1"/>
  <c r="U335" i="1" s="1"/>
  <c r="U156" i="1"/>
  <c r="V156" i="1" s="1"/>
  <c r="AA305" i="2"/>
  <c r="AA308" i="2" s="1"/>
  <c r="R639" i="1"/>
  <c r="AS522" i="1"/>
  <c r="AT522" i="1" s="1"/>
  <c r="T152" i="1"/>
  <c r="V165" i="1"/>
  <c r="W165" i="1" s="1"/>
  <c r="Y165" i="1" s="1"/>
  <c r="U441" i="1"/>
  <c r="V441" i="1" s="1"/>
  <c r="W441" i="1" s="1"/>
  <c r="Y441" i="1" s="1"/>
  <c r="AN414" i="1"/>
  <c r="AP414" i="1" s="1"/>
  <c r="AQ414" i="1" s="1"/>
  <c r="AN517" i="1"/>
  <c r="AP517" i="1" s="1"/>
  <c r="AQ517" i="1" s="1"/>
  <c r="Q668" i="1"/>
  <c r="T309" i="1"/>
  <c r="AN25" i="1"/>
  <c r="R160" i="1"/>
  <c r="S160" i="1" s="1"/>
  <c r="T160" i="1" s="1"/>
  <c r="Q53" i="1"/>
  <c r="T299" i="1"/>
  <c r="R430" i="1"/>
  <c r="R522" i="1"/>
  <c r="AZ13" i="1"/>
  <c r="AZ608" i="1"/>
  <c r="I477" i="1"/>
  <c r="J477" i="1" s="1"/>
  <c r="F477" i="1"/>
  <c r="G477" i="1" s="1"/>
  <c r="U644" i="1"/>
  <c r="V644" i="1" s="1"/>
  <c r="W644" i="1" s="1"/>
  <c r="W596" i="1"/>
  <c r="Y596" i="1" s="1"/>
  <c r="U154" i="1"/>
  <c r="R226" i="1"/>
  <c r="T429" i="1"/>
  <c r="BK13" i="1"/>
  <c r="BK608" i="1"/>
  <c r="V305" i="1"/>
  <c r="U583" i="1"/>
  <c r="U585" i="1" s="1"/>
  <c r="T220" i="1"/>
  <c r="R463" i="1"/>
  <c r="R473" i="1" s="1"/>
  <c r="T483" i="1"/>
  <c r="BB13" i="1"/>
  <c r="BB608" i="1"/>
  <c r="R512" i="1"/>
  <c r="AS481" i="1"/>
  <c r="AT481" i="1" s="1"/>
  <c r="S161" i="1"/>
  <c r="Q564" i="1"/>
  <c r="T342" i="1"/>
  <c r="U342" i="1" s="1"/>
  <c r="D290" i="1"/>
  <c r="T114" i="1"/>
  <c r="U114" i="1" s="1"/>
  <c r="V114" i="1" s="1"/>
  <c r="W114" i="1" s="1"/>
  <c r="U640" i="1"/>
  <c r="AO646" i="1"/>
  <c r="AR646" i="1"/>
  <c r="AR648" i="1" s="1"/>
  <c r="AV646" i="1"/>
  <c r="AV648" i="1" s="1"/>
  <c r="BI648" i="1"/>
  <c r="BA646" i="1"/>
  <c r="BA648" i="1" s="1"/>
  <c r="BN648" i="1"/>
  <c r="BB646" i="1"/>
  <c r="BB648" i="1" s="1"/>
  <c r="BO648" i="1"/>
  <c r="BG646" i="1"/>
  <c r="BG648" i="1" s="1"/>
  <c r="BT648" i="1"/>
  <c r="U478" i="1"/>
  <c r="U350" i="1"/>
  <c r="V350" i="1" s="1"/>
  <c r="Y215" i="1"/>
  <c r="R641" i="1"/>
  <c r="R202" i="1"/>
  <c r="BD112" i="1"/>
  <c r="AY112" i="1"/>
  <c r="S508" i="1"/>
  <c r="T508" i="1" s="1"/>
  <c r="U508" i="1" s="1"/>
  <c r="Y517" i="1"/>
  <c r="U510" i="1"/>
  <c r="AW170" i="1"/>
  <c r="AX170" i="1"/>
  <c r="AN209" i="1"/>
  <c r="F503" i="1"/>
  <c r="G503" i="1" s="1"/>
  <c r="I503" i="1"/>
  <c r="J503" i="1" s="1"/>
  <c r="D209" i="1"/>
  <c r="S62" i="1"/>
  <c r="BM568" i="4" l="1"/>
  <c r="BM616" i="4" s="1"/>
  <c r="BM12" i="4"/>
  <c r="BM11" i="4" s="1"/>
  <c r="BM690" i="4"/>
  <c r="BM691" i="4" s="1"/>
  <c r="BF690" i="4"/>
  <c r="BF691" i="4" s="1"/>
  <c r="BF568" i="4"/>
  <c r="BF616" i="4" s="1"/>
  <c r="BF12" i="4"/>
  <c r="BF11" i="4" s="1"/>
  <c r="AZ690" i="4"/>
  <c r="AZ691" i="4" s="1"/>
  <c r="AZ12" i="4"/>
  <c r="AZ11" i="4" s="1"/>
  <c r="AZ568" i="4"/>
  <c r="AZ616" i="4" s="1"/>
  <c r="BI690" i="4"/>
  <c r="BI691" i="4" s="1"/>
  <c r="BI568" i="4"/>
  <c r="BI616" i="4" s="1"/>
  <c r="BI12" i="4"/>
  <c r="BI11" i="4" s="1"/>
  <c r="AW690" i="4"/>
  <c r="AW691" i="4" s="1"/>
  <c r="AW568" i="4"/>
  <c r="AW616" i="4" s="1"/>
  <c r="AW12" i="4"/>
  <c r="AW11" i="4" s="1"/>
  <c r="BJ12" i="4"/>
  <c r="BJ11" i="4" s="1"/>
  <c r="BJ568" i="4"/>
  <c r="BJ616" i="4" s="1"/>
  <c r="BJ690" i="4"/>
  <c r="BJ691" i="4" s="1"/>
  <c r="BB12" i="4"/>
  <c r="BB11" i="4" s="1"/>
  <c r="BB568" i="4"/>
  <c r="BB616" i="4" s="1"/>
  <c r="BB690" i="4"/>
  <c r="BB691" i="4" s="1"/>
  <c r="AS606" i="4"/>
  <c r="AT606" i="4" s="1"/>
  <c r="AP606" i="4"/>
  <c r="AQ606" i="4" s="1"/>
  <c r="BL690" i="4"/>
  <c r="BL691" i="4" s="1"/>
  <c r="BL12" i="4"/>
  <c r="BL11" i="4" s="1"/>
  <c r="BL568" i="4"/>
  <c r="BL616" i="4" s="1"/>
  <c r="AS331" i="4"/>
  <c r="AT331" i="4" s="1"/>
  <c r="AP331" i="4"/>
  <c r="AQ331" i="4" s="1"/>
  <c r="BQ568" i="4"/>
  <c r="BQ616" i="4" s="1"/>
  <c r="BQ690" i="4"/>
  <c r="BQ691" i="4" s="1"/>
  <c r="BQ12" i="4"/>
  <c r="BQ11" i="4" s="1"/>
  <c r="AS72" i="4"/>
  <c r="AT72" i="4" s="1"/>
  <c r="AP72" i="4"/>
  <c r="AQ72" i="4" s="1"/>
  <c r="BA690" i="4"/>
  <c r="BA691" i="4" s="1"/>
  <c r="BA568" i="4"/>
  <c r="BA616" i="4" s="1"/>
  <c r="BA12" i="4"/>
  <c r="BA11" i="4" s="1"/>
  <c r="BN690" i="4"/>
  <c r="BN691" i="4" s="1"/>
  <c r="BN568" i="4"/>
  <c r="BN616" i="4" s="1"/>
  <c r="BN12" i="4"/>
  <c r="BN11" i="4" s="1"/>
  <c r="BR566" i="4"/>
  <c r="BK566" i="4"/>
  <c r="AV12" i="4"/>
  <c r="AV11" i="4" s="1"/>
  <c r="AV568" i="4"/>
  <c r="AV616" i="4" s="1"/>
  <c r="AV690" i="4"/>
  <c r="AV691" i="4" s="1"/>
  <c r="BC690" i="4"/>
  <c r="BC691" i="4" s="1"/>
  <c r="BC12" i="4"/>
  <c r="BC11" i="4" s="1"/>
  <c r="BC568" i="4"/>
  <c r="BC616" i="4" s="1"/>
  <c r="AS482" i="4"/>
  <c r="AT482" i="4" s="1"/>
  <c r="AP482" i="4"/>
  <c r="AQ482" i="4" s="1"/>
  <c r="AY568" i="4"/>
  <c r="AY616" i="4" s="1"/>
  <c r="AY12" i="4"/>
  <c r="AY11" i="4" s="1"/>
  <c r="AY690" i="4"/>
  <c r="AY691" i="4" s="1"/>
  <c r="AO90" i="4"/>
  <c r="AO527" i="4"/>
  <c r="AS120" i="4"/>
  <c r="AT120" i="4" s="1"/>
  <c r="AP120" i="4"/>
  <c r="AQ120" i="4" s="1"/>
  <c r="BD566" i="4"/>
  <c r="AS488" i="4"/>
  <c r="AT488" i="4" s="1"/>
  <c r="BT583" i="4"/>
  <c r="AR556" i="4"/>
  <c r="AR564" i="4" s="1"/>
  <c r="AR566" i="4" s="1"/>
  <c r="BG556" i="4"/>
  <c r="BT564" i="4"/>
  <c r="BT566" i="4" s="1"/>
  <c r="AS547" i="4"/>
  <c r="AT547" i="4" s="1"/>
  <c r="AP547" i="4"/>
  <c r="AQ547" i="4" s="1"/>
  <c r="AS242" i="4"/>
  <c r="AT242" i="4" s="1"/>
  <c r="AP242" i="4"/>
  <c r="AQ242" i="4" s="1"/>
  <c r="AP143" i="4"/>
  <c r="AQ143" i="4" s="1"/>
  <c r="AS143" i="4"/>
  <c r="AT143" i="4" s="1"/>
  <c r="AS74" i="4"/>
  <c r="AT74" i="4" s="1"/>
  <c r="AP74" i="4"/>
  <c r="AQ74" i="4" s="1"/>
  <c r="BS566" i="4"/>
  <c r="BP568" i="4"/>
  <c r="BP616" i="4" s="1"/>
  <c r="BP12" i="4"/>
  <c r="BP11" i="4" s="1"/>
  <c r="BP690" i="4"/>
  <c r="BP691" i="4" s="1"/>
  <c r="BO12" i="4"/>
  <c r="BO11" i="4" s="1"/>
  <c r="BO568" i="4"/>
  <c r="BO616" i="4" s="1"/>
  <c r="BO690" i="4"/>
  <c r="BO691" i="4" s="1"/>
  <c r="BE566" i="4"/>
  <c r="AX566" i="4"/>
  <c r="D511" i="1"/>
  <c r="F511" i="1" s="1"/>
  <c r="G511" i="1" s="1"/>
  <c r="Y511" i="1"/>
  <c r="U147" i="1"/>
  <c r="V412" i="1"/>
  <c r="W412" i="1" s="1"/>
  <c r="Y412" i="1" s="1"/>
  <c r="AO88" i="1"/>
  <c r="AN194" i="1"/>
  <c r="AP194" i="1" s="1"/>
  <c r="AQ194" i="1" s="1"/>
  <c r="AN130" i="1"/>
  <c r="AP130" i="1" s="1"/>
  <c r="AQ130" i="1" s="1"/>
  <c r="Y116" i="1"/>
  <c r="F437" i="1"/>
  <c r="G437" i="1" s="1"/>
  <c r="AN396" i="1"/>
  <c r="AP396" i="1" s="1"/>
  <c r="AQ396" i="1" s="1"/>
  <c r="F95" i="1"/>
  <c r="G95" i="1" s="1"/>
  <c r="AN487" i="1"/>
  <c r="AP487" i="1" s="1"/>
  <c r="AQ487" i="1" s="1"/>
  <c r="Y168" i="1"/>
  <c r="D215" i="1"/>
  <c r="F130" i="1"/>
  <c r="G130" i="1" s="1"/>
  <c r="D396" i="1"/>
  <c r="F396" i="1" s="1"/>
  <c r="G396" i="1" s="1"/>
  <c r="Y182" i="1"/>
  <c r="BT583" i="1"/>
  <c r="BG583" i="1" s="1"/>
  <c r="BG585" i="1" s="1"/>
  <c r="AR556" i="1"/>
  <c r="AS556" i="1" s="1"/>
  <c r="AT556" i="1" s="1"/>
  <c r="AN419" i="1"/>
  <c r="AP419" i="1" s="1"/>
  <c r="AQ419" i="1" s="1"/>
  <c r="D419" i="1"/>
  <c r="F419" i="1" s="1"/>
  <c r="G419" i="1" s="1"/>
  <c r="Y276" i="1"/>
  <c r="D596" i="1"/>
  <c r="F596" i="1" s="1"/>
  <c r="G596" i="1" s="1"/>
  <c r="V304" i="1"/>
  <c r="D296" i="1"/>
  <c r="I296" i="1" s="1"/>
  <c r="J296" i="1" s="1"/>
  <c r="D297" i="1"/>
  <c r="I297" i="1" s="1"/>
  <c r="J297" i="1" s="1"/>
  <c r="F440" i="1"/>
  <c r="G440" i="1" s="1"/>
  <c r="Y675" i="1"/>
  <c r="AN223" i="1"/>
  <c r="AP223" i="1" s="1"/>
  <c r="AQ223" i="1" s="1"/>
  <c r="Y297" i="1"/>
  <c r="AN675" i="1"/>
  <c r="AP675" i="1" s="1"/>
  <c r="AQ675" i="1" s="1"/>
  <c r="W468" i="1"/>
  <c r="D468" i="1" s="1"/>
  <c r="D470" i="1"/>
  <c r="I470" i="1" s="1"/>
  <c r="J470" i="1" s="1"/>
  <c r="AN470" i="1"/>
  <c r="AP470" i="1" s="1"/>
  <c r="AQ470" i="1" s="1"/>
  <c r="T61" i="1"/>
  <c r="U61" i="1" s="1"/>
  <c r="V61" i="1" s="1"/>
  <c r="W294" i="1"/>
  <c r="D294" i="1" s="1"/>
  <c r="F294" i="1" s="1"/>
  <c r="G294" i="1" s="1"/>
  <c r="S45" i="1"/>
  <c r="T45" i="1" s="1"/>
  <c r="Y223" i="1"/>
  <c r="D203" i="1"/>
  <c r="F203" i="1" s="1"/>
  <c r="G203" i="1" s="1"/>
  <c r="D194" i="1"/>
  <c r="F194" i="1" s="1"/>
  <c r="G194" i="1" s="1"/>
  <c r="T216" i="1"/>
  <c r="U216" i="1" s="1"/>
  <c r="D274" i="1"/>
  <c r="F274" i="1" s="1"/>
  <c r="G274" i="1" s="1"/>
  <c r="AN389" i="1"/>
  <c r="AP389" i="1" s="1"/>
  <c r="AQ389" i="1" s="1"/>
  <c r="F182" i="1"/>
  <c r="G182" i="1" s="1"/>
  <c r="W336" i="1"/>
  <c r="D336" i="1" s="1"/>
  <c r="I336" i="1" s="1"/>
  <c r="J336" i="1" s="1"/>
  <c r="D223" i="1"/>
  <c r="F223" i="1" s="1"/>
  <c r="G223" i="1" s="1"/>
  <c r="D672" i="1"/>
  <c r="I672" i="1" s="1"/>
  <c r="J672" i="1" s="1"/>
  <c r="I515" i="1"/>
  <c r="J515" i="1" s="1"/>
  <c r="F515" i="1"/>
  <c r="G515" i="1" s="1"/>
  <c r="V480" i="1"/>
  <c r="W480" i="1" s="1"/>
  <c r="AN480" i="1" s="1"/>
  <c r="AP480" i="1" s="1"/>
  <c r="AQ480" i="1" s="1"/>
  <c r="D66" i="1"/>
  <c r="F66" i="1" s="1"/>
  <c r="G66" i="1" s="1"/>
  <c r="U87" i="1"/>
  <c r="V87" i="1" s="1"/>
  <c r="AN594" i="1"/>
  <c r="AP594" i="1" s="1"/>
  <c r="AQ594" i="1" s="1"/>
  <c r="V164" i="1"/>
  <c r="W164" i="1" s="1"/>
  <c r="Y181" i="1"/>
  <c r="T52" i="1"/>
  <c r="Y130" i="1"/>
  <c r="W198" i="1"/>
  <c r="Y198" i="1" s="1"/>
  <c r="V349" i="1"/>
  <c r="W349" i="1" s="1"/>
  <c r="Y207" i="1"/>
  <c r="T351" i="1"/>
  <c r="U351" i="1" s="1"/>
  <c r="V351" i="1" s="1"/>
  <c r="W351" i="1" s="1"/>
  <c r="T279" i="1"/>
  <c r="U279" i="1" s="1"/>
  <c r="V279" i="1" s="1"/>
  <c r="W279" i="1" s="1"/>
  <c r="D441" i="1"/>
  <c r="I441" i="1" s="1"/>
  <c r="J441" i="1" s="1"/>
  <c r="U531" i="1"/>
  <c r="V531" i="1" s="1"/>
  <c r="V49" i="1"/>
  <c r="W49" i="1" s="1"/>
  <c r="U316" i="1"/>
  <c r="V316" i="1" s="1"/>
  <c r="W316" i="1" s="1"/>
  <c r="T486" i="1"/>
  <c r="U486" i="1" s="1"/>
  <c r="V486" i="1" s="1"/>
  <c r="V192" i="1"/>
  <c r="W192" i="1" s="1"/>
  <c r="V272" i="1"/>
  <c r="W272" i="1" s="1"/>
  <c r="D389" i="1"/>
  <c r="I389" i="1" s="1"/>
  <c r="J389" i="1" s="1"/>
  <c r="AN499" i="1"/>
  <c r="AP499" i="1" s="1"/>
  <c r="AQ499" i="1" s="1"/>
  <c r="D69" i="1"/>
  <c r="F69" i="1" s="1"/>
  <c r="G69" i="1" s="1"/>
  <c r="D82" i="1"/>
  <c r="I82" i="1" s="1"/>
  <c r="J82" i="1" s="1"/>
  <c r="W428" i="1"/>
  <c r="AN428" i="1" s="1"/>
  <c r="AP428" i="1" s="1"/>
  <c r="AQ428" i="1" s="1"/>
  <c r="F513" i="1"/>
  <c r="G513" i="1" s="1"/>
  <c r="I513" i="1"/>
  <c r="J513" i="1" s="1"/>
  <c r="F467" i="1"/>
  <c r="G467" i="1" s="1"/>
  <c r="I467" i="1"/>
  <c r="J467" i="1" s="1"/>
  <c r="W311" i="1"/>
  <c r="D311" i="1" s="1"/>
  <c r="F311" i="1" s="1"/>
  <c r="G311" i="1" s="1"/>
  <c r="V197" i="1"/>
  <c r="W197" i="1" s="1"/>
  <c r="D197" i="1" s="1"/>
  <c r="V678" i="1"/>
  <c r="W678" i="1" s="1"/>
  <c r="D678" i="1" s="1"/>
  <c r="I678" i="1" s="1"/>
  <c r="J678" i="1" s="1"/>
  <c r="W162" i="1"/>
  <c r="D398" i="1"/>
  <c r="F398" i="1" s="1"/>
  <c r="G398" i="1" s="1"/>
  <c r="W537" i="1"/>
  <c r="Y537" i="1" s="1"/>
  <c r="Y66" i="1"/>
  <c r="W322" i="1"/>
  <c r="W434" i="1"/>
  <c r="Y434" i="1" s="1"/>
  <c r="AN296" i="1"/>
  <c r="AP296" i="1" s="1"/>
  <c r="AQ296" i="1" s="1"/>
  <c r="F502" i="1"/>
  <c r="G502" i="1" s="1"/>
  <c r="I502" i="1"/>
  <c r="J502" i="1" s="1"/>
  <c r="T306" i="1"/>
  <c r="U306" i="1" s="1"/>
  <c r="V306" i="1" s="1"/>
  <c r="W306" i="1" s="1"/>
  <c r="D306" i="1" s="1"/>
  <c r="I446" i="1"/>
  <c r="J446" i="1" s="1"/>
  <c r="F446" i="1"/>
  <c r="G446" i="1" s="1"/>
  <c r="T213" i="1"/>
  <c r="U213" i="1" s="1"/>
  <c r="V213" i="1" s="1"/>
  <c r="V342" i="1"/>
  <c r="W342" i="1" s="1"/>
  <c r="Y342" i="1" s="1"/>
  <c r="AN441" i="1"/>
  <c r="AP441" i="1" s="1"/>
  <c r="AQ441" i="1" s="1"/>
  <c r="T353" i="1"/>
  <c r="W277" i="1"/>
  <c r="AN277" i="1" s="1"/>
  <c r="AP277" i="1" s="1"/>
  <c r="AQ277" i="1" s="1"/>
  <c r="U442" i="1"/>
  <c r="V442" i="1" s="1"/>
  <c r="D200" i="1"/>
  <c r="F200" i="1" s="1"/>
  <c r="G200" i="1" s="1"/>
  <c r="Y139" i="1"/>
  <c r="S26" i="1"/>
  <c r="T26" i="1" s="1"/>
  <c r="U26" i="1" s="1"/>
  <c r="V26" i="1" s="1"/>
  <c r="W26" i="1" s="1"/>
  <c r="AN325" i="1"/>
  <c r="AP325" i="1" s="1"/>
  <c r="AQ325" i="1" s="1"/>
  <c r="U421" i="1"/>
  <c r="V421" i="1" s="1"/>
  <c r="W293" i="1"/>
  <c r="AN293" i="1" s="1"/>
  <c r="AP293" i="1" s="1"/>
  <c r="AQ293" i="1" s="1"/>
  <c r="D181" i="1"/>
  <c r="I181" i="1" s="1"/>
  <c r="J181" i="1" s="1"/>
  <c r="W488" i="1"/>
  <c r="D488" i="1" s="1"/>
  <c r="W156" i="1"/>
  <c r="D156" i="1" s="1"/>
  <c r="AN417" i="1"/>
  <c r="AP417" i="1" s="1"/>
  <c r="AQ417" i="1" s="1"/>
  <c r="D417" i="1"/>
  <c r="Y417" i="1"/>
  <c r="AN133" i="1"/>
  <c r="AP133" i="1" s="1"/>
  <c r="AQ133" i="1" s="1"/>
  <c r="Y133" i="1"/>
  <c r="D133" i="1"/>
  <c r="F663" i="1"/>
  <c r="G663" i="1" s="1"/>
  <c r="I663" i="1"/>
  <c r="J663" i="1" s="1"/>
  <c r="V268" i="1"/>
  <c r="U506" i="1"/>
  <c r="V506" i="1" s="1"/>
  <c r="U260" i="1"/>
  <c r="AN272" i="1"/>
  <c r="AP272" i="1" s="1"/>
  <c r="AQ272" i="1" s="1"/>
  <c r="AN99" i="1"/>
  <c r="AP99" i="1" s="1"/>
  <c r="AQ99" i="1" s="1"/>
  <c r="Y99" i="1"/>
  <c r="D99" i="1"/>
  <c r="U413" i="1"/>
  <c r="V413" i="1" s="1"/>
  <c r="Y644" i="1"/>
  <c r="D644" i="1"/>
  <c r="V516" i="1"/>
  <c r="W516" i="1" s="1"/>
  <c r="D595" i="1"/>
  <c r="Y595" i="1"/>
  <c r="I207" i="1"/>
  <c r="J207" i="1" s="1"/>
  <c r="F207" i="1"/>
  <c r="G207" i="1" s="1"/>
  <c r="AN110" i="1"/>
  <c r="AP110" i="1" s="1"/>
  <c r="AQ110" i="1" s="1"/>
  <c r="Y110" i="1"/>
  <c r="D110" i="1"/>
  <c r="Y501" i="1"/>
  <c r="D501" i="1"/>
  <c r="AN501" i="1"/>
  <c r="AP501" i="1" s="1"/>
  <c r="AQ501" i="1" s="1"/>
  <c r="Y316" i="1"/>
  <c r="I427" i="1"/>
  <c r="J427" i="1" s="1"/>
  <c r="F427" i="1"/>
  <c r="G427" i="1" s="1"/>
  <c r="Y314" i="1"/>
  <c r="D314" i="1"/>
  <c r="AN314" i="1"/>
  <c r="AP314" i="1" s="1"/>
  <c r="AQ314" i="1" s="1"/>
  <c r="D340" i="1"/>
  <c r="Y340" i="1"/>
  <c r="AN678" i="1"/>
  <c r="AP678" i="1" s="1"/>
  <c r="AQ678" i="1" s="1"/>
  <c r="AN129" i="1"/>
  <c r="AP129" i="1" s="1"/>
  <c r="AQ129" i="1" s="1"/>
  <c r="Y129" i="1"/>
  <c r="U47" i="1"/>
  <c r="V47" i="1" s="1"/>
  <c r="W47" i="1" s="1"/>
  <c r="F594" i="1"/>
  <c r="G594" i="1" s="1"/>
  <c r="I594" i="1"/>
  <c r="J594" i="1" s="1"/>
  <c r="D319" i="1"/>
  <c r="Y319" i="1"/>
  <c r="AN319" i="1"/>
  <c r="AP319" i="1" s="1"/>
  <c r="AQ319" i="1" s="1"/>
  <c r="V44" i="1"/>
  <c r="W44" i="1" s="1"/>
  <c r="AN44" i="1" s="1"/>
  <c r="AP44" i="1" s="1"/>
  <c r="AQ44" i="1" s="1"/>
  <c r="V345" i="1"/>
  <c r="W345" i="1" s="1"/>
  <c r="W638" i="1"/>
  <c r="AN638" i="1" s="1"/>
  <c r="AP638" i="1" s="1"/>
  <c r="AQ638" i="1" s="1"/>
  <c r="AN114" i="1"/>
  <c r="AP114" i="1" s="1"/>
  <c r="AQ114" i="1" s="1"/>
  <c r="Y114" i="1"/>
  <c r="D283" i="1"/>
  <c r="Y283" i="1"/>
  <c r="AN283" i="1"/>
  <c r="AP283" i="1" s="1"/>
  <c r="AQ283" i="1" s="1"/>
  <c r="AN125" i="1"/>
  <c r="AP125" i="1" s="1"/>
  <c r="AQ125" i="1" s="1"/>
  <c r="Y125" i="1"/>
  <c r="D329" i="1"/>
  <c r="AN329" i="1"/>
  <c r="AP329" i="1" s="1"/>
  <c r="AQ329" i="1" s="1"/>
  <c r="Y127" i="1"/>
  <c r="AN127" i="1"/>
  <c r="AP127" i="1" s="1"/>
  <c r="AQ127" i="1" s="1"/>
  <c r="Y464" i="1"/>
  <c r="AN464" i="1"/>
  <c r="AP464" i="1" s="1"/>
  <c r="AQ464" i="1" s="1"/>
  <c r="D464" i="1"/>
  <c r="D481" i="1"/>
  <c r="Y481" i="1"/>
  <c r="U551" i="1"/>
  <c r="V551" i="1" s="1"/>
  <c r="AN113" i="1"/>
  <c r="AP113" i="1" s="1"/>
  <c r="AQ113" i="1" s="1"/>
  <c r="D113" i="1"/>
  <c r="Y113" i="1"/>
  <c r="D324" i="1"/>
  <c r="Y324" i="1"/>
  <c r="AN227" i="1"/>
  <c r="AP227" i="1" s="1"/>
  <c r="AQ227" i="1" s="1"/>
  <c r="Y227" i="1"/>
  <c r="F678" i="1"/>
  <c r="G678" i="1" s="1"/>
  <c r="W107" i="1"/>
  <c r="D107" i="1" s="1"/>
  <c r="V462" i="1"/>
  <c r="W462" i="1" s="1"/>
  <c r="D462" i="1" s="1"/>
  <c r="S73" i="1"/>
  <c r="T73" i="1" s="1"/>
  <c r="V158" i="1"/>
  <c r="W158" i="1" s="1"/>
  <c r="AN158" i="1" s="1"/>
  <c r="AP158" i="1" s="1"/>
  <c r="AQ158" i="1" s="1"/>
  <c r="U338" i="1"/>
  <c r="V338" i="1" s="1"/>
  <c r="W338" i="1" s="1"/>
  <c r="D552" i="1"/>
  <c r="W415" i="1"/>
  <c r="Y415" i="1" s="1"/>
  <c r="U48" i="1"/>
  <c r="V48" i="1" s="1"/>
  <c r="W48" i="1" s="1"/>
  <c r="D278" i="1"/>
  <c r="AN278" i="1"/>
  <c r="AP278" i="1" s="1"/>
  <c r="AQ278" i="1" s="1"/>
  <c r="Y278" i="1"/>
  <c r="W591" i="1"/>
  <c r="W313" i="1"/>
  <c r="AN313" i="1" s="1"/>
  <c r="AP313" i="1" s="1"/>
  <c r="AQ313" i="1" s="1"/>
  <c r="D104" i="1"/>
  <c r="AN104" i="1"/>
  <c r="AP104" i="1" s="1"/>
  <c r="AQ104" i="1" s="1"/>
  <c r="Y104" i="1"/>
  <c r="V404" i="1"/>
  <c r="W404" i="1" s="1"/>
  <c r="D518" i="1"/>
  <c r="AN518" i="1"/>
  <c r="AP518" i="1" s="1"/>
  <c r="AQ518" i="1" s="1"/>
  <c r="Y428" i="1"/>
  <c r="W539" i="1"/>
  <c r="D539" i="1" s="1"/>
  <c r="V335" i="1"/>
  <c r="W335" i="1" s="1"/>
  <c r="D335" i="1" s="1"/>
  <c r="D277" i="1"/>
  <c r="Y277" i="1"/>
  <c r="V70" i="1"/>
  <c r="W70" i="1" s="1"/>
  <c r="V196" i="1"/>
  <c r="W196" i="1" s="1"/>
  <c r="AN196" i="1" s="1"/>
  <c r="AP196" i="1" s="1"/>
  <c r="AQ196" i="1" s="1"/>
  <c r="AN132" i="1"/>
  <c r="AP132" i="1" s="1"/>
  <c r="AQ132" i="1" s="1"/>
  <c r="D132" i="1"/>
  <c r="F438" i="1"/>
  <c r="G438" i="1" s="1"/>
  <c r="I438" i="1"/>
  <c r="J438" i="1" s="1"/>
  <c r="Y292" i="1"/>
  <c r="D292" i="1"/>
  <c r="I150" i="1"/>
  <c r="J150" i="1" s="1"/>
  <c r="F150" i="1"/>
  <c r="G150" i="1" s="1"/>
  <c r="Y520" i="1"/>
  <c r="D520" i="1"/>
  <c r="AN520" i="1"/>
  <c r="AP520" i="1" s="1"/>
  <c r="AQ520" i="1" s="1"/>
  <c r="Y674" i="1"/>
  <c r="D674" i="1"/>
  <c r="AN674" i="1"/>
  <c r="AP674" i="1" s="1"/>
  <c r="AQ674" i="1" s="1"/>
  <c r="Y204" i="1"/>
  <c r="D204" i="1"/>
  <c r="W177" i="1"/>
  <c r="AN177" i="1" s="1"/>
  <c r="AP177" i="1" s="1"/>
  <c r="AQ177" i="1" s="1"/>
  <c r="AN80" i="1"/>
  <c r="AP80" i="1" s="1"/>
  <c r="AQ80" i="1" s="1"/>
  <c r="D80" i="1"/>
  <c r="Y80" i="1"/>
  <c r="Y418" i="1"/>
  <c r="AN418" i="1"/>
  <c r="AP418" i="1" s="1"/>
  <c r="AQ418" i="1" s="1"/>
  <c r="D418" i="1"/>
  <c r="U166" i="1"/>
  <c r="V166" i="1" s="1"/>
  <c r="D479" i="1"/>
  <c r="Y479" i="1"/>
  <c r="AN479" i="1"/>
  <c r="AP479" i="1" s="1"/>
  <c r="AQ479" i="1" s="1"/>
  <c r="Y671" i="1"/>
  <c r="AN671" i="1"/>
  <c r="D671" i="1"/>
  <c r="V391" i="1"/>
  <c r="W391" i="1" s="1"/>
  <c r="AN521" i="1"/>
  <c r="AP521" i="1" s="1"/>
  <c r="AQ521" i="1" s="1"/>
  <c r="Y521" i="1"/>
  <c r="AN102" i="1"/>
  <c r="AP102" i="1" s="1"/>
  <c r="AQ102" i="1" s="1"/>
  <c r="D102" i="1"/>
  <c r="Y102" i="1"/>
  <c r="S83" i="1"/>
  <c r="T83" i="1" s="1"/>
  <c r="U83" i="1" s="1"/>
  <c r="V83" i="1" s="1"/>
  <c r="AN407" i="1"/>
  <c r="AP407" i="1" s="1"/>
  <c r="AQ407" i="1" s="1"/>
  <c r="Y407" i="1"/>
  <c r="D407" i="1"/>
  <c r="Y425" i="1"/>
  <c r="D425" i="1"/>
  <c r="AN425" i="1"/>
  <c r="AP425" i="1" s="1"/>
  <c r="AQ425" i="1" s="1"/>
  <c r="D388" i="1"/>
  <c r="Y388" i="1"/>
  <c r="S641" i="1"/>
  <c r="T641" i="1" s="1"/>
  <c r="U641" i="1" s="1"/>
  <c r="R106" i="1"/>
  <c r="S106" i="1" s="1"/>
  <c r="S202" i="1"/>
  <c r="T202" i="1" s="1"/>
  <c r="V478" i="1"/>
  <c r="V147" i="1"/>
  <c r="W147" i="1" s="1"/>
  <c r="D147" i="1" s="1"/>
  <c r="I194" i="1"/>
  <c r="J194" i="1" s="1"/>
  <c r="U429" i="1"/>
  <c r="V429" i="1" s="1"/>
  <c r="W429" i="1" s="1"/>
  <c r="Q683" i="1"/>
  <c r="Q15" i="1"/>
  <c r="U356" i="1"/>
  <c r="V356" i="1" s="1"/>
  <c r="W356" i="1" s="1"/>
  <c r="S390" i="1"/>
  <c r="T390" i="1" s="1"/>
  <c r="U390" i="1" s="1"/>
  <c r="V390" i="1" s="1"/>
  <c r="W390" i="1" s="1"/>
  <c r="R408" i="1"/>
  <c r="U393" i="1"/>
  <c r="V393" i="1" s="1"/>
  <c r="W393" i="1" s="1"/>
  <c r="AN393" i="1" s="1"/>
  <c r="AP393" i="1" s="1"/>
  <c r="AQ393" i="1" s="1"/>
  <c r="U155" i="1"/>
  <c r="Y203" i="1"/>
  <c r="AN203" i="1"/>
  <c r="AP203" i="1" s="1"/>
  <c r="AQ203" i="1" s="1"/>
  <c r="T320" i="1"/>
  <c r="U320" i="1" s="1"/>
  <c r="AN178" i="1"/>
  <c r="AP178" i="1" s="1"/>
  <c r="AQ178" i="1" s="1"/>
  <c r="D178" i="1"/>
  <c r="Y178" i="1"/>
  <c r="T219" i="1"/>
  <c r="U219" i="1" s="1"/>
  <c r="V219" i="1" s="1"/>
  <c r="W219" i="1" s="1"/>
  <c r="U405" i="1"/>
  <c r="V405" i="1" s="1"/>
  <c r="S282" i="1"/>
  <c r="Q242" i="1"/>
  <c r="W180" i="1"/>
  <c r="D180" i="1" s="1"/>
  <c r="BA88" i="1"/>
  <c r="BA90" i="1" s="1"/>
  <c r="BN90" i="1"/>
  <c r="BB88" i="1"/>
  <c r="BB90" i="1" s="1"/>
  <c r="BO90" i="1"/>
  <c r="BG88" i="1"/>
  <c r="BG90" i="1" s="1"/>
  <c r="BT90" i="1"/>
  <c r="BD88" i="1"/>
  <c r="BD90" i="1" s="1"/>
  <c r="BQ90" i="1"/>
  <c r="AN204" i="1"/>
  <c r="AP204" i="1" s="1"/>
  <c r="AQ204" i="1" s="1"/>
  <c r="U461" i="1"/>
  <c r="V461" i="1" s="1"/>
  <c r="V236" i="1"/>
  <c r="W236" i="1" s="1"/>
  <c r="Y357" i="1"/>
  <c r="U201" i="1"/>
  <c r="V201" i="1" s="1"/>
  <c r="U72" i="1"/>
  <c r="V72" i="1" s="1"/>
  <c r="W72" i="1" s="1"/>
  <c r="V556" i="1"/>
  <c r="AN595" i="1"/>
  <c r="AP595" i="1" s="1"/>
  <c r="AQ595" i="1" s="1"/>
  <c r="W350" i="1"/>
  <c r="T533" i="1"/>
  <c r="U533" i="1" s="1"/>
  <c r="V533" i="1" s="1"/>
  <c r="AN592" i="1"/>
  <c r="AP592" i="1" s="1"/>
  <c r="AQ592" i="1" s="1"/>
  <c r="Y592" i="1"/>
  <c r="D199" i="1"/>
  <c r="AN199" i="1"/>
  <c r="AP199" i="1" s="1"/>
  <c r="AQ199" i="1" s="1"/>
  <c r="T222" i="1"/>
  <c r="U222" i="1" s="1"/>
  <c r="Q90" i="1"/>
  <c r="P566" i="1"/>
  <c r="P690" i="1" s="1"/>
  <c r="T174" i="1"/>
  <c r="T554" i="1"/>
  <c r="U554" i="1" s="1"/>
  <c r="T287" i="1"/>
  <c r="U287" i="1" s="1"/>
  <c r="V287" i="1" s="1"/>
  <c r="Y470" i="1"/>
  <c r="D349" i="1"/>
  <c r="Y232" i="1"/>
  <c r="R183" i="1"/>
  <c r="S183" i="1" s="1"/>
  <c r="S387" i="1"/>
  <c r="T387" i="1" s="1"/>
  <c r="U387" i="1" s="1"/>
  <c r="V387" i="1" s="1"/>
  <c r="W387" i="1" s="1"/>
  <c r="U559" i="1"/>
  <c r="V559" i="1" s="1"/>
  <c r="W559" i="1" s="1"/>
  <c r="W677" i="1"/>
  <c r="Y677" i="1" s="1"/>
  <c r="U238" i="1"/>
  <c r="V238" i="1" s="1"/>
  <c r="W238" i="1" s="1"/>
  <c r="S286" i="1"/>
  <c r="U386" i="1"/>
  <c r="V386" i="1" s="1"/>
  <c r="U28" i="1"/>
  <c r="V28" i="1" s="1"/>
  <c r="W28" i="1" s="1"/>
  <c r="I448" i="1"/>
  <c r="J448" i="1" s="1"/>
  <c r="F448" i="1"/>
  <c r="G448" i="1" s="1"/>
  <c r="Y541" i="1"/>
  <c r="R34" i="1"/>
  <c r="S426" i="1"/>
  <c r="T426" i="1" s="1"/>
  <c r="U426" i="1" s="1"/>
  <c r="V426" i="1" s="1"/>
  <c r="W426" i="1" s="1"/>
  <c r="AN426" i="1" s="1"/>
  <c r="AP426" i="1" s="1"/>
  <c r="AQ426" i="1" s="1"/>
  <c r="D227" i="1"/>
  <c r="T269" i="1"/>
  <c r="Y389" i="1"/>
  <c r="T186" i="1"/>
  <c r="U186" i="1" s="1"/>
  <c r="U173" i="1"/>
  <c r="V173" i="1" s="1"/>
  <c r="W173" i="1" s="1"/>
  <c r="BE666" i="1"/>
  <c r="BE668" i="1" s="1"/>
  <c r="BR668" i="1"/>
  <c r="BF666" i="1"/>
  <c r="BF668" i="1" s="1"/>
  <c r="BS668" i="1"/>
  <c r="AS488" i="1"/>
  <c r="AT488" i="1" s="1"/>
  <c r="T211" i="1"/>
  <c r="BB676" i="1"/>
  <c r="BB681" i="1" s="1"/>
  <c r="BO681" i="1"/>
  <c r="BG676" i="1"/>
  <c r="BG681" i="1" s="1"/>
  <c r="BT681" i="1"/>
  <c r="BD676" i="1"/>
  <c r="BD681" i="1" s="1"/>
  <c r="BQ681" i="1"/>
  <c r="D521" i="1"/>
  <c r="U124" i="1"/>
  <c r="F469" i="1"/>
  <c r="G469" i="1" s="1"/>
  <c r="I469" i="1"/>
  <c r="J469" i="1" s="1"/>
  <c r="AN207" i="1"/>
  <c r="AP207" i="1" s="1"/>
  <c r="AQ207" i="1" s="1"/>
  <c r="F310" i="1"/>
  <c r="G310" i="1" s="1"/>
  <c r="I310" i="1"/>
  <c r="J310" i="1" s="1"/>
  <c r="AS170" i="1"/>
  <c r="AT170" i="1" s="1"/>
  <c r="AP170" i="1"/>
  <c r="AQ170" i="1" s="1"/>
  <c r="AR187" i="1"/>
  <c r="AV187" i="1"/>
  <c r="AO187" i="1"/>
  <c r="W395" i="1"/>
  <c r="Y395" i="1" s="1"/>
  <c r="S172" i="1"/>
  <c r="T172" i="1" s="1"/>
  <c r="U172" i="1" s="1"/>
  <c r="V172" i="1" s="1"/>
  <c r="Q527" i="1"/>
  <c r="D114" i="1"/>
  <c r="V191" i="1"/>
  <c r="W191" i="1" s="1"/>
  <c r="U97" i="1"/>
  <c r="V97" i="1" s="1"/>
  <c r="W97" i="1" s="1"/>
  <c r="AN97" i="1" s="1"/>
  <c r="AP97" i="1" s="1"/>
  <c r="AQ97" i="1" s="1"/>
  <c r="D127" i="1"/>
  <c r="AN159" i="1"/>
  <c r="AP159" i="1" s="1"/>
  <c r="AQ159" i="1" s="1"/>
  <c r="D664" i="1"/>
  <c r="Y664" i="1"/>
  <c r="U397" i="1"/>
  <c r="V397" i="1" s="1"/>
  <c r="U280" i="1"/>
  <c r="V318" i="1"/>
  <c r="W318" i="1" s="1"/>
  <c r="T85" i="1"/>
  <c r="W307" i="1"/>
  <c r="AY171" i="1"/>
  <c r="BS627" i="1"/>
  <c r="BO627" i="1"/>
  <c r="BK627" i="1"/>
  <c r="BR627" i="1"/>
  <c r="BN627" i="1"/>
  <c r="BJ627" i="1"/>
  <c r="BQ627" i="1"/>
  <c r="BM627" i="1"/>
  <c r="BI627" i="1"/>
  <c r="BL627" i="1"/>
  <c r="BT627" i="1"/>
  <c r="BP627" i="1"/>
  <c r="R536" i="1"/>
  <c r="S536" i="1" s="1"/>
  <c r="T536" i="1" s="1"/>
  <c r="AW29" i="1"/>
  <c r="AW34" i="1" s="1"/>
  <c r="BJ34" i="1"/>
  <c r="U431" i="1"/>
  <c r="U136" i="1"/>
  <c r="V136" i="1" s="1"/>
  <c r="W136" i="1" s="1"/>
  <c r="T593" i="1"/>
  <c r="U593" i="1" s="1"/>
  <c r="V593" i="1" s="1"/>
  <c r="W593" i="1" s="1"/>
  <c r="D232" i="1"/>
  <c r="W509" i="1"/>
  <c r="P689" i="1"/>
  <c r="S65" i="1"/>
  <c r="T65" i="1" s="1"/>
  <c r="U65" i="1" s="1"/>
  <c r="V65" i="1" s="1"/>
  <c r="W65" i="1" s="1"/>
  <c r="V154" i="1"/>
  <c r="W154" i="1" s="1"/>
  <c r="Y154" i="1" s="1"/>
  <c r="S374" i="1"/>
  <c r="R382" i="1"/>
  <c r="S378" i="1"/>
  <c r="Y518" i="1"/>
  <c r="U220" i="1"/>
  <c r="V220" i="1" s="1"/>
  <c r="W220" i="1" s="1"/>
  <c r="S343" i="1"/>
  <c r="T343" i="1" s="1"/>
  <c r="AN664" i="1"/>
  <c r="AP664" i="1" s="1"/>
  <c r="AQ664" i="1" s="1"/>
  <c r="F505" i="1"/>
  <c r="G505" i="1" s="1"/>
  <c r="I505" i="1"/>
  <c r="J505" i="1" s="1"/>
  <c r="T482" i="1"/>
  <c r="U482" i="1" s="1"/>
  <c r="D165" i="1"/>
  <c r="AN115" i="1"/>
  <c r="AN445" i="1"/>
  <c r="AP445" i="1" s="1"/>
  <c r="AQ445" i="1" s="1"/>
  <c r="Y445" i="1"/>
  <c r="AN82" i="1"/>
  <c r="AP82" i="1" s="1"/>
  <c r="AQ82" i="1" s="1"/>
  <c r="Y150" i="1"/>
  <c r="I223" i="1"/>
  <c r="J223" i="1" s="1"/>
  <c r="AN481" i="1"/>
  <c r="AP481" i="1" s="1"/>
  <c r="AQ481" i="1" s="1"/>
  <c r="U483" i="1"/>
  <c r="V483" i="1" s="1"/>
  <c r="W483" i="1" s="1"/>
  <c r="D483" i="1" s="1"/>
  <c r="AN69" i="1"/>
  <c r="AP69" i="1" s="1"/>
  <c r="AQ69" i="1" s="1"/>
  <c r="Y325" i="1"/>
  <c r="T327" i="1"/>
  <c r="T273" i="1"/>
  <c r="U273" i="1" s="1"/>
  <c r="V273" i="1" s="1"/>
  <c r="D453" i="1"/>
  <c r="Y453" i="1"/>
  <c r="I74" i="1"/>
  <c r="J74" i="1" s="1"/>
  <c r="F74" i="1"/>
  <c r="G74" i="1" s="1"/>
  <c r="T62" i="1"/>
  <c r="U62" i="1" s="1"/>
  <c r="V62" i="1" s="1"/>
  <c r="Y594" i="1"/>
  <c r="I596" i="1"/>
  <c r="J596" i="1" s="1"/>
  <c r="S300" i="1"/>
  <c r="V224" i="1"/>
  <c r="W224" i="1" s="1"/>
  <c r="R443" i="1"/>
  <c r="S443" i="1" s="1"/>
  <c r="T443" i="1" s="1"/>
  <c r="U443" i="1" s="1"/>
  <c r="V443" i="1" s="1"/>
  <c r="W443" i="1" s="1"/>
  <c r="T151" i="1"/>
  <c r="U151" i="1" s="1"/>
  <c r="S261" i="1"/>
  <c r="T261" i="1" s="1"/>
  <c r="U261" i="1" s="1"/>
  <c r="Y392" i="1"/>
  <c r="AN392" i="1"/>
  <c r="AP392" i="1" s="1"/>
  <c r="AQ392" i="1" s="1"/>
  <c r="AP477" i="1"/>
  <c r="AQ477" i="1" s="1"/>
  <c r="Y132" i="1"/>
  <c r="V558" i="1"/>
  <c r="W558" i="1" s="1"/>
  <c r="Q120" i="1"/>
  <c r="R96" i="1"/>
  <c r="S68" i="1"/>
  <c r="T68" i="1" s="1"/>
  <c r="U68" i="1" s="1"/>
  <c r="AN292" i="1"/>
  <c r="AP292" i="1" s="1"/>
  <c r="AQ292" i="1" s="1"/>
  <c r="BE88" i="1"/>
  <c r="BE90" i="1" s="1"/>
  <c r="BR90" i="1"/>
  <c r="BF88" i="1"/>
  <c r="BF90" i="1" s="1"/>
  <c r="BS90" i="1"/>
  <c r="T157" i="1"/>
  <c r="U157" i="1" s="1"/>
  <c r="V157" i="1" s="1"/>
  <c r="W157" i="1" s="1"/>
  <c r="AS457" i="1"/>
  <c r="AT457" i="1" s="1"/>
  <c r="T288" i="1"/>
  <c r="U288" i="1" s="1"/>
  <c r="V288" i="1" s="1"/>
  <c r="W288" i="1" s="1"/>
  <c r="W167" i="1"/>
  <c r="AN167" i="1" s="1"/>
  <c r="AP167" i="1" s="1"/>
  <c r="AQ167" i="1" s="1"/>
  <c r="Y438" i="1"/>
  <c r="Y379" i="1"/>
  <c r="D379" i="1"/>
  <c r="W465" i="1"/>
  <c r="F37" i="1"/>
  <c r="G37" i="1" s="1"/>
  <c r="I37" i="1"/>
  <c r="J37" i="1" s="1"/>
  <c r="S411" i="1"/>
  <c r="T411" i="1" s="1"/>
  <c r="T271" i="1"/>
  <c r="T354" i="1"/>
  <c r="V126" i="1"/>
  <c r="W126" i="1" s="1"/>
  <c r="Q360" i="1"/>
  <c r="AN324" i="1"/>
  <c r="AP324" i="1" s="1"/>
  <c r="AQ324" i="1" s="1"/>
  <c r="Q606" i="1"/>
  <c r="S326" i="1"/>
  <c r="T326" i="1" s="1"/>
  <c r="AS606" i="1"/>
  <c r="AT606" i="1" s="1"/>
  <c r="S81" i="1"/>
  <c r="T81" i="1" s="1"/>
  <c r="U81" i="1" s="1"/>
  <c r="V81" i="1" s="1"/>
  <c r="R406" i="1"/>
  <c r="S406" i="1" s="1"/>
  <c r="T406" i="1" s="1"/>
  <c r="U406" i="1" s="1"/>
  <c r="V406" i="1" s="1"/>
  <c r="W406" i="1" s="1"/>
  <c r="V583" i="1"/>
  <c r="W109" i="1"/>
  <c r="D125" i="1"/>
  <c r="O12" i="1"/>
  <c r="O11" i="1" s="1"/>
  <c r="U358" i="1"/>
  <c r="V358" i="1" s="1"/>
  <c r="W358" i="1" s="1"/>
  <c r="W321" i="1"/>
  <c r="AN321" i="1" s="1"/>
  <c r="AP321" i="1" s="1"/>
  <c r="AQ321" i="1" s="1"/>
  <c r="U309" i="1"/>
  <c r="V309" i="1" s="1"/>
  <c r="W309" i="1" s="1"/>
  <c r="Y309" i="1" s="1"/>
  <c r="T30" i="1"/>
  <c r="U30" i="1" s="1"/>
  <c r="V30" i="1" s="1"/>
  <c r="W30" i="1" s="1"/>
  <c r="Y30" i="1" s="1"/>
  <c r="AY666" i="1"/>
  <c r="AY668" i="1" s="1"/>
  <c r="BL668" i="1"/>
  <c r="AV666" i="1"/>
  <c r="AV668" i="1" s="1"/>
  <c r="AO666" i="1"/>
  <c r="AR666" i="1"/>
  <c r="AR668" i="1" s="1"/>
  <c r="BI668" i="1"/>
  <c r="BF676" i="1"/>
  <c r="BF681" i="1" s="1"/>
  <c r="BS681" i="1"/>
  <c r="AW676" i="1"/>
  <c r="AW681" i="1" s="1"/>
  <c r="BJ681" i="1"/>
  <c r="I184" i="1"/>
  <c r="J184" i="1" s="1"/>
  <c r="F184" i="1"/>
  <c r="G184" i="1" s="1"/>
  <c r="I215" i="1"/>
  <c r="J215" i="1" s="1"/>
  <c r="F215" i="1"/>
  <c r="G215" i="1" s="1"/>
  <c r="Q648" i="1"/>
  <c r="Q650" i="1" s="1"/>
  <c r="AN412" i="1"/>
  <c r="AP412" i="1" s="1"/>
  <c r="AQ412" i="1" s="1"/>
  <c r="R50" i="1"/>
  <c r="S43" i="1"/>
  <c r="AN438" i="1"/>
  <c r="AP438" i="1" s="1"/>
  <c r="AQ438" i="1" s="1"/>
  <c r="T138" i="1"/>
  <c r="U138" i="1" s="1"/>
  <c r="V138" i="1" s="1"/>
  <c r="W138" i="1" s="1"/>
  <c r="T179" i="1"/>
  <c r="U179" i="1" s="1"/>
  <c r="Y200" i="1"/>
  <c r="U353" i="1"/>
  <c r="V353" i="1" s="1"/>
  <c r="S77" i="1"/>
  <c r="T77" i="1" s="1"/>
  <c r="U77" i="1" s="1"/>
  <c r="R39" i="1"/>
  <c r="T420" i="1"/>
  <c r="AS190" i="1"/>
  <c r="AT190" i="1" s="1"/>
  <c r="AP190" i="1"/>
  <c r="AQ190" i="1" s="1"/>
  <c r="T31" i="1"/>
  <c r="U31" i="1" s="1"/>
  <c r="V31" i="1" s="1"/>
  <c r="U525" i="1"/>
  <c r="V525" i="1" s="1"/>
  <c r="W525" i="1" s="1"/>
  <c r="U176" i="1"/>
  <c r="V176" i="1" s="1"/>
  <c r="W176" i="1" s="1"/>
  <c r="W163" i="1"/>
  <c r="AO29" i="1"/>
  <c r="AR29" i="1"/>
  <c r="AV29" i="1"/>
  <c r="AV34" i="1" s="1"/>
  <c r="BI34" i="1"/>
  <c r="V510" i="1"/>
  <c r="W510" i="1" s="1"/>
  <c r="BT189" i="1"/>
  <c r="BG189" i="1" s="1"/>
  <c r="BP189" i="1"/>
  <c r="BL189" i="1"/>
  <c r="AY189" i="1" s="1"/>
  <c r="BR189" i="1"/>
  <c r="BE189" i="1" s="1"/>
  <c r="BN189" i="1"/>
  <c r="BA189" i="1" s="1"/>
  <c r="BJ189" i="1"/>
  <c r="BM189" i="1"/>
  <c r="AZ189" i="1" s="1"/>
  <c r="I189" i="1"/>
  <c r="J189" i="1" s="1"/>
  <c r="BS189" i="1"/>
  <c r="BF189" i="1" s="1"/>
  <c r="BK189" i="1"/>
  <c r="F189" i="1"/>
  <c r="G189" i="1" s="1"/>
  <c r="BQ189" i="1"/>
  <c r="BI189" i="1"/>
  <c r="BO189" i="1"/>
  <c r="D524" i="1"/>
  <c r="AN524" i="1"/>
  <c r="AP524" i="1" s="1"/>
  <c r="AQ524" i="1" s="1"/>
  <c r="Y524" i="1"/>
  <c r="R128" i="1"/>
  <c r="S128" i="1" s="1"/>
  <c r="Q143" i="1"/>
  <c r="W660" i="1"/>
  <c r="T153" i="1"/>
  <c r="Q34" i="1"/>
  <c r="T108" i="1"/>
  <c r="U108" i="1" s="1"/>
  <c r="U370" i="1"/>
  <c r="V347" i="1"/>
  <c r="W347" i="1" s="1"/>
  <c r="T312" i="1"/>
  <c r="U312" i="1" s="1"/>
  <c r="V312" i="1" s="1"/>
  <c r="W103" i="1"/>
  <c r="AN103" i="1" s="1"/>
  <c r="AP103" i="1" s="1"/>
  <c r="AQ103" i="1" s="1"/>
  <c r="D540" i="1"/>
  <c r="S346" i="1"/>
  <c r="T346" i="1" s="1"/>
  <c r="U346" i="1" s="1"/>
  <c r="Y452" i="1"/>
  <c r="D452" i="1"/>
  <c r="AN452" i="1"/>
  <c r="AP452" i="1" s="1"/>
  <c r="AQ452" i="1" s="1"/>
  <c r="S662" i="1"/>
  <c r="T302" i="1"/>
  <c r="U302" i="1" s="1"/>
  <c r="V302" i="1" s="1"/>
  <c r="W302" i="1" s="1"/>
  <c r="F675" i="1"/>
  <c r="G675" i="1" s="1"/>
  <c r="I675" i="1"/>
  <c r="J675" i="1" s="1"/>
  <c r="D445" i="1"/>
  <c r="U665" i="1"/>
  <c r="V665" i="1" s="1"/>
  <c r="W665" i="1" s="1"/>
  <c r="I117" i="1"/>
  <c r="J117" i="1" s="1"/>
  <c r="F117" i="1"/>
  <c r="G117" i="1" s="1"/>
  <c r="V311" i="2"/>
  <c r="S430" i="1"/>
  <c r="T430" i="1" s="1"/>
  <c r="U430" i="1" s="1"/>
  <c r="V430" i="1" s="1"/>
  <c r="W430" i="1" s="1"/>
  <c r="Y301" i="1"/>
  <c r="D301" i="1"/>
  <c r="U439" i="1"/>
  <c r="V439" i="1" s="1"/>
  <c r="W439" i="1" s="1"/>
  <c r="F195" i="1"/>
  <c r="G195" i="1" s="1"/>
  <c r="I195" i="1"/>
  <c r="J195" i="1" s="1"/>
  <c r="F449" i="1"/>
  <c r="G449" i="1" s="1"/>
  <c r="I449" i="1"/>
  <c r="J449" i="1" s="1"/>
  <c r="Y105" i="1"/>
  <c r="Y274" i="1"/>
  <c r="V344" i="1"/>
  <c r="W344" i="1" s="1"/>
  <c r="AN344" i="1" s="1"/>
  <c r="AP344" i="1" s="1"/>
  <c r="AQ344" i="1" s="1"/>
  <c r="W444" i="1"/>
  <c r="AN380" i="1"/>
  <c r="D499" i="1"/>
  <c r="U466" i="1"/>
  <c r="I290" i="1"/>
  <c r="J290" i="1" s="1"/>
  <c r="F290" i="1"/>
  <c r="G290" i="1" s="1"/>
  <c r="R553" i="1"/>
  <c r="I203" i="1"/>
  <c r="J203" i="1" s="1"/>
  <c r="S226" i="1"/>
  <c r="T226" i="1" s="1"/>
  <c r="U160" i="1"/>
  <c r="V160" i="1" s="1"/>
  <c r="W160" i="1" s="1"/>
  <c r="U299" i="1"/>
  <c r="AN165" i="1"/>
  <c r="AP165" i="1" s="1"/>
  <c r="AQ165" i="1" s="1"/>
  <c r="Q331" i="1"/>
  <c r="V640" i="1"/>
  <c r="W640" i="1" s="1"/>
  <c r="D640" i="1" s="1"/>
  <c r="F149" i="1"/>
  <c r="G149" i="1" s="1"/>
  <c r="I149" i="1"/>
  <c r="J149" i="1" s="1"/>
  <c r="R131" i="1"/>
  <c r="S131" i="1" s="1"/>
  <c r="V79" i="1"/>
  <c r="W79" i="1" s="1"/>
  <c r="T348" i="1"/>
  <c r="U348" i="1" s="1"/>
  <c r="V348" i="1" s="1"/>
  <c r="W348" i="1" s="1"/>
  <c r="AN663" i="1"/>
  <c r="AP663" i="1" s="1"/>
  <c r="AQ663" i="1" s="1"/>
  <c r="Y663" i="1"/>
  <c r="T679" i="1"/>
  <c r="T681" i="1" s="1"/>
  <c r="U233" i="1"/>
  <c r="V233" i="1" s="1"/>
  <c r="W233" i="1" s="1"/>
  <c r="S512" i="1"/>
  <c r="T512" i="1" s="1"/>
  <c r="U512" i="1" s="1"/>
  <c r="V512" i="1" s="1"/>
  <c r="W512" i="1" s="1"/>
  <c r="W305" i="1"/>
  <c r="Y305" i="1" s="1"/>
  <c r="V235" i="1"/>
  <c r="W235" i="1" s="1"/>
  <c r="AN150" i="1"/>
  <c r="AP150" i="1" s="1"/>
  <c r="AQ150" i="1" s="1"/>
  <c r="I40" i="1"/>
  <c r="J40" i="1" s="1"/>
  <c r="F40" i="1"/>
  <c r="G40" i="1" s="1"/>
  <c r="AY88" i="1"/>
  <c r="AY90" i="1" s="1"/>
  <c r="BL90" i="1"/>
  <c r="AV88" i="1"/>
  <c r="AV90" i="1" s="1"/>
  <c r="AS31" i="1"/>
  <c r="AT31" i="1" s="1"/>
  <c r="AR88" i="1"/>
  <c r="AR90" i="1" s="1"/>
  <c r="BI90" i="1"/>
  <c r="F627" i="1"/>
  <c r="G627" i="1" s="1"/>
  <c r="I627" i="1"/>
  <c r="J627" i="1" s="1"/>
  <c r="I432" i="1"/>
  <c r="J432" i="1" s="1"/>
  <c r="F432" i="1"/>
  <c r="G432" i="1" s="1"/>
  <c r="V284" i="1"/>
  <c r="W284" i="1" s="1"/>
  <c r="Y284" i="1" s="1"/>
  <c r="R527" i="1"/>
  <c r="T643" i="1"/>
  <c r="U643" i="1" s="1"/>
  <c r="V643" i="1" s="1"/>
  <c r="W643" i="1" s="1"/>
  <c r="W27" i="1"/>
  <c r="I489" i="1"/>
  <c r="J489" i="1" s="1"/>
  <c r="F489" i="1"/>
  <c r="G489" i="1" s="1"/>
  <c r="T221" i="1"/>
  <c r="U221" i="1" s="1"/>
  <c r="V221" i="1" s="1"/>
  <c r="W221" i="1" s="1"/>
  <c r="V76" i="1"/>
  <c r="W76" i="1" s="1"/>
  <c r="Q41" i="1"/>
  <c r="T374" i="1"/>
  <c r="Y349" i="1"/>
  <c r="R270" i="1"/>
  <c r="R331" i="1" s="1"/>
  <c r="V337" i="1"/>
  <c r="W337" i="1" s="1"/>
  <c r="I139" i="1"/>
  <c r="J139" i="1" s="1"/>
  <c r="F139" i="1"/>
  <c r="G139" i="1" s="1"/>
  <c r="D168" i="1"/>
  <c r="R63" i="1"/>
  <c r="S63" i="1" s="1"/>
  <c r="T63" i="1" s="1"/>
  <c r="S681" i="1"/>
  <c r="T642" i="1"/>
  <c r="U642" i="1" s="1"/>
  <c r="Q457" i="1"/>
  <c r="R661" i="1"/>
  <c r="AN340" i="1"/>
  <c r="AP340" i="1" s="1"/>
  <c r="AQ340" i="1" s="1"/>
  <c r="O568" i="1"/>
  <c r="O616" i="1" s="1"/>
  <c r="Y672" i="1"/>
  <c r="AN237" i="1"/>
  <c r="AP237" i="1" s="1"/>
  <c r="AQ237" i="1" s="1"/>
  <c r="U38" i="1"/>
  <c r="V38" i="1" s="1"/>
  <c r="V673" i="1"/>
  <c r="AW666" i="1"/>
  <c r="AW668" i="1" s="1"/>
  <c r="BJ668" i="1"/>
  <c r="AX666" i="1"/>
  <c r="AX668" i="1" s="1"/>
  <c r="BK668" i="1"/>
  <c r="BC666" i="1"/>
  <c r="BC668" i="1" s="1"/>
  <c r="BP668" i="1"/>
  <c r="AZ666" i="1"/>
  <c r="AZ668" i="1" s="1"/>
  <c r="BM668" i="1"/>
  <c r="U208" i="1"/>
  <c r="U532" i="1"/>
  <c r="AY676" i="1"/>
  <c r="AY681" i="1" s="1"/>
  <c r="BL681" i="1"/>
  <c r="AR676" i="1"/>
  <c r="AR681" i="1" s="1"/>
  <c r="AV676" i="1"/>
  <c r="AV681" i="1" s="1"/>
  <c r="AO676" i="1"/>
  <c r="BI681" i="1"/>
  <c r="BA676" i="1"/>
  <c r="BA681" i="1" s="1"/>
  <c r="BN681" i="1"/>
  <c r="AC305" i="2"/>
  <c r="V36" i="1"/>
  <c r="T230" i="1"/>
  <c r="U230" i="1" s="1"/>
  <c r="V230" i="1" s="1"/>
  <c r="D350" i="1"/>
  <c r="T534" i="1"/>
  <c r="U534" i="1" s="1"/>
  <c r="V534" i="1" s="1"/>
  <c r="W534" i="1" s="1"/>
  <c r="W435" i="1"/>
  <c r="Y435" i="1" s="1"/>
  <c r="S557" i="1"/>
  <c r="T557" i="1" s="1"/>
  <c r="V188" i="1"/>
  <c r="W188" i="1" s="1"/>
  <c r="Y188" i="1" s="1"/>
  <c r="S447" i="1"/>
  <c r="T447" i="1" s="1"/>
  <c r="U447" i="1" s="1"/>
  <c r="V447" i="1" s="1"/>
  <c r="W447" i="1" s="1"/>
  <c r="V137" i="1"/>
  <c r="W137" i="1" s="1"/>
  <c r="AN137" i="1" s="1"/>
  <c r="R597" i="1"/>
  <c r="U193" i="1"/>
  <c r="V193" i="1" s="1"/>
  <c r="W193" i="1" s="1"/>
  <c r="AN193" i="1" s="1"/>
  <c r="AP193" i="1" s="1"/>
  <c r="AQ193" i="1" s="1"/>
  <c r="AO118" i="1"/>
  <c r="AR118" i="1"/>
  <c r="AV118" i="1"/>
  <c r="Y552" i="1"/>
  <c r="D380" i="1"/>
  <c r="AO171" i="1"/>
  <c r="AR171" i="1"/>
  <c r="AV171" i="1"/>
  <c r="BG171" i="1"/>
  <c r="T303" i="1"/>
  <c r="T423" i="1"/>
  <c r="U423" i="1" s="1"/>
  <c r="V423" i="1" s="1"/>
  <c r="W423" i="1" s="1"/>
  <c r="Y398" i="1"/>
  <c r="AN398" i="1"/>
  <c r="AP398" i="1" s="1"/>
  <c r="AQ398" i="1" s="1"/>
  <c r="D116" i="1"/>
  <c r="AN116" i="1"/>
  <c r="AP116" i="1" s="1"/>
  <c r="AQ116" i="1" s="1"/>
  <c r="S24" i="1"/>
  <c r="S34" i="1" s="1"/>
  <c r="T205" i="1"/>
  <c r="U205" i="1" s="1"/>
  <c r="S560" i="1"/>
  <c r="T560" i="1" s="1"/>
  <c r="U560" i="1" s="1"/>
  <c r="V560" i="1" s="1"/>
  <c r="W560" i="1" s="1"/>
  <c r="AS504" i="1"/>
  <c r="AT504" i="1" s="1"/>
  <c r="AP504" i="1"/>
  <c r="AQ504" i="1" s="1"/>
  <c r="AN388" i="1"/>
  <c r="AP388" i="1" s="1"/>
  <c r="AQ388" i="1" s="1"/>
  <c r="T234" i="1"/>
  <c r="U234" i="1" s="1"/>
  <c r="V234" i="1" s="1"/>
  <c r="W234" i="1" s="1"/>
  <c r="D129" i="1"/>
  <c r="T228" i="1"/>
  <c r="U228" i="1" s="1"/>
  <c r="V228" i="1" s="1"/>
  <c r="S394" i="1"/>
  <c r="W538" i="1"/>
  <c r="D538" i="1" s="1"/>
  <c r="F82" i="1"/>
  <c r="G82" i="1" s="1"/>
  <c r="I555" i="1"/>
  <c r="J555" i="1" s="1"/>
  <c r="F555" i="1"/>
  <c r="G555" i="1" s="1"/>
  <c r="I98" i="1"/>
  <c r="J98" i="1" s="1"/>
  <c r="F98" i="1"/>
  <c r="G98" i="1" s="1"/>
  <c r="AN139" i="1"/>
  <c r="AP139" i="1" s="1"/>
  <c r="AQ139" i="1" s="1"/>
  <c r="V401" i="1"/>
  <c r="W401" i="1" s="1"/>
  <c r="Y401" i="1" s="1"/>
  <c r="S463" i="1"/>
  <c r="F414" i="1"/>
  <c r="G414" i="1" s="1"/>
  <c r="I414" i="1"/>
  <c r="J414" i="1" s="1"/>
  <c r="T400" i="1"/>
  <c r="U400" i="1" s="1"/>
  <c r="I637" i="1"/>
  <c r="J637" i="1" s="1"/>
  <c r="F637" i="1"/>
  <c r="G637" i="1" s="1"/>
  <c r="D105" i="1"/>
  <c r="V86" i="1"/>
  <c r="W86" i="1" s="1"/>
  <c r="AV185" i="1"/>
  <c r="AR185" i="1"/>
  <c r="V155" i="1"/>
  <c r="AP646" i="1"/>
  <c r="AQ646" i="1" s="1"/>
  <c r="AS646" i="1"/>
  <c r="AT646" i="1" s="1"/>
  <c r="AO648" i="1"/>
  <c r="BT209" i="1"/>
  <c r="BG209" i="1" s="1"/>
  <c r="BP209" i="1"/>
  <c r="BC209" i="1" s="1"/>
  <c r="BL209" i="1"/>
  <c r="AY209" i="1" s="1"/>
  <c r="BR209" i="1"/>
  <c r="BE209" i="1" s="1"/>
  <c r="BN209" i="1"/>
  <c r="BA209" i="1" s="1"/>
  <c r="BJ209" i="1"/>
  <c r="AW209" i="1" s="1"/>
  <c r="BO209" i="1"/>
  <c r="BB209" i="1" s="1"/>
  <c r="BM209" i="1"/>
  <c r="AZ209" i="1" s="1"/>
  <c r="I209" i="1"/>
  <c r="J209" i="1" s="1"/>
  <c r="BS209" i="1"/>
  <c r="BF209" i="1" s="1"/>
  <c r="BK209" i="1"/>
  <c r="AX209" i="1" s="1"/>
  <c r="F209" i="1"/>
  <c r="G209" i="1" s="1"/>
  <c r="BQ209" i="1"/>
  <c r="BD209" i="1" s="1"/>
  <c r="BI209" i="1"/>
  <c r="F392" i="1"/>
  <c r="G392" i="1" s="1"/>
  <c r="I392" i="1"/>
  <c r="J392" i="1" s="1"/>
  <c r="V508" i="1"/>
  <c r="W508" i="1" s="1"/>
  <c r="AN508" i="1" s="1"/>
  <c r="AP508" i="1" s="1"/>
  <c r="AQ508" i="1" s="1"/>
  <c r="T161" i="1"/>
  <c r="U161" i="1" s="1"/>
  <c r="V161" i="1" s="1"/>
  <c r="W161" i="1" s="1"/>
  <c r="R75" i="1"/>
  <c r="S75" i="1" s="1"/>
  <c r="T75" i="1" s="1"/>
  <c r="S522" i="1"/>
  <c r="T522" i="1" s="1"/>
  <c r="S639" i="1"/>
  <c r="R360" i="1"/>
  <c r="I276" i="1"/>
  <c r="J276" i="1" s="1"/>
  <c r="F276" i="1"/>
  <c r="G276" i="1" s="1"/>
  <c r="AN276" i="1"/>
  <c r="AP276" i="1" s="1"/>
  <c r="AQ276" i="1" s="1"/>
  <c r="U141" i="1"/>
  <c r="V141" i="1" s="1"/>
  <c r="W141" i="1" s="1"/>
  <c r="Y329" i="1"/>
  <c r="D84" i="1"/>
  <c r="Y84" i="1"/>
  <c r="S175" i="1"/>
  <c r="T175" i="1" s="1"/>
  <c r="U175" i="1" s="1"/>
  <c r="V175" i="1" s="1"/>
  <c r="U455" i="1"/>
  <c r="T239" i="1"/>
  <c r="U239" i="1" s="1"/>
  <c r="V239" i="1" s="1"/>
  <c r="W239" i="1" s="1"/>
  <c r="T225" i="1"/>
  <c r="U225" i="1" s="1"/>
  <c r="V225" i="1" s="1"/>
  <c r="W225" i="1" s="1"/>
  <c r="S352" i="1"/>
  <c r="T352" i="1" s="1"/>
  <c r="U352" i="1" s="1"/>
  <c r="V352" i="1" s="1"/>
  <c r="W352" i="1" s="1"/>
  <c r="W212" i="1"/>
  <c r="Y212" i="1" s="1"/>
  <c r="U523" i="1"/>
  <c r="V523" i="1" s="1"/>
  <c r="W523" i="1" s="1"/>
  <c r="F433" i="1"/>
  <c r="G433" i="1" s="1"/>
  <c r="I433" i="1"/>
  <c r="J433" i="1" s="1"/>
  <c r="U317" i="1"/>
  <c r="R366" i="1"/>
  <c r="S364" i="1"/>
  <c r="AS482" i="1"/>
  <c r="AT482" i="1" s="1"/>
  <c r="U152" i="1"/>
  <c r="V152" i="1" s="1"/>
  <c r="W152" i="1" s="1"/>
  <c r="R416" i="1"/>
  <c r="AN427" i="1"/>
  <c r="AP427" i="1" s="1"/>
  <c r="AQ427" i="1" s="1"/>
  <c r="Y427" i="1"/>
  <c r="S134" i="1"/>
  <c r="AW88" i="1"/>
  <c r="AW90" i="1" s="1"/>
  <c r="BJ90" i="1"/>
  <c r="AX88" i="1"/>
  <c r="AX90" i="1" s="1"/>
  <c r="BK90" i="1"/>
  <c r="BC88" i="1"/>
  <c r="BC90" i="1" s="1"/>
  <c r="BP90" i="1"/>
  <c r="AZ88" i="1"/>
  <c r="AZ90" i="1" s="1"/>
  <c r="BM90" i="1"/>
  <c r="AN552" i="1"/>
  <c r="U240" i="1"/>
  <c r="I357" i="1"/>
  <c r="J357" i="1" s="1"/>
  <c r="F357" i="1"/>
  <c r="G357" i="1" s="1"/>
  <c r="F424" i="1"/>
  <c r="G424" i="1" s="1"/>
  <c r="I424" i="1"/>
  <c r="J424" i="1" s="1"/>
  <c r="I32" i="1"/>
  <c r="J32" i="1" s="1"/>
  <c r="F32" i="1"/>
  <c r="G32" i="1" s="1"/>
  <c r="AP112" i="1"/>
  <c r="AQ112" i="1" s="1"/>
  <c r="AS112" i="1"/>
  <c r="AT112" i="1" s="1"/>
  <c r="BS25" i="1"/>
  <c r="BO25" i="1"/>
  <c r="BK25" i="1"/>
  <c r="I25" i="1"/>
  <c r="J25" i="1" s="1"/>
  <c r="BR25" i="1"/>
  <c r="BN25" i="1"/>
  <c r="BQ25" i="1"/>
  <c r="BM25" i="1"/>
  <c r="F25" i="1"/>
  <c r="G25" i="1" s="1"/>
  <c r="BT25" i="1"/>
  <c r="BP25" i="1"/>
  <c r="BL25" i="1"/>
  <c r="T64" i="1"/>
  <c r="T341" i="1"/>
  <c r="U341" i="1" s="1"/>
  <c r="V341" i="1" s="1"/>
  <c r="W341" i="1" s="1"/>
  <c r="S339" i="1"/>
  <c r="T339" i="1" s="1"/>
  <c r="Y468" i="1"/>
  <c r="V78" i="1"/>
  <c r="W78" i="1" s="1"/>
  <c r="AN78" i="1" s="1"/>
  <c r="AP78" i="1" s="1"/>
  <c r="AQ78" i="1" s="1"/>
  <c r="D115" i="1"/>
  <c r="T514" i="1"/>
  <c r="T636" i="1"/>
  <c r="S264" i="1"/>
  <c r="U94" i="1"/>
  <c r="S399" i="1"/>
  <c r="W634" i="1"/>
  <c r="AN634" i="1" s="1"/>
  <c r="V454" i="1"/>
  <c r="W454" i="1" s="1"/>
  <c r="T281" i="1"/>
  <c r="Y199" i="1"/>
  <c r="O691" i="1"/>
  <c r="T289" i="1"/>
  <c r="S100" i="1"/>
  <c r="T100" i="1" s="1"/>
  <c r="AN84" i="1"/>
  <c r="AP84" i="1" s="1"/>
  <c r="AQ84" i="1" s="1"/>
  <c r="V589" i="1"/>
  <c r="F325" i="1"/>
  <c r="G325" i="1" s="1"/>
  <c r="I325" i="1"/>
  <c r="J325" i="1" s="1"/>
  <c r="T217" i="1"/>
  <c r="BA666" i="1"/>
  <c r="BA668" i="1" s="1"/>
  <c r="BN668" i="1"/>
  <c r="BB666" i="1"/>
  <c r="BB668" i="1" s="1"/>
  <c r="BO668" i="1"/>
  <c r="BG666" i="1"/>
  <c r="BG668" i="1" s="1"/>
  <c r="BT668" i="1"/>
  <c r="BD666" i="1"/>
  <c r="BD668" i="1" s="1"/>
  <c r="BQ668" i="1"/>
  <c r="W628" i="1"/>
  <c r="AX676" i="1"/>
  <c r="AX681" i="1" s="1"/>
  <c r="BK681" i="1"/>
  <c r="BC676" i="1"/>
  <c r="BC681" i="1" s="1"/>
  <c r="BP681" i="1"/>
  <c r="AZ676" i="1"/>
  <c r="AZ681" i="1" s="1"/>
  <c r="BM681" i="1"/>
  <c r="BE676" i="1"/>
  <c r="BE681" i="1" s="1"/>
  <c r="BR681" i="1"/>
  <c r="W298" i="1"/>
  <c r="W295" i="1"/>
  <c r="Y295" i="1" s="1"/>
  <c r="D487" i="1"/>
  <c r="U451" i="1"/>
  <c r="V451" i="1" s="1"/>
  <c r="D231" i="1"/>
  <c r="AN231" i="1"/>
  <c r="AP231" i="1" s="1"/>
  <c r="AQ231" i="1" s="1"/>
  <c r="AN644" i="1"/>
  <c r="AP644" i="1" s="1"/>
  <c r="AQ644" i="1" s="1"/>
  <c r="F297" i="1"/>
  <c r="G297" i="1" s="1"/>
  <c r="S485" i="1"/>
  <c r="U372" i="1"/>
  <c r="V372" i="1" s="1"/>
  <c r="W372" i="1" s="1"/>
  <c r="W262" i="1"/>
  <c r="S71" i="1"/>
  <c r="T71" i="1" s="1"/>
  <c r="U71" i="1" s="1"/>
  <c r="V71" i="1" s="1"/>
  <c r="AZ171" i="1"/>
  <c r="BE171" i="1"/>
  <c r="BF171" i="1"/>
  <c r="D541" i="1"/>
  <c r="W590" i="1"/>
  <c r="Y590" i="1" s="1"/>
  <c r="S169" i="1"/>
  <c r="T403" i="1"/>
  <c r="U403" i="1" s="1"/>
  <c r="V403" i="1" s="1"/>
  <c r="W403" i="1" s="1"/>
  <c r="U328" i="1"/>
  <c r="U323" i="1"/>
  <c r="V323" i="1" s="1"/>
  <c r="W323" i="1" s="1"/>
  <c r="Y484" i="1"/>
  <c r="D484" i="1"/>
  <c r="D592" i="1"/>
  <c r="T355" i="1"/>
  <c r="U355" i="1" s="1"/>
  <c r="V355" i="1" s="1"/>
  <c r="W355" i="1" s="1"/>
  <c r="R645" i="1"/>
  <c r="R648" i="1" s="1"/>
  <c r="T635" i="1"/>
  <c r="U46" i="1"/>
  <c r="W535" i="1"/>
  <c r="AN535" i="1" s="1"/>
  <c r="AP535" i="1" s="1"/>
  <c r="AQ535" i="1" s="1"/>
  <c r="V275" i="1"/>
  <c r="W275" i="1" s="1"/>
  <c r="D101" i="1"/>
  <c r="AN101" i="1"/>
  <c r="AP101" i="1" s="1"/>
  <c r="AQ101" i="1" s="1"/>
  <c r="Y101" i="1"/>
  <c r="V315" i="1"/>
  <c r="R264" i="1"/>
  <c r="AN111" i="1"/>
  <c r="AP111" i="1" s="1"/>
  <c r="AQ111" i="1" s="1"/>
  <c r="D111" i="1"/>
  <c r="AN596" i="1"/>
  <c r="AP596" i="1" s="1"/>
  <c r="AQ596" i="1" s="1"/>
  <c r="D237" i="1"/>
  <c r="V148" i="1"/>
  <c r="W148" i="1" s="1"/>
  <c r="AN379" i="1"/>
  <c r="AP379" i="1" s="1"/>
  <c r="AQ379" i="1" s="1"/>
  <c r="D159" i="1"/>
  <c r="Y336" i="1" l="1"/>
  <c r="AX690" i="4"/>
  <c r="AX691" i="4" s="1"/>
  <c r="AX568" i="4"/>
  <c r="AX616" i="4" s="1"/>
  <c r="AX12" i="4"/>
  <c r="AX11" i="4" s="1"/>
  <c r="BS568" i="4"/>
  <c r="BS616" i="4" s="1"/>
  <c r="BS690" i="4"/>
  <c r="BS691" i="4" s="1"/>
  <c r="BS12" i="4"/>
  <c r="BS11" i="4" s="1"/>
  <c r="AO583" i="4"/>
  <c r="BG583" i="4"/>
  <c r="BG585" i="4" s="1"/>
  <c r="AR583" i="4"/>
  <c r="AR585" i="4" s="1"/>
  <c r="BT585" i="4"/>
  <c r="AR12" i="4"/>
  <c r="AR568" i="4"/>
  <c r="AR690" i="4"/>
  <c r="I511" i="1"/>
  <c r="J511" i="1" s="1"/>
  <c r="F296" i="1"/>
  <c r="G296" i="1" s="1"/>
  <c r="BE12" i="4"/>
  <c r="BE11" i="4" s="1"/>
  <c r="BE690" i="4"/>
  <c r="BE691" i="4" s="1"/>
  <c r="BE568" i="4"/>
  <c r="BE616" i="4" s="1"/>
  <c r="BT690" i="4"/>
  <c r="BT12" i="4"/>
  <c r="BT568" i="4"/>
  <c r="AS527" i="4"/>
  <c r="AT527" i="4" s="1"/>
  <c r="AP527" i="4"/>
  <c r="AQ527" i="4" s="1"/>
  <c r="BR12" i="4"/>
  <c r="BR11" i="4" s="1"/>
  <c r="BR690" i="4"/>
  <c r="BR691" i="4" s="1"/>
  <c r="BR568" i="4"/>
  <c r="BR616" i="4" s="1"/>
  <c r="I419" i="1"/>
  <c r="J419" i="1" s="1"/>
  <c r="AO556" i="4"/>
  <c r="BG564" i="4"/>
  <c r="BG566" i="4" s="1"/>
  <c r="BD690" i="4"/>
  <c r="BD691" i="4" s="1"/>
  <c r="BD12" i="4"/>
  <c r="BD11" i="4" s="1"/>
  <c r="BD568" i="4"/>
  <c r="BD616" i="4" s="1"/>
  <c r="AS90" i="4"/>
  <c r="AT90" i="4" s="1"/>
  <c r="AP90" i="4"/>
  <c r="AQ90" i="4" s="1"/>
  <c r="BK690" i="4"/>
  <c r="BK691" i="4" s="1"/>
  <c r="BK12" i="4"/>
  <c r="BK11" i="4" s="1"/>
  <c r="BK568" i="4"/>
  <c r="BK616" i="4" s="1"/>
  <c r="P568" i="1"/>
  <c r="P616" i="1" s="1"/>
  <c r="I294" i="1"/>
  <c r="J294" i="1" s="1"/>
  <c r="D412" i="1"/>
  <c r="AN468" i="1"/>
  <c r="AP468" i="1" s="1"/>
  <c r="AQ468" i="1" s="1"/>
  <c r="R90" i="1"/>
  <c r="AO583" i="1"/>
  <c r="V641" i="1"/>
  <c r="W641" i="1" s="1"/>
  <c r="F470" i="1"/>
  <c r="G470" i="1" s="1"/>
  <c r="R120" i="1"/>
  <c r="D198" i="1"/>
  <c r="F198" i="1" s="1"/>
  <c r="G198" i="1" s="1"/>
  <c r="BT585" i="1"/>
  <c r="AR583" i="1"/>
  <c r="AR585" i="1" s="1"/>
  <c r="AR13" i="1" s="1"/>
  <c r="U75" i="1"/>
  <c r="V75" i="1" s="1"/>
  <c r="Y480" i="1"/>
  <c r="BQ115" i="1"/>
  <c r="BM115" i="1"/>
  <c r="BI115" i="1"/>
  <c r="BP115" i="1"/>
  <c r="BK115" i="1"/>
  <c r="BT115" i="1"/>
  <c r="BO115" i="1"/>
  <c r="BJ115" i="1"/>
  <c r="BR115" i="1"/>
  <c r="BN115" i="1"/>
  <c r="BL115" i="1"/>
  <c r="BS115" i="1"/>
  <c r="W166" i="1"/>
  <c r="AN166" i="1" s="1"/>
  <c r="AP166" i="1" s="1"/>
  <c r="AQ166" i="1" s="1"/>
  <c r="T24" i="1"/>
  <c r="T34" i="1" s="1"/>
  <c r="AN141" i="1"/>
  <c r="AP141" i="1" s="1"/>
  <c r="AQ141" i="1" s="1"/>
  <c r="D342" i="1"/>
  <c r="F342" i="1" s="1"/>
  <c r="G342" i="1" s="1"/>
  <c r="I396" i="1"/>
  <c r="J396" i="1" s="1"/>
  <c r="W304" i="1"/>
  <c r="AN304" i="1" s="1"/>
  <c r="AP304" i="1" s="1"/>
  <c r="AQ304" i="1" s="1"/>
  <c r="D272" i="1"/>
  <c r="F272" i="1" s="1"/>
  <c r="G272" i="1" s="1"/>
  <c r="Y294" i="1"/>
  <c r="AN349" i="1"/>
  <c r="AP349" i="1" s="1"/>
  <c r="AQ349" i="1" s="1"/>
  <c r="I66" i="1"/>
  <c r="J66" i="1" s="1"/>
  <c r="D480" i="1"/>
  <c r="I480" i="1" s="1"/>
  <c r="J480" i="1" s="1"/>
  <c r="Y272" i="1"/>
  <c r="AN198" i="1"/>
  <c r="AP198" i="1" s="1"/>
  <c r="AQ198" i="1" s="1"/>
  <c r="AN434" i="1"/>
  <c r="AP434" i="1" s="1"/>
  <c r="AQ434" i="1" s="1"/>
  <c r="AN294" i="1"/>
  <c r="AP294" i="1" s="1"/>
  <c r="AQ294" i="1" s="1"/>
  <c r="AO585" i="1"/>
  <c r="BT13" i="1"/>
  <c r="BT608" i="1"/>
  <c r="BG608" i="1"/>
  <c r="BG13" i="1"/>
  <c r="AR608" i="1"/>
  <c r="AR612" i="1" s="1"/>
  <c r="BF242" i="1"/>
  <c r="Y49" i="1"/>
  <c r="AN49" i="1"/>
  <c r="AP49" i="1" s="1"/>
  <c r="AQ49" i="1" s="1"/>
  <c r="BR242" i="1"/>
  <c r="AN336" i="1"/>
  <c r="AP336" i="1" s="1"/>
  <c r="AQ336" i="1" s="1"/>
  <c r="F389" i="1"/>
  <c r="G389" i="1" s="1"/>
  <c r="AN539" i="1"/>
  <c r="AP539" i="1" s="1"/>
  <c r="AQ539" i="1" s="1"/>
  <c r="S50" i="1"/>
  <c r="F672" i="1"/>
  <c r="G672" i="1" s="1"/>
  <c r="D164" i="1"/>
  <c r="F164" i="1" s="1"/>
  <c r="G164" i="1" s="1"/>
  <c r="D428" i="1"/>
  <c r="F336" i="1"/>
  <c r="G336" i="1" s="1"/>
  <c r="Y488" i="1"/>
  <c r="U45" i="1"/>
  <c r="V45" i="1" s="1"/>
  <c r="W45" i="1" s="1"/>
  <c r="AN188" i="1"/>
  <c r="AP188" i="1" s="1"/>
  <c r="AQ188" i="1" s="1"/>
  <c r="Y311" i="1"/>
  <c r="D318" i="1"/>
  <c r="I318" i="1" s="1"/>
  <c r="J318" i="1" s="1"/>
  <c r="AN537" i="1"/>
  <c r="AP537" i="1" s="1"/>
  <c r="AQ537" i="1" s="1"/>
  <c r="V216" i="1"/>
  <c r="U411" i="1"/>
  <c r="V411" i="1" s="1"/>
  <c r="W411" i="1" s="1"/>
  <c r="D44" i="1"/>
  <c r="I44" i="1" s="1"/>
  <c r="J44" i="1" s="1"/>
  <c r="D537" i="1"/>
  <c r="I537" i="1" s="1"/>
  <c r="J537" i="1" s="1"/>
  <c r="D49" i="1"/>
  <c r="F49" i="1" s="1"/>
  <c r="G49" i="1" s="1"/>
  <c r="V179" i="1"/>
  <c r="AN164" i="1"/>
  <c r="AP164" i="1" s="1"/>
  <c r="AQ164" i="1" s="1"/>
  <c r="Y678" i="1"/>
  <c r="Y321" i="1"/>
  <c r="BA242" i="1"/>
  <c r="F181" i="1"/>
  <c r="G181" i="1" s="1"/>
  <c r="W230" i="1"/>
  <c r="AN230" i="1" s="1"/>
  <c r="AP230" i="1" s="1"/>
  <c r="AQ230" i="1" s="1"/>
  <c r="AN197" i="1"/>
  <c r="AP197" i="1" s="1"/>
  <c r="AQ197" i="1" s="1"/>
  <c r="I274" i="1"/>
  <c r="J274" i="1" s="1"/>
  <c r="Q14" i="1"/>
  <c r="AN176" i="1"/>
  <c r="AP176" i="1" s="1"/>
  <c r="AQ176" i="1" s="1"/>
  <c r="V186" i="1"/>
  <c r="W186" i="1" s="1"/>
  <c r="Y186" i="1" s="1"/>
  <c r="V68" i="1"/>
  <c r="W68" i="1" s="1"/>
  <c r="Y559" i="1"/>
  <c r="Y164" i="1"/>
  <c r="I311" i="1"/>
  <c r="J311" i="1" s="1"/>
  <c r="I398" i="1"/>
  <c r="J398" i="1" s="1"/>
  <c r="D158" i="1"/>
  <c r="F158" i="1" s="1"/>
  <c r="G158" i="1" s="1"/>
  <c r="D677" i="1"/>
  <c r="F677" i="1" s="1"/>
  <c r="G677" i="1" s="1"/>
  <c r="U24" i="1"/>
  <c r="U34" i="1" s="1"/>
  <c r="D321" i="1"/>
  <c r="F321" i="1" s="1"/>
  <c r="G321" i="1" s="1"/>
  <c r="D137" i="1"/>
  <c r="W273" i="1"/>
  <c r="AN273" i="1" s="1"/>
  <c r="AP273" i="1" s="1"/>
  <c r="AQ273" i="1" s="1"/>
  <c r="R242" i="1"/>
  <c r="D177" i="1"/>
  <c r="I177" i="1" s="1"/>
  <c r="J177" i="1" s="1"/>
  <c r="W175" i="1"/>
  <c r="Y175" i="1" s="1"/>
  <c r="Y156" i="1"/>
  <c r="D559" i="1"/>
  <c r="I559" i="1" s="1"/>
  <c r="J559" i="1" s="1"/>
  <c r="S96" i="1"/>
  <c r="S120" i="1" s="1"/>
  <c r="AN311" i="1"/>
  <c r="AP311" i="1" s="1"/>
  <c r="AQ311" i="1" s="1"/>
  <c r="Y197" i="1"/>
  <c r="P12" i="1"/>
  <c r="P11" i="1" s="1"/>
  <c r="AN156" i="1"/>
  <c r="AP156" i="1" s="1"/>
  <c r="AQ156" i="1" s="1"/>
  <c r="T53" i="1"/>
  <c r="U52" i="1"/>
  <c r="BN242" i="1"/>
  <c r="BE242" i="1"/>
  <c r="AZ242" i="1"/>
  <c r="W531" i="1"/>
  <c r="D531" i="1" s="1"/>
  <c r="W442" i="1"/>
  <c r="Y442" i="1" s="1"/>
  <c r="W353" i="1"/>
  <c r="D353" i="1" s="1"/>
  <c r="F353" i="1" s="1"/>
  <c r="G353" i="1" s="1"/>
  <c r="W421" i="1"/>
  <c r="D421" i="1" s="1"/>
  <c r="F421" i="1" s="1"/>
  <c r="G421" i="1" s="1"/>
  <c r="T90" i="1"/>
  <c r="BS242" i="1"/>
  <c r="BM242" i="1"/>
  <c r="D97" i="1"/>
  <c r="I97" i="1" s="1"/>
  <c r="J97" i="1" s="1"/>
  <c r="I200" i="1"/>
  <c r="J200" i="1" s="1"/>
  <c r="V346" i="1"/>
  <c r="W346" i="1" s="1"/>
  <c r="W506" i="1"/>
  <c r="Y506" i="1" s="1"/>
  <c r="Y196" i="1"/>
  <c r="D393" i="1"/>
  <c r="F393" i="1" s="1"/>
  <c r="G393" i="1" s="1"/>
  <c r="F441" i="1"/>
  <c r="G441" i="1" s="1"/>
  <c r="U226" i="1"/>
  <c r="Y426" i="1"/>
  <c r="Y393" i="1"/>
  <c r="I69" i="1"/>
  <c r="J69" i="1" s="1"/>
  <c r="D638" i="1"/>
  <c r="F638" i="1" s="1"/>
  <c r="G638" i="1" s="1"/>
  <c r="D316" i="1"/>
  <c r="I316" i="1" s="1"/>
  <c r="J316" i="1" s="1"/>
  <c r="Y293" i="1"/>
  <c r="D434" i="1"/>
  <c r="V299" i="1"/>
  <c r="W201" i="1"/>
  <c r="D47" i="1"/>
  <c r="F47" i="1" s="1"/>
  <c r="G47" i="1" s="1"/>
  <c r="D293" i="1"/>
  <c r="D322" i="1"/>
  <c r="AN322" i="1"/>
  <c r="AP322" i="1" s="1"/>
  <c r="AQ322" i="1" s="1"/>
  <c r="Y322" i="1"/>
  <c r="AN488" i="1"/>
  <c r="AP488" i="1" s="1"/>
  <c r="AQ488" i="1" s="1"/>
  <c r="V226" i="1"/>
  <c r="U289" i="1"/>
  <c r="V289" i="1" s="1"/>
  <c r="W289" i="1" s="1"/>
  <c r="D508" i="1"/>
  <c r="F508" i="1" s="1"/>
  <c r="G508" i="1" s="1"/>
  <c r="Y180" i="1"/>
  <c r="D103" i="1"/>
  <c r="F103" i="1" s="1"/>
  <c r="G103" i="1" s="1"/>
  <c r="AN306" i="1"/>
  <c r="AP306" i="1" s="1"/>
  <c r="AQ306" i="1" s="1"/>
  <c r="AN295" i="1"/>
  <c r="AP295" i="1" s="1"/>
  <c r="AQ295" i="1" s="1"/>
  <c r="AN342" i="1"/>
  <c r="AP342" i="1" s="1"/>
  <c r="AQ342" i="1" s="1"/>
  <c r="D415" i="1"/>
  <c r="I415" i="1" s="1"/>
  <c r="J415" i="1" s="1"/>
  <c r="Y137" i="1"/>
  <c r="R457" i="1"/>
  <c r="P691" i="1"/>
  <c r="W172" i="1"/>
  <c r="AN172" i="1" s="1"/>
  <c r="AP172" i="1" s="1"/>
  <c r="AQ172" i="1" s="1"/>
  <c r="Y539" i="1"/>
  <c r="AN316" i="1"/>
  <c r="AP316" i="1" s="1"/>
  <c r="AQ316" i="1" s="1"/>
  <c r="I488" i="1"/>
  <c r="J488" i="1" s="1"/>
  <c r="F488" i="1"/>
  <c r="G488" i="1" s="1"/>
  <c r="W213" i="1"/>
  <c r="Y162" i="1"/>
  <c r="D162" i="1"/>
  <c r="AN162" i="1"/>
  <c r="AP162" i="1" s="1"/>
  <c r="AQ162" i="1" s="1"/>
  <c r="AN355" i="1"/>
  <c r="AP355" i="1" s="1"/>
  <c r="AQ355" i="1" s="1"/>
  <c r="Y355" i="1"/>
  <c r="I306" i="1"/>
  <c r="J306" i="1" s="1"/>
  <c r="F306" i="1"/>
  <c r="G306" i="1" s="1"/>
  <c r="D338" i="1"/>
  <c r="Y338" i="1"/>
  <c r="AN338" i="1"/>
  <c r="AP338" i="1" s="1"/>
  <c r="AQ338" i="1" s="1"/>
  <c r="AP634" i="1"/>
  <c r="AQ634" i="1" s="1"/>
  <c r="Y352" i="1"/>
  <c r="D352" i="1"/>
  <c r="AN352" i="1"/>
  <c r="AP352" i="1" s="1"/>
  <c r="AQ352" i="1" s="1"/>
  <c r="Y239" i="1"/>
  <c r="AN239" i="1"/>
  <c r="AP239" i="1" s="1"/>
  <c r="AQ239" i="1" s="1"/>
  <c r="D239" i="1"/>
  <c r="AN423" i="1"/>
  <c r="AP423" i="1" s="1"/>
  <c r="AQ423" i="1" s="1"/>
  <c r="Y423" i="1"/>
  <c r="D423" i="1"/>
  <c r="AN76" i="1"/>
  <c r="AP76" i="1" s="1"/>
  <c r="AQ76" i="1" s="1"/>
  <c r="Y76" i="1"/>
  <c r="D76" i="1"/>
  <c r="Y233" i="1"/>
  <c r="W81" i="1"/>
  <c r="AN525" i="1"/>
  <c r="AP525" i="1" s="1"/>
  <c r="AQ525" i="1" s="1"/>
  <c r="Y525" i="1"/>
  <c r="D525" i="1"/>
  <c r="D406" i="1"/>
  <c r="AN406" i="1"/>
  <c r="AP406" i="1" s="1"/>
  <c r="AQ406" i="1" s="1"/>
  <c r="Y406" i="1"/>
  <c r="D558" i="1"/>
  <c r="Y558" i="1"/>
  <c r="AN558" i="1"/>
  <c r="AP558" i="1" s="1"/>
  <c r="AQ558" i="1" s="1"/>
  <c r="F483" i="1"/>
  <c r="G483" i="1" s="1"/>
  <c r="I483" i="1"/>
  <c r="J483" i="1" s="1"/>
  <c r="AN220" i="1"/>
  <c r="AP220" i="1" s="1"/>
  <c r="AQ220" i="1" s="1"/>
  <c r="D220" i="1"/>
  <c r="Y220" i="1"/>
  <c r="AN191" i="1"/>
  <c r="AP191" i="1" s="1"/>
  <c r="AQ191" i="1" s="1"/>
  <c r="D191" i="1"/>
  <c r="Y191" i="1"/>
  <c r="T183" i="1"/>
  <c r="U183" i="1" s="1"/>
  <c r="V554" i="1"/>
  <c r="W554" i="1" s="1"/>
  <c r="AN554" i="1" s="1"/>
  <c r="AP554" i="1" s="1"/>
  <c r="AQ554" i="1" s="1"/>
  <c r="Y404" i="1"/>
  <c r="D404" i="1"/>
  <c r="AN404" i="1"/>
  <c r="AP404" i="1" s="1"/>
  <c r="AQ404" i="1" s="1"/>
  <c r="Y516" i="1"/>
  <c r="AN516" i="1"/>
  <c r="AP516" i="1" s="1"/>
  <c r="AQ516" i="1" s="1"/>
  <c r="D516" i="1"/>
  <c r="D275" i="1"/>
  <c r="AN275" i="1"/>
  <c r="AP275" i="1" s="1"/>
  <c r="AQ275" i="1" s="1"/>
  <c r="Y275" i="1"/>
  <c r="Y403" i="1"/>
  <c r="D403" i="1"/>
  <c r="AN403" i="1"/>
  <c r="AP403" i="1" s="1"/>
  <c r="AQ403" i="1" s="1"/>
  <c r="U536" i="1"/>
  <c r="U547" i="1" s="1"/>
  <c r="U339" i="1"/>
  <c r="T360" i="1"/>
  <c r="AN152" i="1"/>
  <c r="AP152" i="1" s="1"/>
  <c r="AQ152" i="1" s="1"/>
  <c r="D152" i="1"/>
  <c r="Y152" i="1"/>
  <c r="AN225" i="1"/>
  <c r="AP225" i="1" s="1"/>
  <c r="AQ225" i="1" s="1"/>
  <c r="Y225" i="1"/>
  <c r="D225" i="1"/>
  <c r="W62" i="1"/>
  <c r="Y62" i="1" s="1"/>
  <c r="Y86" i="1"/>
  <c r="D86" i="1"/>
  <c r="I538" i="1"/>
  <c r="J538" i="1" s="1"/>
  <c r="F538" i="1"/>
  <c r="G538" i="1" s="1"/>
  <c r="D534" i="1"/>
  <c r="AN534" i="1"/>
  <c r="AP534" i="1" s="1"/>
  <c r="AQ534" i="1" s="1"/>
  <c r="Y534" i="1"/>
  <c r="AN337" i="1"/>
  <c r="AP337" i="1" s="1"/>
  <c r="AQ337" i="1" s="1"/>
  <c r="D337" i="1"/>
  <c r="Y337" i="1"/>
  <c r="Y643" i="1"/>
  <c r="AN643" i="1"/>
  <c r="AP643" i="1" s="1"/>
  <c r="AQ643" i="1" s="1"/>
  <c r="D643" i="1"/>
  <c r="AN233" i="1"/>
  <c r="AP233" i="1" s="1"/>
  <c r="AQ233" i="1" s="1"/>
  <c r="D233" i="1"/>
  <c r="Y439" i="1"/>
  <c r="D439" i="1"/>
  <c r="AN439" i="1"/>
  <c r="AP439" i="1" s="1"/>
  <c r="AQ439" i="1" s="1"/>
  <c r="V108" i="1"/>
  <c r="W108" i="1" s="1"/>
  <c r="Y108" i="1" s="1"/>
  <c r="Y429" i="1"/>
  <c r="AN429" i="1"/>
  <c r="AP429" i="1" s="1"/>
  <c r="AQ429" i="1" s="1"/>
  <c r="D429" i="1"/>
  <c r="V261" i="1"/>
  <c r="W261" i="1" s="1"/>
  <c r="Y443" i="1"/>
  <c r="AN443" i="1"/>
  <c r="AP443" i="1" s="1"/>
  <c r="AQ443" i="1" s="1"/>
  <c r="D443" i="1"/>
  <c r="AN238" i="1"/>
  <c r="AP238" i="1" s="1"/>
  <c r="AQ238" i="1" s="1"/>
  <c r="D238" i="1"/>
  <c r="Y238" i="1"/>
  <c r="V222" i="1"/>
  <c r="W222" i="1" s="1"/>
  <c r="F462" i="1"/>
  <c r="G462" i="1" s="1"/>
  <c r="I462" i="1"/>
  <c r="J462" i="1" s="1"/>
  <c r="W413" i="1"/>
  <c r="AN413" i="1" s="1"/>
  <c r="AP413" i="1" s="1"/>
  <c r="AQ413" i="1" s="1"/>
  <c r="R650" i="1"/>
  <c r="R14" i="1"/>
  <c r="AN372" i="1"/>
  <c r="AP372" i="1" s="1"/>
  <c r="AQ372" i="1" s="1"/>
  <c r="D372" i="1"/>
  <c r="Y372" i="1"/>
  <c r="W83" i="1"/>
  <c r="Y83" i="1" s="1"/>
  <c r="AN454" i="1"/>
  <c r="AP454" i="1" s="1"/>
  <c r="AQ454" i="1" s="1"/>
  <c r="Y454" i="1"/>
  <c r="D454" i="1"/>
  <c r="AN341" i="1"/>
  <c r="AP341" i="1" s="1"/>
  <c r="AQ341" i="1" s="1"/>
  <c r="D341" i="1"/>
  <c r="F335" i="1"/>
  <c r="G335" i="1" s="1"/>
  <c r="I335" i="1"/>
  <c r="J335" i="1" s="1"/>
  <c r="AN161" i="1"/>
  <c r="AP161" i="1" s="1"/>
  <c r="AQ161" i="1" s="1"/>
  <c r="Y161" i="1"/>
  <c r="V400" i="1"/>
  <c r="W400" i="1" s="1"/>
  <c r="AN400" i="1" s="1"/>
  <c r="AP400" i="1" s="1"/>
  <c r="AQ400" i="1" s="1"/>
  <c r="D346" i="1"/>
  <c r="AN390" i="1"/>
  <c r="AP390" i="1" s="1"/>
  <c r="AQ390" i="1" s="1"/>
  <c r="Y390" i="1"/>
  <c r="D390" i="1"/>
  <c r="Y430" i="1"/>
  <c r="D430" i="1"/>
  <c r="AN430" i="1"/>
  <c r="AP430" i="1" s="1"/>
  <c r="AQ430" i="1" s="1"/>
  <c r="AN173" i="1"/>
  <c r="AP173" i="1" s="1"/>
  <c r="AQ173" i="1" s="1"/>
  <c r="Y173" i="1"/>
  <c r="D173" i="1"/>
  <c r="F640" i="1"/>
  <c r="G640" i="1" s="1"/>
  <c r="I640" i="1"/>
  <c r="J640" i="1" s="1"/>
  <c r="Y347" i="1"/>
  <c r="AN347" i="1"/>
  <c r="AP347" i="1" s="1"/>
  <c r="AQ347" i="1" s="1"/>
  <c r="S143" i="1"/>
  <c r="D510" i="1"/>
  <c r="Y510" i="1"/>
  <c r="AN510" i="1"/>
  <c r="V77" i="1"/>
  <c r="W77" i="1" s="1"/>
  <c r="AN358" i="1"/>
  <c r="AP358" i="1" s="1"/>
  <c r="AQ358" i="1" s="1"/>
  <c r="D358" i="1"/>
  <c r="Y358" i="1"/>
  <c r="U326" i="1"/>
  <c r="V326" i="1" s="1"/>
  <c r="W326" i="1" s="1"/>
  <c r="AN224" i="1"/>
  <c r="AP224" i="1" s="1"/>
  <c r="AQ224" i="1" s="1"/>
  <c r="Y224" i="1"/>
  <c r="D224" i="1"/>
  <c r="V482" i="1"/>
  <c r="W397" i="1"/>
  <c r="D397" i="1" s="1"/>
  <c r="W486" i="1"/>
  <c r="D486" i="1" s="1"/>
  <c r="Y72" i="1"/>
  <c r="AN72" i="1"/>
  <c r="AP72" i="1" s="1"/>
  <c r="AQ72" i="1" s="1"/>
  <c r="D72" i="1"/>
  <c r="AN219" i="1"/>
  <c r="AP219" i="1" s="1"/>
  <c r="AQ219" i="1" s="1"/>
  <c r="D219" i="1"/>
  <c r="Y219" i="1"/>
  <c r="V320" i="1"/>
  <c r="W320" i="1" s="1"/>
  <c r="AN356" i="1"/>
  <c r="AP356" i="1" s="1"/>
  <c r="AQ356" i="1" s="1"/>
  <c r="Y356" i="1"/>
  <c r="D356" i="1"/>
  <c r="Y65" i="1"/>
  <c r="D65" i="1"/>
  <c r="AN65" i="1"/>
  <c r="AP65" i="1" s="1"/>
  <c r="AQ65" i="1" s="1"/>
  <c r="Y323" i="1"/>
  <c r="AN323" i="1"/>
  <c r="AP323" i="1" s="1"/>
  <c r="AQ323" i="1" s="1"/>
  <c r="D323" i="1"/>
  <c r="AN279" i="1"/>
  <c r="AP279" i="1" s="1"/>
  <c r="AQ279" i="1" s="1"/>
  <c r="D279" i="1"/>
  <c r="Y279" i="1"/>
  <c r="U522" i="1"/>
  <c r="V522" i="1" s="1"/>
  <c r="AN234" i="1"/>
  <c r="AP234" i="1" s="1"/>
  <c r="AQ234" i="1" s="1"/>
  <c r="Y234" i="1"/>
  <c r="D234" i="1"/>
  <c r="Y560" i="1"/>
  <c r="AN560" i="1"/>
  <c r="AP560" i="1" s="1"/>
  <c r="AQ560" i="1" s="1"/>
  <c r="D560" i="1"/>
  <c r="Y221" i="1"/>
  <c r="AN221" i="1"/>
  <c r="AP221" i="1" s="1"/>
  <c r="AQ221" i="1" s="1"/>
  <c r="D221" i="1"/>
  <c r="AN351" i="1"/>
  <c r="AP351" i="1" s="1"/>
  <c r="AQ351" i="1" s="1"/>
  <c r="Y351" i="1"/>
  <c r="D351" i="1"/>
  <c r="Y447" i="1"/>
  <c r="D447" i="1"/>
  <c r="AN447" i="1"/>
  <c r="AP447" i="1" s="1"/>
  <c r="AQ447" i="1" s="1"/>
  <c r="AN235" i="1"/>
  <c r="AP235" i="1" s="1"/>
  <c r="AQ235" i="1" s="1"/>
  <c r="Y235" i="1"/>
  <c r="D235" i="1"/>
  <c r="Y512" i="1"/>
  <c r="AN512" i="1"/>
  <c r="AP512" i="1" s="1"/>
  <c r="AQ512" i="1" s="1"/>
  <c r="D512" i="1"/>
  <c r="D348" i="1"/>
  <c r="Y348" i="1"/>
  <c r="Y665" i="1"/>
  <c r="D665" i="1"/>
  <c r="AN665" i="1"/>
  <c r="AP665" i="1" s="1"/>
  <c r="AQ665" i="1" s="1"/>
  <c r="D302" i="1"/>
  <c r="Y302" i="1"/>
  <c r="AN302" i="1"/>
  <c r="AP302" i="1" s="1"/>
  <c r="AQ302" i="1" s="1"/>
  <c r="AN26" i="1"/>
  <c r="AP26" i="1" s="1"/>
  <c r="AQ26" i="1" s="1"/>
  <c r="Y26" i="1"/>
  <c r="D26" i="1"/>
  <c r="AN288" i="1"/>
  <c r="AP288" i="1" s="1"/>
  <c r="AQ288" i="1" s="1"/>
  <c r="Y288" i="1"/>
  <c r="D288" i="1"/>
  <c r="F156" i="1"/>
  <c r="G156" i="1" s="1"/>
  <c r="I156" i="1"/>
  <c r="J156" i="1" s="1"/>
  <c r="Y148" i="1"/>
  <c r="AN148" i="1"/>
  <c r="AP148" i="1" s="1"/>
  <c r="AQ148" i="1" s="1"/>
  <c r="F111" i="1"/>
  <c r="G111" i="1" s="1"/>
  <c r="I111" i="1"/>
  <c r="J111" i="1" s="1"/>
  <c r="W87" i="1"/>
  <c r="AN87" i="1" s="1"/>
  <c r="AP87" i="1" s="1"/>
  <c r="AQ87" i="1" s="1"/>
  <c r="Y306" i="1"/>
  <c r="F487" i="1"/>
  <c r="G487" i="1" s="1"/>
  <c r="I487" i="1"/>
  <c r="J487" i="1" s="1"/>
  <c r="D295" i="1"/>
  <c r="W630" i="1"/>
  <c r="AN628" i="1"/>
  <c r="AN630" i="1" s="1"/>
  <c r="Y628" i="1"/>
  <c r="Y630" i="1" s="1"/>
  <c r="BG683" i="1"/>
  <c r="BG15" i="1"/>
  <c r="BA683" i="1"/>
  <c r="BA15" i="1"/>
  <c r="F115" i="1"/>
  <c r="G115" i="1" s="1"/>
  <c r="I115" i="1"/>
  <c r="J115" i="1" s="1"/>
  <c r="U64" i="1"/>
  <c r="V64" i="1" s="1"/>
  <c r="BE25" i="1"/>
  <c r="BE34" i="1" s="1"/>
  <c r="BR34" i="1"/>
  <c r="BF25" i="1"/>
  <c r="BF34" i="1" s="1"/>
  <c r="BS34" i="1"/>
  <c r="T134" i="1"/>
  <c r="U134" i="1" s="1"/>
  <c r="V134" i="1" s="1"/>
  <c r="S366" i="1"/>
  <c r="T364" i="1"/>
  <c r="I84" i="1"/>
  <c r="J84" i="1" s="1"/>
  <c r="F84" i="1"/>
  <c r="G84" i="1" s="1"/>
  <c r="AR209" i="1"/>
  <c r="AO209" i="1"/>
  <c r="AV209" i="1"/>
  <c r="AS648" i="1"/>
  <c r="AT648" i="1" s="1"/>
  <c r="W228" i="1"/>
  <c r="Y228" i="1" s="1"/>
  <c r="F129" i="1"/>
  <c r="G129" i="1" s="1"/>
  <c r="I129" i="1"/>
  <c r="J129" i="1" s="1"/>
  <c r="I116" i="1"/>
  <c r="J116" i="1" s="1"/>
  <c r="F116" i="1"/>
  <c r="G116" i="1" s="1"/>
  <c r="U303" i="1"/>
  <c r="V303" i="1" s="1"/>
  <c r="W303" i="1" s="1"/>
  <c r="BT242" i="1"/>
  <c r="AP171" i="1"/>
  <c r="AQ171" i="1" s="1"/>
  <c r="AS171" i="1"/>
  <c r="AT171" i="1" s="1"/>
  <c r="AP676" i="1"/>
  <c r="AQ676" i="1" s="1"/>
  <c r="AS676" i="1"/>
  <c r="AT676" i="1" s="1"/>
  <c r="AO681" i="1"/>
  <c r="BC683" i="1"/>
  <c r="BC15" i="1"/>
  <c r="AW683" i="1"/>
  <c r="AW15" i="1"/>
  <c r="AP88" i="1"/>
  <c r="AQ88" i="1" s="1"/>
  <c r="AS88" i="1"/>
  <c r="AT88" i="1" s="1"/>
  <c r="AO90" i="1"/>
  <c r="T547" i="1"/>
  <c r="S553" i="1"/>
  <c r="T553" i="1" s="1"/>
  <c r="T564" i="1" s="1"/>
  <c r="F499" i="1"/>
  <c r="G499" i="1" s="1"/>
  <c r="I499" i="1"/>
  <c r="J499" i="1" s="1"/>
  <c r="V313" i="2"/>
  <c r="AB311" i="2"/>
  <c r="AB313" i="2" s="1"/>
  <c r="R564" i="1"/>
  <c r="BB189" i="1"/>
  <c r="BB242" i="1" s="1"/>
  <c r="BO242" i="1"/>
  <c r="AX189" i="1"/>
  <c r="AX242" i="1" s="1"/>
  <c r="BK242" i="1"/>
  <c r="AW189" i="1"/>
  <c r="AW242" i="1" s="1"/>
  <c r="BJ242" i="1"/>
  <c r="BC189" i="1"/>
  <c r="BC242" i="1" s="1"/>
  <c r="BP242" i="1"/>
  <c r="AN192" i="1"/>
  <c r="AP192" i="1" s="1"/>
  <c r="AQ192" i="1" s="1"/>
  <c r="Y192" i="1"/>
  <c r="Y163" i="1"/>
  <c r="D163" i="1"/>
  <c r="T485" i="1"/>
  <c r="T527" i="1" s="1"/>
  <c r="Y344" i="1"/>
  <c r="AR683" i="1"/>
  <c r="AR687" i="1" s="1"/>
  <c r="AR15" i="1"/>
  <c r="AY683" i="1"/>
  <c r="AY15" i="1"/>
  <c r="Y508" i="1"/>
  <c r="Q608" i="1"/>
  <c r="Q13" i="1"/>
  <c r="Y465" i="1"/>
  <c r="AN465" i="1"/>
  <c r="AP465" i="1" s="1"/>
  <c r="AQ465" i="1" s="1"/>
  <c r="I379" i="1"/>
  <c r="J379" i="1" s="1"/>
  <c r="F379" i="1"/>
  <c r="G379" i="1" s="1"/>
  <c r="Y167" i="1"/>
  <c r="D167" i="1"/>
  <c r="Y157" i="1"/>
  <c r="AN157" i="1"/>
  <c r="AP157" i="1" s="1"/>
  <c r="AQ157" i="1" s="1"/>
  <c r="AN212" i="1"/>
  <c r="AP212" i="1" s="1"/>
  <c r="AQ212" i="1" s="1"/>
  <c r="AN538" i="1"/>
  <c r="AP538" i="1" s="1"/>
  <c r="AQ538" i="1" s="1"/>
  <c r="D347" i="1"/>
  <c r="Y509" i="1"/>
  <c r="D509" i="1"/>
  <c r="AN509" i="1"/>
  <c r="AN136" i="1"/>
  <c r="AP136" i="1" s="1"/>
  <c r="AQ136" i="1" s="1"/>
  <c r="D136" i="1"/>
  <c r="R547" i="1"/>
  <c r="BG627" i="1"/>
  <c r="BD627" i="1"/>
  <c r="BE627" i="1"/>
  <c r="D307" i="1"/>
  <c r="Y307" i="1"/>
  <c r="AN307" i="1"/>
  <c r="AP307" i="1" s="1"/>
  <c r="AQ307" i="1" s="1"/>
  <c r="F664" i="1"/>
  <c r="G664" i="1" s="1"/>
  <c r="I664" i="1"/>
  <c r="J664" i="1" s="1"/>
  <c r="F127" i="1"/>
  <c r="G127" i="1" s="1"/>
  <c r="I127" i="1"/>
  <c r="J127" i="1" s="1"/>
  <c r="F114" i="1"/>
  <c r="G114" i="1" s="1"/>
  <c r="I114" i="1"/>
  <c r="J114" i="1" s="1"/>
  <c r="D641" i="1"/>
  <c r="AN641" i="1"/>
  <c r="AP641" i="1" s="1"/>
  <c r="AQ641" i="1" s="1"/>
  <c r="BE683" i="1"/>
  <c r="BE15" i="1"/>
  <c r="S360" i="1"/>
  <c r="D188" i="1"/>
  <c r="AN305" i="1"/>
  <c r="AP305" i="1" s="1"/>
  <c r="AQ305" i="1" s="1"/>
  <c r="W61" i="1"/>
  <c r="D61" i="1" s="1"/>
  <c r="W556" i="1"/>
  <c r="Y556" i="1" s="1"/>
  <c r="I180" i="1"/>
  <c r="J180" i="1" s="1"/>
  <c r="F180" i="1"/>
  <c r="G180" i="1" s="1"/>
  <c r="U354" i="1"/>
  <c r="Y641" i="1"/>
  <c r="Y538" i="1"/>
  <c r="I102" i="1"/>
  <c r="J102" i="1" s="1"/>
  <c r="F102" i="1"/>
  <c r="G102" i="1" s="1"/>
  <c r="F671" i="1"/>
  <c r="G671" i="1" s="1"/>
  <c r="I671" i="1"/>
  <c r="J671" i="1" s="1"/>
  <c r="F674" i="1"/>
  <c r="G674" i="1" s="1"/>
  <c r="I674" i="1"/>
  <c r="J674" i="1" s="1"/>
  <c r="AN335" i="1"/>
  <c r="AN48" i="1"/>
  <c r="AP48" i="1" s="1"/>
  <c r="AQ48" i="1" s="1"/>
  <c r="Y48" i="1"/>
  <c r="F324" i="1"/>
  <c r="G324" i="1" s="1"/>
  <c r="I324" i="1"/>
  <c r="J324" i="1" s="1"/>
  <c r="AN163" i="1"/>
  <c r="AP163" i="1" s="1"/>
  <c r="AQ163" i="1" s="1"/>
  <c r="AN442" i="1"/>
  <c r="AP442" i="1" s="1"/>
  <c r="AQ442" i="1" s="1"/>
  <c r="I329" i="1"/>
  <c r="J329" i="1" s="1"/>
  <c r="F329" i="1"/>
  <c r="G329" i="1" s="1"/>
  <c r="I314" i="1"/>
  <c r="J314" i="1" s="1"/>
  <c r="F314" i="1"/>
  <c r="G314" i="1" s="1"/>
  <c r="S527" i="1"/>
  <c r="D192" i="1"/>
  <c r="T264" i="1"/>
  <c r="I133" i="1"/>
  <c r="J133" i="1" s="1"/>
  <c r="F133" i="1"/>
  <c r="G133" i="1" s="1"/>
  <c r="D426" i="1"/>
  <c r="I417" i="1"/>
  <c r="J417" i="1" s="1"/>
  <c r="F417" i="1"/>
  <c r="G417" i="1" s="1"/>
  <c r="I159" i="1"/>
  <c r="J159" i="1" s="1"/>
  <c r="F159" i="1"/>
  <c r="G159" i="1" s="1"/>
  <c r="I237" i="1"/>
  <c r="J237" i="1" s="1"/>
  <c r="F237" i="1"/>
  <c r="G237" i="1" s="1"/>
  <c r="Y535" i="1"/>
  <c r="D535" i="1"/>
  <c r="F592" i="1"/>
  <c r="G592" i="1" s="1"/>
  <c r="I592" i="1"/>
  <c r="J592" i="1" s="1"/>
  <c r="BQ683" i="1"/>
  <c r="BQ15" i="1"/>
  <c r="BO683" i="1"/>
  <c r="BO15" i="1"/>
  <c r="U217" i="1"/>
  <c r="V217" i="1" s="1"/>
  <c r="W217" i="1" s="1"/>
  <c r="AN217" i="1" s="1"/>
  <c r="AP217" i="1" s="1"/>
  <c r="AQ217" i="1" s="1"/>
  <c r="U281" i="1"/>
  <c r="V281" i="1" s="1"/>
  <c r="D634" i="1"/>
  <c r="Y634" i="1"/>
  <c r="Y78" i="1"/>
  <c r="AY25" i="1"/>
  <c r="AY34" i="1" s="1"/>
  <c r="BL34" i="1"/>
  <c r="AZ25" i="1"/>
  <c r="AZ34" i="1" s="1"/>
  <c r="BM34" i="1"/>
  <c r="S416" i="1"/>
  <c r="T416" i="1" s="1"/>
  <c r="U416" i="1" s="1"/>
  <c r="AN523" i="1"/>
  <c r="AP523" i="1" s="1"/>
  <c r="AQ523" i="1" s="1"/>
  <c r="Y523" i="1"/>
  <c r="D523" i="1"/>
  <c r="W75" i="1"/>
  <c r="AN86" i="1"/>
  <c r="AP86" i="1" s="1"/>
  <c r="AQ86" i="1" s="1"/>
  <c r="BG242" i="1"/>
  <c r="S597" i="1"/>
  <c r="R606" i="1"/>
  <c r="D435" i="1"/>
  <c r="AN435" i="1"/>
  <c r="AP435" i="1" s="1"/>
  <c r="AQ435" i="1" s="1"/>
  <c r="I350" i="1"/>
  <c r="J350" i="1" s="1"/>
  <c r="F350" i="1"/>
  <c r="G350" i="1" s="1"/>
  <c r="BM683" i="1"/>
  <c r="BM15" i="1"/>
  <c r="BK683" i="1"/>
  <c r="BK15" i="1"/>
  <c r="AN348" i="1"/>
  <c r="AP348" i="1" s="1"/>
  <c r="AQ348" i="1" s="1"/>
  <c r="W155" i="1"/>
  <c r="Y155" i="1" s="1"/>
  <c r="F445" i="1"/>
  <c r="G445" i="1" s="1"/>
  <c r="I445" i="1"/>
  <c r="J445" i="1" s="1"/>
  <c r="W315" i="1"/>
  <c r="AN315" i="1" s="1"/>
  <c r="AP315" i="1" s="1"/>
  <c r="AQ315" i="1" s="1"/>
  <c r="V205" i="1"/>
  <c r="AN660" i="1"/>
  <c r="Y660" i="1"/>
  <c r="D660" i="1"/>
  <c r="AR189" i="1"/>
  <c r="AV189" i="1"/>
  <c r="AO189" i="1"/>
  <c r="BI242" i="1"/>
  <c r="AS29" i="1"/>
  <c r="AT29" i="1" s="1"/>
  <c r="AP29" i="1"/>
  <c r="AQ29" i="1" s="1"/>
  <c r="U420" i="1"/>
  <c r="V420" i="1" s="1"/>
  <c r="W420" i="1" s="1"/>
  <c r="AP666" i="1"/>
  <c r="AQ666" i="1" s="1"/>
  <c r="AS666" i="1"/>
  <c r="AT666" i="1" s="1"/>
  <c r="AO668" i="1"/>
  <c r="D30" i="1"/>
  <c r="AN30" i="1"/>
  <c r="AP30" i="1" s="1"/>
  <c r="AQ30" i="1" s="1"/>
  <c r="AN109" i="1"/>
  <c r="AP109" i="1" s="1"/>
  <c r="AQ109" i="1" s="1"/>
  <c r="D109" i="1"/>
  <c r="Y126" i="1"/>
  <c r="AN126" i="1"/>
  <c r="AP126" i="1" s="1"/>
  <c r="AQ126" i="1" s="1"/>
  <c r="S90" i="1"/>
  <c r="I197" i="1"/>
  <c r="J197" i="1" s="1"/>
  <c r="F197" i="1"/>
  <c r="G197" i="1" s="1"/>
  <c r="D193" i="1"/>
  <c r="AN593" i="1"/>
  <c r="AP593" i="1" s="1"/>
  <c r="AQ593" i="1" s="1"/>
  <c r="D593" i="1"/>
  <c r="AY627" i="1"/>
  <c r="AX627" i="1"/>
  <c r="U85" i="1"/>
  <c r="V85" i="1" s="1"/>
  <c r="W85" i="1" s="1"/>
  <c r="V124" i="1"/>
  <c r="W124" i="1" s="1"/>
  <c r="D124" i="1" s="1"/>
  <c r="BS683" i="1"/>
  <c r="BS15" i="1"/>
  <c r="U269" i="1"/>
  <c r="D628" i="1"/>
  <c r="U174" i="1"/>
  <c r="V174" i="1" s="1"/>
  <c r="W174" i="1" s="1"/>
  <c r="W533" i="1"/>
  <c r="V431" i="1"/>
  <c r="T131" i="1"/>
  <c r="U131" i="1" s="1"/>
  <c r="V131" i="1" s="1"/>
  <c r="W131" i="1" s="1"/>
  <c r="U202" i="1"/>
  <c r="V202" i="1" s="1"/>
  <c r="W202" i="1" s="1"/>
  <c r="Y202" i="1" s="1"/>
  <c r="F425" i="1"/>
  <c r="G425" i="1" s="1"/>
  <c r="I425" i="1"/>
  <c r="J425" i="1" s="1"/>
  <c r="I164" i="1"/>
  <c r="J164" i="1" s="1"/>
  <c r="D391" i="1"/>
  <c r="AN391" i="1"/>
  <c r="AP391" i="1" s="1"/>
  <c r="AQ391" i="1" s="1"/>
  <c r="AP671" i="1"/>
  <c r="AQ671" i="1" s="1"/>
  <c r="T286" i="1"/>
  <c r="D166" i="1"/>
  <c r="F80" i="1"/>
  <c r="G80" i="1" s="1"/>
  <c r="I80" i="1"/>
  <c r="J80" i="1" s="1"/>
  <c r="AN284" i="1"/>
  <c r="AP284" i="1" s="1"/>
  <c r="AQ284" i="1" s="1"/>
  <c r="F204" i="1"/>
  <c r="G204" i="1" s="1"/>
  <c r="I204" i="1"/>
  <c r="J204" i="1" s="1"/>
  <c r="F292" i="1"/>
  <c r="G292" i="1" s="1"/>
  <c r="I292" i="1"/>
  <c r="J292" i="1" s="1"/>
  <c r="F132" i="1"/>
  <c r="G132" i="1" s="1"/>
  <c r="I132" i="1"/>
  <c r="J132" i="1" s="1"/>
  <c r="AN70" i="1"/>
  <c r="AP70" i="1" s="1"/>
  <c r="AQ70" i="1" s="1"/>
  <c r="D70" i="1"/>
  <c r="V532" i="1"/>
  <c r="T300" i="1"/>
  <c r="F277" i="1"/>
  <c r="G277" i="1" s="1"/>
  <c r="I277" i="1"/>
  <c r="J277" i="1" s="1"/>
  <c r="I539" i="1"/>
  <c r="J539" i="1" s="1"/>
  <c r="F539" i="1"/>
  <c r="G539" i="1" s="1"/>
  <c r="F104" i="1"/>
  <c r="G104" i="1" s="1"/>
  <c r="I104" i="1"/>
  <c r="J104" i="1" s="1"/>
  <c r="I552" i="1"/>
  <c r="J552" i="1" s="1"/>
  <c r="F552" i="1"/>
  <c r="G552" i="1" s="1"/>
  <c r="Y462" i="1"/>
  <c r="AN462" i="1"/>
  <c r="AP462" i="1" s="1"/>
  <c r="AQ462" i="1" s="1"/>
  <c r="V240" i="1"/>
  <c r="W240" i="1" s="1"/>
  <c r="F464" i="1"/>
  <c r="G464" i="1" s="1"/>
  <c r="I464" i="1"/>
  <c r="J464" i="1" s="1"/>
  <c r="AN345" i="1"/>
  <c r="AP345" i="1" s="1"/>
  <c r="AQ345" i="1" s="1"/>
  <c r="Y345" i="1"/>
  <c r="I49" i="1"/>
  <c r="J49" i="1" s="1"/>
  <c r="U635" i="1"/>
  <c r="V328" i="1"/>
  <c r="W328" i="1" s="1"/>
  <c r="D590" i="1"/>
  <c r="AN590" i="1"/>
  <c r="AP590" i="1" s="1"/>
  <c r="AQ590" i="1" s="1"/>
  <c r="D262" i="1"/>
  <c r="Y262" i="1"/>
  <c r="AN262" i="1"/>
  <c r="AP262" i="1" s="1"/>
  <c r="AQ262" i="1" s="1"/>
  <c r="I231" i="1"/>
  <c r="J231" i="1" s="1"/>
  <c r="F231" i="1"/>
  <c r="G231" i="1" s="1"/>
  <c r="BD683" i="1"/>
  <c r="BD15" i="1"/>
  <c r="BB683" i="1"/>
  <c r="BB15" i="1"/>
  <c r="W589" i="1"/>
  <c r="D589" i="1" s="1"/>
  <c r="T399" i="1"/>
  <c r="U399" i="1" s="1"/>
  <c r="V399" i="1" s="1"/>
  <c r="W399" i="1" s="1"/>
  <c r="Y341" i="1"/>
  <c r="BC25" i="1"/>
  <c r="BC34" i="1" s="1"/>
  <c r="BP34" i="1"/>
  <c r="BD25" i="1"/>
  <c r="BD34" i="1" s="1"/>
  <c r="BQ34" i="1"/>
  <c r="AX25" i="1"/>
  <c r="AX34" i="1" s="1"/>
  <c r="AO25" i="1"/>
  <c r="AR25" i="1"/>
  <c r="AR34" i="1" s="1"/>
  <c r="BK34" i="1"/>
  <c r="V455" i="1"/>
  <c r="Y335" i="1"/>
  <c r="T639" i="1"/>
  <c r="U639" i="1" s="1"/>
  <c r="V639" i="1" s="1"/>
  <c r="W639" i="1" s="1"/>
  <c r="D401" i="1"/>
  <c r="AN401" i="1"/>
  <c r="AP401" i="1" s="1"/>
  <c r="AQ401" i="1" s="1"/>
  <c r="T394" i="1"/>
  <c r="U394" i="1" s="1"/>
  <c r="F380" i="1"/>
  <c r="G380" i="1" s="1"/>
  <c r="I380" i="1"/>
  <c r="J380" i="1" s="1"/>
  <c r="AP118" i="1"/>
  <c r="AQ118" i="1" s="1"/>
  <c r="AS118" i="1"/>
  <c r="AT118" i="1" s="1"/>
  <c r="U557" i="1"/>
  <c r="V557" i="1" s="1"/>
  <c r="V208" i="1"/>
  <c r="W208" i="1" s="1"/>
  <c r="AZ683" i="1"/>
  <c r="AZ15" i="1"/>
  <c r="AX683" i="1"/>
  <c r="AX15" i="1"/>
  <c r="U100" i="1"/>
  <c r="V100" i="1" s="1"/>
  <c r="W100" i="1" s="1"/>
  <c r="R668" i="1"/>
  <c r="S645" i="1"/>
  <c r="T645" i="1" s="1"/>
  <c r="U645" i="1" s="1"/>
  <c r="V645" i="1" s="1"/>
  <c r="W645" i="1" s="1"/>
  <c r="AN27" i="1"/>
  <c r="AP27" i="1" s="1"/>
  <c r="AQ27" i="1" s="1"/>
  <c r="D27" i="1"/>
  <c r="Y27" i="1"/>
  <c r="D161" i="1"/>
  <c r="U636" i="1"/>
  <c r="V636" i="1" s="1"/>
  <c r="W636" i="1" s="1"/>
  <c r="D636" i="1" s="1"/>
  <c r="AN79" i="1"/>
  <c r="AP79" i="1" s="1"/>
  <c r="AQ79" i="1" s="1"/>
  <c r="D79" i="1"/>
  <c r="Y79" i="1"/>
  <c r="Y640" i="1"/>
  <c r="AN640" i="1"/>
  <c r="AP640" i="1" s="1"/>
  <c r="AQ640" i="1" s="1"/>
  <c r="D444" i="1"/>
  <c r="AN444" i="1"/>
  <c r="AP444" i="1" s="1"/>
  <c r="AQ444" i="1" s="1"/>
  <c r="F301" i="1"/>
  <c r="G301" i="1" s="1"/>
  <c r="I301" i="1"/>
  <c r="J301" i="1" s="1"/>
  <c r="W312" i="1"/>
  <c r="U374" i="1"/>
  <c r="V370" i="1"/>
  <c r="V24" i="1"/>
  <c r="Q55" i="1"/>
  <c r="F524" i="1"/>
  <c r="G524" i="1" s="1"/>
  <c r="I524" i="1"/>
  <c r="J524" i="1" s="1"/>
  <c r="BD189" i="1"/>
  <c r="BD242" i="1" s="1"/>
  <c r="BQ242" i="1"/>
  <c r="W31" i="1"/>
  <c r="D31" i="1" s="1"/>
  <c r="S39" i="1"/>
  <c r="T39" i="1" s="1"/>
  <c r="R41" i="1"/>
  <c r="R55" i="1" s="1"/>
  <c r="D138" i="1"/>
  <c r="Y138" i="1"/>
  <c r="Y444" i="1"/>
  <c r="AV683" i="1"/>
  <c r="AV15" i="1"/>
  <c r="Y147" i="1"/>
  <c r="V151" i="1"/>
  <c r="U327" i="1"/>
  <c r="V327" i="1" s="1"/>
  <c r="W327" i="1" s="1"/>
  <c r="F165" i="1"/>
  <c r="G165" i="1" s="1"/>
  <c r="I165" i="1"/>
  <c r="J165" i="1" s="1"/>
  <c r="S382" i="1"/>
  <c r="T378" i="1"/>
  <c r="AN154" i="1"/>
  <c r="AP154" i="1" s="1"/>
  <c r="AQ154" i="1" s="1"/>
  <c r="D154" i="1"/>
  <c r="I232" i="1"/>
  <c r="J232" i="1" s="1"/>
  <c r="F232" i="1"/>
  <c r="G232" i="1" s="1"/>
  <c r="Y593" i="1"/>
  <c r="Y44" i="1"/>
  <c r="AO627" i="1"/>
  <c r="AR627" i="1"/>
  <c r="AV627" i="1"/>
  <c r="AW627" i="1"/>
  <c r="BB627" i="1"/>
  <c r="BL242" i="1"/>
  <c r="D148" i="1"/>
  <c r="AN318" i="1"/>
  <c r="AP318" i="1" s="1"/>
  <c r="AQ318" i="1" s="1"/>
  <c r="Y318" i="1"/>
  <c r="S547" i="1"/>
  <c r="D395" i="1"/>
  <c r="AN395" i="1"/>
  <c r="AP395" i="1" s="1"/>
  <c r="AQ395" i="1" s="1"/>
  <c r="U211" i="1"/>
  <c r="V211" i="1" s="1"/>
  <c r="W211" i="1" s="1"/>
  <c r="BF683" i="1"/>
  <c r="BF15" i="1"/>
  <c r="F227" i="1"/>
  <c r="G227" i="1" s="1"/>
  <c r="I227" i="1"/>
  <c r="J227" i="1" s="1"/>
  <c r="AN28" i="1"/>
  <c r="AP28" i="1" s="1"/>
  <c r="AQ28" i="1" s="1"/>
  <c r="Y28" i="1"/>
  <c r="D28" i="1"/>
  <c r="AN559" i="1"/>
  <c r="AP559" i="1" s="1"/>
  <c r="AQ559" i="1" s="1"/>
  <c r="I199" i="1"/>
  <c r="J199" i="1" s="1"/>
  <c r="F199" i="1"/>
  <c r="G199" i="1" s="1"/>
  <c r="Y350" i="1"/>
  <c r="AN350" i="1"/>
  <c r="AP350" i="1" s="1"/>
  <c r="AQ350" i="1" s="1"/>
  <c r="Y236" i="1"/>
  <c r="AN236" i="1"/>
  <c r="AP236" i="1" s="1"/>
  <c r="AQ236" i="1" s="1"/>
  <c r="W461" i="1"/>
  <c r="U514" i="1"/>
  <c r="V514" i="1" s="1"/>
  <c r="W514" i="1" s="1"/>
  <c r="Y109" i="1"/>
  <c r="F412" i="1"/>
  <c r="G412" i="1" s="1"/>
  <c r="I412" i="1"/>
  <c r="J412" i="1" s="1"/>
  <c r="W405" i="1"/>
  <c r="W478" i="1"/>
  <c r="D478" i="1" s="1"/>
  <c r="T106" i="1"/>
  <c r="Y391" i="1"/>
  <c r="F479" i="1"/>
  <c r="G479" i="1" s="1"/>
  <c r="I479" i="1"/>
  <c r="J479" i="1" s="1"/>
  <c r="D78" i="1"/>
  <c r="F418" i="1"/>
  <c r="G418" i="1" s="1"/>
  <c r="I418" i="1"/>
  <c r="J418" i="1" s="1"/>
  <c r="Y70" i="1"/>
  <c r="I518" i="1"/>
  <c r="J518" i="1" s="1"/>
  <c r="F518" i="1"/>
  <c r="G518" i="1" s="1"/>
  <c r="Y313" i="1"/>
  <c r="D313" i="1"/>
  <c r="I278" i="1"/>
  <c r="J278" i="1" s="1"/>
  <c r="F278" i="1"/>
  <c r="G278" i="1" s="1"/>
  <c r="AN415" i="1"/>
  <c r="AP415" i="1" s="1"/>
  <c r="AQ415" i="1" s="1"/>
  <c r="Y158" i="1"/>
  <c r="Y107" i="1"/>
  <c r="AN107" i="1"/>
  <c r="AP107" i="1" s="1"/>
  <c r="AQ107" i="1" s="1"/>
  <c r="I113" i="1"/>
  <c r="J113" i="1" s="1"/>
  <c r="F113" i="1"/>
  <c r="G113" i="1" s="1"/>
  <c r="D344" i="1"/>
  <c r="Y193" i="1"/>
  <c r="D345" i="1"/>
  <c r="I319" i="1"/>
  <c r="J319" i="1" s="1"/>
  <c r="F319" i="1"/>
  <c r="G319" i="1" s="1"/>
  <c r="I340" i="1"/>
  <c r="J340" i="1" s="1"/>
  <c r="F340" i="1"/>
  <c r="G340" i="1" s="1"/>
  <c r="F110" i="1"/>
  <c r="G110" i="1" s="1"/>
  <c r="I110" i="1"/>
  <c r="J110" i="1" s="1"/>
  <c r="I595" i="1"/>
  <c r="J595" i="1" s="1"/>
  <c r="F595" i="1"/>
  <c r="G595" i="1" s="1"/>
  <c r="D309" i="1"/>
  <c r="D305" i="1"/>
  <c r="F99" i="1"/>
  <c r="G99" i="1" s="1"/>
  <c r="I99" i="1"/>
  <c r="J99" i="1" s="1"/>
  <c r="AN147" i="1"/>
  <c r="AN677" i="1"/>
  <c r="AP677" i="1" s="1"/>
  <c r="AQ677" i="1" s="1"/>
  <c r="W268" i="1"/>
  <c r="I101" i="1"/>
  <c r="J101" i="1" s="1"/>
  <c r="F101" i="1"/>
  <c r="G101" i="1" s="1"/>
  <c r="I484" i="1"/>
  <c r="J484" i="1" s="1"/>
  <c r="F484" i="1"/>
  <c r="G484" i="1" s="1"/>
  <c r="F541" i="1"/>
  <c r="G541" i="1" s="1"/>
  <c r="I541" i="1"/>
  <c r="J541" i="1" s="1"/>
  <c r="W71" i="1"/>
  <c r="W451" i="1"/>
  <c r="D451" i="1" s="1"/>
  <c r="D298" i="1"/>
  <c r="Y298" i="1"/>
  <c r="AN298" i="1"/>
  <c r="AP298" i="1" s="1"/>
  <c r="AQ298" i="1" s="1"/>
  <c r="BT683" i="1"/>
  <c r="BT15" i="1"/>
  <c r="BN683" i="1"/>
  <c r="BN15" i="1"/>
  <c r="F468" i="1"/>
  <c r="G468" i="1" s="1"/>
  <c r="I468" i="1"/>
  <c r="J468" i="1" s="1"/>
  <c r="F147" i="1"/>
  <c r="G147" i="1" s="1"/>
  <c r="I147" i="1"/>
  <c r="J147" i="1" s="1"/>
  <c r="BG25" i="1"/>
  <c r="BG34" i="1" s="1"/>
  <c r="BT34" i="1"/>
  <c r="BA25" i="1"/>
  <c r="BA34" i="1" s="1"/>
  <c r="BN34" i="1"/>
  <c r="BB25" i="1"/>
  <c r="BB34" i="1" s="1"/>
  <c r="BO34" i="1"/>
  <c r="V317" i="1"/>
  <c r="D141" i="1"/>
  <c r="Y141" i="1"/>
  <c r="AP185" i="1"/>
  <c r="AQ185" i="1" s="1"/>
  <c r="AS185" i="1"/>
  <c r="AT185" i="1" s="1"/>
  <c r="F105" i="1"/>
  <c r="G105" i="1" s="1"/>
  <c r="I105" i="1"/>
  <c r="J105" i="1" s="1"/>
  <c r="S473" i="1"/>
  <c r="T169" i="1"/>
  <c r="U169" i="1" s="1"/>
  <c r="V169" i="1" s="1"/>
  <c r="W169" i="1" s="1"/>
  <c r="W36" i="1"/>
  <c r="BP683" i="1"/>
  <c r="BP15" i="1"/>
  <c r="BJ683" i="1"/>
  <c r="BJ15" i="1"/>
  <c r="V642" i="1"/>
  <c r="I168" i="1"/>
  <c r="J168" i="1" s="1"/>
  <c r="F168" i="1"/>
  <c r="G168" i="1" s="1"/>
  <c r="S242" i="1"/>
  <c r="D284" i="1"/>
  <c r="U679" i="1"/>
  <c r="V94" i="1"/>
  <c r="S270" i="1"/>
  <c r="D160" i="1"/>
  <c r="Y160" i="1"/>
  <c r="V466" i="1"/>
  <c r="W466" i="1" s="1"/>
  <c r="Y466" i="1" s="1"/>
  <c r="F452" i="1"/>
  <c r="G452" i="1" s="1"/>
  <c r="I452" i="1"/>
  <c r="J452" i="1" s="1"/>
  <c r="F540" i="1"/>
  <c r="G540" i="1" s="1"/>
  <c r="I540" i="1"/>
  <c r="J540" i="1" s="1"/>
  <c r="AN160" i="1"/>
  <c r="AP160" i="1" s="1"/>
  <c r="AQ160" i="1" s="1"/>
  <c r="U153" i="1"/>
  <c r="V153" i="1" s="1"/>
  <c r="R143" i="1"/>
  <c r="T128" i="1"/>
  <c r="D355" i="1"/>
  <c r="V46" i="1"/>
  <c r="W46" i="1" s="1"/>
  <c r="Y46" i="1" s="1"/>
  <c r="S661" i="1"/>
  <c r="S668" i="1" s="1"/>
  <c r="Y176" i="1"/>
  <c r="D176" i="1"/>
  <c r="AN138" i="1"/>
  <c r="AP138" i="1" s="1"/>
  <c r="AQ138" i="1" s="1"/>
  <c r="T43" i="1"/>
  <c r="T50" i="1" s="1"/>
  <c r="BI683" i="1"/>
  <c r="BI15" i="1"/>
  <c r="BL683" i="1"/>
  <c r="BL15" i="1"/>
  <c r="F107" i="1"/>
  <c r="G107" i="1" s="1"/>
  <c r="I107" i="1"/>
  <c r="J107" i="1" s="1"/>
  <c r="I125" i="1"/>
  <c r="J125" i="1" s="1"/>
  <c r="F125" i="1"/>
  <c r="G125" i="1" s="1"/>
  <c r="AN309" i="1"/>
  <c r="AP309" i="1" s="1"/>
  <c r="AQ309" i="1" s="1"/>
  <c r="V585" i="1"/>
  <c r="W583" i="1"/>
  <c r="U271" i="1"/>
  <c r="V271" i="1" s="1"/>
  <c r="D465" i="1"/>
  <c r="D126" i="1"/>
  <c r="D157" i="1"/>
  <c r="T463" i="1"/>
  <c r="T473" i="1" s="1"/>
  <c r="U63" i="1"/>
  <c r="V63" i="1" s="1"/>
  <c r="I453" i="1"/>
  <c r="J453" i="1" s="1"/>
  <c r="F453" i="1"/>
  <c r="G453" i="1" s="1"/>
  <c r="AN483" i="1"/>
  <c r="AP483" i="1" s="1"/>
  <c r="AQ483" i="1" s="1"/>
  <c r="Y483" i="1"/>
  <c r="U343" i="1"/>
  <c r="Y387" i="1"/>
  <c r="D387" i="1"/>
  <c r="BC627" i="1"/>
  <c r="AZ627" i="1"/>
  <c r="BA627" i="1"/>
  <c r="BF627" i="1"/>
  <c r="AY242" i="1"/>
  <c r="V280" i="1"/>
  <c r="W280" i="1" s="1"/>
  <c r="Y136" i="1"/>
  <c r="AP187" i="1"/>
  <c r="AQ187" i="1" s="1"/>
  <c r="AS187" i="1"/>
  <c r="AT187" i="1" s="1"/>
  <c r="F521" i="1"/>
  <c r="G521" i="1" s="1"/>
  <c r="I521" i="1"/>
  <c r="J521" i="1" s="1"/>
  <c r="BR683" i="1"/>
  <c r="BR15" i="1"/>
  <c r="W38" i="1"/>
  <c r="W386" i="1"/>
  <c r="AN387" i="1"/>
  <c r="AP387" i="1" s="1"/>
  <c r="AQ387" i="1" s="1"/>
  <c r="I349" i="1"/>
  <c r="J349" i="1" s="1"/>
  <c r="F349" i="1"/>
  <c r="G349" i="1" s="1"/>
  <c r="W287" i="1"/>
  <c r="Q566" i="1"/>
  <c r="Q690" i="1" s="1"/>
  <c r="W551" i="1"/>
  <c r="T662" i="1"/>
  <c r="U662" i="1" s="1"/>
  <c r="V662" i="1" s="1"/>
  <c r="D236" i="1"/>
  <c r="T282" i="1"/>
  <c r="F178" i="1"/>
  <c r="G178" i="1" s="1"/>
  <c r="I178" i="1"/>
  <c r="J178" i="1" s="1"/>
  <c r="S408" i="1"/>
  <c r="I388" i="1"/>
  <c r="J388" i="1" s="1"/>
  <c r="F388" i="1"/>
  <c r="G388" i="1" s="1"/>
  <c r="I407" i="1"/>
  <c r="J407" i="1" s="1"/>
  <c r="F407" i="1"/>
  <c r="G407" i="1" s="1"/>
  <c r="Y177" i="1"/>
  <c r="I520" i="1"/>
  <c r="J520" i="1" s="1"/>
  <c r="F520" i="1"/>
  <c r="G520" i="1" s="1"/>
  <c r="Y97" i="1"/>
  <c r="D196" i="1"/>
  <c r="F428" i="1"/>
  <c r="G428" i="1" s="1"/>
  <c r="I428" i="1"/>
  <c r="J428" i="1" s="1"/>
  <c r="D591" i="1"/>
  <c r="Y591" i="1"/>
  <c r="AN591" i="1"/>
  <c r="AP591" i="1" s="1"/>
  <c r="AQ591" i="1" s="1"/>
  <c r="D48" i="1"/>
  <c r="U73" i="1"/>
  <c r="V73" i="1" s="1"/>
  <c r="W73" i="1" s="1"/>
  <c r="I481" i="1"/>
  <c r="J481" i="1" s="1"/>
  <c r="F481" i="1"/>
  <c r="G481" i="1" s="1"/>
  <c r="F283" i="1"/>
  <c r="G283" i="1" s="1"/>
  <c r="I283" i="1"/>
  <c r="J283" i="1" s="1"/>
  <c r="Y638" i="1"/>
  <c r="Y103" i="1"/>
  <c r="Y47" i="1"/>
  <c r="AN47" i="1"/>
  <c r="AP47" i="1" s="1"/>
  <c r="AQ47" i="1" s="1"/>
  <c r="W673" i="1"/>
  <c r="D673" i="1" s="1"/>
  <c r="F501" i="1"/>
  <c r="G501" i="1" s="1"/>
  <c r="I501" i="1"/>
  <c r="J501" i="1" s="1"/>
  <c r="F644" i="1"/>
  <c r="G644" i="1" s="1"/>
  <c r="I644" i="1"/>
  <c r="J644" i="1" s="1"/>
  <c r="U264" i="1"/>
  <c r="V260" i="1"/>
  <c r="AN180" i="1"/>
  <c r="AP180" i="1" s="1"/>
  <c r="AQ180" i="1" s="1"/>
  <c r="D212" i="1"/>
  <c r="AO585" i="4" l="1"/>
  <c r="AS583" i="4"/>
  <c r="AT583" i="4" s="1"/>
  <c r="AP583" i="4"/>
  <c r="AQ583" i="4" s="1"/>
  <c r="F316" i="1"/>
  <c r="G316" i="1" s="1"/>
  <c r="AN175" i="1"/>
  <c r="AP175" i="1" s="1"/>
  <c r="AQ175" i="1" s="1"/>
  <c r="BT608" i="4"/>
  <c r="BT689" i="4"/>
  <c r="BT691" i="4" s="1"/>
  <c r="BT13" i="4"/>
  <c r="I272" i="1"/>
  <c r="J272" i="1" s="1"/>
  <c r="D175" i="1"/>
  <c r="BG690" i="4"/>
  <c r="BG12" i="4"/>
  <c r="BG568" i="4"/>
  <c r="BT616" i="4"/>
  <c r="AR691" i="4"/>
  <c r="AR689" i="4"/>
  <c r="AR13" i="4"/>
  <c r="AR11" i="4" s="1"/>
  <c r="AR608" i="4"/>
  <c r="AR612" i="4" s="1"/>
  <c r="F480" i="1"/>
  <c r="G480" i="1" s="1"/>
  <c r="AN421" i="1"/>
  <c r="AP421" i="1" s="1"/>
  <c r="AQ421" i="1" s="1"/>
  <c r="AS556" i="4"/>
  <c r="AT556" i="4" s="1"/>
  <c r="AP556" i="4"/>
  <c r="AQ556" i="4" s="1"/>
  <c r="AO564" i="4"/>
  <c r="BT11" i="4"/>
  <c r="AR616" i="4"/>
  <c r="AR620" i="4" s="1"/>
  <c r="AR572" i="4"/>
  <c r="BG13" i="4"/>
  <c r="BG608" i="4"/>
  <c r="BG689" i="4"/>
  <c r="W226" i="1"/>
  <c r="I103" i="1"/>
  <c r="J103" i="1" s="1"/>
  <c r="U485" i="1"/>
  <c r="V485" i="1" s="1"/>
  <c r="W485" i="1" s="1"/>
  <c r="V536" i="1"/>
  <c r="W536" i="1" s="1"/>
  <c r="D68" i="1"/>
  <c r="Y399" i="1"/>
  <c r="AS583" i="1"/>
  <c r="AT583" i="1" s="1"/>
  <c r="D506" i="1"/>
  <c r="T96" i="1"/>
  <c r="I321" i="1"/>
  <c r="J321" i="1" s="1"/>
  <c r="F318" i="1"/>
  <c r="G318" i="1" s="1"/>
  <c r="I638" i="1"/>
  <c r="J638" i="1" s="1"/>
  <c r="I198" i="1"/>
  <c r="J198" i="1" s="1"/>
  <c r="I508" i="1"/>
  <c r="J508" i="1" s="1"/>
  <c r="AN68" i="1"/>
  <c r="AP68" i="1" s="1"/>
  <c r="AQ68" i="1" s="1"/>
  <c r="AN486" i="1"/>
  <c r="AP486" i="1" s="1"/>
  <c r="AQ486" i="1" s="1"/>
  <c r="AN83" i="1"/>
  <c r="AP83" i="1" s="1"/>
  <c r="AQ83" i="1" s="1"/>
  <c r="Y486" i="1"/>
  <c r="I137" i="1"/>
  <c r="J137" i="1" s="1"/>
  <c r="BM137" i="1"/>
  <c r="BQ137" i="1"/>
  <c r="BI137" i="1"/>
  <c r="BL137" i="1"/>
  <c r="BR137" i="1"/>
  <c r="BN137" i="1"/>
  <c r="BS137" i="1"/>
  <c r="BK137" i="1"/>
  <c r="BO137" i="1"/>
  <c r="BP137" i="1"/>
  <c r="BJ137" i="1"/>
  <c r="BT137" i="1"/>
  <c r="I342" i="1"/>
  <c r="J342" i="1" s="1"/>
  <c r="Y166" i="1"/>
  <c r="Y273" i="1"/>
  <c r="V416" i="1"/>
  <c r="BJ357" i="1"/>
  <c r="AW357" i="1" s="1"/>
  <c r="BN357" i="1"/>
  <c r="BA357" i="1" s="1"/>
  <c r="BR357" i="1"/>
  <c r="BE357" i="1" s="1"/>
  <c r="BK357" i="1"/>
  <c r="AX357" i="1" s="1"/>
  <c r="BO357" i="1"/>
  <c r="BB357" i="1" s="1"/>
  <c r="BS357" i="1"/>
  <c r="BF357" i="1" s="1"/>
  <c r="BL357" i="1"/>
  <c r="AY357" i="1" s="1"/>
  <c r="BP357" i="1"/>
  <c r="BC357" i="1" s="1"/>
  <c r="BT357" i="1"/>
  <c r="BG357" i="1" s="1"/>
  <c r="BM357" i="1"/>
  <c r="AZ357" i="1" s="1"/>
  <c r="BQ357" i="1"/>
  <c r="BD357" i="1" s="1"/>
  <c r="BI357" i="1"/>
  <c r="BA115" i="1"/>
  <c r="BA120" i="1" s="1"/>
  <c r="BN120" i="1"/>
  <c r="BG115" i="1"/>
  <c r="BG120" i="1" s="1"/>
  <c r="BT120" i="1"/>
  <c r="AZ115" i="1"/>
  <c r="AZ120" i="1" s="1"/>
  <c r="BM120" i="1"/>
  <c r="BD115" i="1"/>
  <c r="BD120" i="1" s="1"/>
  <c r="BQ120" i="1"/>
  <c r="AX115" i="1"/>
  <c r="AX120" i="1" s="1"/>
  <c r="BK120" i="1"/>
  <c r="D273" i="1"/>
  <c r="I47" i="1"/>
  <c r="J47" i="1" s="1"/>
  <c r="BE115" i="1"/>
  <c r="BE120" i="1" s="1"/>
  <c r="BR120" i="1"/>
  <c r="BF115" i="1"/>
  <c r="BF120" i="1" s="1"/>
  <c r="BS120" i="1"/>
  <c r="AW115" i="1"/>
  <c r="AW120" i="1" s="1"/>
  <c r="BJ120" i="1"/>
  <c r="BC115" i="1"/>
  <c r="BC120" i="1" s="1"/>
  <c r="BP120" i="1"/>
  <c r="F44" i="1"/>
  <c r="G44" i="1" s="1"/>
  <c r="I158" i="1"/>
  <c r="J158" i="1" s="1"/>
  <c r="Y230" i="1"/>
  <c r="BL509" i="1"/>
  <c r="AY509" i="1" s="1"/>
  <c r="BP509" i="1"/>
  <c r="BC509" i="1" s="1"/>
  <c r="BN509" i="1"/>
  <c r="BA509" i="1" s="1"/>
  <c r="BS509" i="1"/>
  <c r="BF509" i="1" s="1"/>
  <c r="BO509" i="1"/>
  <c r="BB509" i="1" s="1"/>
  <c r="BJ509" i="1"/>
  <c r="AW509" i="1" s="1"/>
  <c r="BQ509" i="1"/>
  <c r="BD509" i="1" s="1"/>
  <c r="BK509" i="1"/>
  <c r="AX509" i="1" s="1"/>
  <c r="BR509" i="1"/>
  <c r="BE509" i="1" s="1"/>
  <c r="BM509" i="1"/>
  <c r="AZ509" i="1" s="1"/>
  <c r="BI509" i="1"/>
  <c r="D304" i="1"/>
  <c r="AY115" i="1"/>
  <c r="AY120" i="1" s="1"/>
  <c r="BL120" i="1"/>
  <c r="BB115" i="1"/>
  <c r="BB120" i="1" s="1"/>
  <c r="BO120" i="1"/>
  <c r="AO115" i="1"/>
  <c r="AV115" i="1"/>
  <c r="AV120" i="1" s="1"/>
  <c r="AR115" i="1"/>
  <c r="AR120" i="1" s="1"/>
  <c r="BI120" i="1"/>
  <c r="Y304" i="1"/>
  <c r="AS585" i="1"/>
  <c r="AT585" i="1" s="1"/>
  <c r="AO13" i="1"/>
  <c r="AS13" i="1" s="1"/>
  <c r="AT13" i="1" s="1"/>
  <c r="AO608" i="1"/>
  <c r="AS608" i="1" s="1"/>
  <c r="AT608" i="1" s="1"/>
  <c r="D442" i="1"/>
  <c r="I442" i="1" s="1"/>
  <c r="J442" i="1" s="1"/>
  <c r="AN346" i="1"/>
  <c r="AP346" i="1" s="1"/>
  <c r="AQ346" i="1" s="1"/>
  <c r="D45" i="1"/>
  <c r="F45" i="1" s="1"/>
  <c r="G45" i="1" s="1"/>
  <c r="T661" i="1"/>
  <c r="U661" i="1" s="1"/>
  <c r="I677" i="1"/>
  <c r="J677" i="1" s="1"/>
  <c r="F415" i="1"/>
  <c r="G415" i="1" s="1"/>
  <c r="F537" i="1"/>
  <c r="G537" i="1" s="1"/>
  <c r="W134" i="1"/>
  <c r="D134" i="1" s="1"/>
  <c r="Y172" i="1"/>
  <c r="W216" i="1"/>
  <c r="AN289" i="1"/>
  <c r="AP289" i="1" s="1"/>
  <c r="AQ289" i="1" s="1"/>
  <c r="AN155" i="1"/>
  <c r="AP155" i="1" s="1"/>
  <c r="AQ155" i="1" s="1"/>
  <c r="I393" i="1"/>
  <c r="J393" i="1" s="1"/>
  <c r="V394" i="1"/>
  <c r="W394" i="1" s="1"/>
  <c r="D399" i="1"/>
  <c r="I399" i="1" s="1"/>
  <c r="J399" i="1" s="1"/>
  <c r="D230" i="1"/>
  <c r="I230" i="1" s="1"/>
  <c r="J230" i="1" s="1"/>
  <c r="F559" i="1"/>
  <c r="G559" i="1" s="1"/>
  <c r="AN186" i="1"/>
  <c r="AP186" i="1" s="1"/>
  <c r="AQ186" i="1" s="1"/>
  <c r="D186" i="1"/>
  <c r="F186" i="1" s="1"/>
  <c r="G186" i="1" s="1"/>
  <c r="Y346" i="1"/>
  <c r="D172" i="1"/>
  <c r="I172" i="1" s="1"/>
  <c r="J172" i="1" s="1"/>
  <c r="I45" i="1"/>
  <c r="J45" i="1" s="1"/>
  <c r="F97" i="1"/>
  <c r="G97" i="1" s="1"/>
  <c r="W299" i="1"/>
  <c r="Y531" i="1"/>
  <c r="U53" i="1"/>
  <c r="V52" i="1"/>
  <c r="AN531" i="1"/>
  <c r="I421" i="1"/>
  <c r="J421" i="1" s="1"/>
  <c r="AN506" i="1"/>
  <c r="AP506" i="1" s="1"/>
  <c r="AQ506" i="1" s="1"/>
  <c r="I353" i="1"/>
  <c r="J353" i="1" s="1"/>
  <c r="F137" i="1"/>
  <c r="G137" i="1" s="1"/>
  <c r="Y45" i="1"/>
  <c r="W179" i="1"/>
  <c r="AN45" i="1"/>
  <c r="AP45" i="1" s="1"/>
  <c r="AQ45" i="1" s="1"/>
  <c r="W557" i="1"/>
  <c r="Y557" i="1" s="1"/>
  <c r="AV242" i="1"/>
  <c r="F177" i="1"/>
  <c r="G177" i="1" s="1"/>
  <c r="R566" i="1"/>
  <c r="R690" i="1" s="1"/>
  <c r="Y353" i="1"/>
  <c r="Y68" i="1"/>
  <c r="Y289" i="1"/>
  <c r="AO242" i="1"/>
  <c r="V527" i="1"/>
  <c r="AN213" i="1"/>
  <c r="AP213" i="1" s="1"/>
  <c r="AQ213" i="1" s="1"/>
  <c r="Y213" i="1"/>
  <c r="D213" i="1"/>
  <c r="AN201" i="1"/>
  <c r="AP201" i="1" s="1"/>
  <c r="AQ201" i="1" s="1"/>
  <c r="D201" i="1"/>
  <c r="Y201" i="1"/>
  <c r="V343" i="1"/>
  <c r="W343" i="1" s="1"/>
  <c r="AN343" i="1" s="1"/>
  <c r="AP343" i="1" s="1"/>
  <c r="AQ343" i="1" s="1"/>
  <c r="T242" i="1"/>
  <c r="S648" i="1"/>
  <c r="S14" i="1" s="1"/>
  <c r="W281" i="1"/>
  <c r="D202" i="1"/>
  <c r="I202" i="1" s="1"/>
  <c r="J202" i="1" s="1"/>
  <c r="D645" i="1"/>
  <c r="F645" i="1" s="1"/>
  <c r="G645" i="1" s="1"/>
  <c r="U360" i="1"/>
  <c r="V183" i="1"/>
  <c r="W183" i="1" s="1"/>
  <c r="Y183" i="1" s="1"/>
  <c r="D289" i="1"/>
  <c r="I322" i="1"/>
  <c r="J322" i="1" s="1"/>
  <c r="F322" i="1"/>
  <c r="G322" i="1" s="1"/>
  <c r="Y421" i="1"/>
  <c r="W522" i="1"/>
  <c r="Y522" i="1" s="1"/>
  <c r="T648" i="1"/>
  <c r="T14" i="1" s="1"/>
  <c r="I162" i="1"/>
  <c r="J162" i="1" s="1"/>
  <c r="F162" i="1"/>
  <c r="G162" i="1" s="1"/>
  <c r="F293" i="1"/>
  <c r="G293" i="1" s="1"/>
  <c r="I293" i="1"/>
  <c r="J293" i="1" s="1"/>
  <c r="W271" i="1"/>
  <c r="AN208" i="1"/>
  <c r="AP208" i="1" s="1"/>
  <c r="AQ208" i="1" s="1"/>
  <c r="D217" i="1"/>
  <c r="F217" i="1" s="1"/>
  <c r="G217" i="1" s="1"/>
  <c r="AN399" i="1"/>
  <c r="AP399" i="1" s="1"/>
  <c r="AQ399" i="1" s="1"/>
  <c r="F434" i="1"/>
  <c r="G434" i="1" s="1"/>
  <c r="I434" i="1"/>
  <c r="J434" i="1" s="1"/>
  <c r="AN353" i="1"/>
  <c r="AP353" i="1" s="1"/>
  <c r="AQ353" i="1" s="1"/>
  <c r="Y280" i="1"/>
  <c r="D280" i="1"/>
  <c r="AN280" i="1"/>
  <c r="AP280" i="1" s="1"/>
  <c r="AQ280" i="1" s="1"/>
  <c r="W153" i="1"/>
  <c r="D153" i="1" s="1"/>
  <c r="Y169" i="1"/>
  <c r="AN169" i="1"/>
  <c r="AP169" i="1" s="1"/>
  <c r="AQ169" i="1" s="1"/>
  <c r="D169" i="1"/>
  <c r="U39" i="1"/>
  <c r="U41" i="1" s="1"/>
  <c r="T41" i="1"/>
  <c r="T55" i="1" s="1"/>
  <c r="I673" i="1"/>
  <c r="J673" i="1" s="1"/>
  <c r="F673" i="1"/>
  <c r="G673" i="1" s="1"/>
  <c r="AN411" i="1"/>
  <c r="AP411" i="1" s="1"/>
  <c r="AQ411" i="1" s="1"/>
  <c r="D411" i="1"/>
  <c r="Y411" i="1"/>
  <c r="F451" i="1"/>
  <c r="G451" i="1" s="1"/>
  <c r="I451" i="1"/>
  <c r="J451" i="1" s="1"/>
  <c r="F31" i="1"/>
  <c r="G31" i="1" s="1"/>
  <c r="I31" i="1"/>
  <c r="J31" i="1" s="1"/>
  <c r="Y174" i="1"/>
  <c r="AN174" i="1"/>
  <c r="AP174" i="1" s="1"/>
  <c r="AQ174" i="1" s="1"/>
  <c r="D174" i="1"/>
  <c r="AN211" i="1"/>
  <c r="AP211" i="1" s="1"/>
  <c r="AQ211" i="1" s="1"/>
  <c r="D211" i="1"/>
  <c r="Y211" i="1"/>
  <c r="AN327" i="1"/>
  <c r="AP327" i="1" s="1"/>
  <c r="AQ327" i="1" s="1"/>
  <c r="Y327" i="1"/>
  <c r="D327" i="1"/>
  <c r="F636" i="1"/>
  <c r="G636" i="1" s="1"/>
  <c r="I636" i="1"/>
  <c r="J636" i="1" s="1"/>
  <c r="D100" i="1"/>
  <c r="Y100" i="1"/>
  <c r="AN100" i="1"/>
  <c r="AP100" i="1" s="1"/>
  <c r="AQ100" i="1" s="1"/>
  <c r="AN639" i="1"/>
  <c r="AP639" i="1" s="1"/>
  <c r="AQ639" i="1" s="1"/>
  <c r="Y639" i="1"/>
  <c r="AN420" i="1"/>
  <c r="AP420" i="1" s="1"/>
  <c r="AQ420" i="1" s="1"/>
  <c r="Y420" i="1"/>
  <c r="D420" i="1"/>
  <c r="Y536" i="1"/>
  <c r="AN536" i="1"/>
  <c r="AP536" i="1" s="1"/>
  <c r="AQ536" i="1" s="1"/>
  <c r="D536" i="1"/>
  <c r="D261" i="1"/>
  <c r="Y261" i="1"/>
  <c r="AN261" i="1"/>
  <c r="AP261" i="1" s="1"/>
  <c r="AQ261" i="1" s="1"/>
  <c r="Y73" i="1"/>
  <c r="AN73" i="1"/>
  <c r="AP73" i="1" s="1"/>
  <c r="AQ73" i="1" s="1"/>
  <c r="D73" i="1"/>
  <c r="W63" i="1"/>
  <c r="V90" i="1"/>
  <c r="R689" i="1"/>
  <c r="I124" i="1"/>
  <c r="J124" i="1" s="1"/>
  <c r="F124" i="1"/>
  <c r="G124" i="1" s="1"/>
  <c r="AN85" i="1"/>
  <c r="AP85" i="1" s="1"/>
  <c r="AQ85" i="1" s="1"/>
  <c r="Y85" i="1"/>
  <c r="D85" i="1"/>
  <c r="Y320" i="1"/>
  <c r="D320" i="1"/>
  <c r="AN320" i="1"/>
  <c r="AP320" i="1" s="1"/>
  <c r="AQ320" i="1" s="1"/>
  <c r="D326" i="1"/>
  <c r="AN326" i="1"/>
  <c r="AP326" i="1" s="1"/>
  <c r="AQ326" i="1" s="1"/>
  <c r="Y326" i="1"/>
  <c r="F478" i="1"/>
  <c r="G478" i="1" s="1"/>
  <c r="I478" i="1"/>
  <c r="J478" i="1" s="1"/>
  <c r="U282" i="1"/>
  <c r="V282" i="1" s="1"/>
  <c r="W282" i="1" s="1"/>
  <c r="D271" i="1"/>
  <c r="AN271" i="1"/>
  <c r="AP271" i="1" s="1"/>
  <c r="AQ271" i="1" s="1"/>
  <c r="Y271" i="1"/>
  <c r="I61" i="1"/>
  <c r="J61" i="1" s="1"/>
  <c r="F61" i="1"/>
  <c r="G61" i="1" s="1"/>
  <c r="I154" i="1"/>
  <c r="J154" i="1" s="1"/>
  <c r="F154" i="1"/>
  <c r="G154" i="1" s="1"/>
  <c r="AN394" i="1"/>
  <c r="AP394" i="1" s="1"/>
  <c r="AQ394" i="1" s="1"/>
  <c r="D328" i="1"/>
  <c r="Y328" i="1"/>
  <c r="D131" i="1"/>
  <c r="Y131" i="1"/>
  <c r="AN131" i="1"/>
  <c r="AP131" i="1" s="1"/>
  <c r="AQ131" i="1" s="1"/>
  <c r="F230" i="1"/>
  <c r="G230" i="1" s="1"/>
  <c r="I593" i="1"/>
  <c r="J593" i="1" s="1"/>
  <c r="F593" i="1"/>
  <c r="G593" i="1" s="1"/>
  <c r="AO683" i="1"/>
  <c r="AO706" i="1" s="1"/>
  <c r="AS668" i="1"/>
  <c r="AT668" i="1" s="1"/>
  <c r="AO15" i="1"/>
  <c r="D281" i="1"/>
  <c r="AN281" i="1"/>
  <c r="AP281" i="1" s="1"/>
  <c r="AQ281" i="1" s="1"/>
  <c r="I192" i="1"/>
  <c r="J192" i="1" s="1"/>
  <c r="F192" i="1"/>
  <c r="G192" i="1" s="1"/>
  <c r="I186" i="1"/>
  <c r="J186" i="1" s="1"/>
  <c r="F356" i="1"/>
  <c r="G356" i="1" s="1"/>
  <c r="I356" i="1"/>
  <c r="J356" i="1" s="1"/>
  <c r="I72" i="1"/>
  <c r="J72" i="1" s="1"/>
  <c r="F72" i="1"/>
  <c r="G72" i="1" s="1"/>
  <c r="D77" i="1"/>
  <c r="AN77" i="1"/>
  <c r="AP77" i="1" s="1"/>
  <c r="AQ77" i="1" s="1"/>
  <c r="Y77" i="1"/>
  <c r="F173" i="1"/>
  <c r="G173" i="1" s="1"/>
  <c r="I173" i="1"/>
  <c r="J173" i="1" s="1"/>
  <c r="I430" i="1"/>
  <c r="J430" i="1" s="1"/>
  <c r="F430" i="1"/>
  <c r="G430" i="1" s="1"/>
  <c r="AN222" i="1"/>
  <c r="AP222" i="1" s="1"/>
  <c r="AQ222" i="1" s="1"/>
  <c r="Y222" i="1"/>
  <c r="F238" i="1"/>
  <c r="G238" i="1" s="1"/>
  <c r="I238" i="1"/>
  <c r="J238" i="1" s="1"/>
  <c r="I233" i="1"/>
  <c r="J233" i="1" s="1"/>
  <c r="F233" i="1"/>
  <c r="G233" i="1" s="1"/>
  <c r="I404" i="1"/>
  <c r="J404" i="1" s="1"/>
  <c r="F404" i="1"/>
  <c r="G404" i="1" s="1"/>
  <c r="AN287" i="1"/>
  <c r="AP287" i="1" s="1"/>
  <c r="AQ287" i="1" s="1"/>
  <c r="D287" i="1"/>
  <c r="Y287" i="1"/>
  <c r="W482" i="1"/>
  <c r="F465" i="1"/>
  <c r="G465" i="1" s="1"/>
  <c r="I465" i="1"/>
  <c r="J465" i="1" s="1"/>
  <c r="W585" i="1"/>
  <c r="AN583" i="1"/>
  <c r="Y583" i="1"/>
  <c r="Y585" i="1" s="1"/>
  <c r="D583" i="1"/>
  <c r="S683" i="1"/>
  <c r="S15" i="1"/>
  <c r="T143" i="1"/>
  <c r="U128" i="1"/>
  <c r="I160" i="1"/>
  <c r="J160" i="1" s="1"/>
  <c r="F160" i="1"/>
  <c r="G160" i="1" s="1"/>
  <c r="AN134" i="1"/>
  <c r="AP134" i="1" s="1"/>
  <c r="AQ134" i="1" s="1"/>
  <c r="S650" i="1"/>
  <c r="AP147" i="1"/>
  <c r="AQ147" i="1" s="1"/>
  <c r="F345" i="1"/>
  <c r="G345" i="1" s="1"/>
  <c r="I345" i="1"/>
  <c r="J345" i="1" s="1"/>
  <c r="I78" i="1"/>
  <c r="J78" i="1" s="1"/>
  <c r="F78" i="1"/>
  <c r="G78" i="1" s="1"/>
  <c r="Y461" i="1"/>
  <c r="AN461" i="1"/>
  <c r="F395" i="1"/>
  <c r="G395" i="1" s="1"/>
  <c r="I395" i="1"/>
  <c r="J395" i="1" s="1"/>
  <c r="F148" i="1"/>
  <c r="G148" i="1" s="1"/>
  <c r="I148" i="1"/>
  <c r="J148" i="1" s="1"/>
  <c r="AS627" i="1"/>
  <c r="AT627" i="1" s="1"/>
  <c r="AP627" i="1"/>
  <c r="AQ627" i="1" s="1"/>
  <c r="U43" i="1"/>
  <c r="V34" i="1"/>
  <c r="W24" i="1"/>
  <c r="F27" i="1"/>
  <c r="G27" i="1" s="1"/>
  <c r="I27" i="1"/>
  <c r="J27" i="1" s="1"/>
  <c r="R683" i="1"/>
  <c r="R15" i="1"/>
  <c r="D208" i="1"/>
  <c r="Y208" i="1"/>
  <c r="AP25" i="1"/>
  <c r="AQ25" i="1" s="1"/>
  <c r="AS25" i="1"/>
  <c r="AT25" i="1" s="1"/>
  <c r="AO34" i="1"/>
  <c r="U648" i="1"/>
  <c r="V635" i="1"/>
  <c r="U300" i="1"/>
  <c r="V300" i="1" s="1"/>
  <c r="W300" i="1" s="1"/>
  <c r="W431" i="1"/>
  <c r="Y431" i="1" s="1"/>
  <c r="U286" i="1"/>
  <c r="V286" i="1" s="1"/>
  <c r="W286" i="1" s="1"/>
  <c r="D286" i="1" s="1"/>
  <c r="AP189" i="1"/>
  <c r="AQ189" i="1" s="1"/>
  <c r="AS189" i="1"/>
  <c r="AT189" i="1" s="1"/>
  <c r="W205" i="1"/>
  <c r="W662" i="1"/>
  <c r="Y226" i="1"/>
  <c r="AN226" i="1"/>
  <c r="AP226" i="1" s="1"/>
  <c r="AQ226" i="1" s="1"/>
  <c r="S606" i="1"/>
  <c r="T597" i="1"/>
  <c r="F175" i="1"/>
  <c r="G175" i="1" s="1"/>
  <c r="I175" i="1"/>
  <c r="J175" i="1" s="1"/>
  <c r="Y281" i="1"/>
  <c r="D556" i="1"/>
  <c r="AN556" i="1"/>
  <c r="AP556" i="1" s="1"/>
  <c r="AQ556" i="1" s="1"/>
  <c r="I188" i="1"/>
  <c r="J188" i="1" s="1"/>
  <c r="F188" i="1"/>
  <c r="G188" i="1" s="1"/>
  <c r="I307" i="1"/>
  <c r="J307" i="1" s="1"/>
  <c r="F307" i="1"/>
  <c r="G307" i="1" s="1"/>
  <c r="F347" i="1"/>
  <c r="G347" i="1" s="1"/>
  <c r="I347" i="1"/>
  <c r="J347" i="1" s="1"/>
  <c r="S564" i="1"/>
  <c r="AS681" i="1"/>
  <c r="AT681" i="1" s="1"/>
  <c r="AN303" i="1"/>
  <c r="AP303" i="1" s="1"/>
  <c r="AQ303" i="1" s="1"/>
  <c r="D303" i="1"/>
  <c r="Y315" i="1"/>
  <c r="T366" i="1"/>
  <c r="U364" i="1"/>
  <c r="W64" i="1"/>
  <c r="D87" i="1"/>
  <c r="Y87" i="1"/>
  <c r="F288" i="1"/>
  <c r="G288" i="1" s="1"/>
  <c r="I288" i="1"/>
  <c r="J288" i="1" s="1"/>
  <c r="F26" i="1"/>
  <c r="G26" i="1" s="1"/>
  <c r="I26" i="1"/>
  <c r="J26" i="1" s="1"/>
  <c r="AN202" i="1"/>
  <c r="AP202" i="1" s="1"/>
  <c r="AQ202" i="1" s="1"/>
  <c r="F221" i="1"/>
  <c r="G221" i="1" s="1"/>
  <c r="I221" i="1"/>
  <c r="J221" i="1" s="1"/>
  <c r="F323" i="1"/>
  <c r="G323" i="1" s="1"/>
  <c r="I323" i="1"/>
  <c r="J323" i="1" s="1"/>
  <c r="I65" i="1"/>
  <c r="J65" i="1" s="1"/>
  <c r="F65" i="1"/>
  <c r="G65" i="1" s="1"/>
  <c r="I486" i="1"/>
  <c r="J486" i="1" s="1"/>
  <c r="F486" i="1"/>
  <c r="G486" i="1" s="1"/>
  <c r="U527" i="1"/>
  <c r="D226" i="1"/>
  <c r="I454" i="1"/>
  <c r="J454" i="1" s="1"/>
  <c r="F454" i="1"/>
  <c r="G454" i="1" s="1"/>
  <c r="D222" i="1"/>
  <c r="U463" i="1"/>
  <c r="V339" i="1"/>
  <c r="I191" i="1"/>
  <c r="J191" i="1" s="1"/>
  <c r="F191" i="1"/>
  <c r="G191" i="1" s="1"/>
  <c r="F220" i="1"/>
  <c r="G220" i="1" s="1"/>
  <c r="I220" i="1"/>
  <c r="J220" i="1" s="1"/>
  <c r="U242" i="1"/>
  <c r="I236" i="1"/>
  <c r="J236" i="1" s="1"/>
  <c r="F236" i="1"/>
  <c r="G236" i="1" s="1"/>
  <c r="Y386" i="1"/>
  <c r="D386" i="1"/>
  <c r="AN386" i="1"/>
  <c r="F126" i="1"/>
  <c r="G126" i="1" s="1"/>
  <c r="I126" i="1"/>
  <c r="J126" i="1" s="1"/>
  <c r="F355" i="1"/>
  <c r="G355" i="1" s="1"/>
  <c r="I355" i="1"/>
  <c r="J355" i="1" s="1"/>
  <c r="D466" i="1"/>
  <c r="AN466" i="1"/>
  <c r="AP466" i="1" s="1"/>
  <c r="AQ466" i="1" s="1"/>
  <c r="AN36" i="1"/>
  <c r="D36" i="1"/>
  <c r="Y36" i="1"/>
  <c r="AN71" i="1"/>
  <c r="AP71" i="1" s="1"/>
  <c r="AQ71" i="1" s="1"/>
  <c r="D71" i="1"/>
  <c r="Y71" i="1"/>
  <c r="AN31" i="1"/>
  <c r="AP31" i="1" s="1"/>
  <c r="AQ31" i="1" s="1"/>
  <c r="Y31" i="1"/>
  <c r="D312" i="1"/>
  <c r="AN312" i="1"/>
  <c r="AP312" i="1" s="1"/>
  <c r="AQ312" i="1" s="1"/>
  <c r="Y312" i="1"/>
  <c r="T668" i="1"/>
  <c r="I262" i="1"/>
  <c r="J262" i="1" s="1"/>
  <c r="F262" i="1"/>
  <c r="G262" i="1" s="1"/>
  <c r="F660" i="1"/>
  <c r="G660" i="1" s="1"/>
  <c r="I660" i="1"/>
  <c r="J660" i="1" s="1"/>
  <c r="I641" i="1"/>
  <c r="J641" i="1" s="1"/>
  <c r="F641" i="1"/>
  <c r="G641" i="1" s="1"/>
  <c r="F136" i="1"/>
  <c r="G136" i="1" s="1"/>
  <c r="I136" i="1"/>
  <c r="J136" i="1" s="1"/>
  <c r="F163" i="1"/>
  <c r="G163" i="1" s="1"/>
  <c r="I163" i="1"/>
  <c r="J163" i="1" s="1"/>
  <c r="I447" i="1"/>
  <c r="J447" i="1" s="1"/>
  <c r="F447" i="1"/>
  <c r="G447" i="1" s="1"/>
  <c r="I196" i="1"/>
  <c r="J196" i="1" s="1"/>
  <c r="F196" i="1"/>
  <c r="G196" i="1" s="1"/>
  <c r="T408" i="1"/>
  <c r="T270" i="1"/>
  <c r="T331" i="1" s="1"/>
  <c r="S331" i="1"/>
  <c r="F141" i="1"/>
  <c r="G141" i="1" s="1"/>
  <c r="I141" i="1"/>
  <c r="J141" i="1" s="1"/>
  <c r="I298" i="1"/>
  <c r="J298" i="1" s="1"/>
  <c r="F298" i="1"/>
  <c r="G298" i="1" s="1"/>
  <c r="AN268" i="1"/>
  <c r="D268" i="1"/>
  <c r="Y268" i="1"/>
  <c r="I313" i="1"/>
  <c r="J313" i="1" s="1"/>
  <c r="F313" i="1"/>
  <c r="G313" i="1" s="1"/>
  <c r="U106" i="1"/>
  <c r="V106" i="1" s="1"/>
  <c r="W106" i="1" s="1"/>
  <c r="Y405" i="1"/>
  <c r="AN405" i="1"/>
  <c r="AP405" i="1" s="1"/>
  <c r="AQ405" i="1" s="1"/>
  <c r="D405" i="1"/>
  <c r="AN514" i="1"/>
  <c r="AP514" i="1" s="1"/>
  <c r="AQ514" i="1" s="1"/>
  <c r="D514" i="1"/>
  <c r="W151" i="1"/>
  <c r="V374" i="1"/>
  <c r="W370" i="1"/>
  <c r="I444" i="1"/>
  <c r="J444" i="1" s="1"/>
  <c r="F444" i="1"/>
  <c r="G444" i="1" s="1"/>
  <c r="F79" i="1"/>
  <c r="G79" i="1" s="1"/>
  <c r="I79" i="1"/>
  <c r="J79" i="1" s="1"/>
  <c r="AN589" i="1"/>
  <c r="Y589" i="1"/>
  <c r="I590" i="1"/>
  <c r="J590" i="1" s="1"/>
  <c r="F590" i="1"/>
  <c r="G590" i="1" s="1"/>
  <c r="I506" i="1"/>
  <c r="J506" i="1" s="1"/>
  <c r="F506" i="1"/>
  <c r="G506" i="1" s="1"/>
  <c r="W532" i="1"/>
  <c r="V547" i="1"/>
  <c r="I166" i="1"/>
  <c r="J166" i="1" s="1"/>
  <c r="F166" i="1"/>
  <c r="G166" i="1" s="1"/>
  <c r="U553" i="1"/>
  <c r="U564" i="1" s="1"/>
  <c r="Y124" i="1"/>
  <c r="I193" i="1"/>
  <c r="J193" i="1" s="1"/>
  <c r="F193" i="1"/>
  <c r="G193" i="1" s="1"/>
  <c r="AP660" i="1"/>
  <c r="AQ660" i="1" s="1"/>
  <c r="I435" i="1"/>
  <c r="J435" i="1" s="1"/>
  <c r="F435" i="1"/>
  <c r="G435" i="1" s="1"/>
  <c r="I634" i="1"/>
  <c r="J634" i="1" s="1"/>
  <c r="F634" i="1"/>
  <c r="G634" i="1" s="1"/>
  <c r="F535" i="1"/>
  <c r="G535" i="1" s="1"/>
  <c r="I535" i="1"/>
  <c r="J535" i="1" s="1"/>
  <c r="V354" i="1"/>
  <c r="W354" i="1" s="1"/>
  <c r="AN61" i="1"/>
  <c r="Y61" i="1"/>
  <c r="U96" i="1"/>
  <c r="T120" i="1"/>
  <c r="F167" i="1"/>
  <c r="G167" i="1" s="1"/>
  <c r="I167" i="1"/>
  <c r="J167" i="1" s="1"/>
  <c r="AP209" i="1"/>
  <c r="AQ209" i="1" s="1"/>
  <c r="AS209" i="1"/>
  <c r="AT209" i="1" s="1"/>
  <c r="I302" i="1"/>
  <c r="J302" i="1" s="1"/>
  <c r="F302" i="1"/>
  <c r="G302" i="1" s="1"/>
  <c r="I348" i="1"/>
  <c r="J348" i="1" s="1"/>
  <c r="F348" i="1"/>
  <c r="G348" i="1" s="1"/>
  <c r="F235" i="1"/>
  <c r="G235" i="1" s="1"/>
  <c r="I235" i="1"/>
  <c r="J235" i="1" s="1"/>
  <c r="F351" i="1"/>
  <c r="G351" i="1" s="1"/>
  <c r="I351" i="1"/>
  <c r="J351" i="1" s="1"/>
  <c r="S457" i="1"/>
  <c r="F279" i="1"/>
  <c r="G279" i="1" s="1"/>
  <c r="I279" i="1"/>
  <c r="J279" i="1" s="1"/>
  <c r="F219" i="1"/>
  <c r="G219" i="1" s="1"/>
  <c r="I219" i="1"/>
  <c r="J219" i="1" s="1"/>
  <c r="I397" i="1"/>
  <c r="J397" i="1" s="1"/>
  <c r="F397" i="1"/>
  <c r="G397" i="1" s="1"/>
  <c r="I224" i="1"/>
  <c r="J224" i="1" s="1"/>
  <c r="F224" i="1"/>
  <c r="G224" i="1" s="1"/>
  <c r="F358" i="1"/>
  <c r="G358" i="1" s="1"/>
  <c r="I358" i="1"/>
  <c r="J358" i="1" s="1"/>
  <c r="Y303" i="1"/>
  <c r="D400" i="1"/>
  <c r="Y400" i="1"/>
  <c r="I443" i="1"/>
  <c r="J443" i="1" s="1"/>
  <c r="F443" i="1"/>
  <c r="G443" i="1" s="1"/>
  <c r="AN108" i="1"/>
  <c r="AP108" i="1" s="1"/>
  <c r="AQ108" i="1" s="1"/>
  <c r="I439" i="1"/>
  <c r="J439" i="1" s="1"/>
  <c r="F439" i="1"/>
  <c r="G439" i="1" s="1"/>
  <c r="F643" i="1"/>
  <c r="G643" i="1" s="1"/>
  <c r="I643" i="1"/>
  <c r="J643" i="1" s="1"/>
  <c r="I337" i="1"/>
  <c r="J337" i="1" s="1"/>
  <c r="F337" i="1"/>
  <c r="G337" i="1" s="1"/>
  <c r="F534" i="1"/>
  <c r="G534" i="1" s="1"/>
  <c r="I534" i="1"/>
  <c r="J534" i="1" s="1"/>
  <c r="F86" i="1"/>
  <c r="G86" i="1" s="1"/>
  <c r="I86" i="1"/>
  <c r="J86" i="1" s="1"/>
  <c r="AN62" i="1"/>
  <c r="AP62" i="1" s="1"/>
  <c r="AQ62" i="1" s="1"/>
  <c r="D62" i="1"/>
  <c r="I403" i="1"/>
  <c r="J403" i="1" s="1"/>
  <c r="F403" i="1"/>
  <c r="G403" i="1" s="1"/>
  <c r="F275" i="1"/>
  <c r="G275" i="1" s="1"/>
  <c r="I275" i="1"/>
  <c r="J275" i="1" s="1"/>
  <c r="D83" i="1"/>
  <c r="F68" i="1"/>
  <c r="G68" i="1" s="1"/>
  <c r="I68" i="1"/>
  <c r="J68" i="1" s="1"/>
  <c r="F406" i="1"/>
  <c r="G406" i="1" s="1"/>
  <c r="I406" i="1"/>
  <c r="J406" i="1" s="1"/>
  <c r="D81" i="1"/>
  <c r="AN81" i="1"/>
  <c r="AP81" i="1" s="1"/>
  <c r="AQ81" i="1" s="1"/>
  <c r="Y81" i="1"/>
  <c r="F239" i="1"/>
  <c r="G239" i="1" s="1"/>
  <c r="I239" i="1"/>
  <c r="J239" i="1" s="1"/>
  <c r="F352" i="1"/>
  <c r="G352" i="1" s="1"/>
  <c r="I352" i="1"/>
  <c r="J352" i="1" s="1"/>
  <c r="F338" i="1"/>
  <c r="G338" i="1" s="1"/>
  <c r="I338" i="1"/>
  <c r="J338" i="1" s="1"/>
  <c r="F212" i="1"/>
  <c r="G212" i="1" s="1"/>
  <c r="I212" i="1"/>
  <c r="J212" i="1" s="1"/>
  <c r="U681" i="1"/>
  <c r="V679" i="1"/>
  <c r="I309" i="1"/>
  <c r="J309" i="1" s="1"/>
  <c r="F309" i="1"/>
  <c r="G309" i="1" s="1"/>
  <c r="F28" i="1"/>
  <c r="G28" i="1" s="1"/>
  <c r="I28" i="1"/>
  <c r="J28" i="1" s="1"/>
  <c r="Q689" i="1"/>
  <c r="Q691" i="1" s="1"/>
  <c r="Q568" i="1"/>
  <c r="Q616" i="1" s="1"/>
  <c r="Q12" i="1"/>
  <c r="Q11" i="1" s="1"/>
  <c r="AN636" i="1"/>
  <c r="AP636" i="1" s="1"/>
  <c r="AQ636" i="1" s="1"/>
  <c r="Y636" i="1"/>
  <c r="I391" i="1"/>
  <c r="J391" i="1" s="1"/>
  <c r="F391" i="1"/>
  <c r="G391" i="1" s="1"/>
  <c r="I426" i="1"/>
  <c r="J426" i="1" s="1"/>
  <c r="F426" i="1"/>
  <c r="G426" i="1" s="1"/>
  <c r="AS90" i="1"/>
  <c r="AT90" i="1" s="1"/>
  <c r="I665" i="1"/>
  <c r="J665" i="1" s="1"/>
  <c r="F665" i="1"/>
  <c r="G665" i="1" s="1"/>
  <c r="F560" i="1"/>
  <c r="G560" i="1" s="1"/>
  <c r="I560" i="1"/>
  <c r="J560" i="1" s="1"/>
  <c r="D155" i="1"/>
  <c r="Y554" i="1"/>
  <c r="D554" i="1"/>
  <c r="I558" i="1"/>
  <c r="J558" i="1" s="1"/>
  <c r="F558" i="1"/>
  <c r="G558" i="1" s="1"/>
  <c r="F76" i="1"/>
  <c r="G76" i="1" s="1"/>
  <c r="I76" i="1"/>
  <c r="J76" i="1" s="1"/>
  <c r="I423" i="1"/>
  <c r="J423" i="1" s="1"/>
  <c r="F423" i="1"/>
  <c r="G423" i="1" s="1"/>
  <c r="V264" i="1"/>
  <c r="W260" i="1"/>
  <c r="AN673" i="1"/>
  <c r="I273" i="1"/>
  <c r="J273" i="1" s="1"/>
  <c r="F273" i="1"/>
  <c r="G273" i="1" s="1"/>
  <c r="D551" i="1"/>
  <c r="AN551" i="1"/>
  <c r="Y551" i="1"/>
  <c r="AN183" i="1"/>
  <c r="AP183" i="1" s="1"/>
  <c r="AQ183" i="1" s="1"/>
  <c r="D183" i="1"/>
  <c r="D38" i="1"/>
  <c r="AN38" i="1"/>
  <c r="AP38" i="1" s="1"/>
  <c r="AQ38" i="1" s="1"/>
  <c r="Y38" i="1"/>
  <c r="I591" i="1"/>
  <c r="J591" i="1" s="1"/>
  <c r="F591" i="1"/>
  <c r="G591" i="1" s="1"/>
  <c r="I589" i="1"/>
  <c r="J589" i="1" s="1"/>
  <c r="F589" i="1"/>
  <c r="G589" i="1" s="1"/>
  <c r="I387" i="1"/>
  <c r="J387" i="1" s="1"/>
  <c r="F387" i="1"/>
  <c r="G387" i="1" s="1"/>
  <c r="F157" i="1"/>
  <c r="G157" i="1" s="1"/>
  <c r="I157" i="1"/>
  <c r="J157" i="1" s="1"/>
  <c r="I176" i="1"/>
  <c r="J176" i="1" s="1"/>
  <c r="F176" i="1"/>
  <c r="G176" i="1" s="1"/>
  <c r="AN46" i="1"/>
  <c r="AP46" i="1" s="1"/>
  <c r="AQ46" i="1" s="1"/>
  <c r="D46" i="1"/>
  <c r="I284" i="1"/>
  <c r="J284" i="1" s="1"/>
  <c r="F284" i="1"/>
  <c r="G284" i="1" s="1"/>
  <c r="W642" i="1"/>
  <c r="AN642" i="1" s="1"/>
  <c r="AP642" i="1" s="1"/>
  <c r="AQ642" i="1" s="1"/>
  <c r="W317" i="1"/>
  <c r="Y317" i="1" s="1"/>
  <c r="Y451" i="1"/>
  <c r="AN451" i="1"/>
  <c r="AP451" i="1" s="1"/>
  <c r="AQ451" i="1" s="1"/>
  <c r="F305" i="1"/>
  <c r="G305" i="1" s="1"/>
  <c r="I305" i="1"/>
  <c r="J305" i="1" s="1"/>
  <c r="I344" i="1"/>
  <c r="J344" i="1" s="1"/>
  <c r="F344" i="1"/>
  <c r="G344" i="1" s="1"/>
  <c r="AN478" i="1"/>
  <c r="Y478" i="1"/>
  <c r="T382" i="1"/>
  <c r="U378" i="1"/>
  <c r="I138" i="1"/>
  <c r="J138" i="1" s="1"/>
  <c r="F138" i="1"/>
  <c r="G138" i="1" s="1"/>
  <c r="S41" i="1"/>
  <c r="S55" i="1" s="1"/>
  <c r="F531" i="1"/>
  <c r="G531" i="1" s="1"/>
  <c r="I531" i="1"/>
  <c r="J531" i="1" s="1"/>
  <c r="I161" i="1"/>
  <c r="J161" i="1" s="1"/>
  <c r="F161" i="1"/>
  <c r="G161" i="1" s="1"/>
  <c r="AN645" i="1"/>
  <c r="AP645" i="1" s="1"/>
  <c r="AQ645" i="1" s="1"/>
  <c r="Y645" i="1"/>
  <c r="Y673" i="1"/>
  <c r="I401" i="1"/>
  <c r="J401" i="1" s="1"/>
  <c r="F401" i="1"/>
  <c r="G401" i="1" s="1"/>
  <c r="D639" i="1"/>
  <c r="W455" i="1"/>
  <c r="AN328" i="1"/>
  <c r="AP328" i="1" s="1"/>
  <c r="AQ328" i="1" s="1"/>
  <c r="Y240" i="1"/>
  <c r="AN240" i="1"/>
  <c r="AP240" i="1" s="1"/>
  <c r="AQ240" i="1" s="1"/>
  <c r="I70" i="1"/>
  <c r="J70" i="1" s="1"/>
  <c r="F70" i="1"/>
  <c r="G70" i="1" s="1"/>
  <c r="U90" i="1"/>
  <c r="D533" i="1"/>
  <c r="Y533" i="1"/>
  <c r="AN533" i="1"/>
  <c r="AP533" i="1" s="1"/>
  <c r="AQ533" i="1" s="1"/>
  <c r="F628" i="1"/>
  <c r="G628" i="1" s="1"/>
  <c r="I628" i="1"/>
  <c r="J628" i="1" s="1"/>
  <c r="D630" i="1"/>
  <c r="V269" i="1"/>
  <c r="W269" i="1" s="1"/>
  <c r="AN124" i="1"/>
  <c r="I109" i="1"/>
  <c r="J109" i="1" s="1"/>
  <c r="F109" i="1"/>
  <c r="G109" i="1" s="1"/>
  <c r="F30" i="1"/>
  <c r="G30" i="1" s="1"/>
  <c r="I30" i="1"/>
  <c r="J30" i="1" s="1"/>
  <c r="D485" i="1"/>
  <c r="AN485" i="1"/>
  <c r="AP485" i="1" s="1"/>
  <c r="AQ485" i="1" s="1"/>
  <c r="D394" i="1"/>
  <c r="W94" i="1"/>
  <c r="R608" i="1"/>
  <c r="R13" i="1"/>
  <c r="AN75" i="1"/>
  <c r="AP75" i="1" s="1"/>
  <c r="AQ75" i="1" s="1"/>
  <c r="D75" i="1"/>
  <c r="Y75" i="1"/>
  <c r="F523" i="1"/>
  <c r="G523" i="1" s="1"/>
  <c r="I523" i="1"/>
  <c r="J523" i="1" s="1"/>
  <c r="W416" i="1"/>
  <c r="D240" i="1"/>
  <c r="Y217" i="1"/>
  <c r="I509" i="1"/>
  <c r="J509" i="1" s="1"/>
  <c r="F509" i="1"/>
  <c r="G509" i="1" s="1"/>
  <c r="AN228" i="1"/>
  <c r="AP228" i="1" s="1"/>
  <c r="AQ228" i="1" s="1"/>
  <c r="AR242" i="1"/>
  <c r="F295" i="1"/>
  <c r="G295" i="1" s="1"/>
  <c r="I295" i="1"/>
  <c r="J295" i="1" s="1"/>
  <c r="I512" i="1"/>
  <c r="J512" i="1" s="1"/>
  <c r="F512" i="1"/>
  <c r="G512" i="1" s="1"/>
  <c r="F234" i="1"/>
  <c r="G234" i="1" s="1"/>
  <c r="I234" i="1"/>
  <c r="J234" i="1" s="1"/>
  <c r="D315" i="1"/>
  <c r="AN397" i="1"/>
  <c r="AP397" i="1" s="1"/>
  <c r="AQ397" i="1" s="1"/>
  <c r="Y397" i="1"/>
  <c r="F510" i="1"/>
  <c r="G510" i="1" s="1"/>
  <c r="I510" i="1"/>
  <c r="J510" i="1" s="1"/>
  <c r="I390" i="1"/>
  <c r="J390" i="1" s="1"/>
  <c r="F390" i="1"/>
  <c r="G390" i="1" s="1"/>
  <c r="F346" i="1"/>
  <c r="G346" i="1" s="1"/>
  <c r="I346" i="1"/>
  <c r="J346" i="1" s="1"/>
  <c r="I341" i="1"/>
  <c r="J341" i="1" s="1"/>
  <c r="F341" i="1"/>
  <c r="G341" i="1" s="1"/>
  <c r="I372" i="1"/>
  <c r="J372" i="1" s="1"/>
  <c r="F372" i="1"/>
  <c r="G372" i="1" s="1"/>
  <c r="Y413" i="1"/>
  <c r="D413" i="1"/>
  <c r="F172" i="1"/>
  <c r="G172" i="1" s="1"/>
  <c r="F429" i="1"/>
  <c r="G429" i="1" s="1"/>
  <c r="I429" i="1"/>
  <c r="J429" i="1" s="1"/>
  <c r="D108" i="1"/>
  <c r="F225" i="1"/>
  <c r="G225" i="1" s="1"/>
  <c r="I225" i="1"/>
  <c r="J225" i="1" s="1"/>
  <c r="I152" i="1"/>
  <c r="J152" i="1" s="1"/>
  <c r="F152" i="1"/>
  <c r="G152" i="1" s="1"/>
  <c r="Y514" i="1"/>
  <c r="I516" i="1"/>
  <c r="J516" i="1" s="1"/>
  <c r="F516" i="1"/>
  <c r="G516" i="1" s="1"/>
  <c r="D461" i="1"/>
  <c r="I525" i="1"/>
  <c r="J525" i="1" s="1"/>
  <c r="F525" i="1"/>
  <c r="G525" i="1" s="1"/>
  <c r="D228" i="1"/>
  <c r="F48" i="1"/>
  <c r="G48" i="1" s="1"/>
  <c r="I48" i="1"/>
  <c r="J48" i="1" s="1"/>
  <c r="BG616" i="4" l="1"/>
  <c r="AO689" i="4"/>
  <c r="AO13" i="4"/>
  <c r="AO608" i="4"/>
  <c r="AS585" i="4"/>
  <c r="AT585" i="4" s="1"/>
  <c r="AP585" i="4"/>
  <c r="AQ585" i="4" s="1"/>
  <c r="BG11" i="4"/>
  <c r="AS564" i="4"/>
  <c r="AT564" i="4" s="1"/>
  <c r="AP564" i="4"/>
  <c r="AQ564" i="4" s="1"/>
  <c r="AO566" i="4"/>
  <c r="BG691" i="4"/>
  <c r="Y485" i="1"/>
  <c r="F442" i="1"/>
  <c r="G442" i="1" s="1"/>
  <c r="W90" i="1"/>
  <c r="R568" i="1"/>
  <c r="R12" i="1"/>
  <c r="BL531" i="1"/>
  <c r="BP531" i="1"/>
  <c r="BT531" i="1"/>
  <c r="BM531" i="1"/>
  <c r="BQ531" i="1"/>
  <c r="BI531" i="1"/>
  <c r="BK531" i="1"/>
  <c r="BS531" i="1"/>
  <c r="BN531" i="1"/>
  <c r="BR531" i="1"/>
  <c r="BJ531" i="1"/>
  <c r="BO531" i="1"/>
  <c r="AS115" i="1"/>
  <c r="AT115" i="1" s="1"/>
  <c r="AP115" i="1"/>
  <c r="AQ115" i="1" s="1"/>
  <c r="AO120" i="1"/>
  <c r="AS120" i="1" s="1"/>
  <c r="AT120" i="1" s="1"/>
  <c r="BA137" i="1"/>
  <c r="BA143" i="1" s="1"/>
  <c r="BN143" i="1"/>
  <c r="D557" i="1"/>
  <c r="I557" i="1" s="1"/>
  <c r="J557" i="1" s="1"/>
  <c r="BE137" i="1"/>
  <c r="BE143" i="1" s="1"/>
  <c r="BR143" i="1"/>
  <c r="V242" i="1"/>
  <c r="Y134" i="1"/>
  <c r="BT36" i="1"/>
  <c r="BT509" i="1"/>
  <c r="BG509" i="1" s="1"/>
  <c r="AW137" i="1"/>
  <c r="AW143" i="1" s="1"/>
  <c r="BJ143" i="1"/>
  <c r="BF137" i="1"/>
  <c r="BF143" i="1" s="1"/>
  <c r="BS143" i="1"/>
  <c r="AO137" i="1"/>
  <c r="AV137" i="1"/>
  <c r="AV143" i="1" s="1"/>
  <c r="AR137" i="1"/>
  <c r="AR143" i="1" s="1"/>
  <c r="BI143" i="1"/>
  <c r="BC137" i="1"/>
  <c r="BC143" i="1" s="1"/>
  <c r="BP143" i="1"/>
  <c r="BD137" i="1"/>
  <c r="BD143" i="1" s="1"/>
  <c r="BQ143" i="1"/>
  <c r="I304" i="1"/>
  <c r="J304" i="1" s="1"/>
  <c r="F304" i="1"/>
  <c r="G304" i="1" s="1"/>
  <c r="AO357" i="1"/>
  <c r="AV357" i="1"/>
  <c r="AR357" i="1"/>
  <c r="BB137" i="1"/>
  <c r="BB143" i="1" s="1"/>
  <c r="BO143" i="1"/>
  <c r="AZ137" i="1"/>
  <c r="AZ143" i="1" s="1"/>
  <c r="BM143" i="1"/>
  <c r="I217" i="1"/>
  <c r="J217" i="1" s="1"/>
  <c r="S566" i="1"/>
  <c r="S690" i="1" s="1"/>
  <c r="AO509" i="1"/>
  <c r="AV509" i="1"/>
  <c r="BG137" i="1"/>
  <c r="BG143" i="1" s="1"/>
  <c r="BT143" i="1"/>
  <c r="AX137" i="1"/>
  <c r="AX143" i="1" s="1"/>
  <c r="BK143" i="1"/>
  <c r="AY137" i="1"/>
  <c r="AY143" i="1" s="1"/>
  <c r="BL143" i="1"/>
  <c r="AN557" i="1"/>
  <c r="AP557" i="1" s="1"/>
  <c r="AQ557" i="1" s="1"/>
  <c r="AN216" i="1"/>
  <c r="AP216" i="1" s="1"/>
  <c r="AQ216" i="1" s="1"/>
  <c r="Y216" i="1"/>
  <c r="I645" i="1"/>
  <c r="J645" i="1" s="1"/>
  <c r="F399" i="1"/>
  <c r="G399" i="1" s="1"/>
  <c r="Y394" i="1"/>
  <c r="R691" i="1"/>
  <c r="W527" i="1"/>
  <c r="Y527" i="1" s="1"/>
  <c r="D216" i="1"/>
  <c r="AN179" i="1"/>
  <c r="AP179" i="1" s="1"/>
  <c r="AQ179" i="1" s="1"/>
  <c r="Y179" i="1"/>
  <c r="Y354" i="1"/>
  <c r="T650" i="1"/>
  <c r="V39" i="1"/>
  <c r="V41" i="1" s="1"/>
  <c r="V53" i="1"/>
  <c r="W52" i="1"/>
  <c r="Y52" i="1" s="1"/>
  <c r="D179" i="1"/>
  <c r="AN299" i="1"/>
  <c r="AP299" i="1" s="1"/>
  <c r="AQ299" i="1" s="1"/>
  <c r="D299" i="1"/>
  <c r="Y299" i="1"/>
  <c r="D343" i="1"/>
  <c r="F343" i="1" s="1"/>
  <c r="G343" i="1" s="1"/>
  <c r="F202" i="1"/>
  <c r="G202" i="1" s="1"/>
  <c r="D522" i="1"/>
  <c r="F522" i="1" s="1"/>
  <c r="G522" i="1" s="1"/>
  <c r="I213" i="1"/>
  <c r="J213" i="1" s="1"/>
  <c r="F213" i="1"/>
  <c r="G213" i="1" s="1"/>
  <c r="D300" i="1"/>
  <c r="I300" i="1" s="1"/>
  <c r="J300" i="1" s="1"/>
  <c r="AN522" i="1"/>
  <c r="AP522" i="1" s="1"/>
  <c r="AQ522" i="1" s="1"/>
  <c r="F201" i="1"/>
  <c r="G201" i="1" s="1"/>
  <c r="I201" i="1"/>
  <c r="J201" i="1" s="1"/>
  <c r="F289" i="1"/>
  <c r="G289" i="1" s="1"/>
  <c r="I289" i="1"/>
  <c r="J289" i="1" s="1"/>
  <c r="Y343" i="1"/>
  <c r="Y642" i="1"/>
  <c r="D269" i="1"/>
  <c r="AN269" i="1"/>
  <c r="AP269" i="1" s="1"/>
  <c r="AQ269" i="1" s="1"/>
  <c r="Y269" i="1"/>
  <c r="AN106" i="1"/>
  <c r="AP106" i="1" s="1"/>
  <c r="AQ106" i="1" s="1"/>
  <c r="Y106" i="1"/>
  <c r="D106" i="1"/>
  <c r="I286" i="1"/>
  <c r="J286" i="1" s="1"/>
  <c r="F286" i="1"/>
  <c r="G286" i="1" s="1"/>
  <c r="F240" i="1"/>
  <c r="G240" i="1" s="1"/>
  <c r="I240" i="1"/>
  <c r="J240" i="1" s="1"/>
  <c r="W264" i="1"/>
  <c r="Y264" i="1" s="1"/>
  <c r="AN260" i="1"/>
  <c r="D260" i="1"/>
  <c r="Y260" i="1"/>
  <c r="F554" i="1"/>
  <c r="G554" i="1" s="1"/>
  <c r="I554" i="1"/>
  <c r="J554" i="1" s="1"/>
  <c r="I62" i="1"/>
  <c r="J62" i="1" s="1"/>
  <c r="F62" i="1"/>
  <c r="G62" i="1" s="1"/>
  <c r="I400" i="1"/>
  <c r="J400" i="1" s="1"/>
  <c r="F400" i="1"/>
  <c r="G400" i="1" s="1"/>
  <c r="Y151" i="1"/>
  <c r="AN151" i="1"/>
  <c r="W242" i="1"/>
  <c r="Y242" i="1" s="1"/>
  <c r="F405" i="1"/>
  <c r="G405" i="1" s="1"/>
  <c r="I405" i="1"/>
  <c r="J405" i="1" s="1"/>
  <c r="I268" i="1"/>
  <c r="J268" i="1" s="1"/>
  <c r="F268" i="1"/>
  <c r="G268" i="1" s="1"/>
  <c r="T683" i="1"/>
  <c r="T15" i="1"/>
  <c r="BG510" i="1"/>
  <c r="BT628" i="1"/>
  <c r="BE510" i="1"/>
  <c r="BE527" i="1" s="1"/>
  <c r="BR36" i="1"/>
  <c r="BR628" i="1"/>
  <c r="BR527" i="1"/>
  <c r="AV510" i="1"/>
  <c r="AV527" i="1" s="1"/>
  <c r="AO510" i="1"/>
  <c r="AR510" i="1"/>
  <c r="BI36" i="1"/>
  <c r="BI628" i="1"/>
  <c r="BI527" i="1"/>
  <c r="I556" i="1"/>
  <c r="J556" i="1" s="1"/>
  <c r="F556" i="1"/>
  <c r="G556" i="1" s="1"/>
  <c r="V648" i="1"/>
  <c r="W635" i="1"/>
  <c r="F153" i="1"/>
  <c r="G153" i="1" s="1"/>
  <c r="I153" i="1"/>
  <c r="J153" i="1" s="1"/>
  <c r="I287" i="1"/>
  <c r="J287" i="1" s="1"/>
  <c r="F287" i="1"/>
  <c r="G287" i="1" s="1"/>
  <c r="F328" i="1"/>
  <c r="G328" i="1" s="1"/>
  <c r="I328" i="1"/>
  <c r="J328" i="1" s="1"/>
  <c r="AN282" i="1"/>
  <c r="AP282" i="1" s="1"/>
  <c r="AQ282" i="1" s="1"/>
  <c r="D282" i="1"/>
  <c r="F85" i="1"/>
  <c r="G85" i="1" s="1"/>
  <c r="I85" i="1"/>
  <c r="J85" i="1" s="1"/>
  <c r="R11" i="1"/>
  <c r="F261" i="1"/>
  <c r="G261" i="1" s="1"/>
  <c r="I261" i="1"/>
  <c r="J261" i="1" s="1"/>
  <c r="I100" i="1"/>
  <c r="J100" i="1" s="1"/>
  <c r="F100" i="1"/>
  <c r="G100" i="1" s="1"/>
  <c r="I169" i="1"/>
  <c r="J169" i="1" s="1"/>
  <c r="F169" i="1"/>
  <c r="G169" i="1" s="1"/>
  <c r="Y153" i="1"/>
  <c r="AN153" i="1"/>
  <c r="AP153" i="1" s="1"/>
  <c r="AQ153" i="1" s="1"/>
  <c r="F461" i="1"/>
  <c r="G461" i="1" s="1"/>
  <c r="I461" i="1"/>
  <c r="J461" i="1" s="1"/>
  <c r="AN416" i="1"/>
  <c r="AP416" i="1" s="1"/>
  <c r="AQ416" i="1" s="1"/>
  <c r="D416" i="1"/>
  <c r="Y416" i="1"/>
  <c r="F75" i="1"/>
  <c r="G75" i="1" s="1"/>
  <c r="I75" i="1"/>
  <c r="J75" i="1" s="1"/>
  <c r="I485" i="1"/>
  <c r="J485" i="1" s="1"/>
  <c r="F485" i="1"/>
  <c r="G485" i="1" s="1"/>
  <c r="AN455" i="1"/>
  <c r="AP455" i="1" s="1"/>
  <c r="AQ455" i="1" s="1"/>
  <c r="Y455" i="1"/>
  <c r="U382" i="1"/>
  <c r="V378" i="1"/>
  <c r="AS242" i="1"/>
  <c r="AT242" i="1" s="1"/>
  <c r="I46" i="1"/>
  <c r="J46" i="1" s="1"/>
  <c r="F46" i="1"/>
  <c r="G46" i="1" s="1"/>
  <c r="F38" i="1"/>
  <c r="G38" i="1" s="1"/>
  <c r="I38" i="1"/>
  <c r="J38" i="1" s="1"/>
  <c r="AP551" i="1"/>
  <c r="AQ551" i="1" s="1"/>
  <c r="U120" i="1"/>
  <c r="V96" i="1"/>
  <c r="AP61" i="1"/>
  <c r="AQ61" i="1" s="1"/>
  <c r="W374" i="1"/>
  <c r="Y374" i="1" s="1"/>
  <c r="AN370" i="1"/>
  <c r="Y370" i="1"/>
  <c r="D370" i="1"/>
  <c r="AP268" i="1"/>
  <c r="AQ268" i="1" s="1"/>
  <c r="U408" i="1"/>
  <c r="T457" i="1"/>
  <c r="T566" i="1" s="1"/>
  <c r="I312" i="1"/>
  <c r="J312" i="1" s="1"/>
  <c r="F312" i="1"/>
  <c r="G312" i="1" s="1"/>
  <c r="I71" i="1"/>
  <c r="J71" i="1" s="1"/>
  <c r="F71" i="1"/>
  <c r="G71" i="1" s="1"/>
  <c r="I36" i="1"/>
  <c r="J36" i="1" s="1"/>
  <c r="F36" i="1"/>
  <c r="G36" i="1" s="1"/>
  <c r="I466" i="1"/>
  <c r="J466" i="1" s="1"/>
  <c r="F466" i="1"/>
  <c r="G466" i="1" s="1"/>
  <c r="W339" i="1"/>
  <c r="V360" i="1"/>
  <c r="AY510" i="1"/>
  <c r="AY527" i="1" s="1"/>
  <c r="BL36" i="1"/>
  <c r="BL628" i="1"/>
  <c r="BL527" i="1"/>
  <c r="AX510" i="1"/>
  <c r="AX527" i="1" s="1"/>
  <c r="BK36" i="1"/>
  <c r="BK628" i="1"/>
  <c r="BK527" i="1"/>
  <c r="AZ510" i="1"/>
  <c r="AZ527" i="1" s="1"/>
  <c r="BM36" i="1"/>
  <c r="BM628" i="1"/>
  <c r="BM527" i="1"/>
  <c r="AN64" i="1"/>
  <c r="AP64" i="1" s="1"/>
  <c r="AQ64" i="1" s="1"/>
  <c r="D64" i="1"/>
  <c r="Y64" i="1"/>
  <c r="U597" i="1"/>
  <c r="T606" i="1"/>
  <c r="AN662" i="1"/>
  <c r="AP662" i="1" s="1"/>
  <c r="AQ662" i="1" s="1"/>
  <c r="Y662" i="1"/>
  <c r="AN431" i="1"/>
  <c r="AP431" i="1" s="1"/>
  <c r="AQ431" i="1" s="1"/>
  <c r="D431" i="1"/>
  <c r="U650" i="1"/>
  <c r="U14" i="1"/>
  <c r="W34" i="1"/>
  <c r="Y34" i="1" s="1"/>
  <c r="D24" i="1"/>
  <c r="Y24" i="1"/>
  <c r="AN24" i="1"/>
  <c r="I134" i="1"/>
  <c r="J134" i="1" s="1"/>
  <c r="F134" i="1"/>
  <c r="G134" i="1" s="1"/>
  <c r="U143" i="1"/>
  <c r="V128" i="1"/>
  <c r="I583" i="1"/>
  <c r="J583" i="1" s="1"/>
  <c r="F583" i="1"/>
  <c r="G583" i="1" s="1"/>
  <c r="D585" i="1"/>
  <c r="I77" i="1"/>
  <c r="J77" i="1" s="1"/>
  <c r="F77" i="1"/>
  <c r="G77" i="1" s="1"/>
  <c r="I326" i="1"/>
  <c r="J326" i="1" s="1"/>
  <c r="F326" i="1"/>
  <c r="G326" i="1" s="1"/>
  <c r="R616" i="1"/>
  <c r="AN63" i="1"/>
  <c r="AP63" i="1" s="1"/>
  <c r="AQ63" i="1" s="1"/>
  <c r="D63" i="1"/>
  <c r="Y63" i="1"/>
  <c r="I420" i="1"/>
  <c r="J420" i="1" s="1"/>
  <c r="F420" i="1"/>
  <c r="G420" i="1" s="1"/>
  <c r="W39" i="1"/>
  <c r="I315" i="1"/>
  <c r="J315" i="1" s="1"/>
  <c r="F315" i="1"/>
  <c r="G315" i="1" s="1"/>
  <c r="F228" i="1"/>
  <c r="G228" i="1" s="1"/>
  <c r="I228" i="1"/>
  <c r="J228" i="1" s="1"/>
  <c r="I413" i="1"/>
  <c r="J413" i="1" s="1"/>
  <c r="F413" i="1"/>
  <c r="G413" i="1" s="1"/>
  <c r="AN94" i="1"/>
  <c r="Y94" i="1"/>
  <c r="I630" i="1"/>
  <c r="F630" i="1"/>
  <c r="G630" i="1" s="1"/>
  <c r="F639" i="1"/>
  <c r="G639" i="1" s="1"/>
  <c r="I639" i="1"/>
  <c r="J639" i="1" s="1"/>
  <c r="S689" i="1"/>
  <c r="D317" i="1"/>
  <c r="AN317" i="1"/>
  <c r="AP317" i="1" s="1"/>
  <c r="AQ317" i="1" s="1"/>
  <c r="F183" i="1"/>
  <c r="G183" i="1" s="1"/>
  <c r="I183" i="1"/>
  <c r="J183" i="1" s="1"/>
  <c r="I551" i="1"/>
  <c r="J551" i="1" s="1"/>
  <c r="F551" i="1"/>
  <c r="G551" i="1" s="1"/>
  <c r="I155" i="1"/>
  <c r="J155" i="1" s="1"/>
  <c r="F155" i="1"/>
  <c r="G155" i="1" s="1"/>
  <c r="W679" i="1"/>
  <c r="V681" i="1"/>
  <c r="F81" i="1"/>
  <c r="G81" i="1" s="1"/>
  <c r="I81" i="1"/>
  <c r="J81" i="1" s="1"/>
  <c r="AN532" i="1"/>
  <c r="D532" i="1"/>
  <c r="Y532" i="1"/>
  <c r="W547" i="1"/>
  <c r="Y547" i="1" s="1"/>
  <c r="AP589" i="1"/>
  <c r="AQ589" i="1" s="1"/>
  <c r="D455" i="1"/>
  <c r="V553" i="1"/>
  <c r="I514" i="1"/>
  <c r="J514" i="1" s="1"/>
  <c r="F514" i="1"/>
  <c r="G514" i="1" s="1"/>
  <c r="AP386" i="1"/>
  <c r="AQ386" i="1" s="1"/>
  <c r="V463" i="1"/>
  <c r="U473" i="1"/>
  <c r="F226" i="1"/>
  <c r="G226" i="1" s="1"/>
  <c r="I226" i="1"/>
  <c r="J226" i="1" s="1"/>
  <c r="AW510" i="1"/>
  <c r="AW527" i="1" s="1"/>
  <c r="BJ36" i="1"/>
  <c r="BJ628" i="1"/>
  <c r="BJ527" i="1"/>
  <c r="BB510" i="1"/>
  <c r="BB527" i="1" s="1"/>
  <c r="BO36" i="1"/>
  <c r="BO628" i="1"/>
  <c r="BO527" i="1"/>
  <c r="BD510" i="1"/>
  <c r="BD527" i="1" s="1"/>
  <c r="BQ36" i="1"/>
  <c r="BQ628" i="1"/>
  <c r="BQ527" i="1"/>
  <c r="I87" i="1"/>
  <c r="J87" i="1" s="1"/>
  <c r="F87" i="1"/>
  <c r="G87" i="1" s="1"/>
  <c r="I303" i="1"/>
  <c r="J303" i="1" s="1"/>
  <c r="F303" i="1"/>
  <c r="G303" i="1" s="1"/>
  <c r="S608" i="1"/>
  <c r="S13" i="1"/>
  <c r="Y205" i="1"/>
  <c r="D205" i="1"/>
  <c r="D662" i="1"/>
  <c r="I281" i="1"/>
  <c r="J281" i="1" s="1"/>
  <c r="F281" i="1"/>
  <c r="G281" i="1" s="1"/>
  <c r="AS683" i="1"/>
  <c r="AT683" i="1" s="1"/>
  <c r="F131" i="1"/>
  <c r="G131" i="1" s="1"/>
  <c r="I131" i="1"/>
  <c r="J131" i="1" s="1"/>
  <c r="I522" i="1"/>
  <c r="J522" i="1" s="1"/>
  <c r="Y282" i="1"/>
  <c r="F536" i="1"/>
  <c r="G536" i="1" s="1"/>
  <c r="I536" i="1"/>
  <c r="J536" i="1" s="1"/>
  <c r="F174" i="1"/>
  <c r="G174" i="1" s="1"/>
  <c r="I174" i="1"/>
  <c r="J174" i="1" s="1"/>
  <c r="I411" i="1"/>
  <c r="J411" i="1" s="1"/>
  <c r="F411" i="1"/>
  <c r="G411" i="1" s="1"/>
  <c r="T689" i="1"/>
  <c r="F280" i="1"/>
  <c r="G280" i="1" s="1"/>
  <c r="I280" i="1"/>
  <c r="J280" i="1" s="1"/>
  <c r="I108" i="1"/>
  <c r="J108" i="1" s="1"/>
  <c r="F108" i="1"/>
  <c r="G108" i="1" s="1"/>
  <c r="I394" i="1"/>
  <c r="J394" i="1" s="1"/>
  <c r="F394" i="1"/>
  <c r="G394" i="1" s="1"/>
  <c r="AP124" i="1"/>
  <c r="AQ124" i="1" s="1"/>
  <c r="I533" i="1"/>
  <c r="J533" i="1" s="1"/>
  <c r="F533" i="1"/>
  <c r="G533" i="1" s="1"/>
  <c r="AP478" i="1"/>
  <c r="AQ478" i="1" s="1"/>
  <c r="D642" i="1"/>
  <c r="Y90" i="1"/>
  <c r="AP673" i="1"/>
  <c r="AQ673" i="1" s="1"/>
  <c r="I83" i="1"/>
  <c r="J83" i="1" s="1"/>
  <c r="F83" i="1"/>
  <c r="G83" i="1" s="1"/>
  <c r="D354" i="1"/>
  <c r="AN354" i="1"/>
  <c r="AP354" i="1" s="1"/>
  <c r="AQ354" i="1" s="1"/>
  <c r="D151" i="1"/>
  <c r="U270" i="1"/>
  <c r="U668" i="1"/>
  <c r="V661" i="1"/>
  <c r="F386" i="1"/>
  <c r="G386" i="1" s="1"/>
  <c r="I386" i="1"/>
  <c r="J386" i="1" s="1"/>
  <c r="F222" i="1"/>
  <c r="G222" i="1" s="1"/>
  <c r="I222" i="1"/>
  <c r="J222" i="1" s="1"/>
  <c r="BC510" i="1"/>
  <c r="BC527" i="1" s="1"/>
  <c r="BP36" i="1"/>
  <c r="BP628" i="1"/>
  <c r="BP527" i="1"/>
  <c r="BA510" i="1"/>
  <c r="BA527" i="1" s="1"/>
  <c r="BN36" i="1"/>
  <c r="BN628" i="1"/>
  <c r="BN527" i="1"/>
  <c r="BF510" i="1"/>
  <c r="BF527" i="1" s="1"/>
  <c r="BS36" i="1"/>
  <c r="BS628" i="1"/>
  <c r="BS527" i="1"/>
  <c r="U366" i="1"/>
  <c r="V364" i="1"/>
  <c r="AN205" i="1"/>
  <c r="AP205" i="1" s="1"/>
  <c r="AQ205" i="1" s="1"/>
  <c r="Y286" i="1"/>
  <c r="AN286" i="1"/>
  <c r="AP286" i="1" s="1"/>
  <c r="AQ286" i="1" s="1"/>
  <c r="AN300" i="1"/>
  <c r="AP300" i="1" s="1"/>
  <c r="AQ300" i="1" s="1"/>
  <c r="Y300" i="1"/>
  <c r="AS34" i="1"/>
  <c r="AT34" i="1" s="1"/>
  <c r="I208" i="1"/>
  <c r="J208" i="1" s="1"/>
  <c r="F208" i="1"/>
  <c r="G208" i="1" s="1"/>
  <c r="U50" i="1"/>
  <c r="U55" i="1" s="1"/>
  <c r="V43" i="1"/>
  <c r="AP461" i="1"/>
  <c r="AQ461" i="1" s="1"/>
  <c r="AN585" i="1"/>
  <c r="AP583" i="1"/>
  <c r="AQ583" i="1" s="1"/>
  <c r="D482" i="1"/>
  <c r="AN482" i="1"/>
  <c r="AP482" i="1" s="1"/>
  <c r="AQ482" i="1" s="1"/>
  <c r="Y482" i="1"/>
  <c r="AS15" i="1"/>
  <c r="AT15" i="1" s="1"/>
  <c r="F271" i="1"/>
  <c r="G271" i="1" s="1"/>
  <c r="I271" i="1"/>
  <c r="J271" i="1" s="1"/>
  <c r="F320" i="1"/>
  <c r="G320" i="1" s="1"/>
  <c r="I320" i="1"/>
  <c r="J320" i="1" s="1"/>
  <c r="D94" i="1"/>
  <c r="I73" i="1"/>
  <c r="J73" i="1" s="1"/>
  <c r="F73" i="1"/>
  <c r="G73" i="1" s="1"/>
  <c r="F327" i="1"/>
  <c r="G327" i="1" s="1"/>
  <c r="I327" i="1"/>
  <c r="J327" i="1" s="1"/>
  <c r="F211" i="1"/>
  <c r="G211" i="1" s="1"/>
  <c r="I211" i="1"/>
  <c r="J211" i="1" s="1"/>
  <c r="AS608" i="4" l="1"/>
  <c r="AT608" i="4" s="1"/>
  <c r="AP608" i="4"/>
  <c r="AQ608" i="4" s="1"/>
  <c r="AS13" i="4"/>
  <c r="AT13" i="4" s="1"/>
  <c r="AP13" i="4"/>
  <c r="AQ13" i="4" s="1"/>
  <c r="AS566" i="4"/>
  <c r="AT566" i="4" s="1"/>
  <c r="AP566" i="4"/>
  <c r="AQ566" i="4" s="1"/>
  <c r="AO700" i="4"/>
  <c r="AO701" i="4" s="1"/>
  <c r="AO702" i="4" s="1"/>
  <c r="AP700" i="4" s="1"/>
  <c r="AO12" i="4"/>
  <c r="AO690" i="4"/>
  <c r="AO691" i="4" s="1"/>
  <c r="AO568" i="4"/>
  <c r="BG527" i="1"/>
  <c r="AR509" i="1"/>
  <c r="AR527" i="1" s="1"/>
  <c r="BT527" i="1"/>
  <c r="AX531" i="1"/>
  <c r="AX547" i="1" s="1"/>
  <c r="BK547" i="1"/>
  <c r="BC531" i="1"/>
  <c r="BC547" i="1" s="1"/>
  <c r="BP547" i="1"/>
  <c r="F557" i="1"/>
  <c r="G557" i="1" s="1"/>
  <c r="S691" i="1"/>
  <c r="AS509" i="1"/>
  <c r="AT509" i="1" s="1"/>
  <c r="AP509" i="1"/>
  <c r="AQ509" i="1" s="1"/>
  <c r="BB531" i="1"/>
  <c r="BB547" i="1" s="1"/>
  <c r="BO547" i="1"/>
  <c r="BF531" i="1"/>
  <c r="BF547" i="1" s="1"/>
  <c r="BS547" i="1"/>
  <c r="AZ531" i="1"/>
  <c r="AZ547" i="1" s="1"/>
  <c r="BM547" i="1"/>
  <c r="AP357" i="1"/>
  <c r="AQ357" i="1" s="1"/>
  <c r="AS357" i="1"/>
  <c r="AT357" i="1" s="1"/>
  <c r="AW531" i="1"/>
  <c r="AW547" i="1" s="1"/>
  <c r="BJ547" i="1"/>
  <c r="BG531" i="1"/>
  <c r="BG547" i="1" s="1"/>
  <c r="BT547" i="1"/>
  <c r="S12" i="1"/>
  <c r="S11" i="1" s="1"/>
  <c r="BE531" i="1"/>
  <c r="BE547" i="1" s="1"/>
  <c r="BR547" i="1"/>
  <c r="AV531" i="1"/>
  <c r="AV547" i="1" s="1"/>
  <c r="AR531" i="1"/>
  <c r="AR547" i="1" s="1"/>
  <c r="AO531" i="1"/>
  <c r="BI547" i="1"/>
  <c r="S568" i="1"/>
  <c r="S616" i="1" s="1"/>
  <c r="AS137" i="1"/>
  <c r="AT137" i="1" s="1"/>
  <c r="AO143" i="1"/>
  <c r="AS143" i="1" s="1"/>
  <c r="AT143" i="1" s="1"/>
  <c r="AP137" i="1"/>
  <c r="AQ137" i="1" s="1"/>
  <c r="BA531" i="1"/>
  <c r="BA547" i="1" s="1"/>
  <c r="BN547" i="1"/>
  <c r="BD531" i="1"/>
  <c r="BD547" i="1" s="1"/>
  <c r="BQ547" i="1"/>
  <c r="AY531" i="1"/>
  <c r="AY547" i="1" s="1"/>
  <c r="BL547" i="1"/>
  <c r="I343" i="1"/>
  <c r="J343" i="1" s="1"/>
  <c r="F300" i="1"/>
  <c r="G300" i="1" s="1"/>
  <c r="I216" i="1"/>
  <c r="J216" i="1" s="1"/>
  <c r="F216" i="1"/>
  <c r="G216" i="1" s="1"/>
  <c r="F179" i="1"/>
  <c r="G179" i="1" s="1"/>
  <c r="I179" i="1"/>
  <c r="J179" i="1" s="1"/>
  <c r="I299" i="1"/>
  <c r="J299" i="1" s="1"/>
  <c r="F299" i="1"/>
  <c r="G299" i="1" s="1"/>
  <c r="W53" i="1"/>
  <c r="Y53" i="1" s="1"/>
  <c r="D52" i="1"/>
  <c r="AN52" i="1"/>
  <c r="T690" i="1"/>
  <c r="T691" i="1" s="1"/>
  <c r="T568" i="1"/>
  <c r="T12" i="1"/>
  <c r="AP585" i="1"/>
  <c r="AQ585" i="1" s="1"/>
  <c r="U689" i="1"/>
  <c r="V270" i="1"/>
  <c r="U331" i="1"/>
  <c r="I642" i="1"/>
  <c r="J642" i="1" s="1"/>
  <c r="F642" i="1"/>
  <c r="G642" i="1" s="1"/>
  <c r="I205" i="1"/>
  <c r="J205" i="1" s="1"/>
  <c r="F205" i="1"/>
  <c r="G205" i="1" s="1"/>
  <c r="F455" i="1"/>
  <c r="G455" i="1" s="1"/>
  <c r="I455" i="1"/>
  <c r="J455" i="1" s="1"/>
  <c r="I317" i="1"/>
  <c r="J317" i="1" s="1"/>
  <c r="F317" i="1"/>
  <c r="G317" i="1" s="1"/>
  <c r="J630" i="1"/>
  <c r="Y39" i="1"/>
  <c r="AN39" i="1"/>
  <c r="W41" i="1"/>
  <c r="Y41" i="1" s="1"/>
  <c r="D39" i="1"/>
  <c r="I63" i="1"/>
  <c r="J63" i="1" s="1"/>
  <c r="F63" i="1"/>
  <c r="G63" i="1" s="1"/>
  <c r="I24" i="1"/>
  <c r="J24" i="1" s="1"/>
  <c r="D34" i="1"/>
  <c r="F24" i="1"/>
  <c r="G24" i="1" s="1"/>
  <c r="I431" i="1"/>
  <c r="J431" i="1" s="1"/>
  <c r="F431" i="1"/>
  <c r="G431" i="1" s="1"/>
  <c r="T608" i="1"/>
  <c r="T13" i="1"/>
  <c r="F64" i="1"/>
  <c r="G64" i="1" s="1"/>
  <c r="I64" i="1"/>
  <c r="J64" i="1" s="1"/>
  <c r="AZ36" i="1"/>
  <c r="AZ41" i="1" s="1"/>
  <c r="AZ55" i="1" s="1"/>
  <c r="BM41" i="1"/>
  <c r="BM55" i="1" s="1"/>
  <c r="BM380" i="1"/>
  <c r="BM335" i="1"/>
  <c r="AX36" i="1"/>
  <c r="AX41" i="1" s="1"/>
  <c r="AX55" i="1" s="1"/>
  <c r="BK41" i="1"/>
  <c r="BK55" i="1" s="1"/>
  <c r="BK380" i="1"/>
  <c r="BK335" i="1"/>
  <c r="BL41" i="1"/>
  <c r="BL55" i="1" s="1"/>
  <c r="AY36" i="1"/>
  <c r="AY41" i="1" s="1"/>
  <c r="AY55" i="1" s="1"/>
  <c r="BL380" i="1"/>
  <c r="BL335" i="1"/>
  <c r="V382" i="1"/>
  <c r="W378" i="1"/>
  <c r="AO36" i="1"/>
  <c r="AR36" i="1"/>
  <c r="AR41" i="1" s="1"/>
  <c r="AR55" i="1" s="1"/>
  <c r="AV36" i="1"/>
  <c r="AV41" i="1" s="1"/>
  <c r="AV55" i="1" s="1"/>
  <c r="BI41" i="1"/>
  <c r="BI55" i="1" s="1"/>
  <c r="BI380" i="1"/>
  <c r="BI335" i="1"/>
  <c r="AP151" i="1"/>
  <c r="AQ151" i="1" s="1"/>
  <c r="AN242" i="1"/>
  <c r="AP242" i="1" s="1"/>
  <c r="AQ242" i="1" s="1"/>
  <c r="F260" i="1"/>
  <c r="G260" i="1" s="1"/>
  <c r="D264" i="1"/>
  <c r="I260" i="1"/>
  <c r="J260" i="1" s="1"/>
  <c r="F94" i="1"/>
  <c r="G94" i="1" s="1"/>
  <c r="I94" i="1"/>
  <c r="J94" i="1" s="1"/>
  <c r="I151" i="1"/>
  <c r="J151" i="1" s="1"/>
  <c r="F151" i="1"/>
  <c r="G151" i="1" s="1"/>
  <c r="D242" i="1"/>
  <c r="AN527" i="1"/>
  <c r="BD628" i="1"/>
  <c r="BD630" i="1" s="1"/>
  <c r="BQ630" i="1"/>
  <c r="BB628" i="1"/>
  <c r="BB630" i="1" s="1"/>
  <c r="BO630" i="1"/>
  <c r="AW628" i="1"/>
  <c r="AW630" i="1" s="1"/>
  <c r="BJ630" i="1"/>
  <c r="I532" i="1"/>
  <c r="J532" i="1" s="1"/>
  <c r="F532" i="1"/>
  <c r="G532" i="1" s="1"/>
  <c r="D547" i="1"/>
  <c r="F370" i="1"/>
  <c r="G370" i="1" s="1"/>
  <c r="I370" i="1"/>
  <c r="J370" i="1" s="1"/>
  <c r="D374" i="1"/>
  <c r="D90" i="1"/>
  <c r="BE628" i="1"/>
  <c r="BE630" i="1" s="1"/>
  <c r="BR630" i="1"/>
  <c r="BG628" i="1"/>
  <c r="BG630" i="1" s="1"/>
  <c r="BT630" i="1"/>
  <c r="AN264" i="1"/>
  <c r="AP264" i="1" s="1"/>
  <c r="AQ264" i="1" s="1"/>
  <c r="AP260" i="1"/>
  <c r="AQ260" i="1" s="1"/>
  <c r="F106" i="1"/>
  <c r="G106" i="1" s="1"/>
  <c r="I106" i="1"/>
  <c r="J106" i="1" s="1"/>
  <c r="I482" i="1"/>
  <c r="J482" i="1" s="1"/>
  <c r="F482" i="1"/>
  <c r="G482" i="1" s="1"/>
  <c r="D527" i="1"/>
  <c r="BF628" i="1"/>
  <c r="BF630" i="1" s="1"/>
  <c r="BS630" i="1"/>
  <c r="BA628" i="1"/>
  <c r="BA630" i="1" s="1"/>
  <c r="BN630" i="1"/>
  <c r="BC628" i="1"/>
  <c r="BC630" i="1" s="1"/>
  <c r="BP630" i="1"/>
  <c r="V668" i="1"/>
  <c r="W661" i="1"/>
  <c r="I662" i="1"/>
  <c r="J662" i="1" s="1"/>
  <c r="F662" i="1"/>
  <c r="G662" i="1" s="1"/>
  <c r="BD36" i="1"/>
  <c r="BD41" i="1" s="1"/>
  <c r="BD55" i="1" s="1"/>
  <c r="BQ41" i="1"/>
  <c r="BQ55" i="1" s="1"/>
  <c r="BQ380" i="1"/>
  <c r="BQ335" i="1"/>
  <c r="BB36" i="1"/>
  <c r="BB41" i="1" s="1"/>
  <c r="BB55" i="1" s="1"/>
  <c r="BO41" i="1"/>
  <c r="BO55" i="1" s="1"/>
  <c r="BO380" i="1"/>
  <c r="BO335" i="1"/>
  <c r="AW36" i="1"/>
  <c r="AW41" i="1" s="1"/>
  <c r="AW55" i="1" s="1"/>
  <c r="BJ41" i="1"/>
  <c r="BJ55" i="1" s="1"/>
  <c r="BJ380" i="1"/>
  <c r="BJ335" i="1"/>
  <c r="AP532" i="1"/>
  <c r="AQ532" i="1" s="1"/>
  <c r="AN547" i="1"/>
  <c r="W128" i="1"/>
  <c r="V143" i="1"/>
  <c r="AN34" i="1"/>
  <c r="AP24" i="1"/>
  <c r="AQ24" i="1" s="1"/>
  <c r="V597" i="1"/>
  <c r="U606" i="1"/>
  <c r="V408" i="1"/>
  <c r="U457" i="1"/>
  <c r="AN90" i="1"/>
  <c r="I416" i="1"/>
  <c r="J416" i="1" s="1"/>
  <c r="F416" i="1"/>
  <c r="G416" i="1" s="1"/>
  <c r="AN635" i="1"/>
  <c r="Y635" i="1"/>
  <c r="D635" i="1"/>
  <c r="W648" i="1"/>
  <c r="AS510" i="1"/>
  <c r="AT510" i="1" s="1"/>
  <c r="AP510" i="1"/>
  <c r="AQ510" i="1" s="1"/>
  <c r="AO527" i="1"/>
  <c r="BE36" i="1"/>
  <c r="BE41" i="1" s="1"/>
  <c r="BE55" i="1" s="1"/>
  <c r="BR41" i="1"/>
  <c r="BR55" i="1" s="1"/>
  <c r="BR380" i="1"/>
  <c r="BR335" i="1"/>
  <c r="BT41" i="1"/>
  <c r="BT55" i="1" s="1"/>
  <c r="BG36" i="1"/>
  <c r="BG41" i="1" s="1"/>
  <c r="BG55" i="1" s="1"/>
  <c r="BT335" i="1"/>
  <c r="BT380" i="1"/>
  <c r="V50" i="1"/>
  <c r="V55" i="1" s="1"/>
  <c r="W43" i="1"/>
  <c r="V366" i="1"/>
  <c r="W364" i="1"/>
  <c r="BF36" i="1"/>
  <c r="BF41" i="1" s="1"/>
  <c r="BF55" i="1" s="1"/>
  <c r="BS41" i="1"/>
  <c r="BS55" i="1" s="1"/>
  <c r="BS380" i="1"/>
  <c r="BS335" i="1"/>
  <c r="BA36" i="1"/>
  <c r="BA41" i="1" s="1"/>
  <c r="BA55" i="1" s="1"/>
  <c r="BN41" i="1"/>
  <c r="BN55" i="1" s="1"/>
  <c r="BN380" i="1"/>
  <c r="BN335" i="1"/>
  <c r="BP41" i="1"/>
  <c r="BP55" i="1" s="1"/>
  <c r="BC36" i="1"/>
  <c r="BC41" i="1" s="1"/>
  <c r="BC55" i="1" s="1"/>
  <c r="BP335" i="1"/>
  <c r="BP380" i="1"/>
  <c r="U683" i="1"/>
  <c r="U15" i="1"/>
  <c r="I354" i="1"/>
  <c r="J354" i="1" s="1"/>
  <c r="F354" i="1"/>
  <c r="G354" i="1" s="1"/>
  <c r="W463" i="1"/>
  <c r="V473" i="1"/>
  <c r="V564" i="1"/>
  <c r="W553" i="1"/>
  <c r="D679" i="1"/>
  <c r="W681" i="1"/>
  <c r="Y681" i="1" s="1"/>
  <c r="Y679" i="1"/>
  <c r="AN679" i="1"/>
  <c r="AP94" i="1"/>
  <c r="AQ94" i="1" s="1"/>
  <c r="F585" i="1"/>
  <c r="G585" i="1" s="1"/>
  <c r="I585" i="1"/>
  <c r="AZ628" i="1"/>
  <c r="AZ630" i="1" s="1"/>
  <c r="BM630" i="1"/>
  <c r="AX628" i="1"/>
  <c r="AX630" i="1" s="1"/>
  <c r="BK630" i="1"/>
  <c r="AY628" i="1"/>
  <c r="AY630" i="1" s="1"/>
  <c r="BL630" i="1"/>
  <c r="Y339" i="1"/>
  <c r="W360" i="1"/>
  <c r="Y360" i="1" s="1"/>
  <c r="D339" i="1"/>
  <c r="AN339" i="1"/>
  <c r="AN374" i="1"/>
  <c r="AP374" i="1" s="1"/>
  <c r="AQ374" i="1" s="1"/>
  <c r="AP370" i="1"/>
  <c r="AQ370" i="1" s="1"/>
  <c r="W96" i="1"/>
  <c r="V120" i="1"/>
  <c r="F282" i="1"/>
  <c r="G282" i="1" s="1"/>
  <c r="I282" i="1"/>
  <c r="J282" i="1" s="1"/>
  <c r="V650" i="1"/>
  <c r="V14" i="1"/>
  <c r="AR628" i="1"/>
  <c r="AR630" i="1" s="1"/>
  <c r="AV628" i="1"/>
  <c r="AV630" i="1" s="1"/>
  <c r="AO628" i="1"/>
  <c r="BI630" i="1"/>
  <c r="I269" i="1"/>
  <c r="J269" i="1" s="1"/>
  <c r="F269" i="1"/>
  <c r="G269" i="1" s="1"/>
  <c r="AP12" i="4" l="1"/>
  <c r="AQ12" i="4" s="1"/>
  <c r="AO11" i="4"/>
  <c r="AS12" i="4"/>
  <c r="AT12" i="4" s="1"/>
  <c r="AO705" i="4"/>
  <c r="AO707" i="4" s="1"/>
  <c r="AO573" i="4"/>
  <c r="AP568" i="4"/>
  <c r="AQ568" i="4" s="1"/>
  <c r="AS568" i="4"/>
  <c r="AT568" i="4" s="1"/>
  <c r="AO616" i="4"/>
  <c r="AS531" i="1"/>
  <c r="AT531" i="1" s="1"/>
  <c r="AO547" i="1"/>
  <c r="AS547" i="1" s="1"/>
  <c r="AT547" i="1" s="1"/>
  <c r="AP531" i="1"/>
  <c r="AQ531" i="1" s="1"/>
  <c r="U566" i="1"/>
  <c r="U568" i="1" s="1"/>
  <c r="D53" i="1"/>
  <c r="F52" i="1"/>
  <c r="G52" i="1" s="1"/>
  <c r="I52" i="1"/>
  <c r="J52" i="1" s="1"/>
  <c r="AP52" i="1"/>
  <c r="AQ52" i="1" s="1"/>
  <c r="AN53" i="1"/>
  <c r="AP53" i="1" s="1"/>
  <c r="AQ53" i="1" s="1"/>
  <c r="AX650" i="1"/>
  <c r="AX14" i="1"/>
  <c r="I679" i="1"/>
  <c r="J679" i="1" s="1"/>
  <c r="F679" i="1"/>
  <c r="G679" i="1" s="1"/>
  <c r="D681" i="1"/>
  <c r="Y463" i="1"/>
  <c r="D463" i="1"/>
  <c r="AN463" i="1"/>
  <c r="W473" i="1"/>
  <c r="Y473" i="1" s="1"/>
  <c r="BC335" i="1"/>
  <c r="BC360" i="1" s="1"/>
  <c r="BP360" i="1"/>
  <c r="BA380" i="1"/>
  <c r="BA382" i="1" s="1"/>
  <c r="BN382" i="1"/>
  <c r="BF380" i="1"/>
  <c r="BF382" i="1" s="1"/>
  <c r="BS382" i="1"/>
  <c r="BG335" i="1"/>
  <c r="BG360" i="1" s="1"/>
  <c r="BT360" i="1"/>
  <c r="BE380" i="1"/>
  <c r="BE382" i="1" s="1"/>
  <c r="BR382" i="1"/>
  <c r="AP90" i="1"/>
  <c r="AQ90" i="1" s="1"/>
  <c r="U608" i="1"/>
  <c r="U13" i="1"/>
  <c r="AW689" i="1"/>
  <c r="BB689" i="1"/>
  <c r="BD689" i="1"/>
  <c r="BC650" i="1"/>
  <c r="BC14" i="1"/>
  <c r="BF650" i="1"/>
  <c r="BF14" i="1"/>
  <c r="BT650" i="1"/>
  <c r="BT14" i="1"/>
  <c r="F90" i="1"/>
  <c r="G90" i="1" s="1"/>
  <c r="I90" i="1"/>
  <c r="J90" i="1" s="1"/>
  <c r="BJ650" i="1"/>
  <c r="BJ14" i="1"/>
  <c r="BQ650" i="1"/>
  <c r="BQ14" i="1"/>
  <c r="I242" i="1"/>
  <c r="J242" i="1" s="1"/>
  <c r="F242" i="1"/>
  <c r="G242" i="1" s="1"/>
  <c r="AV380" i="1"/>
  <c r="AV382" i="1" s="1"/>
  <c r="AO380" i="1"/>
  <c r="AR380" i="1"/>
  <c r="AR382" i="1" s="1"/>
  <c r="BI382" i="1"/>
  <c r="AS36" i="1"/>
  <c r="AT36" i="1" s="1"/>
  <c r="AO41" i="1"/>
  <c r="AP36" i="1"/>
  <c r="AQ36" i="1" s="1"/>
  <c r="AY380" i="1"/>
  <c r="AY382" i="1" s="1"/>
  <c r="BL382" i="1"/>
  <c r="AX380" i="1"/>
  <c r="AX382" i="1" s="1"/>
  <c r="BK382" i="1"/>
  <c r="AZ380" i="1"/>
  <c r="AZ382" i="1" s="1"/>
  <c r="BM382" i="1"/>
  <c r="AP39" i="1"/>
  <c r="AQ39" i="1" s="1"/>
  <c r="AN41" i="1"/>
  <c r="T11" i="1"/>
  <c r="BL650" i="1"/>
  <c r="BL14" i="1"/>
  <c r="BM650" i="1"/>
  <c r="BM14" i="1"/>
  <c r="AN553" i="1"/>
  <c r="Y553" i="1"/>
  <c r="D553" i="1"/>
  <c r="W564" i="1"/>
  <c r="Y564" i="1" s="1"/>
  <c r="BC689" i="1"/>
  <c r="BN689" i="1"/>
  <c r="BS689" i="1"/>
  <c r="W50" i="1"/>
  <c r="Y43" i="1"/>
  <c r="D43" i="1"/>
  <c r="AN43" i="1"/>
  <c r="BG689" i="1"/>
  <c r="BR689" i="1"/>
  <c r="AP635" i="1"/>
  <c r="AQ635" i="1" s="1"/>
  <c r="AN648" i="1"/>
  <c r="W597" i="1"/>
  <c r="V606" i="1"/>
  <c r="AN128" i="1"/>
  <c r="Y128" i="1"/>
  <c r="D128" i="1"/>
  <c r="W143" i="1"/>
  <c r="Y143" i="1" s="1"/>
  <c r="BJ360" i="1"/>
  <c r="AW335" i="1"/>
  <c r="AW360" i="1" s="1"/>
  <c r="BO360" i="1"/>
  <c r="BB335" i="1"/>
  <c r="BB360" i="1" s="1"/>
  <c r="BQ360" i="1"/>
  <c r="BD335" i="1"/>
  <c r="BD360" i="1" s="1"/>
  <c r="Y661" i="1"/>
  <c r="AN661" i="1"/>
  <c r="D661" i="1"/>
  <c r="W668" i="1"/>
  <c r="BN650" i="1"/>
  <c r="BN14" i="1"/>
  <c r="F527" i="1"/>
  <c r="G527" i="1" s="1"/>
  <c r="I527" i="1"/>
  <c r="J527" i="1" s="1"/>
  <c r="BG650" i="1"/>
  <c r="BG14" i="1"/>
  <c r="F374" i="1"/>
  <c r="G374" i="1" s="1"/>
  <c r="I374" i="1"/>
  <c r="J374" i="1" s="1"/>
  <c r="I547" i="1"/>
  <c r="J547" i="1" s="1"/>
  <c r="F547" i="1"/>
  <c r="G547" i="1" s="1"/>
  <c r="AW650" i="1"/>
  <c r="AW14" i="1"/>
  <c r="BD650" i="1"/>
  <c r="BD14" i="1"/>
  <c r="BI689" i="1"/>
  <c r="W382" i="1"/>
  <c r="Y382" i="1" s="1"/>
  <c r="D378" i="1"/>
  <c r="Y378" i="1"/>
  <c r="AN378" i="1"/>
  <c r="AY689" i="1"/>
  <c r="BK689" i="1"/>
  <c r="BM689" i="1"/>
  <c r="W270" i="1"/>
  <c r="V331" i="1"/>
  <c r="T616" i="1"/>
  <c r="J585" i="1"/>
  <c r="AP628" i="1"/>
  <c r="AQ628" i="1" s="1"/>
  <c r="AS628" i="1"/>
  <c r="AT628" i="1" s="1"/>
  <c r="AO630" i="1"/>
  <c r="Y96" i="1"/>
  <c r="AN96" i="1"/>
  <c r="D96" i="1"/>
  <c r="W120" i="1"/>
  <c r="F339" i="1"/>
  <c r="G339" i="1" s="1"/>
  <c r="I339" i="1"/>
  <c r="J339" i="1" s="1"/>
  <c r="D360" i="1"/>
  <c r="AY650" i="1"/>
  <c r="AY14" i="1"/>
  <c r="AZ650" i="1"/>
  <c r="AZ14" i="1"/>
  <c r="BP689" i="1"/>
  <c r="BA689" i="1"/>
  <c r="BF689" i="1"/>
  <c r="V689" i="1"/>
  <c r="BT689" i="1"/>
  <c r="BE689" i="1"/>
  <c r="Y648" i="1"/>
  <c r="Y14" i="1" s="1"/>
  <c r="W650" i="1"/>
  <c r="Y650" i="1" s="1"/>
  <c r="W14" i="1"/>
  <c r="AW380" i="1"/>
  <c r="AW382" i="1" s="1"/>
  <c r="BJ382" i="1"/>
  <c r="BB380" i="1"/>
  <c r="BB382" i="1" s="1"/>
  <c r="BO382" i="1"/>
  <c r="BD380" i="1"/>
  <c r="BD382" i="1" s="1"/>
  <c r="BQ382" i="1"/>
  <c r="V683" i="1"/>
  <c r="V15" i="1"/>
  <c r="BA650" i="1"/>
  <c r="BA14" i="1"/>
  <c r="BR650" i="1"/>
  <c r="BR14" i="1"/>
  <c r="BO650" i="1"/>
  <c r="BO14" i="1"/>
  <c r="AV689" i="1"/>
  <c r="BL689" i="1"/>
  <c r="AX689" i="1"/>
  <c r="AZ689" i="1"/>
  <c r="F34" i="1"/>
  <c r="G34" i="1" s="1"/>
  <c r="I34" i="1"/>
  <c r="J34" i="1" s="1"/>
  <c r="I39" i="1"/>
  <c r="J39" i="1" s="1"/>
  <c r="F39" i="1"/>
  <c r="G39" i="1" s="1"/>
  <c r="D41" i="1"/>
  <c r="AR650" i="1"/>
  <c r="AR654" i="1" s="1"/>
  <c r="AR14" i="1"/>
  <c r="BI650" i="1"/>
  <c r="BI14" i="1"/>
  <c r="AP339" i="1"/>
  <c r="AQ339" i="1" s="1"/>
  <c r="AN360" i="1"/>
  <c r="AP679" i="1"/>
  <c r="AQ679" i="1" s="1"/>
  <c r="AN681" i="1"/>
  <c r="AP681" i="1" s="1"/>
  <c r="AQ681" i="1" s="1"/>
  <c r="AV650" i="1"/>
  <c r="AV14" i="1"/>
  <c r="BK650" i="1"/>
  <c r="BK14" i="1"/>
  <c r="BC380" i="1"/>
  <c r="BC382" i="1" s="1"/>
  <c r="BP382" i="1"/>
  <c r="BN360" i="1"/>
  <c r="BA335" i="1"/>
  <c r="BA360" i="1" s="1"/>
  <c r="BS360" i="1"/>
  <c r="BF335" i="1"/>
  <c r="BF360" i="1" s="1"/>
  <c r="W366" i="1"/>
  <c r="Y366" i="1" s="1"/>
  <c r="Y364" i="1"/>
  <c r="D364" i="1"/>
  <c r="AN364" i="1"/>
  <c r="BG380" i="1"/>
  <c r="BG382" i="1" s="1"/>
  <c r="BT382" i="1"/>
  <c r="BR360" i="1"/>
  <c r="BE335" i="1"/>
  <c r="BE360" i="1" s="1"/>
  <c r="AP527" i="1"/>
  <c r="AQ527" i="1" s="1"/>
  <c r="AS527" i="1"/>
  <c r="AT527" i="1" s="1"/>
  <c r="F635" i="1"/>
  <c r="G635" i="1" s="1"/>
  <c r="I635" i="1"/>
  <c r="J635" i="1" s="1"/>
  <c r="D648" i="1"/>
  <c r="W408" i="1"/>
  <c r="V457" i="1"/>
  <c r="AP34" i="1"/>
  <c r="AQ34" i="1" s="1"/>
  <c r="BJ689" i="1"/>
  <c r="BO689" i="1"/>
  <c r="BQ689" i="1"/>
  <c r="BP650" i="1"/>
  <c r="BP14" i="1"/>
  <c r="BS650" i="1"/>
  <c r="BS14" i="1"/>
  <c r="BE650" i="1"/>
  <c r="BE14" i="1"/>
  <c r="BB650" i="1"/>
  <c r="BB14" i="1"/>
  <c r="F264" i="1"/>
  <c r="G264" i="1" s="1"/>
  <c r="I264" i="1"/>
  <c r="J264" i="1" s="1"/>
  <c r="AR335" i="1"/>
  <c r="AR360" i="1" s="1"/>
  <c r="AV335" i="1"/>
  <c r="AV360" i="1" s="1"/>
  <c r="BI360" i="1"/>
  <c r="AO335" i="1"/>
  <c r="AR689" i="1"/>
  <c r="AY335" i="1"/>
  <c r="AY360" i="1" s="1"/>
  <c r="BL360" i="1"/>
  <c r="BK360" i="1"/>
  <c r="AX335" i="1"/>
  <c r="AX360" i="1" s="1"/>
  <c r="BM360" i="1"/>
  <c r="AZ335" i="1"/>
  <c r="AZ360" i="1" s="1"/>
  <c r="AS616" i="4" l="1"/>
  <c r="AT616" i="4" s="1"/>
  <c r="AP616" i="4"/>
  <c r="AQ616" i="4" s="1"/>
  <c r="AS11" i="4"/>
  <c r="AT11" i="4" s="1"/>
  <c r="AP11" i="4"/>
  <c r="AQ11" i="4" s="1"/>
  <c r="AP547" i="1"/>
  <c r="AQ547" i="1" s="1"/>
  <c r="U12" i="1"/>
  <c r="U11" i="1" s="1"/>
  <c r="U690" i="1"/>
  <c r="U691" i="1" s="1"/>
  <c r="I53" i="1"/>
  <c r="J53" i="1" s="1"/>
  <c r="F53" i="1"/>
  <c r="G53" i="1" s="1"/>
  <c r="V566" i="1"/>
  <c r="V690" i="1" s="1"/>
  <c r="V691" i="1" s="1"/>
  <c r="D366" i="1"/>
  <c r="F364" i="1"/>
  <c r="G364" i="1" s="1"/>
  <c r="I364" i="1"/>
  <c r="J364" i="1" s="1"/>
  <c r="AN270" i="1"/>
  <c r="Y270" i="1"/>
  <c r="D270" i="1"/>
  <c r="W331" i="1"/>
  <c r="Y331" i="1" s="1"/>
  <c r="D382" i="1"/>
  <c r="I378" i="1"/>
  <c r="J378" i="1" s="1"/>
  <c r="F378" i="1"/>
  <c r="G378" i="1" s="1"/>
  <c r="I661" i="1"/>
  <c r="J661" i="1" s="1"/>
  <c r="F661" i="1"/>
  <c r="G661" i="1" s="1"/>
  <c r="D668" i="1"/>
  <c r="AP128" i="1"/>
  <c r="AQ128" i="1" s="1"/>
  <c r="AN143" i="1"/>
  <c r="AP143" i="1" s="1"/>
  <c r="AQ143" i="1" s="1"/>
  <c r="D50" i="1"/>
  <c r="I43" i="1"/>
  <c r="J43" i="1" s="1"/>
  <c r="F43" i="1"/>
  <c r="G43" i="1" s="1"/>
  <c r="AP41" i="1"/>
  <c r="AQ41" i="1" s="1"/>
  <c r="AS41" i="1"/>
  <c r="AT41" i="1" s="1"/>
  <c r="AO55" i="1"/>
  <c r="AP380" i="1"/>
  <c r="AQ380" i="1" s="1"/>
  <c r="AS380" i="1"/>
  <c r="AT380" i="1" s="1"/>
  <c r="AO382" i="1"/>
  <c r="F681" i="1"/>
  <c r="G681" i="1" s="1"/>
  <c r="I681" i="1"/>
  <c r="J681" i="1" s="1"/>
  <c r="AN408" i="1"/>
  <c r="W457" i="1"/>
  <c r="Y457" i="1" s="1"/>
  <c r="Y408" i="1"/>
  <c r="D408" i="1"/>
  <c r="F41" i="1"/>
  <c r="G41" i="1" s="1"/>
  <c r="I41" i="1"/>
  <c r="J41" i="1" s="1"/>
  <c r="Y120" i="1"/>
  <c r="AP630" i="1"/>
  <c r="AQ630" i="1" s="1"/>
  <c r="AO650" i="1"/>
  <c r="AS630" i="1"/>
  <c r="AT630" i="1" s="1"/>
  <c r="AO14" i="1"/>
  <c r="AP661" i="1"/>
  <c r="AQ661" i="1" s="1"/>
  <c r="AN668" i="1"/>
  <c r="V608" i="1"/>
  <c r="V13" i="1"/>
  <c r="I553" i="1"/>
  <c r="J553" i="1" s="1"/>
  <c r="F553" i="1"/>
  <c r="G553" i="1" s="1"/>
  <c r="D564" i="1"/>
  <c r="AP463" i="1"/>
  <c r="AQ463" i="1" s="1"/>
  <c r="AN473" i="1"/>
  <c r="AP473" i="1" s="1"/>
  <c r="AQ473" i="1" s="1"/>
  <c r="F648" i="1"/>
  <c r="G648" i="1" s="1"/>
  <c r="I648" i="1"/>
  <c r="D14" i="1"/>
  <c r="F14" i="1" s="1"/>
  <c r="G14" i="1" s="1"/>
  <c r="D650" i="1"/>
  <c r="F360" i="1"/>
  <c r="G360" i="1" s="1"/>
  <c r="I360" i="1"/>
  <c r="J360" i="1" s="1"/>
  <c r="I96" i="1"/>
  <c r="J96" i="1" s="1"/>
  <c r="F96" i="1"/>
  <c r="G96" i="1" s="1"/>
  <c r="D120" i="1"/>
  <c r="AN382" i="1"/>
  <c r="AP378" i="1"/>
  <c r="AQ378" i="1" s="1"/>
  <c r="I128" i="1"/>
  <c r="J128" i="1" s="1"/>
  <c r="F128" i="1"/>
  <c r="G128" i="1" s="1"/>
  <c r="D143" i="1"/>
  <c r="D597" i="1"/>
  <c r="AN597" i="1"/>
  <c r="W606" i="1"/>
  <c r="Y597" i="1"/>
  <c r="Y50" i="1"/>
  <c r="W55" i="1"/>
  <c r="I463" i="1"/>
  <c r="J463" i="1" s="1"/>
  <c r="F463" i="1"/>
  <c r="G463" i="1" s="1"/>
  <c r="D473" i="1"/>
  <c r="U616" i="1"/>
  <c r="AP335" i="1"/>
  <c r="AQ335" i="1" s="1"/>
  <c r="AO360" i="1"/>
  <c r="AS335" i="1"/>
  <c r="AT335" i="1" s="1"/>
  <c r="AN366" i="1"/>
  <c r="AP366" i="1" s="1"/>
  <c r="AQ366" i="1" s="1"/>
  <c r="AP364" i="1"/>
  <c r="AQ364" i="1" s="1"/>
  <c r="AP96" i="1"/>
  <c r="AQ96" i="1" s="1"/>
  <c r="AN120" i="1"/>
  <c r="W683" i="1"/>
  <c r="Y683" i="1" s="1"/>
  <c r="W15" i="1"/>
  <c r="Y668" i="1"/>
  <c r="Y15" i="1" s="1"/>
  <c r="AP648" i="1"/>
  <c r="AQ648" i="1" s="1"/>
  <c r="AN14" i="1"/>
  <c r="AN650" i="1"/>
  <c r="AN50" i="1"/>
  <c r="AP43" i="1"/>
  <c r="AQ43" i="1" s="1"/>
  <c r="AP553" i="1"/>
  <c r="AQ553" i="1" s="1"/>
  <c r="AN564" i="1"/>
  <c r="V12" i="1" l="1"/>
  <c r="V11" i="1" s="1"/>
  <c r="V568" i="1"/>
  <c r="V616" i="1" s="1"/>
  <c r="AP597" i="1"/>
  <c r="AQ597" i="1" s="1"/>
  <c r="AN606" i="1"/>
  <c r="J648" i="1"/>
  <c r="J14" i="1" s="1"/>
  <c r="I14" i="1"/>
  <c r="AN683" i="1"/>
  <c r="AP683" i="1" s="1"/>
  <c r="AQ683" i="1" s="1"/>
  <c r="AN15" i="1"/>
  <c r="AP15" i="1" s="1"/>
  <c r="AQ15" i="1" s="1"/>
  <c r="AP668" i="1"/>
  <c r="AQ668" i="1" s="1"/>
  <c r="AP14" i="1"/>
  <c r="AQ14" i="1" s="1"/>
  <c r="AS14" i="1"/>
  <c r="AT14" i="1" s="1"/>
  <c r="W566" i="1"/>
  <c r="W690" i="1" s="1"/>
  <c r="AP408" i="1"/>
  <c r="AQ408" i="1" s="1"/>
  <c r="AN457" i="1"/>
  <c r="AP457" i="1" s="1"/>
  <c r="AQ457" i="1" s="1"/>
  <c r="F668" i="1"/>
  <c r="G668" i="1" s="1"/>
  <c r="D683" i="1"/>
  <c r="I668" i="1"/>
  <c r="D15" i="1"/>
  <c r="F15" i="1" s="1"/>
  <c r="G15" i="1" s="1"/>
  <c r="F270" i="1"/>
  <c r="G270" i="1" s="1"/>
  <c r="I270" i="1"/>
  <c r="J270" i="1" s="1"/>
  <c r="D331" i="1"/>
  <c r="F366" i="1"/>
  <c r="G366" i="1" s="1"/>
  <c r="I366" i="1"/>
  <c r="J366" i="1" s="1"/>
  <c r="AP50" i="1"/>
  <c r="AQ50" i="1" s="1"/>
  <c r="AN55" i="1"/>
  <c r="AP55" i="1" s="1"/>
  <c r="AQ55" i="1" s="1"/>
  <c r="AP360" i="1"/>
  <c r="AQ360" i="1" s="1"/>
  <c r="AS360" i="1"/>
  <c r="AT360" i="1" s="1"/>
  <c r="I597" i="1"/>
  <c r="J597" i="1" s="1"/>
  <c r="F597" i="1"/>
  <c r="G597" i="1" s="1"/>
  <c r="D606" i="1"/>
  <c r="I564" i="1"/>
  <c r="J564" i="1" s="1"/>
  <c r="F564" i="1"/>
  <c r="G564" i="1" s="1"/>
  <c r="Y566" i="1"/>
  <c r="I408" i="1"/>
  <c r="J408" i="1" s="1"/>
  <c r="F408" i="1"/>
  <c r="G408" i="1" s="1"/>
  <c r="D457" i="1"/>
  <c r="AN729" i="1"/>
  <c r="AO689" i="1"/>
  <c r="AS55" i="1"/>
  <c r="AT55" i="1" s="1"/>
  <c r="F473" i="1"/>
  <c r="G473" i="1" s="1"/>
  <c r="I473" i="1"/>
  <c r="J473" i="1" s="1"/>
  <c r="I143" i="1"/>
  <c r="J143" i="1" s="1"/>
  <c r="F143" i="1"/>
  <c r="G143" i="1" s="1"/>
  <c r="F120" i="1"/>
  <c r="G120" i="1" s="1"/>
  <c r="I120" i="1"/>
  <c r="J120" i="1" s="1"/>
  <c r="F650" i="1"/>
  <c r="G650" i="1" s="1"/>
  <c r="I650" i="1"/>
  <c r="J650" i="1" s="1"/>
  <c r="AP650" i="1"/>
  <c r="AQ650" i="1" s="1"/>
  <c r="AS650" i="1"/>
  <c r="AT650" i="1" s="1"/>
  <c r="AP382" i="1"/>
  <c r="AQ382" i="1" s="1"/>
  <c r="AS382" i="1"/>
  <c r="AT382" i="1" s="1"/>
  <c r="F382" i="1"/>
  <c r="G382" i="1" s="1"/>
  <c r="I382" i="1"/>
  <c r="J382" i="1" s="1"/>
  <c r="AP270" i="1"/>
  <c r="AQ270" i="1" s="1"/>
  <c r="AN331" i="1"/>
  <c r="AP331" i="1" s="1"/>
  <c r="AQ331" i="1" s="1"/>
  <c r="AP120" i="1"/>
  <c r="AQ120" i="1" s="1"/>
  <c r="W689" i="1"/>
  <c r="Y55" i="1"/>
  <c r="Y606" i="1"/>
  <c r="Y13" i="1" s="1"/>
  <c r="W608" i="1"/>
  <c r="Y608" i="1" s="1"/>
  <c r="W13" i="1"/>
  <c r="F50" i="1"/>
  <c r="G50" i="1" s="1"/>
  <c r="I50" i="1"/>
  <c r="J50" i="1" s="1"/>
  <c r="D55" i="1"/>
  <c r="W12" i="1" l="1"/>
  <c r="W568" i="1"/>
  <c r="W616" i="1" s="1"/>
  <c r="W691" i="1"/>
  <c r="I457" i="1"/>
  <c r="J457" i="1" s="1"/>
  <c r="F457" i="1"/>
  <c r="G457" i="1" s="1"/>
  <c r="AN725" i="1"/>
  <c r="AN727" i="1" s="1"/>
  <c r="AN731" i="1" s="1"/>
  <c r="AN689" i="1"/>
  <c r="I331" i="1"/>
  <c r="J331" i="1" s="1"/>
  <c r="F331" i="1"/>
  <c r="G331" i="1" s="1"/>
  <c r="J668" i="1"/>
  <c r="J15" i="1" s="1"/>
  <c r="I15" i="1"/>
  <c r="D689" i="1"/>
  <c r="F55" i="1"/>
  <c r="G55" i="1" s="1"/>
  <c r="I55" i="1"/>
  <c r="Y689" i="1"/>
  <c r="Y568" i="1"/>
  <c r="Y616" i="1" s="1"/>
  <c r="Y12" i="1"/>
  <c r="Y11" i="1" s="1"/>
  <c r="AN566" i="1"/>
  <c r="AN690" i="1" s="1"/>
  <c r="D566" i="1"/>
  <c r="D12" i="1" s="1"/>
  <c r="F606" i="1"/>
  <c r="G606" i="1" s="1"/>
  <c r="I606" i="1"/>
  <c r="D13" i="1"/>
  <c r="F13" i="1" s="1"/>
  <c r="G13" i="1" s="1"/>
  <c r="D608" i="1"/>
  <c r="F683" i="1"/>
  <c r="G683" i="1" s="1"/>
  <c r="I683" i="1"/>
  <c r="J683" i="1" s="1"/>
  <c r="AP606" i="1"/>
  <c r="AQ606" i="1" s="1"/>
  <c r="AN608" i="1"/>
  <c r="AP608" i="1" s="1"/>
  <c r="AQ608" i="1" s="1"/>
  <c r="AN13" i="1"/>
  <c r="AP13" i="1" s="1"/>
  <c r="AQ13" i="1" s="1"/>
  <c r="W11" i="1"/>
  <c r="Y690" i="1"/>
  <c r="F12" i="1" l="1"/>
  <c r="G12" i="1" s="1"/>
  <c r="D11" i="1"/>
  <c r="F11" i="1" s="1"/>
  <c r="G11" i="1" s="1"/>
  <c r="J606" i="1"/>
  <c r="J13" i="1" s="1"/>
  <c r="I13" i="1"/>
  <c r="J55" i="1"/>
  <c r="AN12" i="1"/>
  <c r="AN11" i="1" s="1"/>
  <c r="F608" i="1"/>
  <c r="G608" i="1" s="1"/>
  <c r="I608" i="1"/>
  <c r="J608" i="1" s="1"/>
  <c r="AN568" i="1"/>
  <c r="AN616" i="1" s="1"/>
  <c r="BQ561" i="1"/>
  <c r="BM561" i="1"/>
  <c r="BI561" i="1"/>
  <c r="BT561" i="1"/>
  <c r="BP561" i="1"/>
  <c r="BL561" i="1"/>
  <c r="BS561" i="1"/>
  <c r="BO561" i="1"/>
  <c r="BK561" i="1"/>
  <c r="BR561" i="1"/>
  <c r="BN561" i="1"/>
  <c r="BJ561" i="1"/>
  <c r="D690" i="1"/>
  <c r="D691" i="1" s="1"/>
  <c r="F566" i="1"/>
  <c r="G566" i="1" s="1"/>
  <c r="I566" i="1"/>
  <c r="J566" i="1" s="1"/>
  <c r="Y691" i="1"/>
  <c r="D568" i="1"/>
  <c r="AN691" i="1"/>
  <c r="D616" i="1" l="1"/>
  <c r="F568" i="1"/>
  <c r="G568" i="1" s="1"/>
  <c r="I568" i="1"/>
  <c r="J568" i="1" s="1"/>
  <c r="AX561" i="1"/>
  <c r="AX564" i="1" s="1"/>
  <c r="AX566" i="1" s="1"/>
  <c r="BK564" i="1"/>
  <c r="BK566" i="1" s="1"/>
  <c r="BC561" i="1"/>
  <c r="BC564" i="1" s="1"/>
  <c r="BC566" i="1" s="1"/>
  <c r="BP564" i="1"/>
  <c r="BP566" i="1" s="1"/>
  <c r="BD561" i="1"/>
  <c r="BD564" i="1" s="1"/>
  <c r="BD566" i="1" s="1"/>
  <c r="BQ564" i="1"/>
  <c r="BQ566" i="1" s="1"/>
  <c r="AW561" i="1"/>
  <c r="AW564" i="1" s="1"/>
  <c r="AW566" i="1" s="1"/>
  <c r="BJ564" i="1"/>
  <c r="BJ566" i="1" s="1"/>
  <c r="BB561" i="1"/>
  <c r="BB564" i="1" s="1"/>
  <c r="BB566" i="1" s="1"/>
  <c r="BO564" i="1"/>
  <c r="BO566" i="1" s="1"/>
  <c r="BG561" i="1"/>
  <c r="BG564" i="1" s="1"/>
  <c r="BG566" i="1" s="1"/>
  <c r="BT564" i="1"/>
  <c r="BT566" i="1" s="1"/>
  <c r="BA561" i="1"/>
  <c r="BA564" i="1" s="1"/>
  <c r="BA566" i="1" s="1"/>
  <c r="BN564" i="1"/>
  <c r="BN566" i="1" s="1"/>
  <c r="BF561" i="1"/>
  <c r="BF564" i="1" s="1"/>
  <c r="BF566" i="1" s="1"/>
  <c r="BS564" i="1"/>
  <c r="BS566" i="1" s="1"/>
  <c r="AV561" i="1"/>
  <c r="AO561" i="1"/>
  <c r="AR561" i="1"/>
  <c r="I12" i="1"/>
  <c r="I11" i="1" s="1"/>
  <c r="BE561" i="1"/>
  <c r="BE564" i="1" s="1"/>
  <c r="BE566" i="1" s="1"/>
  <c r="BR564" i="1"/>
  <c r="BR566" i="1" s="1"/>
  <c r="AY561" i="1"/>
  <c r="AY564" i="1" s="1"/>
  <c r="AY566" i="1" s="1"/>
  <c r="BL564" i="1"/>
  <c r="BL566" i="1" s="1"/>
  <c r="AZ561" i="1"/>
  <c r="AZ564" i="1" s="1"/>
  <c r="AZ566" i="1" s="1"/>
  <c r="BM564" i="1"/>
  <c r="BM566" i="1" s="1"/>
  <c r="J12" i="1"/>
  <c r="J11" i="1" s="1"/>
  <c r="BL690" i="1" l="1"/>
  <c r="BL691" i="1" s="1"/>
  <c r="BL568" i="1"/>
  <c r="BL616" i="1" s="1"/>
  <c r="BL12" i="1"/>
  <c r="BL11" i="1" s="1"/>
  <c r="BA690" i="1"/>
  <c r="BA691" i="1" s="1"/>
  <c r="BA568" i="1"/>
  <c r="BA616" i="1" s="1"/>
  <c r="BA12" i="1"/>
  <c r="BA11" i="1" s="1"/>
  <c r="BB690" i="1"/>
  <c r="BB691" i="1" s="1"/>
  <c r="BB568" i="1"/>
  <c r="BB616" i="1" s="1"/>
  <c r="BB12" i="1"/>
  <c r="BB11" i="1" s="1"/>
  <c r="BD690" i="1"/>
  <c r="BD691" i="1" s="1"/>
  <c r="BD568" i="1"/>
  <c r="BD616" i="1" s="1"/>
  <c r="BD12" i="1"/>
  <c r="BD11" i="1" s="1"/>
  <c r="AX690" i="1"/>
  <c r="AX691" i="1" s="1"/>
  <c r="AX568" i="1"/>
  <c r="AX616" i="1" s="1"/>
  <c r="AX12" i="1"/>
  <c r="AX11" i="1" s="1"/>
  <c r="AY690" i="1"/>
  <c r="AY691" i="1" s="1"/>
  <c r="AY12" i="1"/>
  <c r="AY11" i="1" s="1"/>
  <c r="AY568" i="1"/>
  <c r="AY616" i="1" s="1"/>
  <c r="BS690" i="1"/>
  <c r="BS691" i="1" s="1"/>
  <c r="BS12" i="1"/>
  <c r="BS11" i="1" s="1"/>
  <c r="BS568" i="1"/>
  <c r="BS616" i="1" s="1"/>
  <c r="BT690" i="1"/>
  <c r="BT691" i="1" s="1"/>
  <c r="BT12" i="1"/>
  <c r="BT11" i="1" s="1"/>
  <c r="BT568" i="1"/>
  <c r="BT616" i="1" s="1"/>
  <c r="BJ690" i="1"/>
  <c r="BJ691" i="1" s="1"/>
  <c r="BJ12" i="1"/>
  <c r="BJ11" i="1" s="1"/>
  <c r="BJ568" i="1"/>
  <c r="BJ616" i="1" s="1"/>
  <c r="BP690" i="1"/>
  <c r="BP691" i="1" s="1"/>
  <c r="BP12" i="1"/>
  <c r="BP11" i="1" s="1"/>
  <c r="BP568" i="1"/>
  <c r="BP616" i="1" s="1"/>
  <c r="BM690" i="1"/>
  <c r="BM691" i="1" s="1"/>
  <c r="BM568" i="1"/>
  <c r="BM616" i="1" s="1"/>
  <c r="BM12" i="1"/>
  <c r="BM11" i="1" s="1"/>
  <c r="BR690" i="1"/>
  <c r="BR691" i="1" s="1"/>
  <c r="BR568" i="1"/>
  <c r="BR616" i="1" s="1"/>
  <c r="BR12" i="1"/>
  <c r="BR11" i="1" s="1"/>
  <c r="BF690" i="1"/>
  <c r="BF691" i="1" s="1"/>
  <c r="BF568" i="1"/>
  <c r="BF616" i="1" s="1"/>
  <c r="BF12" i="1"/>
  <c r="BF11" i="1" s="1"/>
  <c r="BG690" i="1"/>
  <c r="BG691" i="1" s="1"/>
  <c r="BG568" i="1"/>
  <c r="BG616" i="1" s="1"/>
  <c r="BG12" i="1"/>
  <c r="BG11" i="1" s="1"/>
  <c r="AW690" i="1"/>
  <c r="AW691" i="1" s="1"/>
  <c r="AW12" i="1"/>
  <c r="AW11" i="1" s="1"/>
  <c r="AW568" i="1"/>
  <c r="AW616" i="1" s="1"/>
  <c r="BC690" i="1"/>
  <c r="BC691" i="1" s="1"/>
  <c r="BC568" i="1"/>
  <c r="BC616" i="1" s="1"/>
  <c r="BC12" i="1"/>
  <c r="BC11" i="1" s="1"/>
  <c r="AZ690" i="1"/>
  <c r="AZ691" i="1" s="1"/>
  <c r="AZ12" i="1"/>
  <c r="AZ11" i="1" s="1"/>
  <c r="AZ568" i="1"/>
  <c r="AZ616" i="1" s="1"/>
  <c r="BE690" i="1"/>
  <c r="BE691" i="1" s="1"/>
  <c r="BE568" i="1"/>
  <c r="BE616" i="1" s="1"/>
  <c r="BE12" i="1"/>
  <c r="BE11" i="1" s="1"/>
  <c r="AP561" i="1"/>
  <c r="AQ561" i="1" s="1"/>
  <c r="AS561" i="1"/>
  <c r="AT561" i="1" s="1"/>
  <c r="BN690" i="1"/>
  <c r="BN691" i="1" s="1"/>
  <c r="BN568" i="1"/>
  <c r="BN616" i="1" s="1"/>
  <c r="BN12" i="1"/>
  <c r="BN11" i="1" s="1"/>
  <c r="BO690" i="1"/>
  <c r="BO691" i="1" s="1"/>
  <c r="BO568" i="1"/>
  <c r="BO616" i="1" s="1"/>
  <c r="BO12" i="1"/>
  <c r="BO11" i="1" s="1"/>
  <c r="BQ690" i="1"/>
  <c r="BQ691" i="1" s="1"/>
  <c r="BQ568" i="1"/>
  <c r="BQ616" i="1" s="1"/>
  <c r="BQ12" i="1"/>
  <c r="BQ11" i="1" s="1"/>
  <c r="BK690" i="1"/>
  <c r="BK691" i="1" s="1"/>
  <c r="BK568" i="1"/>
  <c r="BK616" i="1" s="1"/>
  <c r="BK12" i="1"/>
  <c r="BK11" i="1" s="1"/>
  <c r="F616" i="1"/>
  <c r="G616" i="1" s="1"/>
  <c r="I616" i="1"/>
  <c r="J616" i="1" s="1"/>
  <c r="BI564" i="1"/>
  <c r="BI566" i="1" s="1"/>
  <c r="AR552" i="1"/>
  <c r="AR564" i="1" s="1"/>
  <c r="AR566" i="1" s="1"/>
  <c r="AR568" i="1" s="1"/>
  <c r="AV552" i="1"/>
  <c r="AV564" i="1" s="1"/>
  <c r="AV566" i="1" s="1"/>
  <c r="AO552" i="1"/>
  <c r="AS552" i="1" l="1"/>
  <c r="AT552" i="1" s="1"/>
  <c r="AO564" i="1"/>
  <c r="AP564" i="1" s="1"/>
  <c r="AQ564" i="1" s="1"/>
  <c r="BI690" i="1"/>
  <c r="BI691" i="1" s="1"/>
  <c r="BI12" i="1"/>
  <c r="BI11" i="1" s="1"/>
  <c r="BI568" i="1"/>
  <c r="BI616" i="1" s="1"/>
  <c r="AR572" i="1"/>
  <c r="AR616" i="1"/>
  <c r="AR620" i="1" s="1"/>
  <c r="AV12" i="1"/>
  <c r="AV11" i="1" s="1"/>
  <c r="AV568" i="1"/>
  <c r="AV616" i="1" s="1"/>
  <c r="AV690" i="1"/>
  <c r="AV691" i="1" s="1"/>
  <c r="AR12" i="1"/>
  <c r="AR11" i="1" s="1"/>
  <c r="AR690" i="1"/>
  <c r="AR691" i="1" s="1"/>
  <c r="AP552" i="1"/>
  <c r="AQ552" i="1" s="1"/>
  <c r="AS564" i="1" l="1"/>
  <c r="AT564" i="1" s="1"/>
  <c r="AO566" i="1"/>
  <c r="AO700" i="1" s="1"/>
  <c r="AO701" i="1" s="1"/>
  <c r="AO702" i="1" s="1"/>
  <c r="AP700" i="1" s="1"/>
  <c r="AO690" i="1" l="1"/>
  <c r="AO691" i="1" s="1"/>
  <c r="AO568" i="1"/>
  <c r="AS566" i="1"/>
  <c r="AT566" i="1" s="1"/>
  <c r="AP566" i="1"/>
  <c r="AQ566" i="1" s="1"/>
  <c r="AO12" i="1"/>
  <c r="AO573" i="1" l="1"/>
  <c r="AO705" i="1"/>
  <c r="AO707" i="1" s="1"/>
  <c r="AP568" i="1"/>
  <c r="AQ568" i="1" s="1"/>
  <c r="AS568" i="1"/>
  <c r="AT568" i="1" s="1"/>
  <c r="AO616" i="1"/>
  <c r="AO11" i="1"/>
  <c r="AS12" i="1"/>
  <c r="AT12" i="1" s="1"/>
  <c r="AP12" i="1"/>
  <c r="AQ12" i="1" s="1"/>
  <c r="AS11" i="1" l="1"/>
  <c r="AT11" i="1" s="1"/>
  <c r="AP11" i="1"/>
  <c r="AQ11" i="1" s="1"/>
  <c r="AP616" i="1"/>
  <c r="AQ616" i="1" s="1"/>
  <c r="AS616" i="1"/>
  <c r="AT616" i="1" s="1"/>
  <c r="E63" i="5" l="1"/>
  <c r="E70" i="5" s="1"/>
  <c r="E64" i="5" l="1"/>
  <c r="E66" i="5" s="1"/>
  <c r="E68" i="5" s="1"/>
  <c r="D68" i="5" s="1"/>
  <c r="D63" i="5"/>
  <c r="D64" i="5" s="1"/>
  <c r="D6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Todd Morse</author>
    <author>Baba Janneh</author>
    <author>mark walker</author>
  </authors>
  <commentList>
    <comment ref="BI5" authorId="0" shapeId="0" xr:uid="{00000000-0006-0000-0000-000001000000}">
      <text>
        <r>
          <rPr>
            <b/>
            <sz val="9"/>
            <color indexed="81"/>
            <rFont val="Tahoma"/>
            <family val="2"/>
          </rPr>
          <t>Todd Morse:</t>
        </r>
        <r>
          <rPr>
            <sz val="9"/>
            <color indexed="81"/>
            <rFont val="Tahoma"/>
            <family val="2"/>
          </rPr>
          <t xml:space="preserve">
With the close of our open enrollment window our trend data indicates that the projected enrollment is 1369
</t>
        </r>
      </text>
    </comment>
    <comment ref="BI7" authorId="0" shapeId="0" xr:uid="{00000000-0006-0000-0000-000002000000}">
      <text>
        <r>
          <rPr>
            <b/>
            <sz val="9"/>
            <color indexed="81"/>
            <rFont val="Tahoma"/>
            <family val="2"/>
          </rPr>
          <t>Todd Morse:</t>
        </r>
        <r>
          <rPr>
            <sz val="9"/>
            <color indexed="81"/>
            <rFont val="Tahoma"/>
            <family val="2"/>
          </rPr>
          <t xml:space="preserve">
We do not project a growth  in kindergarten as the elementary building is at capacity.  This projection should remain 116 for FY19.</t>
        </r>
      </text>
    </comment>
    <comment ref="BI8" authorId="0" shapeId="0" xr:uid="{00000000-0006-0000-0000-000003000000}">
      <text>
        <r>
          <rPr>
            <b/>
            <sz val="9"/>
            <color indexed="81"/>
            <rFont val="Tahoma"/>
            <family val="2"/>
          </rPr>
          <t>Todd Morse:</t>
        </r>
        <r>
          <rPr>
            <sz val="9"/>
            <color indexed="81"/>
            <rFont val="Tahoma"/>
            <family val="2"/>
          </rPr>
          <t xml:space="preserve">
Our authorizer has provided guidance indicating that we should use $7502 as the PPOR value for FY19
</t>
        </r>
      </text>
    </comment>
    <comment ref="AO26" authorId="0" shapeId="0" xr:uid="{00000000-0006-0000-0000-000004000000}">
      <text>
        <r>
          <rPr>
            <b/>
            <sz val="9"/>
            <color indexed="81"/>
            <rFont val="Tahoma"/>
            <family val="2"/>
          </rPr>
          <t>Todd Morse:</t>
        </r>
        <r>
          <rPr>
            <sz val="9"/>
            <color indexed="81"/>
            <rFont val="Tahoma"/>
            <family val="2"/>
          </rPr>
          <t xml:space="preserve">
See comment in BJ24</t>
        </r>
      </text>
    </comment>
    <comment ref="BJ26" authorId="0" shapeId="0" xr:uid="{00000000-0006-0000-0000-000005000000}">
      <text>
        <r>
          <rPr>
            <b/>
            <sz val="9"/>
            <color indexed="81"/>
            <rFont val="Tahoma"/>
            <family val="2"/>
          </rPr>
          <t>Todd Morse:</t>
        </r>
        <r>
          <rPr>
            <sz val="9"/>
            <color indexed="81"/>
            <rFont val="Tahoma"/>
            <family val="2"/>
          </rPr>
          <t xml:space="preserve">
With the addition of a new grade level at HS and expansion into varsity athletics, we anticipate a greater than proportional increase in athletic fees.  These fees tend to be clumped near the beginnings of athletic seasons and so I added in the anticipated increase into August, November, and February
</t>
        </r>
      </text>
    </comment>
    <comment ref="AO28" authorId="0" shapeId="0" xr:uid="{00000000-0006-0000-0000-000006000000}">
      <text>
        <r>
          <rPr>
            <b/>
            <sz val="9"/>
            <color indexed="81"/>
            <rFont val="Tahoma"/>
            <family val="2"/>
          </rPr>
          <t>Todd Morse:</t>
        </r>
        <r>
          <rPr>
            <sz val="9"/>
            <color indexed="81"/>
            <rFont val="Tahoma"/>
            <family val="2"/>
          </rPr>
          <t xml:space="preserve">
See comment in BI25
</t>
        </r>
      </text>
    </comment>
    <comment ref="BI28" authorId="0" shapeId="0" xr:uid="{00000000-0006-0000-0000-000007000000}">
      <text>
        <r>
          <rPr>
            <b/>
            <sz val="9"/>
            <color indexed="81"/>
            <rFont val="Tahoma"/>
            <family val="2"/>
          </rPr>
          <t>Todd Morse:</t>
        </r>
        <r>
          <rPr>
            <sz val="9"/>
            <color indexed="81"/>
            <rFont val="Tahoma"/>
            <family val="2"/>
          </rPr>
          <t xml:space="preserve">
We were very restrictive on rentals of our new campus in FY18 given so many unknowns around athletics and activities scheduling.  Now that we have some experience with this, we anticipate a 5% increase in rental revenues.
</t>
        </r>
      </text>
    </comment>
    <comment ref="AO29" authorId="0" shapeId="0" xr:uid="{00000000-0006-0000-0000-000008000000}">
      <text>
        <r>
          <rPr>
            <b/>
            <sz val="9"/>
            <color indexed="81"/>
            <rFont val="Tahoma"/>
            <family val="2"/>
          </rPr>
          <t>Todd Morse:</t>
        </r>
        <r>
          <rPr>
            <sz val="9"/>
            <color indexed="81"/>
            <rFont val="Tahoma"/>
            <family val="2"/>
          </rPr>
          <t xml:space="preserve">
See comments on cells BI26 through BT26 for specific sources of funds</t>
        </r>
      </text>
    </comment>
    <comment ref="BI29" authorId="0" shapeId="0" xr:uid="{00000000-0006-0000-0000-000009000000}">
      <text>
        <r>
          <rPr>
            <b/>
            <sz val="9"/>
            <color indexed="81"/>
            <rFont val="Tahoma"/>
            <family val="2"/>
          </rPr>
          <t>Todd Morse:</t>
        </r>
        <r>
          <rPr>
            <sz val="9"/>
            <color indexed="81"/>
            <rFont val="Tahoma"/>
            <family val="2"/>
          </rPr>
          <t xml:space="preserve">
BLRA Foundation support for onboarding 4 new core teaching positions at BLPA ($7200) + outfitting additional classrooms at BLPA ($20,000)</t>
        </r>
      </text>
    </comment>
    <comment ref="BJ29" authorId="0" shapeId="0" xr:uid="{00000000-0006-0000-0000-00000A000000}">
      <text>
        <r>
          <rPr>
            <b/>
            <sz val="9"/>
            <color indexed="81"/>
            <rFont val="Tahoma"/>
            <family val="2"/>
          </rPr>
          <t>Todd Morse:</t>
        </r>
        <r>
          <rPr>
            <sz val="9"/>
            <color indexed="81"/>
            <rFont val="Tahoma"/>
            <family val="2"/>
          </rPr>
          <t xml:space="preserve">
BLRA Foundation support for new curriculum ($60,000)
</t>
        </r>
      </text>
    </comment>
    <comment ref="BL29" authorId="0" shapeId="0" xr:uid="{00000000-0006-0000-0000-00000B000000}">
      <text>
        <r>
          <rPr>
            <b/>
            <sz val="9"/>
            <color indexed="81"/>
            <rFont val="Tahoma"/>
            <family val="2"/>
          </rPr>
          <t>Todd Morse:</t>
        </r>
        <r>
          <rPr>
            <sz val="9"/>
            <color indexed="81"/>
            <rFont val="Tahoma"/>
            <family val="2"/>
          </rPr>
          <t xml:space="preserve">
Oakwood Foundation support for CKH training</t>
        </r>
      </text>
    </comment>
    <comment ref="BQ29" authorId="0" shapeId="0" xr:uid="{00000000-0006-0000-0000-00000C000000}">
      <text>
        <r>
          <rPr>
            <b/>
            <sz val="9"/>
            <color indexed="81"/>
            <rFont val="Tahoma"/>
            <family val="2"/>
          </rPr>
          <t>Todd Morse:</t>
        </r>
        <r>
          <rPr>
            <sz val="9"/>
            <color indexed="81"/>
            <rFont val="Tahoma"/>
            <family val="2"/>
          </rPr>
          <t xml:space="preserve">
FY 19 is for Year 3 (of 3) for Oakwood's owner's rep reimbursement.</t>
        </r>
      </text>
    </comment>
    <comment ref="AO30" authorId="0" shapeId="0" xr:uid="{00000000-0006-0000-0000-00000D000000}">
      <text>
        <r>
          <rPr>
            <b/>
            <sz val="9"/>
            <color indexed="81"/>
            <rFont val="Tahoma"/>
            <family val="2"/>
          </rPr>
          <t>Todd Morse:</t>
        </r>
        <r>
          <rPr>
            <sz val="9"/>
            <color indexed="81"/>
            <rFont val="Tahoma"/>
            <family val="2"/>
          </rPr>
          <t xml:space="preserve">
I made no change to the cell, but felt it important to highlight that this changed significantly</t>
        </r>
      </text>
    </comment>
    <comment ref="AO31" authorId="0" shapeId="0" xr:uid="{00000000-0006-0000-0000-00000E000000}">
      <text>
        <r>
          <rPr>
            <b/>
            <sz val="9"/>
            <color indexed="81"/>
            <rFont val="Tahoma"/>
            <family val="2"/>
          </rPr>
          <t>Todd Morse:</t>
        </r>
        <r>
          <rPr>
            <sz val="9"/>
            <color indexed="81"/>
            <rFont val="Tahoma"/>
            <family val="2"/>
          </rPr>
          <t xml:space="preserve">
We will use $200,980.22 from MLO3B for BLRA renovations and $348,198.79 from MLO3A for 6 new positions at BLPA</t>
        </r>
      </text>
    </comment>
    <comment ref="BI31" authorId="0" shapeId="0" xr:uid="{00000000-0006-0000-0000-00000F000000}">
      <text>
        <r>
          <rPr>
            <b/>
            <sz val="9"/>
            <color indexed="81"/>
            <rFont val="Tahoma"/>
            <family val="2"/>
          </rPr>
          <t>Todd Morse:</t>
        </r>
        <r>
          <rPr>
            <sz val="9"/>
            <color indexed="81"/>
            <rFont val="Tahoma"/>
            <family val="2"/>
          </rPr>
          <t xml:space="preserve">
This derives from MLO 3A ($348,198.79) and MLO 3B ($200,980.22)</t>
        </r>
      </text>
    </comment>
    <comment ref="AO36" authorId="0" shapeId="0" xr:uid="{00000000-0006-0000-0000-000010000000}">
      <text>
        <r>
          <rPr>
            <b/>
            <sz val="9"/>
            <color indexed="81"/>
            <rFont val="Tahoma"/>
            <family val="2"/>
          </rPr>
          <t>Todd Morse:</t>
        </r>
        <r>
          <rPr>
            <sz val="9"/>
            <color indexed="81"/>
            <rFont val="Tahoma"/>
            <family val="2"/>
          </rPr>
          <t xml:space="preserve">
No change to formula, but value changed due to factors outlined in comment on BI33
</t>
        </r>
      </text>
    </comment>
    <comment ref="BI36" authorId="0" shapeId="0" xr:uid="{00000000-0006-0000-0000-000011000000}">
      <text>
        <r>
          <rPr>
            <b/>
            <sz val="9"/>
            <color indexed="81"/>
            <rFont val="Tahoma"/>
            <family val="2"/>
          </rPr>
          <t>Todd Morse:</t>
        </r>
        <r>
          <rPr>
            <sz val="9"/>
            <color indexed="81"/>
            <rFont val="Tahoma"/>
            <family val="2"/>
          </rPr>
          <t xml:space="preserve">
This is definitely the correct strategy to link this with line 507: Capital Construction Facility Rent/Building Lease, but our authorizer has advised us to project the FY18 per FTE amount of $277/FTE for FY19 .  I made the adjustment in line 507 below.</t>
        </r>
      </text>
    </comment>
    <comment ref="AO39" authorId="0" shapeId="0" xr:uid="{00000000-0006-0000-0000-000012000000}">
      <text>
        <r>
          <rPr>
            <b/>
            <sz val="9"/>
            <color indexed="81"/>
            <rFont val="Tahoma"/>
            <family val="2"/>
          </rPr>
          <t>Todd Morse:</t>
        </r>
        <r>
          <rPr>
            <sz val="9"/>
            <color indexed="81"/>
            <rFont val="Tahoma"/>
            <family val="2"/>
          </rPr>
          <t xml:space="preserve">
No change to formula, but value changed due to factors outlined in comment on BI36</t>
        </r>
      </text>
    </comment>
    <comment ref="BI39" authorId="0" shapeId="0" xr:uid="{00000000-0006-0000-0000-000013000000}">
      <text>
        <r>
          <rPr>
            <b/>
            <sz val="9"/>
            <color indexed="81"/>
            <rFont val="Tahoma"/>
            <family val="2"/>
          </rPr>
          <t>Todd Morse:</t>
        </r>
        <r>
          <rPr>
            <sz val="9"/>
            <color indexed="81"/>
            <rFont val="Tahoma"/>
            <family val="2"/>
          </rPr>
          <t xml:space="preserve">
READ Act funds are based on the number of students on READ plans for the preceding year.  Given the significant elementary enrollment increase from FY17 to FY18, our FY19 READ Act funds will be based upon 82 READ plans rather than the FY18 basis of 51  READ plans.  I have changed the multiplier in the formula for BI 36 through BT36 to x(82/51)</t>
        </r>
      </text>
    </comment>
    <comment ref="AO62" authorId="0" shapeId="0" xr:uid="{00000000-0006-0000-0000-000014000000}">
      <text>
        <r>
          <rPr>
            <b/>
            <sz val="9"/>
            <color indexed="81"/>
            <rFont val="Tahoma"/>
            <family val="2"/>
          </rPr>
          <t xml:space="preserve">Todd Morse (3/12/18):
</t>
        </r>
        <r>
          <rPr>
            <sz val="9"/>
            <color indexed="81"/>
            <rFont val="Tahoma"/>
            <family val="2"/>
          </rPr>
          <t>Now that GT teachers have been removed from the "Teaching Assistant" lines (59, 61, 64, 69, 71, and 78), this becomes the best set of account lines to addres instructional aides (Lines 171 - 179 on the FY19 Staffing V1-1 (3) tab).  I have added the instructional aide compensation values to PL - School COA lines 59, 61, 64, 69, 71, and 78</t>
        </r>
        <r>
          <rPr>
            <b/>
            <sz val="9"/>
            <color indexed="81"/>
            <rFont val="Tahoma"/>
            <family val="2"/>
          </rPr>
          <t xml:space="preserve">
Todd Morse (3/9/18):</t>
        </r>
        <r>
          <rPr>
            <sz val="9"/>
            <color indexed="81"/>
            <rFont val="Tahoma"/>
            <family val="2"/>
          </rPr>
          <t xml:space="preserve">
In Colorado, teaching assistants are hourly employees.  We currently do not have any teaching assistants - instead we have instructional aides whose compensation is captured elsewhere in the sheet.  This number includes GT teachers - their compensation should be moved to the specials teacher line below and this line should be 
</t>
        </r>
      </text>
    </comment>
    <comment ref="AO63" authorId="0" shapeId="0" xr:uid="{00000000-0006-0000-0000-000015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BK63" authorId="0" shapeId="0" xr:uid="{00000000-0006-0000-0000-000016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AO65" authorId="0" shapeId="0" xr:uid="{00000000-0006-0000-0000-000017000000}">
      <text>
        <r>
          <rPr>
            <b/>
            <sz val="9"/>
            <color indexed="81"/>
            <rFont val="Tahoma"/>
            <family val="2"/>
          </rPr>
          <t>Todd Morse:</t>
        </r>
        <r>
          <rPr>
            <sz val="9"/>
            <color indexed="81"/>
            <rFont val="Tahoma"/>
            <family val="2"/>
          </rPr>
          <t xml:space="preserve">
No change to formula - see comment on BJ62 for factors impacting change in value</t>
        </r>
      </text>
    </comment>
    <comment ref="BJ65" authorId="0" shapeId="0" xr:uid="{00000000-0006-0000-0000-000018000000}">
      <text>
        <r>
          <rPr>
            <b/>
            <sz val="9"/>
            <color indexed="81"/>
            <rFont val="Tahoma"/>
            <family val="2"/>
          </rPr>
          <t>Todd Morse:</t>
        </r>
        <r>
          <rPr>
            <sz val="9"/>
            <color indexed="81"/>
            <rFont val="Tahoma"/>
            <family val="2"/>
          </rPr>
          <t xml:space="preserve">
We estinmate the total cost of stipends for elementary (to include FICA, Medicare, and 401K contribution to be $17,808.21.  I have a stipends sheet that I would be glad to add as a separate tab</t>
        </r>
      </text>
    </comment>
    <comment ref="AO67" authorId="0" shapeId="0" xr:uid="{00000000-0006-0000-0000-000019000000}">
      <text>
        <r>
          <rPr>
            <b/>
            <sz val="9"/>
            <color indexed="81"/>
            <rFont val="Tahoma"/>
            <family val="2"/>
          </rPr>
          <t>Todd Morse:</t>
        </r>
        <r>
          <rPr>
            <sz val="9"/>
            <color indexed="81"/>
            <rFont val="Tahoma"/>
            <family val="2"/>
          </rPr>
          <t xml:space="preserve">
See comment regatrding teaching assistant on cell AO59</t>
        </r>
      </text>
    </comment>
    <comment ref="AO71" authorId="0" shapeId="0" xr:uid="{00000000-0006-0000-0000-00001A000000}">
      <text>
        <r>
          <rPr>
            <b/>
            <sz val="9"/>
            <color indexed="81"/>
            <rFont val="Tahoma"/>
            <family val="2"/>
          </rPr>
          <t>Todd Morse:</t>
        </r>
        <r>
          <rPr>
            <sz val="9"/>
            <color indexed="81"/>
            <rFont val="Tahoma"/>
            <family val="2"/>
          </rPr>
          <t xml:space="preserve">
No change to formula - see comment on BJ68 for factors impacting change in value</t>
        </r>
      </text>
    </comment>
    <comment ref="BK71" authorId="0" shapeId="0" xr:uid="{00000000-0006-0000-0000-00001B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68, 99, and 127.
</t>
        </r>
      </text>
    </comment>
    <comment ref="AO72" authorId="0" shapeId="0" xr:uid="{00000000-0006-0000-0000-00001C000000}">
      <text>
        <r>
          <rPr>
            <b/>
            <sz val="9"/>
            <color indexed="81"/>
            <rFont val="Tahoma"/>
            <family val="2"/>
          </rPr>
          <t>Todd Morse:</t>
        </r>
        <r>
          <rPr>
            <sz val="9"/>
            <color indexed="81"/>
            <rFont val="Tahoma"/>
            <family val="2"/>
          </rPr>
          <t xml:space="preserve">
See comment regatrding teaching assistant on cell AO59</t>
        </r>
      </text>
    </comment>
    <comment ref="AO74" authorId="0" shapeId="0" xr:uid="{00000000-0006-0000-0000-00001D000000}">
      <text>
        <r>
          <rPr>
            <b/>
            <sz val="9"/>
            <color indexed="81"/>
            <rFont val="Tahoma"/>
            <family val="2"/>
          </rPr>
          <t>Todd Morse:</t>
        </r>
        <r>
          <rPr>
            <sz val="9"/>
            <color indexed="81"/>
            <rFont val="Tahoma"/>
            <family val="2"/>
          </rPr>
          <t xml:space="preserve">
See comment regatrding teaching assistant on cell AO59</t>
        </r>
      </text>
    </comment>
    <comment ref="AO81" authorId="0" shapeId="0" xr:uid="{00000000-0006-0000-0000-00001E000000}">
      <text>
        <r>
          <rPr>
            <b/>
            <sz val="9"/>
            <color indexed="81"/>
            <rFont val="Tahoma"/>
            <family val="2"/>
          </rPr>
          <t>Todd Morse:</t>
        </r>
        <r>
          <rPr>
            <sz val="9"/>
            <color indexed="81"/>
            <rFont val="Tahoma"/>
            <family val="2"/>
          </rPr>
          <t xml:space="preserve">
See comment regatrding teaching assistant on cell AO59</t>
        </r>
      </text>
    </comment>
    <comment ref="AO82" authorId="0" shapeId="0" xr:uid="{00000000-0006-0000-0000-00001F000000}">
      <text>
        <r>
          <rPr>
            <b/>
            <sz val="9"/>
            <color indexed="81"/>
            <rFont val="Tahoma"/>
            <family val="2"/>
          </rPr>
          <t>Todd Morse:</t>
        </r>
        <r>
          <rPr>
            <sz val="9"/>
            <color indexed="81"/>
            <rFont val="Tahoma"/>
            <family val="2"/>
          </rPr>
          <t xml:space="preserve">
No change to formula - see comment on BI80  for factors impacting change in value</t>
        </r>
      </text>
    </comment>
    <comment ref="BI82" authorId="0" shapeId="0" xr:uid="{00000000-0006-0000-0000-000020000000}">
      <text>
        <r>
          <rPr>
            <b/>
            <sz val="9"/>
            <color indexed="81"/>
            <rFont val="Tahoma"/>
            <family val="2"/>
          </rPr>
          <t>Todd Morse:</t>
        </r>
        <r>
          <rPr>
            <sz val="9"/>
            <color indexed="81"/>
            <rFont val="Tahoma"/>
            <family val="2"/>
          </rPr>
          <t xml:space="preserve">
The enrollment growth at elementary from FY18 to FY19 will be negligible.  The majority of the growth will be due to increase grade level sizes at MS/HS and adding 10th grade.  I changed the multiplier to 0.80 as a percentage of the FY18 spending for this category was due to increasing elementary grade level capacity by about 60% from FY17 to FY18 --&gt; we only need to cover new items, consumables and wear&amp;tear.</t>
        </r>
      </text>
    </comment>
    <comment ref="AO83" authorId="0" shapeId="0" xr:uid="{00000000-0006-0000-0000-000021000000}">
      <text>
        <r>
          <rPr>
            <b/>
            <sz val="9"/>
            <color indexed="81"/>
            <rFont val="Tahoma"/>
            <family val="2"/>
          </rPr>
          <t>Todd Morse:</t>
        </r>
        <r>
          <rPr>
            <sz val="9"/>
            <color indexed="81"/>
            <rFont val="Tahoma"/>
            <family val="2"/>
          </rPr>
          <t xml:space="preserve">
No change in formula - see comment inserted on BL80 for factors impacting change in value.</t>
        </r>
      </text>
    </comment>
    <comment ref="BI83" authorId="0" shapeId="0" xr:uid="{00000000-0006-0000-0000-000022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84" authorId="0" shapeId="0" xr:uid="{00000000-0006-0000-0000-000023000000}">
      <text>
        <r>
          <rPr>
            <b/>
            <sz val="9"/>
            <color indexed="81"/>
            <rFont val="Tahoma"/>
            <family val="2"/>
          </rPr>
          <t>Todd Morse:</t>
        </r>
        <r>
          <rPr>
            <sz val="9"/>
            <color indexed="81"/>
            <rFont val="Tahoma"/>
            <family val="2"/>
          </rPr>
          <t xml:space="preserve">
No change in formula - see comment on BI81 for factors impacting change in value</t>
        </r>
      </text>
    </comment>
    <comment ref="BI84" authorId="0" shapeId="0" xr:uid="{00000000-0006-0000-0000-000024000000}">
      <text>
        <r>
          <rPr>
            <b/>
            <sz val="9"/>
            <color indexed="81"/>
            <rFont val="Tahoma"/>
            <family val="2"/>
          </rPr>
          <t>Todd Morse:</t>
        </r>
        <r>
          <rPr>
            <sz val="9"/>
            <color indexed="81"/>
            <rFont val="Tahoma"/>
            <family val="2"/>
          </rPr>
          <t xml:space="preserve">
I linked this back to the Impact Aid revenue line and distributed among ES, MS, and HS by projected student enrollment</t>
        </r>
      </text>
    </comment>
    <comment ref="AO85" authorId="0" shapeId="0" xr:uid="{00000000-0006-0000-0000-000025000000}">
      <text>
        <r>
          <rPr>
            <b/>
            <sz val="9"/>
            <color indexed="81"/>
            <rFont val="Tahoma"/>
            <family val="2"/>
          </rPr>
          <t>Todd Morse:</t>
        </r>
        <r>
          <rPr>
            <sz val="9"/>
            <color indexed="81"/>
            <rFont val="Tahoma"/>
            <family val="2"/>
          </rPr>
          <t xml:space="preserve">
No change to formula - see comment on BI82  for factors impacting change in value</t>
        </r>
      </text>
    </comment>
    <comment ref="BI85" authorId="0" shapeId="0" xr:uid="{00000000-0006-0000-0000-000026000000}">
      <text>
        <r>
          <rPr>
            <b/>
            <sz val="9"/>
            <color indexed="81"/>
            <rFont val="Tahoma"/>
            <family val="2"/>
          </rPr>
          <t>Todd Morse:</t>
        </r>
        <r>
          <rPr>
            <sz val="9"/>
            <color indexed="81"/>
            <rFont val="Tahoma"/>
            <family val="2"/>
          </rPr>
          <t xml:space="preserve">
The enrollment growth at elementary from FY18 to FY19 will be negligible.  The majority of the growth will be due to increase grade level sizes at MS/HS and adding 10th grade.  I changed the multiplier to 0.80 as a percentage of the FY18 spending for this category was due to increasing elementary grade level capacity by about 60% from FY17 to FY18 --&gt; we only need to cover new curriculum, consumables and wear&amp;tear.</t>
        </r>
      </text>
    </comment>
    <comment ref="AO86" authorId="0" shapeId="0" xr:uid="{00000000-0006-0000-0000-000027000000}">
      <text>
        <r>
          <rPr>
            <b/>
            <sz val="9"/>
            <color indexed="81"/>
            <rFont val="Tahoma"/>
            <family val="2"/>
          </rPr>
          <t>Todd Morse:</t>
        </r>
        <r>
          <rPr>
            <sz val="9"/>
            <color indexed="81"/>
            <rFont val="Tahoma"/>
            <family val="2"/>
          </rPr>
          <t xml:space="preserve">
No change to formula - see comment on BI83  for factors impacting change in value</t>
        </r>
      </text>
    </comment>
    <comment ref="BI86" authorId="0" shapeId="0" xr:uid="{00000000-0006-0000-0000-000028000000}">
      <text>
        <r>
          <rPr>
            <b/>
            <sz val="9"/>
            <color indexed="81"/>
            <rFont val="Tahoma"/>
            <family val="2"/>
          </rPr>
          <t>Todd Morse:</t>
        </r>
        <r>
          <rPr>
            <sz val="9"/>
            <color indexed="81"/>
            <rFont val="Tahoma"/>
            <family val="2"/>
          </rPr>
          <t xml:space="preserve">
We do not anticipate any capital outlays for furnishings in FY19 outside of MLO reimbursements captured in lines 549 and 551</t>
        </r>
      </text>
    </comment>
    <comment ref="AO88" authorId="0" shapeId="0" xr:uid="{00000000-0006-0000-0000-000029000000}">
      <text>
        <r>
          <rPr>
            <b/>
            <sz val="9"/>
            <color indexed="81"/>
            <rFont val="Tahoma"/>
            <family val="2"/>
          </rPr>
          <t>Todd Morse:</t>
        </r>
        <r>
          <rPr>
            <sz val="9"/>
            <color indexed="81"/>
            <rFont val="Tahoma"/>
            <family val="2"/>
          </rPr>
          <t xml:space="preserve">
No change to formula - see comment on BI85  for factors impacting change in value</t>
        </r>
      </text>
    </comment>
    <comment ref="BI88" authorId="0" shapeId="0" xr:uid="{00000000-0006-0000-0000-00002A000000}">
      <text>
        <r>
          <rPr>
            <b/>
            <sz val="9"/>
            <color indexed="81"/>
            <rFont val="Tahoma"/>
            <family val="2"/>
          </rPr>
          <t>Todd Morse:</t>
        </r>
        <r>
          <rPr>
            <sz val="9"/>
            <color indexed="81"/>
            <rFont val="Tahoma"/>
            <family val="2"/>
          </rPr>
          <t xml:space="preserve">
We do not anticipate non-capital asset purchases out of MLO funds in FY19</t>
        </r>
      </text>
    </comment>
    <comment ref="AO95" authorId="0" shapeId="0" xr:uid="{00000000-0006-0000-0000-00002B000000}">
      <text>
        <r>
          <rPr>
            <b/>
            <sz val="9"/>
            <color indexed="81"/>
            <rFont val="Tahoma"/>
            <family val="2"/>
          </rPr>
          <t>Todd Morse:</t>
        </r>
        <r>
          <rPr>
            <sz val="9"/>
            <color indexed="81"/>
            <rFont val="Tahoma"/>
            <family val="2"/>
          </rPr>
          <t xml:space="preserve">
Added MS portion to new account line
</t>
        </r>
      </text>
    </comment>
    <comment ref="BK95" authorId="0" shapeId="0" xr:uid="{00000000-0006-0000-0000-00002C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AO96" authorId="1" shapeId="0" xr:uid="{00000000-0006-0000-0000-00002D000000}">
      <text>
        <r>
          <rPr>
            <b/>
            <sz val="9"/>
            <color indexed="81"/>
            <rFont val="Tahoma"/>
            <family val="2"/>
          </rPr>
          <t xml:space="preserve">Todd Morse (3/12/18): </t>
        </r>
        <r>
          <rPr>
            <sz val="9"/>
            <color indexed="81"/>
            <rFont val="Tahoma"/>
            <family val="2"/>
          </rPr>
          <t xml:space="preserve">Thanks Baba - I added the BLPA instructional aide back into lines 93,100,102,108 in version D
</t>
        </r>
        <r>
          <rPr>
            <b/>
            <sz val="9"/>
            <color indexed="81"/>
            <rFont val="Tahoma"/>
            <family val="2"/>
          </rPr>
          <t>Baba Janneh:</t>
        </r>
        <r>
          <rPr>
            <sz val="9"/>
            <color indexed="81"/>
            <rFont val="Tahoma"/>
            <family val="2"/>
          </rPr>
          <t xml:space="preserve">
Previously included an instructional aide</t>
        </r>
      </text>
    </comment>
    <comment ref="BJ97" authorId="0" shapeId="0" xr:uid="{00000000-0006-0000-0000-00002E000000}">
      <text>
        <r>
          <rPr>
            <b/>
            <sz val="9"/>
            <color indexed="81"/>
            <rFont val="Tahoma"/>
            <family val="2"/>
          </rPr>
          <t>Todd Morse:</t>
        </r>
        <r>
          <rPr>
            <sz val="9"/>
            <color indexed="81"/>
            <rFont val="Tahoma"/>
            <family val="2"/>
          </rPr>
          <t xml:space="preserve">
We estinmate the total cost of stipends for BLPA (to include FICA, Medicare, and 401K contribution to be $17,026.66 and 60% is attributable to MS.  I have a stipends sheet that I would be glad to add as a separate tab</t>
        </r>
      </text>
    </comment>
    <comment ref="BK102" authorId="0" shapeId="0" xr:uid="{00000000-0006-0000-0000-00002F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68, 99, 127.</t>
        </r>
      </text>
    </comment>
    <comment ref="AO103" authorId="1" shapeId="0" xr:uid="{00000000-0006-0000-0000-000030000000}">
      <text>
        <r>
          <rPr>
            <b/>
            <sz val="9"/>
            <color indexed="81"/>
            <rFont val="Tahoma"/>
            <family val="2"/>
          </rPr>
          <t>Baba Janneh:</t>
        </r>
        <r>
          <rPr>
            <sz val="9"/>
            <color indexed="81"/>
            <rFont val="Tahoma"/>
            <family val="2"/>
          </rPr>
          <t xml:space="preserve">
Previously included an instructional aide</t>
        </r>
      </text>
    </comment>
    <comment ref="AO105" authorId="1" shapeId="0" xr:uid="{00000000-0006-0000-0000-000031000000}">
      <text>
        <r>
          <rPr>
            <b/>
            <sz val="9"/>
            <color indexed="81"/>
            <rFont val="Tahoma"/>
            <family val="2"/>
          </rPr>
          <t>Baba Janneh:</t>
        </r>
        <r>
          <rPr>
            <sz val="9"/>
            <color indexed="81"/>
            <rFont val="Tahoma"/>
            <family val="2"/>
          </rPr>
          <t xml:space="preserve">
Previously included an instructional aide</t>
        </r>
      </text>
    </comment>
    <comment ref="AO111" authorId="1" shapeId="0" xr:uid="{00000000-0006-0000-0000-000032000000}">
      <text>
        <r>
          <rPr>
            <b/>
            <sz val="9"/>
            <color indexed="81"/>
            <rFont val="Tahoma"/>
            <family val="2"/>
          </rPr>
          <t>Baba Janneh:</t>
        </r>
        <r>
          <rPr>
            <sz val="9"/>
            <color indexed="81"/>
            <rFont val="Tahoma"/>
            <family val="2"/>
          </rPr>
          <t xml:space="preserve">
Previously included an instructional aide</t>
        </r>
      </text>
    </comment>
    <comment ref="AO112" authorId="0" shapeId="0" xr:uid="{00000000-0006-0000-0000-000033000000}">
      <text>
        <r>
          <rPr>
            <b/>
            <sz val="9"/>
            <color indexed="81"/>
            <rFont val="Tahoma"/>
            <family val="2"/>
          </rPr>
          <t>Todd Morse:</t>
        </r>
        <r>
          <rPr>
            <sz val="9"/>
            <color indexed="81"/>
            <rFont val="Tahoma"/>
            <family val="2"/>
          </rPr>
          <t xml:space="preserve">
No change to formula - see comment on BI109  for factors impacting change in value</t>
        </r>
      </text>
    </comment>
    <comment ref="BI112" authorId="0" shapeId="0" xr:uid="{00000000-0006-0000-0000-000034000000}">
      <text>
        <r>
          <rPr>
            <b/>
            <sz val="9"/>
            <color indexed="81"/>
            <rFont val="Tahoma"/>
            <family val="2"/>
          </rPr>
          <t>Todd Morse:</t>
        </r>
        <r>
          <rPr>
            <sz val="9"/>
            <color indexed="81"/>
            <rFont val="Tahoma"/>
            <family val="2"/>
          </rPr>
          <t xml:space="preserve">
While enrollment at MS will increase, much of the impact on supplies was addressed with purchases made in FY18 and so  we only need to cover consumables and wear&amp;tear in FY19 --&gt;I changed the multiplier to 0.80 as a percentage of the FY18 spending</t>
        </r>
      </text>
    </comment>
    <comment ref="AO113" authorId="0" shapeId="0" xr:uid="{00000000-0006-0000-0000-000035000000}">
      <text>
        <r>
          <rPr>
            <b/>
            <sz val="9"/>
            <color indexed="81"/>
            <rFont val="Tahoma"/>
            <family val="2"/>
          </rPr>
          <t>Todd Morse:</t>
        </r>
        <r>
          <rPr>
            <sz val="9"/>
            <color indexed="81"/>
            <rFont val="Tahoma"/>
            <family val="2"/>
          </rPr>
          <t xml:space="preserve">
No change in formula - see comment inserted on BL110 for factors impacting change in value.</t>
        </r>
      </text>
    </comment>
    <comment ref="BI113" authorId="0" shapeId="0" xr:uid="{00000000-0006-0000-0000-000036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14" authorId="0" shapeId="0" xr:uid="{00000000-0006-0000-0000-000037000000}">
      <text>
        <r>
          <rPr>
            <b/>
            <sz val="9"/>
            <color indexed="81"/>
            <rFont val="Tahoma"/>
            <family val="2"/>
          </rPr>
          <t>Todd Morse:</t>
        </r>
        <r>
          <rPr>
            <sz val="9"/>
            <color indexed="81"/>
            <rFont val="Tahoma"/>
            <family val="2"/>
          </rPr>
          <t xml:space="preserve">
No change in formula - see comment on BI111 for factors impacting change in value</t>
        </r>
      </text>
    </comment>
    <comment ref="BI114" authorId="0" shapeId="0" xr:uid="{00000000-0006-0000-0000-000038000000}">
      <text>
        <r>
          <rPr>
            <b/>
            <sz val="9"/>
            <color indexed="81"/>
            <rFont val="Tahoma"/>
            <family val="2"/>
          </rPr>
          <t>Todd Morse:</t>
        </r>
        <r>
          <rPr>
            <sz val="9"/>
            <color indexed="81"/>
            <rFont val="Tahoma"/>
            <family val="2"/>
          </rPr>
          <t xml:space="preserve">
I linked this back to the Impact Aid revenue line and distributed among ES, MS, and HS by projected student enrollment</t>
        </r>
      </text>
    </comment>
    <comment ref="AO115" authorId="0" shapeId="0" xr:uid="{00000000-0006-0000-0000-000039000000}">
      <text>
        <r>
          <rPr>
            <b/>
            <sz val="9"/>
            <color indexed="81"/>
            <rFont val="Tahoma"/>
            <family val="2"/>
          </rPr>
          <t>Todd Morse:</t>
        </r>
        <r>
          <rPr>
            <sz val="9"/>
            <color indexed="81"/>
            <rFont val="Tahoma"/>
            <family val="2"/>
          </rPr>
          <t xml:space="preserve">
No change in formula - see comment on BI112 for factors impacting change in value</t>
        </r>
      </text>
    </comment>
    <comment ref="BI115" authorId="0" shapeId="0" xr:uid="{00000000-0006-0000-0000-00003A000000}">
      <text>
        <r>
          <rPr>
            <b/>
            <sz val="9"/>
            <color indexed="81"/>
            <rFont val="Tahoma"/>
            <family val="2"/>
          </rPr>
          <t>Todd Morse:</t>
        </r>
        <r>
          <rPr>
            <sz val="9"/>
            <color indexed="81"/>
            <rFont val="Tahoma"/>
            <family val="2"/>
          </rPr>
          <t xml:space="preserve">
While enrollment at MS will increase, much of the impact on textbooks was addressed with purchases made in FY18 and so  we only need to cover consumables and wear&amp;tear in FY19 --&gt;I changed the multiplier to 0.80 as a percentage of the FY18 spending</t>
        </r>
      </text>
    </comment>
    <comment ref="AP125" authorId="0" shapeId="0" xr:uid="{00000000-0006-0000-0000-00003B000000}">
      <text>
        <r>
          <rPr>
            <b/>
            <sz val="9"/>
            <color indexed="81"/>
            <rFont val="Tahoma"/>
            <family val="2"/>
          </rPr>
          <t>Todd Morse:</t>
        </r>
        <r>
          <rPr>
            <sz val="9"/>
            <color indexed="81"/>
            <rFont val="Tahoma"/>
            <family val="2"/>
          </rPr>
          <t xml:space="preserve">
Added HS amount to newly added account line</t>
        </r>
      </text>
    </comment>
    <comment ref="BK125" authorId="0" shapeId="0" xr:uid="{00000000-0006-0000-0000-00003C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BJ126" authorId="0" shapeId="0" xr:uid="{00000000-0006-0000-0000-00003D000000}">
      <text>
        <r>
          <rPr>
            <b/>
            <sz val="9"/>
            <color indexed="81"/>
            <rFont val="Tahoma"/>
            <family val="2"/>
          </rPr>
          <t>Todd Morse:</t>
        </r>
        <r>
          <rPr>
            <sz val="9"/>
            <color indexed="81"/>
            <rFont val="Tahoma"/>
            <family val="2"/>
          </rPr>
          <t xml:space="preserve">
We estinmate the total cost of stipends for BLPA (to include FICA, Medicare, and 401K contribution to be $17,026.66 and 40% is attributable to HS.  I have a stipends sheet that I would be glad to add as a separate tab</t>
        </r>
      </text>
    </comment>
    <comment ref="BK130" authorId="0" shapeId="0" xr:uid="{00000000-0006-0000-0000-00003E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68, 99, 127.</t>
        </r>
      </text>
    </comment>
    <comment ref="AO137" authorId="0" shapeId="0" xr:uid="{00000000-0006-0000-0000-00003F000000}">
      <text>
        <r>
          <rPr>
            <b/>
            <sz val="9"/>
            <color indexed="81"/>
            <rFont val="Tahoma"/>
            <family val="2"/>
          </rPr>
          <t>Todd Morse:</t>
        </r>
        <r>
          <rPr>
            <sz val="9"/>
            <color indexed="81"/>
            <rFont val="Tahoma"/>
            <family val="2"/>
          </rPr>
          <t xml:space="preserve">
No change to formula - see comment on BI109  for factors impacting change in value</t>
        </r>
      </text>
    </comment>
    <comment ref="BI137" authorId="0" shapeId="0" xr:uid="{00000000-0006-0000-0000-000040000000}">
      <text>
        <r>
          <rPr>
            <b/>
            <sz val="9"/>
            <color indexed="81"/>
            <rFont val="Tahoma"/>
            <family val="2"/>
          </rPr>
          <t>Todd Morse:</t>
        </r>
        <r>
          <rPr>
            <sz val="9"/>
            <color indexed="81"/>
            <rFont val="Tahoma"/>
            <family val="2"/>
          </rPr>
          <t xml:space="preserve">
The Textbooks &amp; Periodicals account line is new for FY19.  General fund textbook purchases were attributed to Supplies - Instructional (High School) in FY18.  I inflated the FY18 value by 12% and them moved $40,000 to Textbooks &amp; Periodicals</t>
        </r>
      </text>
    </comment>
    <comment ref="AO138" authorId="0" shapeId="0" xr:uid="{00000000-0006-0000-0000-000041000000}">
      <text>
        <r>
          <rPr>
            <b/>
            <sz val="9"/>
            <color indexed="81"/>
            <rFont val="Tahoma"/>
            <family val="2"/>
          </rPr>
          <t>Todd Morse:</t>
        </r>
        <r>
          <rPr>
            <sz val="9"/>
            <color indexed="81"/>
            <rFont val="Tahoma"/>
            <family val="2"/>
          </rPr>
          <t xml:space="preserve">
No change in formula - see comment inserted on BL110 for factors impacting change in value.</t>
        </r>
      </text>
    </comment>
    <comment ref="BI138" authorId="0" shapeId="0" xr:uid="{00000000-0006-0000-0000-000042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39" authorId="0" shapeId="0" xr:uid="{00000000-0006-0000-0000-000043000000}">
      <text>
        <r>
          <rPr>
            <b/>
            <sz val="9"/>
            <color indexed="81"/>
            <rFont val="Tahoma"/>
            <family val="2"/>
          </rPr>
          <t>Todd Morse:</t>
        </r>
        <r>
          <rPr>
            <sz val="9"/>
            <color indexed="81"/>
            <rFont val="Tahoma"/>
            <family val="2"/>
          </rPr>
          <t xml:space="preserve">
No change in formula - see comment on BI111 for factors impacting change in value</t>
        </r>
      </text>
    </comment>
    <comment ref="BI139" authorId="0" shapeId="0" xr:uid="{00000000-0006-0000-0000-000044000000}">
      <text>
        <r>
          <rPr>
            <b/>
            <sz val="9"/>
            <color indexed="81"/>
            <rFont val="Tahoma"/>
            <family val="2"/>
          </rPr>
          <t>Todd Morse:</t>
        </r>
        <r>
          <rPr>
            <sz val="9"/>
            <color indexed="81"/>
            <rFont val="Tahoma"/>
            <family val="2"/>
          </rPr>
          <t xml:space="preserve">
I linked this back to the Impact Aid revenue line and distributed among ES, MS, and HS by projected student enrollment</t>
        </r>
      </text>
    </comment>
    <comment ref="AO140" authorId="0" shapeId="0" xr:uid="{00000000-0006-0000-0000-000045000000}">
      <text>
        <r>
          <rPr>
            <b/>
            <sz val="9"/>
            <color indexed="81"/>
            <rFont val="Tahoma"/>
            <family val="2"/>
          </rPr>
          <t>Todd Morse:</t>
        </r>
        <r>
          <rPr>
            <sz val="9"/>
            <color indexed="81"/>
            <rFont val="Tahoma"/>
            <family val="2"/>
          </rPr>
          <t xml:space="preserve">
No change in formula - see comment on BI37 for factors impacting change in value</t>
        </r>
      </text>
    </comment>
    <comment ref="BI140" authorId="0" shapeId="0" xr:uid="{00000000-0006-0000-0000-000046000000}">
      <text>
        <r>
          <rPr>
            <b/>
            <sz val="9"/>
            <color indexed="81"/>
            <rFont val="Tahoma"/>
            <family val="2"/>
          </rPr>
          <t>Todd Morse:</t>
        </r>
        <r>
          <rPr>
            <sz val="9"/>
            <color indexed="81"/>
            <rFont val="Tahoma"/>
            <family val="2"/>
          </rPr>
          <t xml:space="preserve">
This is a new account line for FY19 - general fund textbook purchases were attributed to Supplies - Instructional (High School) in F18.  We project a need for $40,000 in textbook purchases in FY19
</t>
        </r>
      </text>
    </comment>
    <comment ref="BI141" authorId="0" shapeId="0" xr:uid="{00000000-0006-0000-0000-000047000000}">
      <text>
        <r>
          <rPr>
            <b/>
            <sz val="9"/>
            <color indexed="81"/>
            <rFont val="Tahoma"/>
            <family val="2"/>
          </rPr>
          <t>Todd Morse:</t>
        </r>
        <r>
          <rPr>
            <sz val="9"/>
            <color indexed="81"/>
            <rFont val="Tahoma"/>
            <family val="2"/>
          </rPr>
          <t xml:space="preserve">
We anticipate the costs of on-boarding currently unused classroms to be $20,000 for FY19
</t>
        </r>
      </text>
    </comment>
    <comment ref="AO147" authorId="0" shapeId="0" xr:uid="{00000000-0006-0000-0000-000048000000}">
      <text>
        <r>
          <rPr>
            <b/>
            <sz val="9"/>
            <color indexed="81"/>
            <rFont val="Tahoma"/>
            <family val="2"/>
          </rPr>
          <t>Todd Morse:</t>
        </r>
        <r>
          <rPr>
            <sz val="9"/>
            <color indexed="81"/>
            <rFont val="Tahoma"/>
            <family val="2"/>
          </rPr>
          <t xml:space="preserve">
See earlier comment in Elementary Teacher Assistants regarding GT Teachers.  Could we move GT teacher compensation out of Teacher Aide lines and into Teachers - Specials lines?
*UPDATED: Added one GT Teacher to BLRA</t>
        </r>
      </text>
    </comment>
    <comment ref="BJ147" authorId="0" shapeId="0" xr:uid="{00000000-0006-0000-0000-000049000000}">
      <text>
        <r>
          <rPr>
            <b/>
            <sz val="9"/>
            <color indexed="81"/>
            <rFont val="Tahoma"/>
            <family val="2"/>
          </rPr>
          <t>Todd Morse:</t>
        </r>
        <r>
          <rPr>
            <sz val="9"/>
            <color indexed="81"/>
            <rFont val="Tahoma"/>
            <family val="2"/>
          </rPr>
          <t>See earlier comment in Elementary Teacher Assistants regarding GT Teachers.  Could we move GT teacher compensation out of Teacher Aide lines and into Teachers - Specials lines?</t>
        </r>
      </text>
    </comment>
    <comment ref="AO148" authorId="1" shapeId="0" xr:uid="{00000000-0006-0000-0000-00004A000000}">
      <text>
        <r>
          <rPr>
            <b/>
            <sz val="9"/>
            <color indexed="81"/>
            <rFont val="Tahoma"/>
            <family val="2"/>
          </rPr>
          <t xml:space="preserve">Todd Morse (3/12/18): </t>
        </r>
        <r>
          <rPr>
            <sz val="9"/>
            <color indexed="81"/>
            <rFont val="Tahoma"/>
            <family val="2"/>
          </rPr>
          <t>It looks like you only captured the compensation for the GT teacher in the first month - I filled right in BJ145 through BT145</t>
        </r>
        <r>
          <rPr>
            <b/>
            <sz val="9"/>
            <color indexed="81"/>
            <rFont val="Tahoma"/>
            <family val="2"/>
          </rPr>
          <t xml:space="preserve">
Baba Janneh:</t>
        </r>
        <r>
          <rPr>
            <sz val="9"/>
            <color indexed="81"/>
            <rFont val="Tahoma"/>
            <family val="2"/>
          </rPr>
          <t xml:space="preserve">
Added one GT Teacher to BLPA</t>
        </r>
      </text>
    </comment>
    <comment ref="AO170" authorId="0" shapeId="0" xr:uid="{00000000-0006-0000-0000-00004B000000}">
      <text>
        <r>
          <rPr>
            <b/>
            <sz val="9"/>
            <color indexed="81"/>
            <rFont val="Tahoma"/>
            <family val="2"/>
          </rPr>
          <t>Todd Morse:</t>
        </r>
        <r>
          <rPr>
            <sz val="9"/>
            <color indexed="81"/>
            <rFont val="Tahoma"/>
            <family val="2"/>
          </rPr>
          <t xml:space="preserve">
No change in formula - see comment inserted on BL168 for factors impacting change in value.</t>
        </r>
      </text>
    </comment>
    <comment ref="BI170" authorId="0" shapeId="0" xr:uid="{00000000-0006-0000-0000-00004C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80" authorId="0" shapeId="0" xr:uid="{00000000-0006-0000-0000-00004D000000}">
      <text>
        <r>
          <rPr>
            <b/>
            <sz val="9"/>
            <color indexed="81"/>
            <rFont val="Tahoma"/>
            <family val="2"/>
          </rPr>
          <t>Todd Morse:</t>
        </r>
        <r>
          <rPr>
            <sz val="9"/>
            <color indexed="81"/>
            <rFont val="Tahoma"/>
            <family val="2"/>
          </rPr>
          <t xml:space="preserve">
No change in formula - see comment inserted on BL177 for factors impacting change in value.</t>
        </r>
      </text>
    </comment>
    <comment ref="BI180" authorId="0" shapeId="0" xr:uid="{00000000-0006-0000-0000-00004E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85" authorId="0" shapeId="0" xr:uid="{00000000-0006-0000-0000-00004F000000}">
      <text>
        <r>
          <rPr>
            <b/>
            <sz val="9"/>
            <color indexed="81"/>
            <rFont val="Tahoma"/>
            <family val="2"/>
          </rPr>
          <t>Todd Morse:</t>
        </r>
        <r>
          <rPr>
            <sz val="9"/>
            <color indexed="81"/>
            <rFont val="Tahoma"/>
            <family val="2"/>
          </rPr>
          <t xml:space="preserve">
No change in formula - see comment inserted on BL182 for factors impacting change in value.</t>
        </r>
      </text>
    </comment>
    <comment ref="BI185" authorId="0" shapeId="0" xr:uid="{00000000-0006-0000-0000-000050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91" authorId="0" shapeId="0" xr:uid="{00000000-0006-0000-0000-000051000000}">
      <text>
        <r>
          <rPr>
            <b/>
            <sz val="9"/>
            <color indexed="81"/>
            <rFont val="Tahoma"/>
            <family val="2"/>
          </rPr>
          <t>Todd Morse:</t>
        </r>
        <r>
          <rPr>
            <sz val="9"/>
            <color indexed="81"/>
            <rFont val="Tahoma"/>
            <family val="2"/>
          </rPr>
          <t xml:space="preserve">
No change in formula - see comment inserted on BL188 for factors impacting change in value.</t>
        </r>
      </text>
    </comment>
    <comment ref="BI191" authorId="0" shapeId="0" xr:uid="{00000000-0006-0000-0000-000052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236" authorId="0" shapeId="0" xr:uid="{00000000-0006-0000-0000-000053000000}">
      <text>
        <r>
          <rPr>
            <b/>
            <sz val="9"/>
            <color indexed="81"/>
            <rFont val="Tahoma"/>
            <family val="2"/>
          </rPr>
          <t>Todd Morse:</t>
        </r>
        <r>
          <rPr>
            <sz val="9"/>
            <color indexed="81"/>
            <rFont val="Tahoma"/>
            <family val="2"/>
          </rPr>
          <t xml:space="preserve">
No formula changes were made in AO233 through AO237.  Refer to the comments on BI 233-237 for factors impacting the changes in value</t>
        </r>
      </text>
    </comment>
    <comment ref="BI236" authorId="0" shapeId="0" xr:uid="{00000000-0006-0000-0000-000054000000}">
      <text>
        <r>
          <rPr>
            <b/>
            <sz val="9"/>
            <color indexed="81"/>
            <rFont val="Tahoma"/>
            <family val="2"/>
          </rPr>
          <t>Todd Morse:</t>
        </r>
        <r>
          <rPr>
            <sz val="9"/>
            <color indexed="81"/>
            <rFont val="Tahoma"/>
            <family val="2"/>
          </rPr>
          <t xml:space="preserve">
We anticipate this increasing by 50% in FY19 due to adding varsity athletics</t>
        </r>
      </text>
    </comment>
    <comment ref="BI237" authorId="0" shapeId="0" xr:uid="{00000000-0006-0000-0000-000055000000}">
      <text>
        <r>
          <rPr>
            <b/>
            <sz val="9"/>
            <color indexed="81"/>
            <rFont val="Tahoma"/>
            <family val="2"/>
          </rPr>
          <t>Todd Morse:</t>
        </r>
        <r>
          <rPr>
            <sz val="9"/>
            <color indexed="81"/>
            <rFont val="Tahoma"/>
            <family val="2"/>
          </rPr>
          <t xml:space="preserve">
We addressed the increased elementary grade level sizes in FY18 and so we can scale this back for FY 19</t>
        </r>
      </text>
    </comment>
    <comment ref="BI238" authorId="0" shapeId="0" xr:uid="{00000000-0006-0000-0000-000056000000}">
      <text>
        <r>
          <rPr>
            <b/>
            <sz val="9"/>
            <color indexed="81"/>
            <rFont val="Tahoma"/>
            <family val="2"/>
          </rPr>
          <t>Todd Morse:</t>
        </r>
        <r>
          <rPr>
            <sz val="9"/>
            <color indexed="81"/>
            <rFont val="Tahoma"/>
            <family val="2"/>
          </rPr>
          <t xml:space="preserve">
While we continue to need to build our capacity with PE equipment at BLPA, we do not need to increase the allocation for FY19</t>
        </r>
      </text>
    </comment>
    <comment ref="BI239" authorId="0" shapeId="0" xr:uid="{00000000-0006-0000-0000-000057000000}">
      <text>
        <r>
          <rPr>
            <b/>
            <sz val="9"/>
            <color indexed="81"/>
            <rFont val="Tahoma"/>
            <family val="2"/>
          </rPr>
          <t xml:space="preserve">Todd Morse 3/9/18:
</t>
        </r>
        <r>
          <rPr>
            <sz val="9"/>
            <color indexed="81"/>
            <rFont val="Tahoma"/>
            <family val="2"/>
          </rPr>
          <t xml:space="preserve">We added $12,000 to cover purchase of new MS athletic uniforms - moving forward we will plan on a four-year rotation
</t>
        </r>
        <r>
          <rPr>
            <b/>
            <sz val="9"/>
            <color indexed="81"/>
            <rFont val="Tahoma"/>
            <family val="2"/>
          </rPr>
          <t xml:space="preserve">
Todd Morse 3/9/18:</t>
        </r>
        <r>
          <rPr>
            <sz val="9"/>
            <color indexed="81"/>
            <rFont val="Tahoma"/>
            <family val="2"/>
          </rPr>
          <t xml:space="preserve">
With on-boarding varsity athletics in some sports in FY19, we have some specific expenditures that need to be addressed.</t>
        </r>
      </text>
    </comment>
    <comment ref="BI240" authorId="0" shapeId="0" xr:uid="{00000000-0006-0000-0000-000058000000}">
      <text>
        <r>
          <rPr>
            <b/>
            <sz val="9"/>
            <color indexed="81"/>
            <rFont val="Tahoma"/>
            <family val="2"/>
          </rPr>
          <t>Todd Morse:</t>
        </r>
        <r>
          <rPr>
            <sz val="9"/>
            <color indexed="81"/>
            <rFont val="Tahoma"/>
            <family val="2"/>
          </rPr>
          <t xml:space="preserve">
We currently do not run a team sports program in K-5 and so we are not allocating funds to this line </t>
        </r>
      </text>
    </comment>
    <comment ref="AO328" authorId="0" shapeId="0" xr:uid="{00000000-0006-0000-0000-000059000000}">
      <text>
        <r>
          <rPr>
            <b/>
            <sz val="9"/>
            <color indexed="81"/>
            <rFont val="Tahoma"/>
            <family val="2"/>
          </rPr>
          <t>Todd Morse:</t>
        </r>
        <r>
          <rPr>
            <sz val="9"/>
            <color indexed="81"/>
            <rFont val="Tahoma"/>
            <family val="2"/>
          </rPr>
          <t xml:space="preserve">
No change in formula - see comments on BI326 for factors impacting the change in value</t>
        </r>
      </text>
    </comment>
    <comment ref="BI328" authorId="0" shapeId="0" xr:uid="{00000000-0006-0000-0000-00005A000000}">
      <text>
        <r>
          <rPr>
            <b/>
            <sz val="9"/>
            <color indexed="81"/>
            <rFont val="Tahoma"/>
            <family val="2"/>
          </rPr>
          <t>Todd Morse:</t>
        </r>
        <r>
          <rPr>
            <sz val="9"/>
            <color indexed="81"/>
            <rFont val="Tahoma"/>
            <family val="2"/>
          </rPr>
          <t xml:space="preserve">
Much of the FY18 allocation increase was due to initial health room set-up needs.  This can be scaled back to refresh and replace levels for FY19
</t>
        </r>
      </text>
    </comment>
    <comment ref="AO355" authorId="0" shapeId="0" xr:uid="{00000000-0006-0000-0000-00005B000000}">
      <text>
        <r>
          <rPr>
            <b/>
            <sz val="9"/>
            <color indexed="81"/>
            <rFont val="Tahoma"/>
            <family val="2"/>
          </rPr>
          <t>Todd Morse:</t>
        </r>
        <r>
          <rPr>
            <sz val="9"/>
            <color indexed="81"/>
            <rFont val="Tahoma"/>
            <family val="2"/>
          </rPr>
          <t xml:space="preserve">
No change in formula - see comments on BI352 for factors impacting the change in value</t>
        </r>
      </text>
    </comment>
    <comment ref="BI355" authorId="0" shapeId="0" xr:uid="{00000000-0006-0000-0000-00005C000000}">
      <text>
        <r>
          <rPr>
            <b/>
            <sz val="9"/>
            <color indexed="81"/>
            <rFont val="Tahoma"/>
            <family val="2"/>
          </rPr>
          <t>Todd Morse:</t>
        </r>
        <r>
          <rPr>
            <sz val="9"/>
            <color indexed="81"/>
            <rFont val="Tahoma"/>
            <family val="2"/>
          </rPr>
          <t xml:space="preserve">
We are not hiring as many new staff in FY19 and so the training for new staff will be decreased (e.g. Capturing Kids Hearts)</t>
        </r>
      </text>
    </comment>
    <comment ref="AO356" authorId="0" shapeId="0" xr:uid="{00000000-0006-0000-0000-00005D000000}">
      <text>
        <r>
          <rPr>
            <b/>
            <sz val="9"/>
            <color indexed="81"/>
            <rFont val="Tahoma"/>
            <family val="2"/>
          </rPr>
          <t>Todd Morse:</t>
        </r>
        <r>
          <rPr>
            <sz val="9"/>
            <color indexed="81"/>
            <rFont val="Tahoma"/>
            <family val="2"/>
          </rPr>
          <t xml:space="preserve">
No change in formula - see comments on BI3523 for factors impacting the change in value</t>
        </r>
      </text>
    </comment>
    <comment ref="BI356" authorId="0" shapeId="0" xr:uid="{00000000-0006-0000-0000-00005E000000}">
      <text>
        <r>
          <rPr>
            <b/>
            <sz val="9"/>
            <color indexed="81"/>
            <rFont val="Tahoma"/>
            <family val="2"/>
          </rPr>
          <t>Todd Morse</t>
        </r>
        <r>
          <rPr>
            <sz val="9"/>
            <color indexed="81"/>
            <rFont val="Tahoma"/>
            <family val="2"/>
          </rPr>
          <t>I believe that the calculation should be based upon the FY18 total allocation of $12860 with inflation and then split between ES and MS/HS --&gt; the 60-40 split multipliers added to the formula in lines 353 and 354.</t>
        </r>
      </text>
    </comment>
    <comment ref="AO357" authorId="0" shapeId="0" xr:uid="{00000000-0006-0000-0000-00005F000000}">
      <text>
        <r>
          <rPr>
            <b/>
            <sz val="9"/>
            <color indexed="81"/>
            <rFont val="Tahoma"/>
            <family val="2"/>
          </rPr>
          <t>Todd Morse:</t>
        </r>
        <r>
          <rPr>
            <sz val="9"/>
            <color indexed="81"/>
            <rFont val="Tahoma"/>
            <family val="2"/>
          </rPr>
          <t xml:space="preserve">
No change in formula - see comments on BI3523 for factors impacting the change in value</t>
        </r>
      </text>
    </comment>
    <comment ref="AO509" authorId="0" shapeId="0" xr:uid="{00000000-0006-0000-0000-000060000000}">
      <text>
        <r>
          <rPr>
            <b/>
            <sz val="9"/>
            <color indexed="81"/>
            <rFont val="Tahoma"/>
            <family val="2"/>
          </rPr>
          <t>Todd Morse:</t>
        </r>
        <r>
          <rPr>
            <sz val="9"/>
            <color indexed="81"/>
            <rFont val="Tahoma"/>
            <family val="2"/>
          </rPr>
          <t xml:space="preserve">
see comment inserted on BI506</t>
        </r>
      </text>
    </comment>
    <comment ref="BI509" authorId="0" shapeId="0" xr:uid="{00000000-0006-0000-0000-000061000000}">
      <text>
        <r>
          <rPr>
            <b/>
            <sz val="9"/>
            <color indexed="81"/>
            <rFont val="Tahoma"/>
            <family val="2"/>
          </rPr>
          <t>Todd Morse:</t>
        </r>
        <r>
          <rPr>
            <sz val="9"/>
            <color indexed="81"/>
            <rFont val="Tahoma"/>
            <family val="2"/>
          </rPr>
          <t xml:space="preserve">
The finalized debt service schedule calls for total debt service to be $1,763,199.50 in FY19.  I adjusted the formula to draw from cell AO641 and then subtract out the contribution from the state capital construction fund contribution on line 507</t>
        </r>
      </text>
    </comment>
    <comment ref="AO510" authorId="0" shapeId="0" xr:uid="{00000000-0006-0000-0000-000062000000}">
      <text>
        <r>
          <rPr>
            <b/>
            <sz val="9"/>
            <color indexed="81"/>
            <rFont val="Tahoma"/>
            <family val="2"/>
          </rPr>
          <t>Todd Morse:</t>
        </r>
        <r>
          <rPr>
            <sz val="9"/>
            <color indexed="81"/>
            <rFont val="Tahoma"/>
            <family val="2"/>
          </rPr>
          <t xml:space="preserve">
see comment inserted on BI507</t>
        </r>
      </text>
    </comment>
    <comment ref="BI510" authorId="0" shapeId="0" xr:uid="{00000000-0006-0000-0000-000063000000}">
      <text>
        <r>
          <rPr>
            <b/>
            <sz val="9"/>
            <color indexed="81"/>
            <rFont val="Tahoma"/>
            <family val="2"/>
          </rPr>
          <t xml:space="preserve">Todd Morse (3/12/18):
</t>
        </r>
        <r>
          <rPr>
            <sz val="9"/>
            <color indexed="81"/>
            <rFont val="Tahoma"/>
            <family val="2"/>
          </rPr>
          <t>Our authorizer has clarified that it is the amount per FTE that is remaining constant at $277 --&gt; I updated the formula to multiply $277 by the FTE (1320 as of 3/12/18).</t>
        </r>
        <r>
          <rPr>
            <b/>
            <sz val="9"/>
            <color indexed="81"/>
            <rFont val="Tahoma"/>
            <family val="2"/>
          </rPr>
          <t xml:space="preserve">
Todd Morse (3/9/18):</t>
        </r>
        <r>
          <rPr>
            <sz val="9"/>
            <color indexed="81"/>
            <rFont val="Tahoma"/>
            <family val="2"/>
          </rPr>
          <t xml:space="preserve">
Our authorizer has recommended that we use the FY18 value for state capital construction fund for the FY19 value.  I removed the 3% inflation rate from the formula in BI507 through BT507
</t>
        </r>
      </text>
    </comment>
    <comment ref="B511" authorId="2" shapeId="0" xr:uid="{00000000-0006-0000-0000-000064000000}">
      <text>
        <r>
          <rPr>
            <b/>
            <sz val="9"/>
            <color indexed="81"/>
            <rFont val="Tahoma"/>
            <family val="2"/>
          </rPr>
          <t>mark walker:</t>
        </r>
        <r>
          <rPr>
            <sz val="9"/>
            <color indexed="81"/>
            <rFont val="Tahoma"/>
            <family val="2"/>
          </rPr>
          <t xml:space="preserve">
copier
phones
postage machine</t>
        </r>
      </text>
    </comment>
    <comment ref="AO525" authorId="0" shapeId="0" xr:uid="{00000000-0006-0000-0000-000065000000}">
      <text>
        <r>
          <rPr>
            <b/>
            <sz val="9"/>
            <color indexed="81"/>
            <rFont val="Tahoma"/>
            <family val="2"/>
          </rPr>
          <t>Todd Morse:</t>
        </r>
        <r>
          <rPr>
            <sz val="9"/>
            <color indexed="81"/>
            <rFont val="Tahoma"/>
            <family val="2"/>
          </rPr>
          <t xml:space="preserve">
see comment inserted on BI522</t>
        </r>
      </text>
    </comment>
    <comment ref="BI525" authorId="0" shapeId="0" xr:uid="{00000000-0006-0000-0000-000066000000}">
      <text>
        <r>
          <rPr>
            <b/>
            <sz val="9"/>
            <color indexed="81"/>
            <rFont val="Tahoma"/>
            <family val="2"/>
          </rPr>
          <t>Todd Morse:</t>
        </r>
        <r>
          <rPr>
            <sz val="9"/>
            <color indexed="81"/>
            <rFont val="Tahoma"/>
            <family val="2"/>
          </rPr>
          <t xml:space="preserve">
This included initial installation of new equipment in FY18 which will not be necessary in FY19 --&gt; I added in a 20% multiplier</t>
        </r>
      </text>
    </comment>
    <comment ref="BI551" authorId="0" shapeId="0" xr:uid="{00000000-0006-0000-0000-000067000000}">
      <text>
        <r>
          <rPr>
            <b/>
            <sz val="9"/>
            <color indexed="81"/>
            <rFont val="Tahoma"/>
            <family val="2"/>
          </rPr>
          <t>Todd Morse:</t>
        </r>
        <r>
          <rPr>
            <sz val="9"/>
            <color indexed="81"/>
            <rFont val="Tahoma"/>
            <family val="2"/>
          </rPr>
          <t xml:space="preserve">
I zeroed out this line and moved the renovation expenditures to the MLO line (549).  We did not have a separate MLO line in FY18
</t>
        </r>
      </text>
    </comment>
    <comment ref="BI552" authorId="0" shapeId="0" xr:uid="{00000000-0006-0000-0000-000068000000}">
      <text>
        <r>
          <rPr>
            <b/>
            <sz val="9"/>
            <color indexed="81"/>
            <rFont val="Tahoma"/>
            <family val="2"/>
          </rPr>
          <t>Todd Morse:</t>
        </r>
        <r>
          <rPr>
            <sz val="9"/>
            <color indexed="81"/>
            <rFont val="Tahoma"/>
            <family val="2"/>
          </rPr>
          <t xml:space="preserve">
We have $200,980 in approved projects for MLO 3B that will be engaged this summer.
</t>
        </r>
      </text>
    </comment>
    <comment ref="AO556" authorId="0" shapeId="0" xr:uid="{00000000-0006-0000-0000-000069000000}">
      <text>
        <r>
          <rPr>
            <b/>
            <sz val="9"/>
            <color indexed="81"/>
            <rFont val="Tahoma"/>
            <family val="2"/>
          </rPr>
          <t>Todd Morse:</t>
        </r>
        <r>
          <rPr>
            <sz val="9"/>
            <color indexed="81"/>
            <rFont val="Tahoma"/>
            <family val="2"/>
          </rPr>
          <t xml:space="preserve">
No change in formula - see the comment on BT 443  for factors impacting the change in value.</t>
        </r>
      </text>
    </comment>
    <comment ref="AR556" authorId="0" shapeId="0" xr:uid="{00000000-0006-0000-0000-00006A000000}">
      <text>
        <r>
          <rPr>
            <b/>
            <sz val="9"/>
            <color indexed="81"/>
            <rFont val="Tahoma"/>
            <family val="2"/>
          </rPr>
          <t>Todd Morse:</t>
        </r>
        <r>
          <rPr>
            <sz val="9"/>
            <color indexed="81"/>
            <rFont val="Tahoma"/>
            <family val="2"/>
          </rPr>
          <t xml:space="preserve">
No change in formula - see the comment on BT 443  for factors impacting the change in value.</t>
        </r>
      </text>
    </comment>
    <comment ref="BT556" authorId="0" shapeId="0" xr:uid="{00000000-0006-0000-0000-00006B000000}">
      <text>
        <r>
          <rPr>
            <b/>
            <sz val="9"/>
            <color indexed="81"/>
            <rFont val="Tahoma"/>
            <family val="2"/>
          </rPr>
          <t>Todd Morse:</t>
        </r>
        <r>
          <rPr>
            <sz val="9"/>
            <color indexed="81"/>
            <rFont val="Tahoma"/>
            <family val="2"/>
          </rPr>
          <t xml:space="preserve">
My understanding is that the food service fund is always a wash.  This should only cover food staff costs and so I've changed the formula to sum the food service staff costs shown in the food service fund.</t>
        </r>
      </text>
    </comment>
    <comment ref="B562" authorId="1" shapeId="0" xr:uid="{00000000-0006-0000-0000-00006C000000}">
      <text>
        <r>
          <rPr>
            <b/>
            <sz val="9"/>
            <color indexed="81"/>
            <rFont val="Tahoma"/>
            <family val="2"/>
          </rPr>
          <t>Baba Janneh:</t>
        </r>
        <r>
          <rPr>
            <sz val="9"/>
            <color indexed="81"/>
            <rFont val="Tahoma"/>
            <family val="2"/>
          </rPr>
          <t xml:space="preserve">
netted against revenue</t>
        </r>
      </text>
    </comment>
    <comment ref="AO596" authorId="0" shapeId="0" xr:uid="{00000000-0006-0000-0000-00006D000000}">
      <text>
        <r>
          <rPr>
            <b/>
            <sz val="9"/>
            <color indexed="81"/>
            <rFont val="Tahoma"/>
            <family val="2"/>
          </rPr>
          <t>Todd Morse:</t>
        </r>
        <r>
          <rPr>
            <sz val="9"/>
            <color indexed="81"/>
            <rFont val="Tahoma"/>
            <family val="2"/>
          </rPr>
          <t xml:space="preserve">
No change in formula for AO586,589,591,593.  See comments inserted in Food Services Staff section of the FY19 Staffing V1-1 (3) tab for factors impacting the change in value.</t>
        </r>
      </text>
    </comment>
    <comment ref="AO638" authorId="1" shapeId="0" xr:uid="{00000000-0006-0000-0000-00006E000000}">
      <text>
        <r>
          <rPr>
            <b/>
            <sz val="9"/>
            <color indexed="81"/>
            <rFont val="Tahoma"/>
            <family val="2"/>
          </rPr>
          <t>Baba Janneh:</t>
        </r>
        <r>
          <rPr>
            <sz val="9"/>
            <color indexed="81"/>
            <rFont val="Tahoma"/>
            <family val="2"/>
          </rPr>
          <t xml:space="preserve">
FY18 was related to expansion, no expenses expected for FY19</t>
        </r>
      </text>
    </comment>
    <comment ref="AO639" authorId="1" shapeId="0" xr:uid="{00000000-0006-0000-0000-00006F000000}">
      <text>
        <r>
          <rPr>
            <b/>
            <sz val="9"/>
            <color indexed="81"/>
            <rFont val="Tahoma"/>
            <family val="2"/>
          </rPr>
          <t>Baba Janneh:</t>
        </r>
        <r>
          <rPr>
            <sz val="9"/>
            <color indexed="81"/>
            <rFont val="Tahoma"/>
            <family val="2"/>
          </rPr>
          <t xml:space="preserve">
FY18 was related to expansion, no expenses expected for FY19</t>
        </r>
      </text>
    </comment>
    <comment ref="BI644" authorId="0" shapeId="0" xr:uid="{00000000-0006-0000-0000-000070000000}">
      <text>
        <r>
          <rPr>
            <b/>
            <sz val="9"/>
            <color indexed="81"/>
            <rFont val="Tahoma"/>
            <family val="2"/>
          </rPr>
          <t>Todd Morse:</t>
        </r>
        <r>
          <rPr>
            <sz val="9"/>
            <color indexed="81"/>
            <rFont val="Tahoma"/>
            <family val="2"/>
          </rPr>
          <t xml:space="preserve">
From the finalized debt service schedule the total debt service for FY19 should be $1,763,199.50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Todd Morse</author>
    <author>Baba Janneh</author>
    <author>mark walker</author>
  </authors>
  <commentList>
    <comment ref="BI5" authorId="0" shapeId="0" xr:uid="{00000000-0006-0000-0100-000001000000}">
      <text>
        <r>
          <rPr>
            <b/>
            <sz val="9"/>
            <color indexed="81"/>
            <rFont val="Tahoma"/>
            <family val="2"/>
          </rPr>
          <t>Todd Morse:</t>
        </r>
        <r>
          <rPr>
            <sz val="9"/>
            <color indexed="81"/>
            <rFont val="Tahoma"/>
            <family val="2"/>
          </rPr>
          <t xml:space="preserve">
With the close of our open enrollment window our trend data indicates that the projected enrollment is 1369
</t>
        </r>
      </text>
    </comment>
    <comment ref="BI7" authorId="0" shapeId="0" xr:uid="{00000000-0006-0000-0100-000002000000}">
      <text>
        <r>
          <rPr>
            <b/>
            <sz val="9"/>
            <color indexed="81"/>
            <rFont val="Tahoma"/>
            <family val="2"/>
          </rPr>
          <t>Todd Morse:</t>
        </r>
        <r>
          <rPr>
            <sz val="9"/>
            <color indexed="81"/>
            <rFont val="Tahoma"/>
            <family val="2"/>
          </rPr>
          <t xml:space="preserve">
We do not project a growth  in kindergarten as the elementary building is at capacity.  This projection should remain 116 for FY19.</t>
        </r>
      </text>
    </comment>
    <comment ref="BI8" authorId="0" shapeId="0" xr:uid="{00000000-0006-0000-0100-000003000000}">
      <text>
        <r>
          <rPr>
            <b/>
            <sz val="9"/>
            <color indexed="81"/>
            <rFont val="Tahoma"/>
            <family val="2"/>
          </rPr>
          <t>Todd Morse:</t>
        </r>
        <r>
          <rPr>
            <sz val="9"/>
            <color indexed="81"/>
            <rFont val="Tahoma"/>
            <family val="2"/>
          </rPr>
          <t xml:space="preserve">
Our authorizer has provided guidance indicating that we should use $7502 as the PPOR value for FY19
</t>
        </r>
      </text>
    </comment>
    <comment ref="AO26" authorId="0" shapeId="0" xr:uid="{00000000-0006-0000-0100-000004000000}">
      <text>
        <r>
          <rPr>
            <b/>
            <sz val="9"/>
            <color indexed="81"/>
            <rFont val="Tahoma"/>
            <family val="2"/>
          </rPr>
          <t>Todd Morse:</t>
        </r>
        <r>
          <rPr>
            <sz val="9"/>
            <color indexed="81"/>
            <rFont val="Tahoma"/>
            <family val="2"/>
          </rPr>
          <t xml:space="preserve">
See comment in BJ24</t>
        </r>
      </text>
    </comment>
    <comment ref="BJ26" authorId="0" shapeId="0" xr:uid="{00000000-0006-0000-0100-000005000000}">
      <text>
        <r>
          <rPr>
            <b/>
            <sz val="9"/>
            <color indexed="81"/>
            <rFont val="Tahoma"/>
            <family val="2"/>
          </rPr>
          <t>Todd Morse:</t>
        </r>
        <r>
          <rPr>
            <sz val="9"/>
            <color indexed="81"/>
            <rFont val="Tahoma"/>
            <family val="2"/>
          </rPr>
          <t xml:space="preserve">
With the addition of a new grade level at HS and expansion into varsity athletics, we anticipate a greater than proportional increase in athletic fees.  These fees tend to be clumped near the beginnings of athletic seasons and so I added in the anticipated increase into August, November, and February
</t>
        </r>
      </text>
    </comment>
    <comment ref="AO28" authorId="0" shapeId="0" xr:uid="{00000000-0006-0000-0100-000006000000}">
      <text>
        <r>
          <rPr>
            <b/>
            <sz val="9"/>
            <color indexed="81"/>
            <rFont val="Tahoma"/>
            <family val="2"/>
          </rPr>
          <t>Todd Morse:</t>
        </r>
        <r>
          <rPr>
            <sz val="9"/>
            <color indexed="81"/>
            <rFont val="Tahoma"/>
            <family val="2"/>
          </rPr>
          <t xml:space="preserve">
See comment in BI25
</t>
        </r>
      </text>
    </comment>
    <comment ref="BI28" authorId="0" shapeId="0" xr:uid="{00000000-0006-0000-0100-000007000000}">
      <text>
        <r>
          <rPr>
            <b/>
            <sz val="9"/>
            <color indexed="81"/>
            <rFont val="Tahoma"/>
            <family val="2"/>
          </rPr>
          <t>Todd Morse:</t>
        </r>
        <r>
          <rPr>
            <sz val="9"/>
            <color indexed="81"/>
            <rFont val="Tahoma"/>
            <family val="2"/>
          </rPr>
          <t xml:space="preserve">
We were very restrictive on rentals of our new campus in FY18 given so many unknowns around athletics and activities scheduling.  Now that we have some experience with this, we anticipate a 5% increase in rental revenues.
</t>
        </r>
      </text>
    </comment>
    <comment ref="AO29" authorId="0" shapeId="0" xr:uid="{00000000-0006-0000-0100-000008000000}">
      <text>
        <r>
          <rPr>
            <b/>
            <sz val="9"/>
            <color indexed="81"/>
            <rFont val="Tahoma"/>
            <family val="2"/>
          </rPr>
          <t>Todd Morse:</t>
        </r>
        <r>
          <rPr>
            <sz val="9"/>
            <color indexed="81"/>
            <rFont val="Tahoma"/>
            <family val="2"/>
          </rPr>
          <t xml:space="preserve">
See comments on cells BI26 through BT26 for specific sources of funds</t>
        </r>
      </text>
    </comment>
    <comment ref="BI29" authorId="0" shapeId="0" xr:uid="{00000000-0006-0000-0100-000009000000}">
      <text>
        <r>
          <rPr>
            <b/>
            <sz val="9"/>
            <color indexed="81"/>
            <rFont val="Tahoma"/>
            <family val="2"/>
          </rPr>
          <t>Todd Morse:</t>
        </r>
        <r>
          <rPr>
            <sz val="9"/>
            <color indexed="81"/>
            <rFont val="Tahoma"/>
            <family val="2"/>
          </rPr>
          <t xml:space="preserve">
BLRA Foundation support for onboarding 4 new core teaching positions at BLPA ($7200) + outfitting additional classrooms at BLPA ($20,000)</t>
        </r>
      </text>
    </comment>
    <comment ref="BJ29" authorId="0" shapeId="0" xr:uid="{00000000-0006-0000-0100-00000A000000}">
      <text>
        <r>
          <rPr>
            <b/>
            <sz val="9"/>
            <color indexed="81"/>
            <rFont val="Tahoma"/>
            <family val="2"/>
          </rPr>
          <t>Todd Morse:</t>
        </r>
        <r>
          <rPr>
            <sz val="9"/>
            <color indexed="81"/>
            <rFont val="Tahoma"/>
            <family val="2"/>
          </rPr>
          <t xml:space="preserve">
BLRA Foundation support for new curriculum ($60,000)
</t>
        </r>
      </text>
    </comment>
    <comment ref="BL29" authorId="0" shapeId="0" xr:uid="{00000000-0006-0000-0100-00000B000000}">
      <text>
        <r>
          <rPr>
            <b/>
            <sz val="9"/>
            <color indexed="81"/>
            <rFont val="Tahoma"/>
            <family val="2"/>
          </rPr>
          <t>Todd Morse:</t>
        </r>
        <r>
          <rPr>
            <sz val="9"/>
            <color indexed="81"/>
            <rFont val="Tahoma"/>
            <family val="2"/>
          </rPr>
          <t xml:space="preserve">
Oakwood Foundation support for CKH training</t>
        </r>
      </text>
    </comment>
    <comment ref="BQ29" authorId="0" shapeId="0" xr:uid="{00000000-0006-0000-0100-00000C000000}">
      <text>
        <r>
          <rPr>
            <b/>
            <sz val="9"/>
            <color indexed="81"/>
            <rFont val="Tahoma"/>
            <family val="2"/>
          </rPr>
          <t>Todd Morse:</t>
        </r>
        <r>
          <rPr>
            <sz val="9"/>
            <color indexed="81"/>
            <rFont val="Tahoma"/>
            <family val="2"/>
          </rPr>
          <t xml:space="preserve">
FY 19 is for Year 3 (of 3) for Oakwood's owner's rep reimbursement.</t>
        </r>
      </text>
    </comment>
    <comment ref="AO30" authorId="0" shapeId="0" xr:uid="{00000000-0006-0000-0100-00000D000000}">
      <text>
        <r>
          <rPr>
            <b/>
            <sz val="9"/>
            <color indexed="81"/>
            <rFont val="Tahoma"/>
            <family val="2"/>
          </rPr>
          <t>Todd Morse:</t>
        </r>
        <r>
          <rPr>
            <sz val="9"/>
            <color indexed="81"/>
            <rFont val="Tahoma"/>
            <family val="2"/>
          </rPr>
          <t xml:space="preserve">
I made no change to the cell, but felt it important to highlight that this changed significantly</t>
        </r>
      </text>
    </comment>
    <comment ref="AO31" authorId="0" shapeId="0" xr:uid="{00000000-0006-0000-0100-00000E000000}">
      <text>
        <r>
          <rPr>
            <b/>
            <sz val="9"/>
            <color indexed="81"/>
            <rFont val="Tahoma"/>
            <family val="2"/>
          </rPr>
          <t>Todd Morse:</t>
        </r>
        <r>
          <rPr>
            <sz val="9"/>
            <color indexed="81"/>
            <rFont val="Tahoma"/>
            <family val="2"/>
          </rPr>
          <t xml:space="preserve">
We will use $200,980.22 from MLO3B for BLRA renovations and $348,198.79 from MLO3A for 6 new positions at BLPA</t>
        </r>
      </text>
    </comment>
    <comment ref="BI31" authorId="0" shapeId="0" xr:uid="{00000000-0006-0000-0100-00000F000000}">
      <text>
        <r>
          <rPr>
            <b/>
            <sz val="9"/>
            <color indexed="81"/>
            <rFont val="Tahoma"/>
            <family val="2"/>
          </rPr>
          <t>Todd Morse:</t>
        </r>
        <r>
          <rPr>
            <sz val="9"/>
            <color indexed="81"/>
            <rFont val="Tahoma"/>
            <family val="2"/>
          </rPr>
          <t xml:space="preserve">
This derives from MLO 3A ($348,198.79) and MLO 3B ($200,980.22)</t>
        </r>
      </text>
    </comment>
    <comment ref="AO36" authorId="0" shapeId="0" xr:uid="{00000000-0006-0000-0100-000010000000}">
      <text>
        <r>
          <rPr>
            <b/>
            <sz val="9"/>
            <color indexed="81"/>
            <rFont val="Tahoma"/>
            <family val="2"/>
          </rPr>
          <t>Todd Morse:</t>
        </r>
        <r>
          <rPr>
            <sz val="9"/>
            <color indexed="81"/>
            <rFont val="Tahoma"/>
            <family val="2"/>
          </rPr>
          <t xml:space="preserve">
No change to formula, but value changed due to factors outlined in comment on BI33
</t>
        </r>
      </text>
    </comment>
    <comment ref="BI36" authorId="0" shapeId="0" xr:uid="{00000000-0006-0000-0100-000011000000}">
      <text>
        <r>
          <rPr>
            <b/>
            <sz val="9"/>
            <color indexed="81"/>
            <rFont val="Tahoma"/>
            <family val="2"/>
          </rPr>
          <t>Todd Morse:</t>
        </r>
        <r>
          <rPr>
            <sz val="9"/>
            <color indexed="81"/>
            <rFont val="Tahoma"/>
            <family val="2"/>
          </rPr>
          <t xml:space="preserve">
This is definitely the correct strategy to link this with line 507: Capital Construction Facility Rent/Building Lease, but our authorizer has advised us to project the FY18 per FTE amount of $277/FTE for FY19 .  I made the adjustment in line 507 below.</t>
        </r>
      </text>
    </comment>
    <comment ref="AO39" authorId="0" shapeId="0" xr:uid="{00000000-0006-0000-0100-000012000000}">
      <text>
        <r>
          <rPr>
            <b/>
            <sz val="9"/>
            <color indexed="81"/>
            <rFont val="Tahoma"/>
            <family val="2"/>
          </rPr>
          <t>Todd Morse:</t>
        </r>
        <r>
          <rPr>
            <sz val="9"/>
            <color indexed="81"/>
            <rFont val="Tahoma"/>
            <family val="2"/>
          </rPr>
          <t xml:space="preserve">
No change to formula, but value changed due to factors outlined in comment on BI36</t>
        </r>
      </text>
    </comment>
    <comment ref="BI39" authorId="0" shapeId="0" xr:uid="{00000000-0006-0000-0100-000013000000}">
      <text>
        <r>
          <rPr>
            <b/>
            <sz val="9"/>
            <color indexed="81"/>
            <rFont val="Tahoma"/>
            <family val="2"/>
          </rPr>
          <t>Todd Morse:</t>
        </r>
        <r>
          <rPr>
            <sz val="9"/>
            <color indexed="81"/>
            <rFont val="Tahoma"/>
            <family val="2"/>
          </rPr>
          <t xml:space="preserve">
READ Act funds are based on the number of students on READ plans for the preceding year.  Given the significant elementary enrollment increase from FY17 to FY18, our FY19 READ Act funds will be based upon 82 READ plans rather than the FY18 basis of 51  READ plans.  I have changed the multiplier in the formula for BI 36 through BT36 to x(82/51)</t>
        </r>
      </text>
    </comment>
    <comment ref="AO62" authorId="0" shapeId="0" xr:uid="{00000000-0006-0000-0100-000014000000}">
      <text>
        <r>
          <rPr>
            <b/>
            <sz val="9"/>
            <color indexed="81"/>
            <rFont val="Tahoma"/>
            <family val="2"/>
          </rPr>
          <t xml:space="preserve">Todd Morse (3/12/18):
</t>
        </r>
        <r>
          <rPr>
            <sz val="9"/>
            <color indexed="81"/>
            <rFont val="Tahoma"/>
            <family val="2"/>
          </rPr>
          <t>Now that GT teachers have been removed from the "Teaching Assistant" lines (59, 61, 64, 69, 71, and 78), this becomes the best set of account lines to addres instructional aides (Lines 171 - 179 on the FY19 Staffing V1-1 (3) tab).  I have added the instructional aide compensation values to PL - School COA lines 59, 61, 64, 69, 71, and 78</t>
        </r>
        <r>
          <rPr>
            <b/>
            <sz val="9"/>
            <color indexed="81"/>
            <rFont val="Tahoma"/>
            <family val="2"/>
          </rPr>
          <t xml:space="preserve">
Todd Morse (3/9/18):</t>
        </r>
        <r>
          <rPr>
            <sz val="9"/>
            <color indexed="81"/>
            <rFont val="Tahoma"/>
            <family val="2"/>
          </rPr>
          <t xml:space="preserve">
In Colorado, teaching assistants are hourly employees.  We currently do not have any teaching assistants - instead we have instructional aides whose compensation is captured elsewhere in the sheet.  This number includes GT teachers - their compensation should be moved to the specials teacher line below and this line should be 
</t>
        </r>
      </text>
    </comment>
    <comment ref="AO63" authorId="0" shapeId="0" xr:uid="{00000000-0006-0000-0100-000015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BK63" authorId="0" shapeId="0" xr:uid="{00000000-0006-0000-0100-000016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AO65" authorId="0" shapeId="0" xr:uid="{00000000-0006-0000-0100-000017000000}">
      <text>
        <r>
          <rPr>
            <b/>
            <sz val="9"/>
            <color indexed="81"/>
            <rFont val="Tahoma"/>
            <family val="2"/>
          </rPr>
          <t>Todd Morse:</t>
        </r>
        <r>
          <rPr>
            <sz val="9"/>
            <color indexed="81"/>
            <rFont val="Tahoma"/>
            <family val="2"/>
          </rPr>
          <t xml:space="preserve">
No change to formula - see comment on BJ62 for factors impacting change in value</t>
        </r>
      </text>
    </comment>
    <comment ref="BJ65" authorId="0" shapeId="0" xr:uid="{00000000-0006-0000-0100-000018000000}">
      <text>
        <r>
          <rPr>
            <b/>
            <sz val="9"/>
            <color indexed="81"/>
            <rFont val="Tahoma"/>
            <family val="2"/>
          </rPr>
          <t>Todd Morse:</t>
        </r>
        <r>
          <rPr>
            <sz val="9"/>
            <color indexed="81"/>
            <rFont val="Tahoma"/>
            <family val="2"/>
          </rPr>
          <t xml:space="preserve">
We estinmate the total cost of stipends for elementary (to include FICA, Medicare, and 401K contribution to be $17,808.21.  I have a stipends sheet that I would be glad to add as a separate tab</t>
        </r>
      </text>
    </comment>
    <comment ref="AO67" authorId="0" shapeId="0" xr:uid="{00000000-0006-0000-0100-000019000000}">
      <text>
        <r>
          <rPr>
            <b/>
            <sz val="9"/>
            <color indexed="81"/>
            <rFont val="Tahoma"/>
            <family val="2"/>
          </rPr>
          <t>Todd Morse:</t>
        </r>
        <r>
          <rPr>
            <sz val="9"/>
            <color indexed="81"/>
            <rFont val="Tahoma"/>
            <family val="2"/>
          </rPr>
          <t xml:space="preserve">
See comment regatrding teaching assistant on cell AO59</t>
        </r>
      </text>
    </comment>
    <comment ref="AO71" authorId="0" shapeId="0" xr:uid="{00000000-0006-0000-0100-00001A000000}">
      <text>
        <r>
          <rPr>
            <b/>
            <sz val="9"/>
            <color indexed="81"/>
            <rFont val="Tahoma"/>
            <family val="2"/>
          </rPr>
          <t>Todd Morse:</t>
        </r>
        <r>
          <rPr>
            <sz val="9"/>
            <color indexed="81"/>
            <rFont val="Tahoma"/>
            <family val="2"/>
          </rPr>
          <t xml:space="preserve">
No change to formula - see comment on BJ68 for factors impacting change in value</t>
        </r>
      </text>
    </comment>
    <comment ref="BK71" authorId="0" shapeId="0" xr:uid="{00000000-0006-0000-0100-00001B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68, 99, and 127.
</t>
        </r>
      </text>
    </comment>
    <comment ref="AO72" authorId="0" shapeId="0" xr:uid="{00000000-0006-0000-0100-00001C000000}">
      <text>
        <r>
          <rPr>
            <b/>
            <sz val="9"/>
            <color indexed="81"/>
            <rFont val="Tahoma"/>
            <family val="2"/>
          </rPr>
          <t>Todd Morse:</t>
        </r>
        <r>
          <rPr>
            <sz val="9"/>
            <color indexed="81"/>
            <rFont val="Tahoma"/>
            <family val="2"/>
          </rPr>
          <t xml:space="preserve">
See comment regatrding teaching assistant on cell AO59</t>
        </r>
      </text>
    </comment>
    <comment ref="AO74" authorId="0" shapeId="0" xr:uid="{00000000-0006-0000-0100-00001D000000}">
      <text>
        <r>
          <rPr>
            <b/>
            <sz val="9"/>
            <color indexed="81"/>
            <rFont val="Tahoma"/>
            <family val="2"/>
          </rPr>
          <t>Todd Morse:</t>
        </r>
        <r>
          <rPr>
            <sz val="9"/>
            <color indexed="81"/>
            <rFont val="Tahoma"/>
            <family val="2"/>
          </rPr>
          <t xml:space="preserve">
See comment regatrding teaching assistant on cell AO59</t>
        </r>
      </text>
    </comment>
    <comment ref="AO81" authorId="0" shapeId="0" xr:uid="{00000000-0006-0000-0100-00001E000000}">
      <text>
        <r>
          <rPr>
            <b/>
            <sz val="9"/>
            <color indexed="81"/>
            <rFont val="Tahoma"/>
            <family val="2"/>
          </rPr>
          <t>Todd Morse:</t>
        </r>
        <r>
          <rPr>
            <sz val="9"/>
            <color indexed="81"/>
            <rFont val="Tahoma"/>
            <family val="2"/>
          </rPr>
          <t xml:space="preserve">
See comment regatrding teaching assistant on cell AO59</t>
        </r>
      </text>
    </comment>
    <comment ref="AO82" authorId="0" shapeId="0" xr:uid="{00000000-0006-0000-0100-00001F000000}">
      <text>
        <r>
          <rPr>
            <b/>
            <sz val="9"/>
            <color indexed="81"/>
            <rFont val="Tahoma"/>
            <family val="2"/>
          </rPr>
          <t>Todd Morse:</t>
        </r>
        <r>
          <rPr>
            <sz val="9"/>
            <color indexed="81"/>
            <rFont val="Tahoma"/>
            <family val="2"/>
          </rPr>
          <t xml:space="preserve">
No change to formula - see comment on BI80  for factors impacting change in value</t>
        </r>
      </text>
    </comment>
    <comment ref="BI82" authorId="0" shapeId="0" xr:uid="{00000000-0006-0000-0100-000020000000}">
      <text>
        <r>
          <rPr>
            <b/>
            <sz val="9"/>
            <color indexed="81"/>
            <rFont val="Tahoma"/>
            <family val="2"/>
          </rPr>
          <t>Todd Morse:</t>
        </r>
        <r>
          <rPr>
            <sz val="9"/>
            <color indexed="81"/>
            <rFont val="Tahoma"/>
            <family val="2"/>
          </rPr>
          <t xml:space="preserve">
The enrollment growth at elementary from FY18 to FY19 will be negligible.  The majority of the growth will be due to increase grade level sizes at MS/HS and adding 10th grade.  I changed the multiplier to 0.80 as a percentage of the FY18 spending for this category was due to increasing elementary grade level capacity by about 60% from FY17 to FY18 --&gt; we only need to cover new items, consumables and wear&amp;tear.</t>
        </r>
      </text>
    </comment>
    <comment ref="AO83" authorId="0" shapeId="0" xr:uid="{00000000-0006-0000-0100-000021000000}">
      <text>
        <r>
          <rPr>
            <b/>
            <sz val="9"/>
            <color indexed="81"/>
            <rFont val="Tahoma"/>
            <family val="2"/>
          </rPr>
          <t>Todd Morse:</t>
        </r>
        <r>
          <rPr>
            <sz val="9"/>
            <color indexed="81"/>
            <rFont val="Tahoma"/>
            <family val="2"/>
          </rPr>
          <t xml:space="preserve">
No change in formula - see comment inserted on BL80 for factors impacting change in value.</t>
        </r>
      </text>
    </comment>
    <comment ref="BI83" authorId="0" shapeId="0" xr:uid="{00000000-0006-0000-0100-000022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84" authorId="0" shapeId="0" xr:uid="{00000000-0006-0000-0100-000023000000}">
      <text>
        <r>
          <rPr>
            <b/>
            <sz val="9"/>
            <color indexed="81"/>
            <rFont val="Tahoma"/>
            <family val="2"/>
          </rPr>
          <t>Todd Morse:</t>
        </r>
        <r>
          <rPr>
            <sz val="9"/>
            <color indexed="81"/>
            <rFont val="Tahoma"/>
            <family val="2"/>
          </rPr>
          <t xml:space="preserve">
No change in formula - see comment on BI81 for factors impacting change in value</t>
        </r>
      </text>
    </comment>
    <comment ref="BI84" authorId="0" shapeId="0" xr:uid="{00000000-0006-0000-0100-000024000000}">
      <text>
        <r>
          <rPr>
            <b/>
            <sz val="9"/>
            <color indexed="81"/>
            <rFont val="Tahoma"/>
            <family val="2"/>
          </rPr>
          <t>Todd Morse:</t>
        </r>
        <r>
          <rPr>
            <sz val="9"/>
            <color indexed="81"/>
            <rFont val="Tahoma"/>
            <family val="2"/>
          </rPr>
          <t xml:space="preserve">
I linked this back to the Impact Aid revenue line and distributed among ES, MS, and HS by projected student enrollment</t>
        </r>
      </text>
    </comment>
    <comment ref="AO85" authorId="0" shapeId="0" xr:uid="{00000000-0006-0000-0100-000025000000}">
      <text>
        <r>
          <rPr>
            <b/>
            <sz val="9"/>
            <color indexed="81"/>
            <rFont val="Tahoma"/>
            <family val="2"/>
          </rPr>
          <t>Todd Morse:</t>
        </r>
        <r>
          <rPr>
            <sz val="9"/>
            <color indexed="81"/>
            <rFont val="Tahoma"/>
            <family val="2"/>
          </rPr>
          <t xml:space="preserve">
No change to formula - see comment on BI82  for factors impacting change in value</t>
        </r>
      </text>
    </comment>
    <comment ref="BI85" authorId="0" shapeId="0" xr:uid="{00000000-0006-0000-0100-000026000000}">
      <text>
        <r>
          <rPr>
            <b/>
            <sz val="9"/>
            <color indexed="81"/>
            <rFont val="Tahoma"/>
            <family val="2"/>
          </rPr>
          <t>Todd Morse:</t>
        </r>
        <r>
          <rPr>
            <sz val="9"/>
            <color indexed="81"/>
            <rFont val="Tahoma"/>
            <family val="2"/>
          </rPr>
          <t xml:space="preserve">
The enrollment growth at elementary from FY18 to FY19 will be negligible.  The majority of the growth will be due to increase grade level sizes at MS/HS and adding 10th grade.  I changed the multiplier to 0.80 as a percentage of the FY18 spending for this category was due to increasing elementary grade level capacity by about 60% from FY17 to FY18 --&gt; we only need to cover new curriculum, consumables and wear&amp;tear.</t>
        </r>
      </text>
    </comment>
    <comment ref="AO86" authorId="0" shapeId="0" xr:uid="{00000000-0006-0000-0100-000027000000}">
      <text>
        <r>
          <rPr>
            <b/>
            <sz val="9"/>
            <color indexed="81"/>
            <rFont val="Tahoma"/>
            <family val="2"/>
          </rPr>
          <t>Todd Morse:</t>
        </r>
        <r>
          <rPr>
            <sz val="9"/>
            <color indexed="81"/>
            <rFont val="Tahoma"/>
            <family val="2"/>
          </rPr>
          <t xml:space="preserve">
No change to formula - see comment on BI83  for factors impacting change in value</t>
        </r>
      </text>
    </comment>
    <comment ref="BI86" authorId="0" shapeId="0" xr:uid="{00000000-0006-0000-0100-000028000000}">
      <text>
        <r>
          <rPr>
            <b/>
            <sz val="9"/>
            <color indexed="81"/>
            <rFont val="Tahoma"/>
            <family val="2"/>
          </rPr>
          <t>Todd Morse:</t>
        </r>
        <r>
          <rPr>
            <sz val="9"/>
            <color indexed="81"/>
            <rFont val="Tahoma"/>
            <family val="2"/>
          </rPr>
          <t xml:space="preserve">
We do not anticipate any capital outlays for furnishings in FY19 outside of MLO reimbursements captured in lines 549 and 551</t>
        </r>
      </text>
    </comment>
    <comment ref="AO88" authorId="0" shapeId="0" xr:uid="{00000000-0006-0000-0100-000029000000}">
      <text>
        <r>
          <rPr>
            <b/>
            <sz val="9"/>
            <color indexed="81"/>
            <rFont val="Tahoma"/>
            <family val="2"/>
          </rPr>
          <t>Todd Morse:</t>
        </r>
        <r>
          <rPr>
            <sz val="9"/>
            <color indexed="81"/>
            <rFont val="Tahoma"/>
            <family val="2"/>
          </rPr>
          <t xml:space="preserve">
No change to formula - see comment on BI85  for factors impacting change in value</t>
        </r>
      </text>
    </comment>
    <comment ref="BI88" authorId="0" shapeId="0" xr:uid="{00000000-0006-0000-0100-00002A000000}">
      <text>
        <r>
          <rPr>
            <b/>
            <sz val="9"/>
            <color indexed="81"/>
            <rFont val="Tahoma"/>
            <family val="2"/>
          </rPr>
          <t>Todd Morse:</t>
        </r>
        <r>
          <rPr>
            <sz val="9"/>
            <color indexed="81"/>
            <rFont val="Tahoma"/>
            <family val="2"/>
          </rPr>
          <t xml:space="preserve">
We do not anticipate non-capital asset purchases out of MLO funds in FY19</t>
        </r>
      </text>
    </comment>
    <comment ref="AO95" authorId="0" shapeId="0" xr:uid="{00000000-0006-0000-0100-00002B000000}">
      <text>
        <r>
          <rPr>
            <b/>
            <sz val="9"/>
            <color indexed="81"/>
            <rFont val="Tahoma"/>
            <family val="2"/>
          </rPr>
          <t>Todd Morse:</t>
        </r>
        <r>
          <rPr>
            <sz val="9"/>
            <color indexed="81"/>
            <rFont val="Tahoma"/>
            <family val="2"/>
          </rPr>
          <t xml:space="preserve">
Added MS portion to new account line
</t>
        </r>
      </text>
    </comment>
    <comment ref="BK95" authorId="0" shapeId="0" xr:uid="{00000000-0006-0000-0100-00002C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AO96" authorId="1" shapeId="0" xr:uid="{00000000-0006-0000-0100-00002D000000}">
      <text>
        <r>
          <rPr>
            <b/>
            <sz val="9"/>
            <color indexed="81"/>
            <rFont val="Tahoma"/>
            <family val="2"/>
          </rPr>
          <t xml:space="preserve">Todd Morse (3/12/18): </t>
        </r>
        <r>
          <rPr>
            <sz val="9"/>
            <color indexed="81"/>
            <rFont val="Tahoma"/>
            <family val="2"/>
          </rPr>
          <t xml:space="preserve">Thanks Baba - I added the BLPA instructional aide back into lines 93,100,102,108 in version D
</t>
        </r>
        <r>
          <rPr>
            <b/>
            <sz val="9"/>
            <color indexed="81"/>
            <rFont val="Tahoma"/>
            <family val="2"/>
          </rPr>
          <t>Baba Janneh:</t>
        </r>
        <r>
          <rPr>
            <sz val="9"/>
            <color indexed="81"/>
            <rFont val="Tahoma"/>
            <family val="2"/>
          </rPr>
          <t xml:space="preserve">
Previously included an instructional aide</t>
        </r>
      </text>
    </comment>
    <comment ref="BJ97" authorId="0" shapeId="0" xr:uid="{00000000-0006-0000-0100-00002E000000}">
      <text>
        <r>
          <rPr>
            <b/>
            <sz val="9"/>
            <color indexed="81"/>
            <rFont val="Tahoma"/>
            <family val="2"/>
          </rPr>
          <t>Todd Morse:</t>
        </r>
        <r>
          <rPr>
            <sz val="9"/>
            <color indexed="81"/>
            <rFont val="Tahoma"/>
            <family val="2"/>
          </rPr>
          <t xml:space="preserve">
We estinmate the total cost of stipends for BLPA (to include FICA, Medicare, and 401K contribution to be $17,026.66 and 60% is attributable to MS.  I have a stipends sheet that I would be glad to add as a separate tab</t>
        </r>
      </text>
    </comment>
    <comment ref="BK102" authorId="0" shapeId="0" xr:uid="{00000000-0006-0000-0100-00002F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68, 99, 127.</t>
        </r>
      </text>
    </comment>
    <comment ref="AO103" authorId="1" shapeId="0" xr:uid="{00000000-0006-0000-0100-000030000000}">
      <text>
        <r>
          <rPr>
            <b/>
            <sz val="9"/>
            <color indexed="81"/>
            <rFont val="Tahoma"/>
            <family val="2"/>
          </rPr>
          <t>Baba Janneh:</t>
        </r>
        <r>
          <rPr>
            <sz val="9"/>
            <color indexed="81"/>
            <rFont val="Tahoma"/>
            <family val="2"/>
          </rPr>
          <t xml:space="preserve">
Previously included an instructional aide</t>
        </r>
      </text>
    </comment>
    <comment ref="AO105" authorId="1" shapeId="0" xr:uid="{00000000-0006-0000-0100-000031000000}">
      <text>
        <r>
          <rPr>
            <b/>
            <sz val="9"/>
            <color indexed="81"/>
            <rFont val="Tahoma"/>
            <family val="2"/>
          </rPr>
          <t>Baba Janneh:</t>
        </r>
        <r>
          <rPr>
            <sz val="9"/>
            <color indexed="81"/>
            <rFont val="Tahoma"/>
            <family val="2"/>
          </rPr>
          <t xml:space="preserve">
Previously included an instructional aide</t>
        </r>
      </text>
    </comment>
    <comment ref="AO111" authorId="1" shapeId="0" xr:uid="{00000000-0006-0000-0100-000032000000}">
      <text>
        <r>
          <rPr>
            <b/>
            <sz val="9"/>
            <color indexed="81"/>
            <rFont val="Tahoma"/>
            <family val="2"/>
          </rPr>
          <t>Baba Janneh:</t>
        </r>
        <r>
          <rPr>
            <sz val="9"/>
            <color indexed="81"/>
            <rFont val="Tahoma"/>
            <family val="2"/>
          </rPr>
          <t xml:space="preserve">
Previously included an instructional aide</t>
        </r>
      </text>
    </comment>
    <comment ref="AO112" authorId="0" shapeId="0" xr:uid="{00000000-0006-0000-0100-000033000000}">
      <text>
        <r>
          <rPr>
            <b/>
            <sz val="9"/>
            <color indexed="81"/>
            <rFont val="Tahoma"/>
            <family val="2"/>
          </rPr>
          <t>Todd Morse:</t>
        </r>
        <r>
          <rPr>
            <sz val="9"/>
            <color indexed="81"/>
            <rFont val="Tahoma"/>
            <family val="2"/>
          </rPr>
          <t xml:space="preserve">
No change to formula - see comment on BI109  for factors impacting change in value</t>
        </r>
      </text>
    </comment>
    <comment ref="BI112" authorId="0" shapeId="0" xr:uid="{00000000-0006-0000-0100-000034000000}">
      <text>
        <r>
          <rPr>
            <b/>
            <sz val="9"/>
            <color indexed="81"/>
            <rFont val="Tahoma"/>
            <family val="2"/>
          </rPr>
          <t>Todd Morse:</t>
        </r>
        <r>
          <rPr>
            <sz val="9"/>
            <color indexed="81"/>
            <rFont val="Tahoma"/>
            <family val="2"/>
          </rPr>
          <t xml:space="preserve">
While enrollment at MS will increase, much of the impact on supplies was addressed with purchases made in FY18 and so  we only need to cover consumables and wear&amp;tear in FY19 --&gt;I changed the multiplier to 0.80 as a percentage of the FY18 spending</t>
        </r>
      </text>
    </comment>
    <comment ref="AO113" authorId="0" shapeId="0" xr:uid="{00000000-0006-0000-0100-000035000000}">
      <text>
        <r>
          <rPr>
            <b/>
            <sz val="9"/>
            <color indexed="81"/>
            <rFont val="Tahoma"/>
            <family val="2"/>
          </rPr>
          <t>Todd Morse:</t>
        </r>
        <r>
          <rPr>
            <sz val="9"/>
            <color indexed="81"/>
            <rFont val="Tahoma"/>
            <family val="2"/>
          </rPr>
          <t xml:space="preserve">
No change in formula - see comment inserted on BL110 for factors impacting change in value.</t>
        </r>
      </text>
    </comment>
    <comment ref="BI113" authorId="0" shapeId="0" xr:uid="{00000000-0006-0000-0100-000036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14" authorId="0" shapeId="0" xr:uid="{00000000-0006-0000-0100-000037000000}">
      <text>
        <r>
          <rPr>
            <b/>
            <sz val="9"/>
            <color indexed="81"/>
            <rFont val="Tahoma"/>
            <family val="2"/>
          </rPr>
          <t>Todd Morse:</t>
        </r>
        <r>
          <rPr>
            <sz val="9"/>
            <color indexed="81"/>
            <rFont val="Tahoma"/>
            <family val="2"/>
          </rPr>
          <t xml:space="preserve">
No change in formula - see comment on BI111 for factors impacting change in value</t>
        </r>
      </text>
    </comment>
    <comment ref="BI114" authorId="0" shapeId="0" xr:uid="{00000000-0006-0000-0100-000038000000}">
      <text>
        <r>
          <rPr>
            <b/>
            <sz val="9"/>
            <color indexed="81"/>
            <rFont val="Tahoma"/>
            <family val="2"/>
          </rPr>
          <t>Todd Morse:</t>
        </r>
        <r>
          <rPr>
            <sz val="9"/>
            <color indexed="81"/>
            <rFont val="Tahoma"/>
            <family val="2"/>
          </rPr>
          <t xml:space="preserve">
I linked this back to the Impact Aid revenue line and distributed among ES, MS, and HS by projected student enrollment</t>
        </r>
      </text>
    </comment>
    <comment ref="AO115" authorId="0" shapeId="0" xr:uid="{00000000-0006-0000-0100-000039000000}">
      <text>
        <r>
          <rPr>
            <b/>
            <sz val="9"/>
            <color indexed="81"/>
            <rFont val="Tahoma"/>
            <family val="2"/>
          </rPr>
          <t>Todd Morse:</t>
        </r>
        <r>
          <rPr>
            <sz val="9"/>
            <color indexed="81"/>
            <rFont val="Tahoma"/>
            <family val="2"/>
          </rPr>
          <t xml:space="preserve">
No change in formula - see comment on BI112 for factors impacting change in value</t>
        </r>
      </text>
    </comment>
    <comment ref="BI115" authorId="0" shapeId="0" xr:uid="{00000000-0006-0000-0100-00003A000000}">
      <text>
        <r>
          <rPr>
            <b/>
            <sz val="9"/>
            <color indexed="81"/>
            <rFont val="Tahoma"/>
            <family val="2"/>
          </rPr>
          <t>Todd Morse:</t>
        </r>
        <r>
          <rPr>
            <sz val="9"/>
            <color indexed="81"/>
            <rFont val="Tahoma"/>
            <family val="2"/>
          </rPr>
          <t xml:space="preserve">
While enrollment at MS will increase, much of the impact on textbooks was addressed with purchases made in FY18 and so  we only need to cover consumables and wear&amp;tear in FY19 --&gt;I changed the multiplier to 0.80 as a percentage of the FY18 spending</t>
        </r>
      </text>
    </comment>
    <comment ref="AP125" authorId="0" shapeId="0" xr:uid="{00000000-0006-0000-0100-00003B000000}">
      <text>
        <r>
          <rPr>
            <b/>
            <sz val="9"/>
            <color indexed="81"/>
            <rFont val="Tahoma"/>
            <family val="2"/>
          </rPr>
          <t>Todd Morse:</t>
        </r>
        <r>
          <rPr>
            <sz val="9"/>
            <color indexed="81"/>
            <rFont val="Tahoma"/>
            <family val="2"/>
          </rPr>
          <t xml:space="preserve">
Added HS amount to newly added account line</t>
        </r>
      </text>
    </comment>
    <comment ref="BK125" authorId="0" shapeId="0" xr:uid="{00000000-0006-0000-0100-00003C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BJ126" authorId="0" shapeId="0" xr:uid="{00000000-0006-0000-0100-00003D000000}">
      <text>
        <r>
          <rPr>
            <b/>
            <sz val="9"/>
            <color indexed="81"/>
            <rFont val="Tahoma"/>
            <family val="2"/>
          </rPr>
          <t>Todd Morse:</t>
        </r>
        <r>
          <rPr>
            <sz val="9"/>
            <color indexed="81"/>
            <rFont val="Tahoma"/>
            <family val="2"/>
          </rPr>
          <t xml:space="preserve">
We estinmate the total cost of stipends for BLPA (to include FICA, Medicare, and 401K contribution to be $17,026.66 and 40% is attributable to HS.  I have a stipends sheet that I would be glad to add as a separate tab</t>
        </r>
      </text>
    </comment>
    <comment ref="BK130" authorId="0" shapeId="0" xr:uid="{00000000-0006-0000-0100-00003E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68, 99, 127.</t>
        </r>
      </text>
    </comment>
    <comment ref="AO137" authorId="0" shapeId="0" xr:uid="{00000000-0006-0000-0100-00003F000000}">
      <text>
        <r>
          <rPr>
            <b/>
            <sz val="9"/>
            <color indexed="81"/>
            <rFont val="Tahoma"/>
            <family val="2"/>
          </rPr>
          <t>Todd Morse:</t>
        </r>
        <r>
          <rPr>
            <sz val="9"/>
            <color indexed="81"/>
            <rFont val="Tahoma"/>
            <family val="2"/>
          </rPr>
          <t xml:space="preserve">
No change to formula - see comment on BI109  for factors impacting change in value</t>
        </r>
      </text>
    </comment>
    <comment ref="BI137" authorId="0" shapeId="0" xr:uid="{00000000-0006-0000-0100-000040000000}">
      <text>
        <r>
          <rPr>
            <b/>
            <sz val="9"/>
            <color indexed="81"/>
            <rFont val="Tahoma"/>
            <family val="2"/>
          </rPr>
          <t>Todd Morse:</t>
        </r>
        <r>
          <rPr>
            <sz val="9"/>
            <color indexed="81"/>
            <rFont val="Tahoma"/>
            <family val="2"/>
          </rPr>
          <t xml:space="preserve">
The Textbooks &amp; Periodicals account line is new for FY19.  General fund textbook purchases were attributed to Supplies - Instructional (High School) in FY18.  I inflated the FY18 value by 12% and them moved $40,000 to Textbooks &amp; Periodicals</t>
        </r>
      </text>
    </comment>
    <comment ref="AO138" authorId="0" shapeId="0" xr:uid="{00000000-0006-0000-0100-000041000000}">
      <text>
        <r>
          <rPr>
            <b/>
            <sz val="9"/>
            <color indexed="81"/>
            <rFont val="Tahoma"/>
            <family val="2"/>
          </rPr>
          <t>Todd Morse:</t>
        </r>
        <r>
          <rPr>
            <sz val="9"/>
            <color indexed="81"/>
            <rFont val="Tahoma"/>
            <family val="2"/>
          </rPr>
          <t xml:space="preserve">
No change in formula - see comment inserted on BL110 for factors impacting change in value.</t>
        </r>
      </text>
    </comment>
    <comment ref="BI138" authorId="0" shapeId="0" xr:uid="{00000000-0006-0000-0100-000042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39" authorId="0" shapeId="0" xr:uid="{00000000-0006-0000-0100-000043000000}">
      <text>
        <r>
          <rPr>
            <b/>
            <sz val="9"/>
            <color indexed="81"/>
            <rFont val="Tahoma"/>
            <family val="2"/>
          </rPr>
          <t>Todd Morse:</t>
        </r>
        <r>
          <rPr>
            <sz val="9"/>
            <color indexed="81"/>
            <rFont val="Tahoma"/>
            <family val="2"/>
          </rPr>
          <t xml:space="preserve">
No change in formula - see comment on BI111 for factors impacting change in value</t>
        </r>
      </text>
    </comment>
    <comment ref="BI139" authorId="0" shapeId="0" xr:uid="{00000000-0006-0000-0100-000044000000}">
      <text>
        <r>
          <rPr>
            <b/>
            <sz val="9"/>
            <color indexed="81"/>
            <rFont val="Tahoma"/>
            <family val="2"/>
          </rPr>
          <t>Todd Morse:</t>
        </r>
        <r>
          <rPr>
            <sz val="9"/>
            <color indexed="81"/>
            <rFont val="Tahoma"/>
            <family val="2"/>
          </rPr>
          <t xml:space="preserve">
I linked this back to the Impact Aid revenue line and distributed among ES, MS, and HS by projected student enrollment</t>
        </r>
      </text>
    </comment>
    <comment ref="AO140" authorId="0" shapeId="0" xr:uid="{00000000-0006-0000-0100-000045000000}">
      <text>
        <r>
          <rPr>
            <b/>
            <sz val="9"/>
            <color indexed="81"/>
            <rFont val="Tahoma"/>
            <family val="2"/>
          </rPr>
          <t>Todd Morse:</t>
        </r>
        <r>
          <rPr>
            <sz val="9"/>
            <color indexed="81"/>
            <rFont val="Tahoma"/>
            <family val="2"/>
          </rPr>
          <t xml:space="preserve">
No change in formula - see comment on BI37 for factors impacting change in value</t>
        </r>
      </text>
    </comment>
    <comment ref="BI140" authorId="0" shapeId="0" xr:uid="{00000000-0006-0000-0100-000046000000}">
      <text>
        <r>
          <rPr>
            <b/>
            <sz val="9"/>
            <color indexed="81"/>
            <rFont val="Tahoma"/>
            <family val="2"/>
          </rPr>
          <t>Todd Morse:</t>
        </r>
        <r>
          <rPr>
            <sz val="9"/>
            <color indexed="81"/>
            <rFont val="Tahoma"/>
            <family val="2"/>
          </rPr>
          <t xml:space="preserve">
This is a new account line for FY19 - general fund textbook purchases were attributed to Supplies - Instructional (High School) in F18.  We project a need for $40,000 in textbook purchases in FY19
</t>
        </r>
      </text>
    </comment>
    <comment ref="BI141" authorId="0" shapeId="0" xr:uid="{00000000-0006-0000-0100-000047000000}">
      <text>
        <r>
          <rPr>
            <b/>
            <sz val="9"/>
            <color indexed="81"/>
            <rFont val="Tahoma"/>
            <family val="2"/>
          </rPr>
          <t>Todd Morse:</t>
        </r>
        <r>
          <rPr>
            <sz val="9"/>
            <color indexed="81"/>
            <rFont val="Tahoma"/>
            <family val="2"/>
          </rPr>
          <t xml:space="preserve">
We anticipate the costs of on-boarding currently unused classroms to be $20,000 for FY19
</t>
        </r>
      </text>
    </comment>
    <comment ref="AO147" authorId="0" shapeId="0" xr:uid="{00000000-0006-0000-0100-000048000000}">
      <text>
        <r>
          <rPr>
            <b/>
            <sz val="9"/>
            <color indexed="81"/>
            <rFont val="Tahoma"/>
            <family val="2"/>
          </rPr>
          <t>Todd Morse:</t>
        </r>
        <r>
          <rPr>
            <sz val="9"/>
            <color indexed="81"/>
            <rFont val="Tahoma"/>
            <family val="2"/>
          </rPr>
          <t xml:space="preserve">
See earlier comment in Elementary Teacher Assistants regarding GT Teachers.  Could we move GT teacher compensation out of Teacher Aide lines and into Teachers - Specials lines?
*UPDATED: Added one GT Teacher to BLRA</t>
        </r>
      </text>
    </comment>
    <comment ref="BJ147" authorId="0" shapeId="0" xr:uid="{00000000-0006-0000-0100-000049000000}">
      <text>
        <r>
          <rPr>
            <b/>
            <sz val="9"/>
            <color indexed="81"/>
            <rFont val="Tahoma"/>
            <family val="2"/>
          </rPr>
          <t>Todd Morse:</t>
        </r>
        <r>
          <rPr>
            <sz val="9"/>
            <color indexed="81"/>
            <rFont val="Tahoma"/>
            <family val="2"/>
          </rPr>
          <t>See earlier comment in Elementary Teacher Assistants regarding GT Teachers.  Could we move GT teacher compensation out of Teacher Aide lines and into Teachers - Specials lines?</t>
        </r>
      </text>
    </comment>
    <comment ref="AO148" authorId="1" shapeId="0" xr:uid="{00000000-0006-0000-0100-00004A000000}">
      <text>
        <r>
          <rPr>
            <b/>
            <sz val="9"/>
            <color indexed="81"/>
            <rFont val="Tahoma"/>
            <family val="2"/>
          </rPr>
          <t xml:space="preserve">Todd Morse (3/12/18): </t>
        </r>
        <r>
          <rPr>
            <sz val="9"/>
            <color indexed="81"/>
            <rFont val="Tahoma"/>
            <family val="2"/>
          </rPr>
          <t>It looks like you only captured the compensation for the GT teacher in the first month - I filled right in BJ145 through BT145</t>
        </r>
        <r>
          <rPr>
            <b/>
            <sz val="9"/>
            <color indexed="81"/>
            <rFont val="Tahoma"/>
            <family val="2"/>
          </rPr>
          <t xml:space="preserve">
Baba Janneh:</t>
        </r>
        <r>
          <rPr>
            <sz val="9"/>
            <color indexed="81"/>
            <rFont val="Tahoma"/>
            <family val="2"/>
          </rPr>
          <t xml:space="preserve">
Added one GT Teacher to BLPA</t>
        </r>
      </text>
    </comment>
    <comment ref="AO170" authorId="0" shapeId="0" xr:uid="{00000000-0006-0000-0100-00004B000000}">
      <text>
        <r>
          <rPr>
            <b/>
            <sz val="9"/>
            <color indexed="81"/>
            <rFont val="Tahoma"/>
            <family val="2"/>
          </rPr>
          <t>Todd Morse:</t>
        </r>
        <r>
          <rPr>
            <sz val="9"/>
            <color indexed="81"/>
            <rFont val="Tahoma"/>
            <family val="2"/>
          </rPr>
          <t xml:space="preserve">
No change in formula - see comment inserted on BL168 for factors impacting change in value.</t>
        </r>
      </text>
    </comment>
    <comment ref="BI170" authorId="0" shapeId="0" xr:uid="{00000000-0006-0000-0100-00004C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80" authorId="0" shapeId="0" xr:uid="{00000000-0006-0000-0100-00004D000000}">
      <text>
        <r>
          <rPr>
            <b/>
            <sz val="9"/>
            <color indexed="81"/>
            <rFont val="Tahoma"/>
            <family val="2"/>
          </rPr>
          <t>Todd Morse:</t>
        </r>
        <r>
          <rPr>
            <sz val="9"/>
            <color indexed="81"/>
            <rFont val="Tahoma"/>
            <family val="2"/>
          </rPr>
          <t xml:space="preserve">
No change in formula - see comment inserted on BL177 for factors impacting change in value.</t>
        </r>
      </text>
    </comment>
    <comment ref="BI180" authorId="0" shapeId="0" xr:uid="{00000000-0006-0000-0100-00004E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85" authorId="0" shapeId="0" xr:uid="{00000000-0006-0000-0100-00004F000000}">
      <text>
        <r>
          <rPr>
            <b/>
            <sz val="9"/>
            <color indexed="81"/>
            <rFont val="Tahoma"/>
            <family val="2"/>
          </rPr>
          <t>Todd Morse:</t>
        </r>
        <r>
          <rPr>
            <sz val="9"/>
            <color indexed="81"/>
            <rFont val="Tahoma"/>
            <family val="2"/>
          </rPr>
          <t xml:space="preserve">
No change in formula - see comment inserted on BL182 for factors impacting change in value.</t>
        </r>
      </text>
    </comment>
    <comment ref="BI185" authorId="0" shapeId="0" xr:uid="{00000000-0006-0000-0100-000050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91" authorId="0" shapeId="0" xr:uid="{00000000-0006-0000-0100-000051000000}">
      <text>
        <r>
          <rPr>
            <b/>
            <sz val="9"/>
            <color indexed="81"/>
            <rFont val="Tahoma"/>
            <family val="2"/>
          </rPr>
          <t>Todd Morse:</t>
        </r>
        <r>
          <rPr>
            <sz val="9"/>
            <color indexed="81"/>
            <rFont val="Tahoma"/>
            <family val="2"/>
          </rPr>
          <t xml:space="preserve">
No change in formula - see comment inserted on BL188 for factors impacting change in value.</t>
        </r>
      </text>
    </comment>
    <comment ref="BI191" authorId="0" shapeId="0" xr:uid="{00000000-0006-0000-0100-000052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236" authorId="0" shapeId="0" xr:uid="{00000000-0006-0000-0100-000053000000}">
      <text>
        <r>
          <rPr>
            <b/>
            <sz val="9"/>
            <color indexed="81"/>
            <rFont val="Tahoma"/>
            <family val="2"/>
          </rPr>
          <t>Todd Morse:</t>
        </r>
        <r>
          <rPr>
            <sz val="9"/>
            <color indexed="81"/>
            <rFont val="Tahoma"/>
            <family val="2"/>
          </rPr>
          <t xml:space="preserve">
No formula changes were made in AO233 through AO237.  Refer to the comments on BI 233-237 for factors impacting the changes in value</t>
        </r>
      </text>
    </comment>
    <comment ref="BI236" authorId="0" shapeId="0" xr:uid="{00000000-0006-0000-0100-000054000000}">
      <text>
        <r>
          <rPr>
            <b/>
            <sz val="9"/>
            <color indexed="81"/>
            <rFont val="Tahoma"/>
            <family val="2"/>
          </rPr>
          <t>Todd Morse:</t>
        </r>
        <r>
          <rPr>
            <sz val="9"/>
            <color indexed="81"/>
            <rFont val="Tahoma"/>
            <family val="2"/>
          </rPr>
          <t xml:space="preserve">
We anticipate this increasing by 50% in FY19 due to adding varsity athletics</t>
        </r>
      </text>
    </comment>
    <comment ref="BI237" authorId="0" shapeId="0" xr:uid="{00000000-0006-0000-0100-000055000000}">
      <text>
        <r>
          <rPr>
            <b/>
            <sz val="9"/>
            <color indexed="81"/>
            <rFont val="Tahoma"/>
            <family val="2"/>
          </rPr>
          <t>Todd Morse:</t>
        </r>
        <r>
          <rPr>
            <sz val="9"/>
            <color indexed="81"/>
            <rFont val="Tahoma"/>
            <family val="2"/>
          </rPr>
          <t xml:space="preserve">
We addressed the increased elementary grade level sizes in FY18 and so we can scale this back for FY 19</t>
        </r>
      </text>
    </comment>
    <comment ref="BI238" authorId="0" shapeId="0" xr:uid="{00000000-0006-0000-0100-000056000000}">
      <text>
        <r>
          <rPr>
            <b/>
            <sz val="9"/>
            <color indexed="81"/>
            <rFont val="Tahoma"/>
            <family val="2"/>
          </rPr>
          <t>Todd Morse:</t>
        </r>
        <r>
          <rPr>
            <sz val="9"/>
            <color indexed="81"/>
            <rFont val="Tahoma"/>
            <family val="2"/>
          </rPr>
          <t xml:space="preserve">
While we continue to need to build our capacity with PE equipment at BLPA, we do not need to increase the allocation for FY19</t>
        </r>
      </text>
    </comment>
    <comment ref="BI239" authorId="0" shapeId="0" xr:uid="{00000000-0006-0000-0100-000057000000}">
      <text>
        <r>
          <rPr>
            <b/>
            <sz val="9"/>
            <color indexed="81"/>
            <rFont val="Tahoma"/>
            <family val="2"/>
          </rPr>
          <t xml:space="preserve">Todd Morse 3/9/18:
</t>
        </r>
        <r>
          <rPr>
            <sz val="9"/>
            <color indexed="81"/>
            <rFont val="Tahoma"/>
            <family val="2"/>
          </rPr>
          <t xml:space="preserve">We added $12,000 to cover purchase of new MS athletic uniforms - moving forward we will plan on a four-year rotation
</t>
        </r>
        <r>
          <rPr>
            <b/>
            <sz val="9"/>
            <color indexed="81"/>
            <rFont val="Tahoma"/>
            <family val="2"/>
          </rPr>
          <t xml:space="preserve">
Todd Morse 3/9/18:</t>
        </r>
        <r>
          <rPr>
            <sz val="9"/>
            <color indexed="81"/>
            <rFont val="Tahoma"/>
            <family val="2"/>
          </rPr>
          <t xml:space="preserve">
With on-boarding varsity athletics in some sports in FY19, we have some specific expenditures that need to be addressed.</t>
        </r>
      </text>
    </comment>
    <comment ref="BI240" authorId="0" shapeId="0" xr:uid="{00000000-0006-0000-0100-000058000000}">
      <text>
        <r>
          <rPr>
            <b/>
            <sz val="9"/>
            <color indexed="81"/>
            <rFont val="Tahoma"/>
            <family val="2"/>
          </rPr>
          <t>Todd Morse:</t>
        </r>
        <r>
          <rPr>
            <sz val="9"/>
            <color indexed="81"/>
            <rFont val="Tahoma"/>
            <family val="2"/>
          </rPr>
          <t xml:space="preserve">
We currently do not run a team sports program in K-5 and so we are not allocating funds to this line </t>
        </r>
      </text>
    </comment>
    <comment ref="AO328" authorId="0" shapeId="0" xr:uid="{00000000-0006-0000-0100-000059000000}">
      <text>
        <r>
          <rPr>
            <b/>
            <sz val="9"/>
            <color indexed="81"/>
            <rFont val="Tahoma"/>
            <family val="2"/>
          </rPr>
          <t>Todd Morse:</t>
        </r>
        <r>
          <rPr>
            <sz val="9"/>
            <color indexed="81"/>
            <rFont val="Tahoma"/>
            <family val="2"/>
          </rPr>
          <t xml:space="preserve">
No change in formula - see comments on BI326 for factors impacting the change in value</t>
        </r>
      </text>
    </comment>
    <comment ref="BI328" authorId="0" shapeId="0" xr:uid="{00000000-0006-0000-0100-00005A000000}">
      <text>
        <r>
          <rPr>
            <b/>
            <sz val="9"/>
            <color indexed="81"/>
            <rFont val="Tahoma"/>
            <family val="2"/>
          </rPr>
          <t>Todd Morse:</t>
        </r>
        <r>
          <rPr>
            <sz val="9"/>
            <color indexed="81"/>
            <rFont val="Tahoma"/>
            <family val="2"/>
          </rPr>
          <t xml:space="preserve">
Much of the FY18 allocation increase was due to initial health room set-up needs.  This can be scaled back to refresh and replace levels for FY19
</t>
        </r>
      </text>
    </comment>
    <comment ref="AO355" authorId="0" shapeId="0" xr:uid="{00000000-0006-0000-0100-00005B000000}">
      <text>
        <r>
          <rPr>
            <b/>
            <sz val="9"/>
            <color indexed="81"/>
            <rFont val="Tahoma"/>
            <family val="2"/>
          </rPr>
          <t>Todd Morse:</t>
        </r>
        <r>
          <rPr>
            <sz val="9"/>
            <color indexed="81"/>
            <rFont val="Tahoma"/>
            <family val="2"/>
          </rPr>
          <t xml:space="preserve">
No change in formula - see comments on BI352 for factors impacting the change in value</t>
        </r>
      </text>
    </comment>
    <comment ref="BI355" authorId="0" shapeId="0" xr:uid="{00000000-0006-0000-0100-00005C000000}">
      <text>
        <r>
          <rPr>
            <b/>
            <sz val="9"/>
            <color indexed="81"/>
            <rFont val="Tahoma"/>
            <family val="2"/>
          </rPr>
          <t>Todd Morse:</t>
        </r>
        <r>
          <rPr>
            <sz val="9"/>
            <color indexed="81"/>
            <rFont val="Tahoma"/>
            <family val="2"/>
          </rPr>
          <t xml:space="preserve">
We are not hiring as many new staff in FY19 and so the training for new staff will be decreased (e.g. Capturing Kids Hearts)</t>
        </r>
      </text>
    </comment>
    <comment ref="AO356" authorId="0" shapeId="0" xr:uid="{00000000-0006-0000-0100-00005D000000}">
      <text>
        <r>
          <rPr>
            <b/>
            <sz val="9"/>
            <color indexed="81"/>
            <rFont val="Tahoma"/>
            <family val="2"/>
          </rPr>
          <t>Todd Morse:</t>
        </r>
        <r>
          <rPr>
            <sz val="9"/>
            <color indexed="81"/>
            <rFont val="Tahoma"/>
            <family val="2"/>
          </rPr>
          <t xml:space="preserve">
No change in formula - see comments on BI3523 for factors impacting the change in value</t>
        </r>
      </text>
    </comment>
    <comment ref="BI356" authorId="0" shapeId="0" xr:uid="{00000000-0006-0000-0100-00005E000000}">
      <text>
        <r>
          <rPr>
            <b/>
            <sz val="9"/>
            <color indexed="81"/>
            <rFont val="Tahoma"/>
            <family val="2"/>
          </rPr>
          <t>Todd Morse</t>
        </r>
        <r>
          <rPr>
            <sz val="9"/>
            <color indexed="81"/>
            <rFont val="Tahoma"/>
            <family val="2"/>
          </rPr>
          <t>I believe that the calculation should be based upon the FY18 total allocation of $12860 with inflation and then split between ES and MS/HS --&gt; the 60-40 split multipliers added to the formula in lines 353 and 354.</t>
        </r>
      </text>
    </comment>
    <comment ref="AO357" authorId="0" shapeId="0" xr:uid="{00000000-0006-0000-0100-00005F000000}">
      <text>
        <r>
          <rPr>
            <b/>
            <sz val="9"/>
            <color indexed="81"/>
            <rFont val="Tahoma"/>
            <family val="2"/>
          </rPr>
          <t>Todd Morse:</t>
        </r>
        <r>
          <rPr>
            <sz val="9"/>
            <color indexed="81"/>
            <rFont val="Tahoma"/>
            <family val="2"/>
          </rPr>
          <t xml:space="preserve">
No change in formula - see comments on BI3523 for factors impacting the change in value</t>
        </r>
      </text>
    </comment>
    <comment ref="AO509" authorId="0" shapeId="0" xr:uid="{00000000-0006-0000-0100-000060000000}">
      <text>
        <r>
          <rPr>
            <b/>
            <sz val="9"/>
            <color indexed="81"/>
            <rFont val="Tahoma"/>
            <family val="2"/>
          </rPr>
          <t>Todd Morse:</t>
        </r>
        <r>
          <rPr>
            <sz val="9"/>
            <color indexed="81"/>
            <rFont val="Tahoma"/>
            <family val="2"/>
          </rPr>
          <t xml:space="preserve">
see comment inserted on BI506</t>
        </r>
      </text>
    </comment>
    <comment ref="BI509" authorId="0" shapeId="0" xr:uid="{00000000-0006-0000-0100-000061000000}">
      <text>
        <r>
          <rPr>
            <b/>
            <sz val="9"/>
            <color indexed="81"/>
            <rFont val="Tahoma"/>
            <family val="2"/>
          </rPr>
          <t>Todd Morse:</t>
        </r>
        <r>
          <rPr>
            <sz val="9"/>
            <color indexed="81"/>
            <rFont val="Tahoma"/>
            <family val="2"/>
          </rPr>
          <t xml:space="preserve">
The finalized debt service schedule calls for total debt service to be $1,763,199.50 in FY19.  I adjusted the formula to draw from cell AO641 and then subtract out the contribution from the state capital construction fund contribution on line 507</t>
        </r>
      </text>
    </comment>
    <comment ref="AO510" authorId="0" shapeId="0" xr:uid="{00000000-0006-0000-0100-000062000000}">
      <text>
        <r>
          <rPr>
            <b/>
            <sz val="9"/>
            <color indexed="81"/>
            <rFont val="Tahoma"/>
            <family val="2"/>
          </rPr>
          <t>Todd Morse:</t>
        </r>
        <r>
          <rPr>
            <sz val="9"/>
            <color indexed="81"/>
            <rFont val="Tahoma"/>
            <family val="2"/>
          </rPr>
          <t xml:space="preserve">
see comment inserted on BI507</t>
        </r>
      </text>
    </comment>
    <comment ref="BI510" authorId="0" shapeId="0" xr:uid="{00000000-0006-0000-0100-000063000000}">
      <text>
        <r>
          <rPr>
            <b/>
            <sz val="9"/>
            <color indexed="81"/>
            <rFont val="Tahoma"/>
            <family val="2"/>
          </rPr>
          <t xml:space="preserve">Todd Morse (3/12/18):
</t>
        </r>
        <r>
          <rPr>
            <sz val="9"/>
            <color indexed="81"/>
            <rFont val="Tahoma"/>
            <family val="2"/>
          </rPr>
          <t>Our authorizer has clarified that it is the amount per FTE that is remaining constant at $277 --&gt; I updated the formula to multiply $277 by the FTE (1320 as of 3/12/18).</t>
        </r>
        <r>
          <rPr>
            <b/>
            <sz val="9"/>
            <color indexed="81"/>
            <rFont val="Tahoma"/>
            <family val="2"/>
          </rPr>
          <t xml:space="preserve">
Todd Morse (3/9/18):</t>
        </r>
        <r>
          <rPr>
            <sz val="9"/>
            <color indexed="81"/>
            <rFont val="Tahoma"/>
            <family val="2"/>
          </rPr>
          <t xml:space="preserve">
Our authorizer has recommended that we use the FY18 value for state capital construction fund for the FY19 value.  I removed the 3% inflation rate from the formula in BI507 through BT507
</t>
        </r>
      </text>
    </comment>
    <comment ref="B511" authorId="2" shapeId="0" xr:uid="{00000000-0006-0000-0100-000064000000}">
      <text>
        <r>
          <rPr>
            <b/>
            <sz val="9"/>
            <color indexed="81"/>
            <rFont val="Tahoma"/>
            <family val="2"/>
          </rPr>
          <t>mark walker:</t>
        </r>
        <r>
          <rPr>
            <sz val="9"/>
            <color indexed="81"/>
            <rFont val="Tahoma"/>
            <family val="2"/>
          </rPr>
          <t xml:space="preserve">
copier
phones
postage machine</t>
        </r>
      </text>
    </comment>
    <comment ref="AO525" authorId="0" shapeId="0" xr:uid="{00000000-0006-0000-0100-000065000000}">
      <text>
        <r>
          <rPr>
            <b/>
            <sz val="9"/>
            <color indexed="81"/>
            <rFont val="Tahoma"/>
            <family val="2"/>
          </rPr>
          <t>Todd Morse:</t>
        </r>
        <r>
          <rPr>
            <sz val="9"/>
            <color indexed="81"/>
            <rFont val="Tahoma"/>
            <family val="2"/>
          </rPr>
          <t xml:space="preserve">
see comment inserted on BI522</t>
        </r>
      </text>
    </comment>
    <comment ref="BI525" authorId="0" shapeId="0" xr:uid="{00000000-0006-0000-0100-000066000000}">
      <text>
        <r>
          <rPr>
            <b/>
            <sz val="9"/>
            <color indexed="81"/>
            <rFont val="Tahoma"/>
            <family val="2"/>
          </rPr>
          <t>Todd Morse:</t>
        </r>
        <r>
          <rPr>
            <sz val="9"/>
            <color indexed="81"/>
            <rFont val="Tahoma"/>
            <family val="2"/>
          </rPr>
          <t xml:space="preserve">
This included initial installation of new equipment in FY18 which will not be necessary in FY19 --&gt; I added in a 20% multiplier</t>
        </r>
      </text>
    </comment>
    <comment ref="BI551" authorId="0" shapeId="0" xr:uid="{00000000-0006-0000-0100-000067000000}">
      <text>
        <r>
          <rPr>
            <b/>
            <sz val="9"/>
            <color indexed="81"/>
            <rFont val="Tahoma"/>
            <family val="2"/>
          </rPr>
          <t>Todd Morse:</t>
        </r>
        <r>
          <rPr>
            <sz val="9"/>
            <color indexed="81"/>
            <rFont val="Tahoma"/>
            <family val="2"/>
          </rPr>
          <t xml:space="preserve">
I zeroed out this line and moved the renovation expenditures to the MLO line (549).  We did not have a separate MLO line in FY18
</t>
        </r>
      </text>
    </comment>
    <comment ref="BI552" authorId="0" shapeId="0" xr:uid="{00000000-0006-0000-0100-000068000000}">
      <text>
        <r>
          <rPr>
            <b/>
            <sz val="9"/>
            <color indexed="81"/>
            <rFont val="Tahoma"/>
            <family val="2"/>
          </rPr>
          <t>Todd Morse:</t>
        </r>
        <r>
          <rPr>
            <sz val="9"/>
            <color indexed="81"/>
            <rFont val="Tahoma"/>
            <family val="2"/>
          </rPr>
          <t xml:space="preserve">
We have $200,980 in approved projects for MLO 3B that will be engaged this summer.
</t>
        </r>
      </text>
    </comment>
    <comment ref="AO556" authorId="0" shapeId="0" xr:uid="{00000000-0006-0000-0100-000069000000}">
      <text>
        <r>
          <rPr>
            <b/>
            <sz val="9"/>
            <color indexed="81"/>
            <rFont val="Tahoma"/>
            <family val="2"/>
          </rPr>
          <t>Todd Morse:</t>
        </r>
        <r>
          <rPr>
            <sz val="9"/>
            <color indexed="81"/>
            <rFont val="Tahoma"/>
            <family val="2"/>
          </rPr>
          <t xml:space="preserve">
No change in formula - see the comment on BT 443  for factors impacting the change in value.</t>
        </r>
      </text>
    </comment>
    <comment ref="AR556" authorId="0" shapeId="0" xr:uid="{00000000-0006-0000-0100-00006A000000}">
      <text>
        <r>
          <rPr>
            <b/>
            <sz val="9"/>
            <color indexed="81"/>
            <rFont val="Tahoma"/>
            <family val="2"/>
          </rPr>
          <t>Todd Morse:</t>
        </r>
        <r>
          <rPr>
            <sz val="9"/>
            <color indexed="81"/>
            <rFont val="Tahoma"/>
            <family val="2"/>
          </rPr>
          <t xml:space="preserve">
No change in formula - see the comment on BT 443  for factors impacting the change in value.</t>
        </r>
      </text>
    </comment>
    <comment ref="BT556" authorId="0" shapeId="0" xr:uid="{00000000-0006-0000-0100-00006B000000}">
      <text>
        <r>
          <rPr>
            <b/>
            <sz val="9"/>
            <color indexed="81"/>
            <rFont val="Tahoma"/>
            <family val="2"/>
          </rPr>
          <t>Todd Morse:</t>
        </r>
        <r>
          <rPr>
            <sz val="9"/>
            <color indexed="81"/>
            <rFont val="Tahoma"/>
            <family val="2"/>
          </rPr>
          <t xml:space="preserve">
My understanding is that the food service fund is always a wash.  This should only cover food staff costs and so I've changed the formula to sum the food service staff costs shown in the food service fund.</t>
        </r>
      </text>
    </comment>
    <comment ref="B562" authorId="1" shapeId="0" xr:uid="{00000000-0006-0000-0100-00006C000000}">
      <text>
        <r>
          <rPr>
            <b/>
            <sz val="9"/>
            <color indexed="81"/>
            <rFont val="Tahoma"/>
            <family val="2"/>
          </rPr>
          <t>Baba Janneh:</t>
        </r>
        <r>
          <rPr>
            <sz val="9"/>
            <color indexed="81"/>
            <rFont val="Tahoma"/>
            <family val="2"/>
          </rPr>
          <t xml:space="preserve">
netted against revenue</t>
        </r>
      </text>
    </comment>
    <comment ref="AO596" authorId="0" shapeId="0" xr:uid="{00000000-0006-0000-0100-00006D000000}">
      <text>
        <r>
          <rPr>
            <b/>
            <sz val="9"/>
            <color indexed="81"/>
            <rFont val="Tahoma"/>
            <family val="2"/>
          </rPr>
          <t>Todd Morse:</t>
        </r>
        <r>
          <rPr>
            <sz val="9"/>
            <color indexed="81"/>
            <rFont val="Tahoma"/>
            <family val="2"/>
          </rPr>
          <t xml:space="preserve">
No change in formula for AO586,589,591,593.  See comments inserted in Food Services Staff section of the FY19 Staffing V1-1 (3) tab for factors impacting the change in value.</t>
        </r>
      </text>
    </comment>
    <comment ref="AO638" authorId="1" shapeId="0" xr:uid="{00000000-0006-0000-0100-00006E000000}">
      <text>
        <r>
          <rPr>
            <b/>
            <sz val="9"/>
            <color indexed="81"/>
            <rFont val="Tahoma"/>
            <family val="2"/>
          </rPr>
          <t>Baba Janneh:</t>
        </r>
        <r>
          <rPr>
            <sz val="9"/>
            <color indexed="81"/>
            <rFont val="Tahoma"/>
            <family val="2"/>
          </rPr>
          <t xml:space="preserve">
FY18 was related to expansion, no expenses expected for FY19</t>
        </r>
      </text>
    </comment>
    <comment ref="AO639" authorId="1" shapeId="0" xr:uid="{00000000-0006-0000-0100-00006F000000}">
      <text>
        <r>
          <rPr>
            <b/>
            <sz val="9"/>
            <color indexed="81"/>
            <rFont val="Tahoma"/>
            <family val="2"/>
          </rPr>
          <t>Baba Janneh:</t>
        </r>
        <r>
          <rPr>
            <sz val="9"/>
            <color indexed="81"/>
            <rFont val="Tahoma"/>
            <family val="2"/>
          </rPr>
          <t xml:space="preserve">
FY18 was related to expansion, no expenses expected for FY19</t>
        </r>
      </text>
    </comment>
    <comment ref="BI644" authorId="0" shapeId="0" xr:uid="{00000000-0006-0000-0100-000070000000}">
      <text>
        <r>
          <rPr>
            <b/>
            <sz val="9"/>
            <color indexed="81"/>
            <rFont val="Tahoma"/>
            <family val="2"/>
          </rPr>
          <t>Todd Morse:</t>
        </r>
        <r>
          <rPr>
            <sz val="9"/>
            <color indexed="81"/>
            <rFont val="Tahoma"/>
            <family val="2"/>
          </rPr>
          <t xml:space="preserve">
From the finalized debt service schedule the total debt service for FY19 should be $1,763,199.50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Todd Morse</author>
    <author>Baba Janneh</author>
    <author>mark walker</author>
  </authors>
  <commentList>
    <comment ref="BI5" authorId="0" shapeId="0" xr:uid="{00000000-0006-0000-0500-000001000000}">
      <text>
        <r>
          <rPr>
            <b/>
            <sz val="9"/>
            <color indexed="81"/>
            <rFont val="Tahoma"/>
            <family val="2"/>
          </rPr>
          <t>Todd Morse:</t>
        </r>
        <r>
          <rPr>
            <sz val="9"/>
            <color indexed="81"/>
            <rFont val="Tahoma"/>
            <family val="2"/>
          </rPr>
          <t xml:space="preserve">
With the close of our open enrollment window our trend data indicates that the projected enrollment is 1369
</t>
        </r>
      </text>
    </comment>
    <comment ref="BI7" authorId="0" shapeId="0" xr:uid="{00000000-0006-0000-0500-000002000000}">
      <text>
        <r>
          <rPr>
            <b/>
            <sz val="9"/>
            <color indexed="81"/>
            <rFont val="Tahoma"/>
            <family val="2"/>
          </rPr>
          <t>Todd Morse:</t>
        </r>
        <r>
          <rPr>
            <sz val="9"/>
            <color indexed="81"/>
            <rFont val="Tahoma"/>
            <family val="2"/>
          </rPr>
          <t xml:space="preserve">
We do not project a growth  in kindergarten as the elementary building is at capacity.  This projection should remain 116 for FY19.</t>
        </r>
      </text>
    </comment>
    <comment ref="BI8" authorId="0" shapeId="0" xr:uid="{00000000-0006-0000-0500-000003000000}">
      <text>
        <r>
          <rPr>
            <b/>
            <sz val="9"/>
            <color indexed="81"/>
            <rFont val="Tahoma"/>
            <family val="2"/>
          </rPr>
          <t>Todd Morse:</t>
        </r>
        <r>
          <rPr>
            <sz val="9"/>
            <color indexed="81"/>
            <rFont val="Tahoma"/>
            <family val="2"/>
          </rPr>
          <t xml:space="preserve">
Our authorizer has provided guidance indicating that we should use $7502 as the PPOR value for FY19
</t>
        </r>
      </text>
    </comment>
    <comment ref="AO26" authorId="0" shapeId="0" xr:uid="{00000000-0006-0000-0500-000004000000}">
      <text>
        <r>
          <rPr>
            <b/>
            <sz val="9"/>
            <color indexed="81"/>
            <rFont val="Tahoma"/>
            <family val="2"/>
          </rPr>
          <t>Todd Morse:</t>
        </r>
        <r>
          <rPr>
            <sz val="9"/>
            <color indexed="81"/>
            <rFont val="Tahoma"/>
            <family val="2"/>
          </rPr>
          <t xml:space="preserve">
See comment in BJ24</t>
        </r>
      </text>
    </comment>
    <comment ref="BJ26" authorId="0" shapeId="0" xr:uid="{00000000-0006-0000-0500-000005000000}">
      <text>
        <r>
          <rPr>
            <b/>
            <sz val="9"/>
            <color indexed="81"/>
            <rFont val="Tahoma"/>
            <family val="2"/>
          </rPr>
          <t>Todd Morse:</t>
        </r>
        <r>
          <rPr>
            <sz val="9"/>
            <color indexed="81"/>
            <rFont val="Tahoma"/>
            <family val="2"/>
          </rPr>
          <t xml:space="preserve">
With the addition of a new grade level at HS and expansion into varsity athletics, we anticipate a greater than proportional increase in athletic fees.  These fees tend to be clumped near the beginnings of athletic seasons and so I added in the anticipated increase into August, November, and February
</t>
        </r>
      </text>
    </comment>
    <comment ref="AO28" authorId="0" shapeId="0" xr:uid="{00000000-0006-0000-0500-000006000000}">
      <text>
        <r>
          <rPr>
            <b/>
            <sz val="9"/>
            <color indexed="81"/>
            <rFont val="Tahoma"/>
            <family val="2"/>
          </rPr>
          <t>Todd Morse:</t>
        </r>
        <r>
          <rPr>
            <sz val="9"/>
            <color indexed="81"/>
            <rFont val="Tahoma"/>
            <family val="2"/>
          </rPr>
          <t xml:space="preserve">
See comment in BI25
</t>
        </r>
      </text>
    </comment>
    <comment ref="BI28" authorId="0" shapeId="0" xr:uid="{00000000-0006-0000-0500-000007000000}">
      <text>
        <r>
          <rPr>
            <b/>
            <sz val="9"/>
            <color indexed="81"/>
            <rFont val="Tahoma"/>
            <family val="2"/>
          </rPr>
          <t>Todd Morse:</t>
        </r>
        <r>
          <rPr>
            <sz val="9"/>
            <color indexed="81"/>
            <rFont val="Tahoma"/>
            <family val="2"/>
          </rPr>
          <t xml:space="preserve">
We were very restrictive on rentals of our new campus in FY18 given so many unknowns around athletics and activities scheduling.  Now that we have some experience with this, we anticipate a 5% increase in rental revenues.
</t>
        </r>
      </text>
    </comment>
    <comment ref="AO29" authorId="0" shapeId="0" xr:uid="{00000000-0006-0000-0500-000008000000}">
      <text>
        <r>
          <rPr>
            <b/>
            <sz val="9"/>
            <color indexed="81"/>
            <rFont val="Tahoma"/>
            <family val="2"/>
          </rPr>
          <t>Todd Morse:</t>
        </r>
        <r>
          <rPr>
            <sz val="9"/>
            <color indexed="81"/>
            <rFont val="Tahoma"/>
            <family val="2"/>
          </rPr>
          <t xml:space="preserve">
See comments on cells BI26 through BT26 for specific sources of funds</t>
        </r>
      </text>
    </comment>
    <comment ref="BI29" authorId="0" shapeId="0" xr:uid="{00000000-0006-0000-0500-000009000000}">
      <text>
        <r>
          <rPr>
            <b/>
            <sz val="9"/>
            <color indexed="81"/>
            <rFont val="Tahoma"/>
            <family val="2"/>
          </rPr>
          <t>Todd Morse:</t>
        </r>
        <r>
          <rPr>
            <sz val="9"/>
            <color indexed="81"/>
            <rFont val="Tahoma"/>
            <family val="2"/>
          </rPr>
          <t xml:space="preserve">
BLRA Foundation support for onboarding 4 new core teaching positions at BLPA ($7200) + outfitting additional classrooms at BLPA ($20,000)</t>
        </r>
      </text>
    </comment>
    <comment ref="BJ29" authorId="0" shapeId="0" xr:uid="{00000000-0006-0000-0500-00000A000000}">
      <text>
        <r>
          <rPr>
            <b/>
            <sz val="9"/>
            <color indexed="81"/>
            <rFont val="Tahoma"/>
            <family val="2"/>
          </rPr>
          <t>Todd Morse:</t>
        </r>
        <r>
          <rPr>
            <sz val="9"/>
            <color indexed="81"/>
            <rFont val="Tahoma"/>
            <family val="2"/>
          </rPr>
          <t xml:space="preserve">
BLRA Foundation support for new curriculum ($60,000)
</t>
        </r>
      </text>
    </comment>
    <comment ref="BL29" authorId="0" shapeId="0" xr:uid="{00000000-0006-0000-0500-00000B000000}">
      <text>
        <r>
          <rPr>
            <b/>
            <sz val="9"/>
            <color indexed="81"/>
            <rFont val="Tahoma"/>
            <family val="2"/>
          </rPr>
          <t>Todd Morse:</t>
        </r>
        <r>
          <rPr>
            <sz val="9"/>
            <color indexed="81"/>
            <rFont val="Tahoma"/>
            <family val="2"/>
          </rPr>
          <t xml:space="preserve">
Oakwood Foundation support for CKH training</t>
        </r>
      </text>
    </comment>
    <comment ref="BQ29" authorId="0" shapeId="0" xr:uid="{00000000-0006-0000-0500-00000C000000}">
      <text>
        <r>
          <rPr>
            <b/>
            <sz val="9"/>
            <color indexed="81"/>
            <rFont val="Tahoma"/>
            <family val="2"/>
          </rPr>
          <t>Todd Morse:</t>
        </r>
        <r>
          <rPr>
            <sz val="9"/>
            <color indexed="81"/>
            <rFont val="Tahoma"/>
            <family val="2"/>
          </rPr>
          <t xml:space="preserve">
FY 19 is for Year 3 (of 3) for Oakwood's owner's rep reimbursement.</t>
        </r>
      </text>
    </comment>
    <comment ref="AO30" authorId="0" shapeId="0" xr:uid="{00000000-0006-0000-0500-00000D000000}">
      <text>
        <r>
          <rPr>
            <b/>
            <sz val="9"/>
            <color indexed="81"/>
            <rFont val="Tahoma"/>
            <family val="2"/>
          </rPr>
          <t>Todd Morse:</t>
        </r>
        <r>
          <rPr>
            <sz val="9"/>
            <color indexed="81"/>
            <rFont val="Tahoma"/>
            <family val="2"/>
          </rPr>
          <t xml:space="preserve">
I made no change to the cell, but felt it important to highlight that this changed significantly</t>
        </r>
      </text>
    </comment>
    <comment ref="AO31" authorId="0" shapeId="0" xr:uid="{00000000-0006-0000-0500-00000E000000}">
      <text>
        <r>
          <rPr>
            <b/>
            <sz val="9"/>
            <color indexed="81"/>
            <rFont val="Tahoma"/>
            <family val="2"/>
          </rPr>
          <t>Todd Morse:</t>
        </r>
        <r>
          <rPr>
            <sz val="9"/>
            <color indexed="81"/>
            <rFont val="Tahoma"/>
            <family val="2"/>
          </rPr>
          <t xml:space="preserve">
We will use $200,980.22 from MLO3B for BLRA renovations and $348,198.79 from MLO3A for 6 new positions at BLPA</t>
        </r>
      </text>
    </comment>
    <comment ref="BI31" authorId="0" shapeId="0" xr:uid="{00000000-0006-0000-0500-00000F000000}">
      <text>
        <r>
          <rPr>
            <b/>
            <sz val="9"/>
            <color indexed="81"/>
            <rFont val="Tahoma"/>
            <family val="2"/>
          </rPr>
          <t>Todd Morse:</t>
        </r>
        <r>
          <rPr>
            <sz val="9"/>
            <color indexed="81"/>
            <rFont val="Tahoma"/>
            <family val="2"/>
          </rPr>
          <t xml:space="preserve">
This derives from MLO 3A ($348,198.79) and MLO 3B ($200,980.22)</t>
        </r>
      </text>
    </comment>
    <comment ref="AO36" authorId="0" shapeId="0" xr:uid="{00000000-0006-0000-0500-000010000000}">
      <text>
        <r>
          <rPr>
            <b/>
            <sz val="9"/>
            <color indexed="81"/>
            <rFont val="Tahoma"/>
            <family val="2"/>
          </rPr>
          <t>Todd Morse:</t>
        </r>
        <r>
          <rPr>
            <sz val="9"/>
            <color indexed="81"/>
            <rFont val="Tahoma"/>
            <family val="2"/>
          </rPr>
          <t xml:space="preserve">
No change to formula, but value changed due to factors outlined in comment on BI33
</t>
        </r>
      </text>
    </comment>
    <comment ref="BI36" authorId="0" shapeId="0" xr:uid="{00000000-0006-0000-0500-000011000000}">
      <text>
        <r>
          <rPr>
            <b/>
            <sz val="9"/>
            <color indexed="81"/>
            <rFont val="Tahoma"/>
            <family val="2"/>
          </rPr>
          <t>Todd Morse:</t>
        </r>
        <r>
          <rPr>
            <sz val="9"/>
            <color indexed="81"/>
            <rFont val="Tahoma"/>
            <family val="2"/>
          </rPr>
          <t xml:space="preserve">
This is definitely the correct strategy to link this with line 507: Capital Construction Facility Rent/Building Lease, but our authorizer has advised us to project the FY18 per FTE amount of $277/FTE for FY19 .  I made the adjustment in line 507 below.</t>
        </r>
      </text>
    </comment>
    <comment ref="AO39" authorId="0" shapeId="0" xr:uid="{00000000-0006-0000-0500-000012000000}">
      <text>
        <r>
          <rPr>
            <b/>
            <sz val="9"/>
            <color indexed="81"/>
            <rFont val="Tahoma"/>
            <family val="2"/>
          </rPr>
          <t>Todd Morse:</t>
        </r>
        <r>
          <rPr>
            <sz val="9"/>
            <color indexed="81"/>
            <rFont val="Tahoma"/>
            <family val="2"/>
          </rPr>
          <t xml:space="preserve">
No change to formula, but value changed due to factors outlined in comment on BI36</t>
        </r>
      </text>
    </comment>
    <comment ref="BI39" authorId="0" shapeId="0" xr:uid="{00000000-0006-0000-0500-000013000000}">
      <text>
        <r>
          <rPr>
            <b/>
            <sz val="9"/>
            <color indexed="81"/>
            <rFont val="Tahoma"/>
            <family val="2"/>
          </rPr>
          <t>Todd Morse:</t>
        </r>
        <r>
          <rPr>
            <sz val="9"/>
            <color indexed="81"/>
            <rFont val="Tahoma"/>
            <family val="2"/>
          </rPr>
          <t xml:space="preserve">
READ Act funds are based on the number of students on READ plans for the preceding year.  Given the significant elementary enrollment increase from FY17 to FY18, our FY19 READ Act funds will be based upon 82 READ plans rather than the FY18 basis of 51  READ plans.  I have changed the multiplier in the formula for BI 36 through BT36 to x(82/51)</t>
        </r>
      </text>
    </comment>
    <comment ref="AO62" authorId="0" shapeId="0" xr:uid="{00000000-0006-0000-0500-000014000000}">
      <text>
        <r>
          <rPr>
            <b/>
            <sz val="9"/>
            <color indexed="81"/>
            <rFont val="Tahoma"/>
            <family val="2"/>
          </rPr>
          <t xml:space="preserve">Todd Morse (3/12/18):
</t>
        </r>
        <r>
          <rPr>
            <sz val="9"/>
            <color indexed="81"/>
            <rFont val="Tahoma"/>
            <family val="2"/>
          </rPr>
          <t>Now that GT teachers have been removed from the "Teaching Assistant" lines (59, 61, 64, 69, 71, and 78), this becomes the best set of account lines to addres instructional aides (Lines 171 - 179 on the FY19 Staffing V1-1 (3) tab).  I have added the instructional aide compensation values to PL - School COA lines 59, 61, 64, 69, 71, and 78</t>
        </r>
        <r>
          <rPr>
            <b/>
            <sz val="9"/>
            <color indexed="81"/>
            <rFont val="Tahoma"/>
            <family val="2"/>
          </rPr>
          <t xml:space="preserve">
Todd Morse (3/9/18):</t>
        </r>
        <r>
          <rPr>
            <sz val="9"/>
            <color indexed="81"/>
            <rFont val="Tahoma"/>
            <family val="2"/>
          </rPr>
          <t xml:space="preserve">
In Colorado, teaching assistants are hourly employees.  We currently do not have any teaching assistants - instead we have instructional aides whose compensation is captured elsewhere in the sheet.  This number includes GT teachers - their compensation should be moved to the specials teacher line below and this line should be 
</t>
        </r>
      </text>
    </comment>
    <comment ref="AO63" authorId="0" shapeId="0" xr:uid="{00000000-0006-0000-0500-000015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BK63" authorId="0" shapeId="0" xr:uid="{00000000-0006-0000-0500-000016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AO65" authorId="0" shapeId="0" xr:uid="{00000000-0006-0000-0500-000017000000}">
      <text>
        <r>
          <rPr>
            <b/>
            <sz val="9"/>
            <color indexed="81"/>
            <rFont val="Tahoma"/>
            <family val="2"/>
          </rPr>
          <t>Todd Morse:</t>
        </r>
        <r>
          <rPr>
            <sz val="9"/>
            <color indexed="81"/>
            <rFont val="Tahoma"/>
            <family val="2"/>
          </rPr>
          <t xml:space="preserve">
No change to formula - see comment on BJ62 for factors impacting change in value</t>
        </r>
      </text>
    </comment>
    <comment ref="BJ65" authorId="0" shapeId="0" xr:uid="{00000000-0006-0000-0500-000018000000}">
      <text>
        <r>
          <rPr>
            <b/>
            <sz val="9"/>
            <color indexed="81"/>
            <rFont val="Tahoma"/>
            <family val="2"/>
          </rPr>
          <t>Todd Morse:</t>
        </r>
        <r>
          <rPr>
            <sz val="9"/>
            <color indexed="81"/>
            <rFont val="Tahoma"/>
            <family val="2"/>
          </rPr>
          <t xml:space="preserve">
We estinmate the total cost of stipends for elementary (to include FICA, Medicare, and 401K contribution to be $17,808.21.  I have a stipends sheet that I would be glad to add as a separate tab</t>
        </r>
      </text>
    </comment>
    <comment ref="AO67" authorId="0" shapeId="0" xr:uid="{00000000-0006-0000-0500-000019000000}">
      <text>
        <r>
          <rPr>
            <b/>
            <sz val="9"/>
            <color indexed="81"/>
            <rFont val="Tahoma"/>
            <family val="2"/>
          </rPr>
          <t>Todd Morse:</t>
        </r>
        <r>
          <rPr>
            <sz val="9"/>
            <color indexed="81"/>
            <rFont val="Tahoma"/>
            <family val="2"/>
          </rPr>
          <t xml:space="preserve">
See comment regatrding teaching assistant on cell AO59</t>
        </r>
      </text>
    </comment>
    <comment ref="AO71" authorId="0" shapeId="0" xr:uid="{00000000-0006-0000-0500-00001A000000}">
      <text>
        <r>
          <rPr>
            <b/>
            <sz val="9"/>
            <color indexed="81"/>
            <rFont val="Tahoma"/>
            <family val="2"/>
          </rPr>
          <t>Todd Morse:</t>
        </r>
        <r>
          <rPr>
            <sz val="9"/>
            <color indexed="81"/>
            <rFont val="Tahoma"/>
            <family val="2"/>
          </rPr>
          <t xml:space="preserve">
No change to formula - see comment on BJ68 for factors impacting change in value</t>
        </r>
      </text>
    </comment>
    <comment ref="BK71" authorId="0" shapeId="0" xr:uid="{00000000-0006-0000-0500-00001B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68, 99, and 127.
</t>
        </r>
      </text>
    </comment>
    <comment ref="AO72" authorId="0" shapeId="0" xr:uid="{00000000-0006-0000-0500-00001C000000}">
      <text>
        <r>
          <rPr>
            <b/>
            <sz val="9"/>
            <color indexed="81"/>
            <rFont val="Tahoma"/>
            <family val="2"/>
          </rPr>
          <t>Todd Morse:</t>
        </r>
        <r>
          <rPr>
            <sz val="9"/>
            <color indexed="81"/>
            <rFont val="Tahoma"/>
            <family val="2"/>
          </rPr>
          <t xml:space="preserve">
See comment regatrding teaching assistant on cell AO59</t>
        </r>
      </text>
    </comment>
    <comment ref="AO74" authorId="0" shapeId="0" xr:uid="{00000000-0006-0000-0500-00001D000000}">
      <text>
        <r>
          <rPr>
            <b/>
            <sz val="9"/>
            <color indexed="81"/>
            <rFont val="Tahoma"/>
            <family val="2"/>
          </rPr>
          <t>Todd Morse:</t>
        </r>
        <r>
          <rPr>
            <sz val="9"/>
            <color indexed="81"/>
            <rFont val="Tahoma"/>
            <family val="2"/>
          </rPr>
          <t xml:space="preserve">
See comment regatrding teaching assistant on cell AO59</t>
        </r>
      </text>
    </comment>
    <comment ref="AO81" authorId="0" shapeId="0" xr:uid="{00000000-0006-0000-0500-00001E000000}">
      <text>
        <r>
          <rPr>
            <b/>
            <sz val="9"/>
            <color indexed="81"/>
            <rFont val="Tahoma"/>
            <family val="2"/>
          </rPr>
          <t>Todd Morse:</t>
        </r>
        <r>
          <rPr>
            <sz val="9"/>
            <color indexed="81"/>
            <rFont val="Tahoma"/>
            <family val="2"/>
          </rPr>
          <t xml:space="preserve">
See comment regatrding teaching assistant on cell AO59</t>
        </r>
      </text>
    </comment>
    <comment ref="AO82" authorId="0" shapeId="0" xr:uid="{00000000-0006-0000-0500-00001F000000}">
      <text>
        <r>
          <rPr>
            <b/>
            <sz val="9"/>
            <color indexed="81"/>
            <rFont val="Tahoma"/>
            <family val="2"/>
          </rPr>
          <t>Todd Morse:</t>
        </r>
        <r>
          <rPr>
            <sz val="9"/>
            <color indexed="81"/>
            <rFont val="Tahoma"/>
            <family val="2"/>
          </rPr>
          <t xml:space="preserve">
No change to formula - see comment on BI80  for factors impacting change in value</t>
        </r>
      </text>
    </comment>
    <comment ref="BI82" authorId="0" shapeId="0" xr:uid="{00000000-0006-0000-0500-000020000000}">
      <text>
        <r>
          <rPr>
            <b/>
            <sz val="9"/>
            <color indexed="81"/>
            <rFont val="Tahoma"/>
            <family val="2"/>
          </rPr>
          <t>Todd Morse:</t>
        </r>
        <r>
          <rPr>
            <sz val="9"/>
            <color indexed="81"/>
            <rFont val="Tahoma"/>
            <family val="2"/>
          </rPr>
          <t xml:space="preserve">
The enrollment growth at elementary from FY18 to FY19 will be negligible.  The majority of the growth will be due to increase grade level sizes at MS/HS and adding 10th grade.  I changed the multiplier to 0.80 as a percentage of the FY18 spending for this category was due to increasing elementary grade level capacity by about 60% from FY17 to FY18 --&gt; we only need to cover new items, consumables and wear&amp;tear.</t>
        </r>
      </text>
    </comment>
    <comment ref="AO83" authorId="0" shapeId="0" xr:uid="{00000000-0006-0000-0500-000021000000}">
      <text>
        <r>
          <rPr>
            <b/>
            <sz val="9"/>
            <color indexed="81"/>
            <rFont val="Tahoma"/>
            <family val="2"/>
          </rPr>
          <t>Todd Morse:</t>
        </r>
        <r>
          <rPr>
            <sz val="9"/>
            <color indexed="81"/>
            <rFont val="Tahoma"/>
            <family val="2"/>
          </rPr>
          <t xml:space="preserve">
No change in formula - see comment inserted on BL80 for factors impacting change in value.</t>
        </r>
      </text>
    </comment>
    <comment ref="BI83" authorId="0" shapeId="0" xr:uid="{00000000-0006-0000-0500-000022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84" authorId="0" shapeId="0" xr:uid="{00000000-0006-0000-0500-000023000000}">
      <text>
        <r>
          <rPr>
            <b/>
            <sz val="9"/>
            <color indexed="81"/>
            <rFont val="Tahoma"/>
            <family val="2"/>
          </rPr>
          <t>Todd Morse:</t>
        </r>
        <r>
          <rPr>
            <sz val="9"/>
            <color indexed="81"/>
            <rFont val="Tahoma"/>
            <family val="2"/>
          </rPr>
          <t xml:space="preserve">
No change in formula - see comment on BI81 for factors impacting change in value</t>
        </r>
      </text>
    </comment>
    <comment ref="BI84" authorId="0" shapeId="0" xr:uid="{00000000-0006-0000-0500-000024000000}">
      <text>
        <r>
          <rPr>
            <b/>
            <sz val="9"/>
            <color indexed="81"/>
            <rFont val="Tahoma"/>
            <family val="2"/>
          </rPr>
          <t>Todd Morse:</t>
        </r>
        <r>
          <rPr>
            <sz val="9"/>
            <color indexed="81"/>
            <rFont val="Tahoma"/>
            <family val="2"/>
          </rPr>
          <t xml:space="preserve">
I linked this back to the Impact Aid revenue line and distributed among ES, MS, and HS by projected student enrollment</t>
        </r>
      </text>
    </comment>
    <comment ref="AO85" authorId="0" shapeId="0" xr:uid="{00000000-0006-0000-0500-000025000000}">
      <text>
        <r>
          <rPr>
            <b/>
            <sz val="9"/>
            <color indexed="81"/>
            <rFont val="Tahoma"/>
            <family val="2"/>
          </rPr>
          <t>Todd Morse:</t>
        </r>
        <r>
          <rPr>
            <sz val="9"/>
            <color indexed="81"/>
            <rFont val="Tahoma"/>
            <family val="2"/>
          </rPr>
          <t xml:space="preserve">
No change to formula - see comment on BI82  for factors impacting change in value</t>
        </r>
      </text>
    </comment>
    <comment ref="BI85" authorId="0" shapeId="0" xr:uid="{00000000-0006-0000-0500-000026000000}">
      <text>
        <r>
          <rPr>
            <b/>
            <sz val="9"/>
            <color indexed="81"/>
            <rFont val="Tahoma"/>
            <family val="2"/>
          </rPr>
          <t>Todd Morse:</t>
        </r>
        <r>
          <rPr>
            <sz val="9"/>
            <color indexed="81"/>
            <rFont val="Tahoma"/>
            <family val="2"/>
          </rPr>
          <t xml:space="preserve">
The enrollment growth at elementary from FY18 to FY19 will be negligible.  The majority of the growth will be due to increase grade level sizes at MS/HS and adding 10th grade.  I changed the multiplier to 0.80 as a percentage of the FY18 spending for this category was due to increasing elementary grade level capacity by about 60% from FY17 to FY18 --&gt; we only need to cover new curriculum, consumables and wear&amp;tear.</t>
        </r>
      </text>
    </comment>
    <comment ref="AO86" authorId="0" shapeId="0" xr:uid="{00000000-0006-0000-0500-000027000000}">
      <text>
        <r>
          <rPr>
            <b/>
            <sz val="9"/>
            <color indexed="81"/>
            <rFont val="Tahoma"/>
            <family val="2"/>
          </rPr>
          <t>Todd Morse:</t>
        </r>
        <r>
          <rPr>
            <sz val="9"/>
            <color indexed="81"/>
            <rFont val="Tahoma"/>
            <family val="2"/>
          </rPr>
          <t xml:space="preserve">
No change to formula - see comment on BI83  for factors impacting change in value</t>
        </r>
      </text>
    </comment>
    <comment ref="BI86" authorId="0" shapeId="0" xr:uid="{00000000-0006-0000-0500-000028000000}">
      <text>
        <r>
          <rPr>
            <b/>
            <sz val="9"/>
            <color indexed="81"/>
            <rFont val="Tahoma"/>
            <family val="2"/>
          </rPr>
          <t>Todd Morse:</t>
        </r>
        <r>
          <rPr>
            <sz val="9"/>
            <color indexed="81"/>
            <rFont val="Tahoma"/>
            <family val="2"/>
          </rPr>
          <t xml:space="preserve">
We do not anticipate any capital outlays for furnishings in FY19 outside of MLO reimbursements captured in lines 549 and 551</t>
        </r>
      </text>
    </comment>
    <comment ref="AO88" authorId="0" shapeId="0" xr:uid="{00000000-0006-0000-0500-000029000000}">
      <text>
        <r>
          <rPr>
            <b/>
            <sz val="9"/>
            <color indexed="81"/>
            <rFont val="Tahoma"/>
            <family val="2"/>
          </rPr>
          <t>Todd Morse:</t>
        </r>
        <r>
          <rPr>
            <sz val="9"/>
            <color indexed="81"/>
            <rFont val="Tahoma"/>
            <family val="2"/>
          </rPr>
          <t xml:space="preserve">
No change to formula - see comment on BI85  for factors impacting change in value</t>
        </r>
      </text>
    </comment>
    <comment ref="BI88" authorId="0" shapeId="0" xr:uid="{00000000-0006-0000-0500-00002A000000}">
      <text>
        <r>
          <rPr>
            <b/>
            <sz val="9"/>
            <color indexed="81"/>
            <rFont val="Tahoma"/>
            <family val="2"/>
          </rPr>
          <t>Todd Morse:</t>
        </r>
        <r>
          <rPr>
            <sz val="9"/>
            <color indexed="81"/>
            <rFont val="Tahoma"/>
            <family val="2"/>
          </rPr>
          <t xml:space="preserve">
We do not anticipate non-capital asset purchases out of MLO funds in FY19</t>
        </r>
      </text>
    </comment>
    <comment ref="AO95" authorId="0" shapeId="0" xr:uid="{00000000-0006-0000-0500-00002B000000}">
      <text>
        <r>
          <rPr>
            <b/>
            <sz val="9"/>
            <color indexed="81"/>
            <rFont val="Tahoma"/>
            <family val="2"/>
          </rPr>
          <t>Todd Morse:</t>
        </r>
        <r>
          <rPr>
            <sz val="9"/>
            <color indexed="81"/>
            <rFont val="Tahoma"/>
            <family val="2"/>
          </rPr>
          <t xml:space="preserve">
Added MS portion to new account line
</t>
        </r>
      </text>
    </comment>
    <comment ref="BK95" authorId="0" shapeId="0" xr:uid="{00000000-0006-0000-0500-00002C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AO96" authorId="1" shapeId="0" xr:uid="{00000000-0006-0000-0500-00002D000000}">
      <text>
        <r>
          <rPr>
            <b/>
            <sz val="9"/>
            <color indexed="81"/>
            <rFont val="Tahoma"/>
            <family val="2"/>
          </rPr>
          <t xml:space="preserve">Todd Morse (3/12/18): </t>
        </r>
        <r>
          <rPr>
            <sz val="9"/>
            <color indexed="81"/>
            <rFont val="Tahoma"/>
            <family val="2"/>
          </rPr>
          <t xml:space="preserve">Thanks Baba - I added the BLPA instructional aide back into lines 93,100,102,108 in version D
</t>
        </r>
        <r>
          <rPr>
            <b/>
            <sz val="9"/>
            <color indexed="81"/>
            <rFont val="Tahoma"/>
            <family val="2"/>
          </rPr>
          <t>Baba Janneh:</t>
        </r>
        <r>
          <rPr>
            <sz val="9"/>
            <color indexed="81"/>
            <rFont val="Tahoma"/>
            <family val="2"/>
          </rPr>
          <t xml:space="preserve">
Previously included an instructional aide</t>
        </r>
      </text>
    </comment>
    <comment ref="BJ97" authorId="0" shapeId="0" xr:uid="{00000000-0006-0000-0500-00002E000000}">
      <text>
        <r>
          <rPr>
            <b/>
            <sz val="9"/>
            <color indexed="81"/>
            <rFont val="Tahoma"/>
            <family val="2"/>
          </rPr>
          <t>Todd Morse:</t>
        </r>
        <r>
          <rPr>
            <sz val="9"/>
            <color indexed="81"/>
            <rFont val="Tahoma"/>
            <family val="2"/>
          </rPr>
          <t xml:space="preserve">
We estinmate the total cost of stipends for BLPA (to include FICA, Medicare, and 401K contribution to be $17,026.66 and 60% is attributable to MS.  I have a stipends sheet that I would be glad to add as a separate tab</t>
        </r>
      </text>
    </comment>
    <comment ref="BK102" authorId="0" shapeId="0" xr:uid="{00000000-0006-0000-0500-00002F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68, 99, 127.</t>
        </r>
      </text>
    </comment>
    <comment ref="AO103" authorId="1" shapeId="0" xr:uid="{00000000-0006-0000-0500-000030000000}">
      <text>
        <r>
          <rPr>
            <b/>
            <sz val="9"/>
            <color indexed="81"/>
            <rFont val="Tahoma"/>
            <family val="2"/>
          </rPr>
          <t>Baba Janneh:</t>
        </r>
        <r>
          <rPr>
            <sz val="9"/>
            <color indexed="81"/>
            <rFont val="Tahoma"/>
            <family val="2"/>
          </rPr>
          <t xml:space="preserve">
Previously included an instructional aide</t>
        </r>
      </text>
    </comment>
    <comment ref="AO105" authorId="1" shapeId="0" xr:uid="{00000000-0006-0000-0500-000031000000}">
      <text>
        <r>
          <rPr>
            <b/>
            <sz val="9"/>
            <color indexed="81"/>
            <rFont val="Tahoma"/>
            <family val="2"/>
          </rPr>
          <t>Baba Janneh:</t>
        </r>
        <r>
          <rPr>
            <sz val="9"/>
            <color indexed="81"/>
            <rFont val="Tahoma"/>
            <family val="2"/>
          </rPr>
          <t xml:space="preserve">
Previously included an instructional aide</t>
        </r>
      </text>
    </comment>
    <comment ref="AO111" authorId="1" shapeId="0" xr:uid="{00000000-0006-0000-0500-000032000000}">
      <text>
        <r>
          <rPr>
            <b/>
            <sz val="9"/>
            <color indexed="81"/>
            <rFont val="Tahoma"/>
            <family val="2"/>
          </rPr>
          <t>Baba Janneh:</t>
        </r>
        <r>
          <rPr>
            <sz val="9"/>
            <color indexed="81"/>
            <rFont val="Tahoma"/>
            <family val="2"/>
          </rPr>
          <t xml:space="preserve">
Previously included an instructional aide</t>
        </r>
      </text>
    </comment>
    <comment ref="AO112" authorId="0" shapeId="0" xr:uid="{00000000-0006-0000-0500-000033000000}">
      <text>
        <r>
          <rPr>
            <b/>
            <sz val="9"/>
            <color indexed="81"/>
            <rFont val="Tahoma"/>
            <family val="2"/>
          </rPr>
          <t>Todd Morse:</t>
        </r>
        <r>
          <rPr>
            <sz val="9"/>
            <color indexed="81"/>
            <rFont val="Tahoma"/>
            <family val="2"/>
          </rPr>
          <t xml:space="preserve">
No change to formula - see comment on BI109  for factors impacting change in value</t>
        </r>
      </text>
    </comment>
    <comment ref="BI112" authorId="0" shapeId="0" xr:uid="{00000000-0006-0000-0500-000034000000}">
      <text>
        <r>
          <rPr>
            <b/>
            <sz val="9"/>
            <color indexed="81"/>
            <rFont val="Tahoma"/>
            <family val="2"/>
          </rPr>
          <t>Todd Morse:</t>
        </r>
        <r>
          <rPr>
            <sz val="9"/>
            <color indexed="81"/>
            <rFont val="Tahoma"/>
            <family val="2"/>
          </rPr>
          <t xml:space="preserve">
While enrollment at MS will increase, much of the impact on supplies was addressed with purchases made in FY18 and so  we only need to cover consumables and wear&amp;tear in FY19 --&gt;I changed the multiplier to 0.80 as a percentage of the FY18 spending</t>
        </r>
      </text>
    </comment>
    <comment ref="AO113" authorId="0" shapeId="0" xr:uid="{00000000-0006-0000-0500-000035000000}">
      <text>
        <r>
          <rPr>
            <b/>
            <sz val="9"/>
            <color indexed="81"/>
            <rFont val="Tahoma"/>
            <family val="2"/>
          </rPr>
          <t>Todd Morse:</t>
        </r>
        <r>
          <rPr>
            <sz val="9"/>
            <color indexed="81"/>
            <rFont val="Tahoma"/>
            <family val="2"/>
          </rPr>
          <t xml:space="preserve">
No change in formula - see comment inserted on BL110 for factors impacting change in value.</t>
        </r>
      </text>
    </comment>
    <comment ref="BI113" authorId="0" shapeId="0" xr:uid="{00000000-0006-0000-0500-000036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14" authorId="0" shapeId="0" xr:uid="{00000000-0006-0000-0500-000037000000}">
      <text>
        <r>
          <rPr>
            <b/>
            <sz val="9"/>
            <color indexed="81"/>
            <rFont val="Tahoma"/>
            <family val="2"/>
          </rPr>
          <t>Todd Morse:</t>
        </r>
        <r>
          <rPr>
            <sz val="9"/>
            <color indexed="81"/>
            <rFont val="Tahoma"/>
            <family val="2"/>
          </rPr>
          <t xml:space="preserve">
No change in formula - see comment on BI111 for factors impacting change in value</t>
        </r>
      </text>
    </comment>
    <comment ref="BI114" authorId="0" shapeId="0" xr:uid="{00000000-0006-0000-0500-000038000000}">
      <text>
        <r>
          <rPr>
            <b/>
            <sz val="9"/>
            <color indexed="81"/>
            <rFont val="Tahoma"/>
            <family val="2"/>
          </rPr>
          <t>Todd Morse:</t>
        </r>
        <r>
          <rPr>
            <sz val="9"/>
            <color indexed="81"/>
            <rFont val="Tahoma"/>
            <family val="2"/>
          </rPr>
          <t xml:space="preserve">
I linked this back to the Impact Aid revenue line and distributed among ES, MS, and HS by projected student enrollment</t>
        </r>
      </text>
    </comment>
    <comment ref="AO115" authorId="0" shapeId="0" xr:uid="{00000000-0006-0000-0500-000039000000}">
      <text>
        <r>
          <rPr>
            <b/>
            <sz val="9"/>
            <color indexed="81"/>
            <rFont val="Tahoma"/>
            <family val="2"/>
          </rPr>
          <t>Todd Morse:</t>
        </r>
        <r>
          <rPr>
            <sz val="9"/>
            <color indexed="81"/>
            <rFont val="Tahoma"/>
            <family val="2"/>
          </rPr>
          <t xml:space="preserve">
No change in formula - see comment on BI112 for factors impacting change in value</t>
        </r>
      </text>
    </comment>
    <comment ref="BI115" authorId="0" shapeId="0" xr:uid="{00000000-0006-0000-0500-00003A000000}">
      <text>
        <r>
          <rPr>
            <b/>
            <sz val="9"/>
            <color indexed="81"/>
            <rFont val="Tahoma"/>
            <family val="2"/>
          </rPr>
          <t>Todd Morse:</t>
        </r>
        <r>
          <rPr>
            <sz val="9"/>
            <color indexed="81"/>
            <rFont val="Tahoma"/>
            <family val="2"/>
          </rPr>
          <t xml:space="preserve">
While enrollment at MS will increase, much of the impact on textbooks was addressed with purchases made in FY18 and so  we only need to cover consumables and wear&amp;tear in FY19 --&gt;I changed the multiplier to 0.80 as a percentage of the FY18 spending</t>
        </r>
      </text>
    </comment>
    <comment ref="AP125" authorId="0" shapeId="0" xr:uid="{00000000-0006-0000-0500-00003B000000}">
      <text>
        <r>
          <rPr>
            <b/>
            <sz val="9"/>
            <color indexed="81"/>
            <rFont val="Tahoma"/>
            <family val="2"/>
          </rPr>
          <t>Todd Morse:</t>
        </r>
        <r>
          <rPr>
            <sz val="9"/>
            <color indexed="81"/>
            <rFont val="Tahoma"/>
            <family val="2"/>
          </rPr>
          <t xml:space="preserve">
Added HS amount to newly added account line</t>
        </r>
      </text>
    </comment>
    <comment ref="BK125" authorId="0" shapeId="0" xr:uid="{00000000-0006-0000-0500-00003C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60, 92, and 122.</t>
        </r>
      </text>
    </comment>
    <comment ref="BJ126" authorId="0" shapeId="0" xr:uid="{00000000-0006-0000-0500-00003D000000}">
      <text>
        <r>
          <rPr>
            <b/>
            <sz val="9"/>
            <color indexed="81"/>
            <rFont val="Tahoma"/>
            <family val="2"/>
          </rPr>
          <t>Todd Morse:</t>
        </r>
        <r>
          <rPr>
            <sz val="9"/>
            <color indexed="81"/>
            <rFont val="Tahoma"/>
            <family val="2"/>
          </rPr>
          <t xml:space="preserve">
We estinmate the total cost of stipends for BLPA (to include FICA, Medicare, and 401K contribution to be $17,026.66 and 40% is attributable to HS.  I have a stipends sheet that I would be glad to add as a separate tab</t>
        </r>
      </text>
    </comment>
    <comment ref="BK130" authorId="0" shapeId="0" xr:uid="{00000000-0006-0000-0500-00003E000000}">
      <text>
        <r>
          <rPr>
            <b/>
            <sz val="9"/>
            <color indexed="81"/>
            <rFont val="Tahoma"/>
            <family val="2"/>
          </rPr>
          <t>Todd Morse:</t>
        </r>
        <r>
          <rPr>
            <sz val="9"/>
            <color indexed="81"/>
            <rFont val="Tahoma"/>
            <family val="2"/>
          </rPr>
          <t xml:space="preserve">
Now that we have added substitute compensation lines to MS and HS below, this should be distributed between the three levels.  Additionally, the compensation for unused vacation days needs to be addressed in this line.  I have adjusted the amount on the FY19 Staffing V1-1  sheet and then have adjusted the formulae on lines 68, 99, 127.</t>
        </r>
      </text>
    </comment>
    <comment ref="AO137" authorId="0" shapeId="0" xr:uid="{00000000-0006-0000-0500-00003F000000}">
      <text>
        <r>
          <rPr>
            <b/>
            <sz val="9"/>
            <color indexed="81"/>
            <rFont val="Tahoma"/>
            <family val="2"/>
          </rPr>
          <t>Todd Morse:</t>
        </r>
        <r>
          <rPr>
            <sz val="9"/>
            <color indexed="81"/>
            <rFont val="Tahoma"/>
            <family val="2"/>
          </rPr>
          <t xml:space="preserve">
No change to formula - see comment on BI109  for factors impacting change in value</t>
        </r>
      </text>
    </comment>
    <comment ref="BI137" authorId="0" shapeId="0" xr:uid="{00000000-0006-0000-0500-000040000000}">
      <text>
        <r>
          <rPr>
            <b/>
            <sz val="9"/>
            <color indexed="81"/>
            <rFont val="Tahoma"/>
            <family val="2"/>
          </rPr>
          <t>Todd Morse:</t>
        </r>
        <r>
          <rPr>
            <sz val="9"/>
            <color indexed="81"/>
            <rFont val="Tahoma"/>
            <family val="2"/>
          </rPr>
          <t xml:space="preserve">
The Textbooks &amp; Periodicals account line is new for FY19.  General fund textbook purchases were attributed to Supplies - Instructional (High School) in FY18.  I inflated the FY18 value by 12% and them moved $40,000 to Textbooks &amp; Periodicals</t>
        </r>
      </text>
    </comment>
    <comment ref="AO138" authorId="0" shapeId="0" xr:uid="{00000000-0006-0000-0500-000041000000}">
      <text>
        <r>
          <rPr>
            <b/>
            <sz val="9"/>
            <color indexed="81"/>
            <rFont val="Tahoma"/>
            <family val="2"/>
          </rPr>
          <t>Todd Morse:</t>
        </r>
        <r>
          <rPr>
            <sz val="9"/>
            <color indexed="81"/>
            <rFont val="Tahoma"/>
            <family val="2"/>
          </rPr>
          <t xml:space="preserve">
No change in formula - see comment inserted on BL110 for factors impacting change in value.</t>
        </r>
      </text>
    </comment>
    <comment ref="BI138" authorId="0" shapeId="0" xr:uid="{00000000-0006-0000-0500-000042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39" authorId="0" shapeId="0" xr:uid="{00000000-0006-0000-0500-000043000000}">
      <text>
        <r>
          <rPr>
            <b/>
            <sz val="9"/>
            <color indexed="81"/>
            <rFont val="Tahoma"/>
            <family val="2"/>
          </rPr>
          <t>Todd Morse:</t>
        </r>
        <r>
          <rPr>
            <sz val="9"/>
            <color indexed="81"/>
            <rFont val="Tahoma"/>
            <family val="2"/>
          </rPr>
          <t xml:space="preserve">
No change in formula - see comment on BI111 for factors impacting change in value</t>
        </r>
      </text>
    </comment>
    <comment ref="BI139" authorId="0" shapeId="0" xr:uid="{00000000-0006-0000-0500-000044000000}">
      <text>
        <r>
          <rPr>
            <b/>
            <sz val="9"/>
            <color indexed="81"/>
            <rFont val="Tahoma"/>
            <family val="2"/>
          </rPr>
          <t>Todd Morse:</t>
        </r>
        <r>
          <rPr>
            <sz val="9"/>
            <color indexed="81"/>
            <rFont val="Tahoma"/>
            <family val="2"/>
          </rPr>
          <t xml:space="preserve">
I linked this back to the Impact Aid revenue line and distributed among ES, MS, and HS by projected student enrollment</t>
        </r>
      </text>
    </comment>
    <comment ref="AO140" authorId="0" shapeId="0" xr:uid="{00000000-0006-0000-0500-000045000000}">
      <text>
        <r>
          <rPr>
            <b/>
            <sz val="9"/>
            <color indexed="81"/>
            <rFont val="Tahoma"/>
            <family val="2"/>
          </rPr>
          <t>Todd Morse:</t>
        </r>
        <r>
          <rPr>
            <sz val="9"/>
            <color indexed="81"/>
            <rFont val="Tahoma"/>
            <family val="2"/>
          </rPr>
          <t xml:space="preserve">
No change in formula - see comment on BI37 for factors impacting change in value</t>
        </r>
      </text>
    </comment>
    <comment ref="BI140" authorId="0" shapeId="0" xr:uid="{00000000-0006-0000-0500-000046000000}">
      <text>
        <r>
          <rPr>
            <b/>
            <sz val="9"/>
            <color indexed="81"/>
            <rFont val="Tahoma"/>
            <family val="2"/>
          </rPr>
          <t>Todd Morse:</t>
        </r>
        <r>
          <rPr>
            <sz val="9"/>
            <color indexed="81"/>
            <rFont val="Tahoma"/>
            <family val="2"/>
          </rPr>
          <t xml:space="preserve">
This is a new account line for FY19 - general fund textbook purchases were attributed to Supplies - Instructional (High School) in F18.  We project a need for $40,000 in textbook purchases in FY19
</t>
        </r>
      </text>
    </comment>
    <comment ref="BI141" authorId="0" shapeId="0" xr:uid="{00000000-0006-0000-0500-000047000000}">
      <text>
        <r>
          <rPr>
            <b/>
            <sz val="9"/>
            <color indexed="81"/>
            <rFont val="Tahoma"/>
            <family val="2"/>
          </rPr>
          <t>Todd Morse:</t>
        </r>
        <r>
          <rPr>
            <sz val="9"/>
            <color indexed="81"/>
            <rFont val="Tahoma"/>
            <family val="2"/>
          </rPr>
          <t xml:space="preserve">
We anticipate the costs of on-boarding currently unused classroms to be $20,000 for FY19
</t>
        </r>
      </text>
    </comment>
    <comment ref="AO147" authorId="0" shapeId="0" xr:uid="{00000000-0006-0000-0500-000048000000}">
      <text>
        <r>
          <rPr>
            <b/>
            <sz val="9"/>
            <color indexed="81"/>
            <rFont val="Tahoma"/>
            <family val="2"/>
          </rPr>
          <t>Todd Morse:</t>
        </r>
        <r>
          <rPr>
            <sz val="9"/>
            <color indexed="81"/>
            <rFont val="Tahoma"/>
            <family val="2"/>
          </rPr>
          <t xml:space="preserve">
See earlier comment in Elementary Teacher Assistants regarding GT Teachers.  Could we move GT teacher compensation out of Teacher Aide lines and into Teachers - Specials lines?
*UPDATED: Added one GT Teacher to BLRA</t>
        </r>
      </text>
    </comment>
    <comment ref="BJ147" authorId="0" shapeId="0" xr:uid="{00000000-0006-0000-0500-000049000000}">
      <text>
        <r>
          <rPr>
            <b/>
            <sz val="9"/>
            <color indexed="81"/>
            <rFont val="Tahoma"/>
            <family val="2"/>
          </rPr>
          <t>Todd Morse:</t>
        </r>
        <r>
          <rPr>
            <sz val="9"/>
            <color indexed="81"/>
            <rFont val="Tahoma"/>
            <family val="2"/>
          </rPr>
          <t>See earlier comment in Elementary Teacher Assistants regarding GT Teachers.  Could we move GT teacher compensation out of Teacher Aide lines and into Teachers - Specials lines?</t>
        </r>
      </text>
    </comment>
    <comment ref="AO148" authorId="1" shapeId="0" xr:uid="{00000000-0006-0000-0500-00004A000000}">
      <text>
        <r>
          <rPr>
            <b/>
            <sz val="9"/>
            <color indexed="81"/>
            <rFont val="Tahoma"/>
            <family val="2"/>
          </rPr>
          <t xml:space="preserve">Todd Morse (3/12/18): </t>
        </r>
        <r>
          <rPr>
            <sz val="9"/>
            <color indexed="81"/>
            <rFont val="Tahoma"/>
            <family val="2"/>
          </rPr>
          <t>It looks like you only captured the compensation for the GT teacher in the first month - I filled right in BJ145 through BT145</t>
        </r>
        <r>
          <rPr>
            <b/>
            <sz val="9"/>
            <color indexed="81"/>
            <rFont val="Tahoma"/>
            <family val="2"/>
          </rPr>
          <t xml:space="preserve">
Baba Janneh:</t>
        </r>
        <r>
          <rPr>
            <sz val="9"/>
            <color indexed="81"/>
            <rFont val="Tahoma"/>
            <family val="2"/>
          </rPr>
          <t xml:space="preserve">
Added one GT Teacher to BLPA</t>
        </r>
      </text>
    </comment>
    <comment ref="AO170" authorId="0" shapeId="0" xr:uid="{00000000-0006-0000-0500-00004B000000}">
      <text>
        <r>
          <rPr>
            <b/>
            <sz val="9"/>
            <color indexed="81"/>
            <rFont val="Tahoma"/>
            <family val="2"/>
          </rPr>
          <t>Todd Morse:</t>
        </r>
        <r>
          <rPr>
            <sz val="9"/>
            <color indexed="81"/>
            <rFont val="Tahoma"/>
            <family val="2"/>
          </rPr>
          <t xml:space="preserve">
No change in formula - see comment inserted on BL168 for factors impacting change in value.</t>
        </r>
      </text>
    </comment>
    <comment ref="BI170" authorId="0" shapeId="0" xr:uid="{00000000-0006-0000-0500-00004C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80" authorId="0" shapeId="0" xr:uid="{00000000-0006-0000-0500-00004D000000}">
      <text>
        <r>
          <rPr>
            <b/>
            <sz val="9"/>
            <color indexed="81"/>
            <rFont val="Tahoma"/>
            <family val="2"/>
          </rPr>
          <t>Todd Morse:</t>
        </r>
        <r>
          <rPr>
            <sz val="9"/>
            <color indexed="81"/>
            <rFont val="Tahoma"/>
            <family val="2"/>
          </rPr>
          <t xml:space="preserve">
No change in formula - see comment inserted on BL177 for factors impacting change in value.</t>
        </r>
      </text>
    </comment>
    <comment ref="BI180" authorId="0" shapeId="0" xr:uid="{00000000-0006-0000-0500-00004E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85" authorId="0" shapeId="0" xr:uid="{00000000-0006-0000-0500-00004F000000}">
      <text>
        <r>
          <rPr>
            <b/>
            <sz val="9"/>
            <color indexed="81"/>
            <rFont val="Tahoma"/>
            <family val="2"/>
          </rPr>
          <t>Todd Morse:</t>
        </r>
        <r>
          <rPr>
            <sz val="9"/>
            <color indexed="81"/>
            <rFont val="Tahoma"/>
            <family val="2"/>
          </rPr>
          <t xml:space="preserve">
No change in formula - see comment inserted on BL182 for factors impacting change in value.</t>
        </r>
      </text>
    </comment>
    <comment ref="BI185" authorId="0" shapeId="0" xr:uid="{00000000-0006-0000-0500-000050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191" authorId="0" shapeId="0" xr:uid="{00000000-0006-0000-0500-000051000000}">
      <text>
        <r>
          <rPr>
            <b/>
            <sz val="9"/>
            <color indexed="81"/>
            <rFont val="Tahoma"/>
            <family val="2"/>
          </rPr>
          <t>Todd Morse:</t>
        </r>
        <r>
          <rPr>
            <sz val="9"/>
            <color indexed="81"/>
            <rFont val="Tahoma"/>
            <family val="2"/>
          </rPr>
          <t xml:space="preserve">
No change in formula - see comment inserted on BL188 for factors impacting change in value.</t>
        </r>
      </text>
    </comment>
    <comment ref="BI191" authorId="0" shapeId="0" xr:uid="{00000000-0006-0000-0500-000052000000}">
      <text>
        <r>
          <rPr>
            <b/>
            <sz val="9"/>
            <color indexed="81"/>
            <rFont val="Tahoma"/>
            <family val="2"/>
          </rPr>
          <t>Todd Morse:</t>
        </r>
        <r>
          <rPr>
            <sz val="9"/>
            <color indexed="81"/>
            <rFont val="Tahoma"/>
            <family val="2"/>
          </rPr>
          <t xml:space="preserve">
We are using MLO A reimbursements for compensation for new positions in FY19 --&gt; I added a x 0 multiplier
</t>
        </r>
      </text>
    </comment>
    <comment ref="AO236" authorId="0" shapeId="0" xr:uid="{00000000-0006-0000-0500-000053000000}">
      <text>
        <r>
          <rPr>
            <b/>
            <sz val="9"/>
            <color indexed="81"/>
            <rFont val="Tahoma"/>
            <family val="2"/>
          </rPr>
          <t>Todd Morse:</t>
        </r>
        <r>
          <rPr>
            <sz val="9"/>
            <color indexed="81"/>
            <rFont val="Tahoma"/>
            <family val="2"/>
          </rPr>
          <t xml:space="preserve">
No formula changes were made in AO233 through AO237.  Refer to the comments on BI 233-237 for factors impacting the changes in value</t>
        </r>
      </text>
    </comment>
    <comment ref="BI236" authorId="0" shapeId="0" xr:uid="{00000000-0006-0000-0500-000054000000}">
      <text>
        <r>
          <rPr>
            <b/>
            <sz val="9"/>
            <color indexed="81"/>
            <rFont val="Tahoma"/>
            <family val="2"/>
          </rPr>
          <t>Todd Morse:</t>
        </r>
        <r>
          <rPr>
            <sz val="9"/>
            <color indexed="81"/>
            <rFont val="Tahoma"/>
            <family val="2"/>
          </rPr>
          <t xml:space="preserve">
We anticipate this increasing by 50% in FY19 due to adding varsity athletics</t>
        </r>
      </text>
    </comment>
    <comment ref="BI237" authorId="0" shapeId="0" xr:uid="{00000000-0006-0000-0500-000055000000}">
      <text>
        <r>
          <rPr>
            <b/>
            <sz val="9"/>
            <color indexed="81"/>
            <rFont val="Tahoma"/>
            <family val="2"/>
          </rPr>
          <t>Todd Morse:</t>
        </r>
        <r>
          <rPr>
            <sz val="9"/>
            <color indexed="81"/>
            <rFont val="Tahoma"/>
            <family val="2"/>
          </rPr>
          <t xml:space="preserve">
We addressed the increased elementary grade level sizes in FY18 and so we can scale this back for FY 19</t>
        </r>
      </text>
    </comment>
    <comment ref="BI238" authorId="0" shapeId="0" xr:uid="{00000000-0006-0000-0500-000056000000}">
      <text>
        <r>
          <rPr>
            <b/>
            <sz val="9"/>
            <color indexed="81"/>
            <rFont val="Tahoma"/>
            <family val="2"/>
          </rPr>
          <t>Todd Morse:</t>
        </r>
        <r>
          <rPr>
            <sz val="9"/>
            <color indexed="81"/>
            <rFont val="Tahoma"/>
            <family val="2"/>
          </rPr>
          <t xml:space="preserve">
While we continue to need to build our capacity with PE equipment at BLPA, we do not need to increase the allocation for FY19</t>
        </r>
      </text>
    </comment>
    <comment ref="BI239" authorId="0" shapeId="0" xr:uid="{00000000-0006-0000-0500-000057000000}">
      <text>
        <r>
          <rPr>
            <b/>
            <sz val="9"/>
            <color indexed="81"/>
            <rFont val="Tahoma"/>
            <family val="2"/>
          </rPr>
          <t xml:space="preserve">Todd Morse 3/9/18:
</t>
        </r>
        <r>
          <rPr>
            <sz val="9"/>
            <color indexed="81"/>
            <rFont val="Tahoma"/>
            <family val="2"/>
          </rPr>
          <t xml:space="preserve">We added $12,000 to cover purchase of new MS athletic uniforms - moving forward we will plan on a four-year rotation
</t>
        </r>
        <r>
          <rPr>
            <b/>
            <sz val="9"/>
            <color indexed="81"/>
            <rFont val="Tahoma"/>
            <family val="2"/>
          </rPr>
          <t xml:space="preserve">
Todd Morse 3/9/18:</t>
        </r>
        <r>
          <rPr>
            <sz val="9"/>
            <color indexed="81"/>
            <rFont val="Tahoma"/>
            <family val="2"/>
          </rPr>
          <t xml:space="preserve">
With on-boarding varsity athletics in some sports in FY19, we have some specific expenditures that need to be addressed.</t>
        </r>
      </text>
    </comment>
    <comment ref="BI240" authorId="0" shapeId="0" xr:uid="{00000000-0006-0000-0500-000058000000}">
      <text>
        <r>
          <rPr>
            <b/>
            <sz val="9"/>
            <color indexed="81"/>
            <rFont val="Tahoma"/>
            <family val="2"/>
          </rPr>
          <t>Todd Morse:</t>
        </r>
        <r>
          <rPr>
            <sz val="9"/>
            <color indexed="81"/>
            <rFont val="Tahoma"/>
            <family val="2"/>
          </rPr>
          <t xml:space="preserve">
We currently do not run a team sports program in K-5 and so we are not allocating funds to this line </t>
        </r>
      </text>
    </comment>
    <comment ref="AO328" authorId="0" shapeId="0" xr:uid="{00000000-0006-0000-0500-000059000000}">
      <text>
        <r>
          <rPr>
            <b/>
            <sz val="9"/>
            <color indexed="81"/>
            <rFont val="Tahoma"/>
            <family val="2"/>
          </rPr>
          <t>Todd Morse:</t>
        </r>
        <r>
          <rPr>
            <sz val="9"/>
            <color indexed="81"/>
            <rFont val="Tahoma"/>
            <family val="2"/>
          </rPr>
          <t xml:space="preserve">
No change in formula - see comments on BI326 for factors impacting the change in value</t>
        </r>
      </text>
    </comment>
    <comment ref="BI328" authorId="0" shapeId="0" xr:uid="{00000000-0006-0000-0500-00005A000000}">
      <text>
        <r>
          <rPr>
            <b/>
            <sz val="9"/>
            <color indexed="81"/>
            <rFont val="Tahoma"/>
            <family val="2"/>
          </rPr>
          <t>Todd Morse:</t>
        </r>
        <r>
          <rPr>
            <sz val="9"/>
            <color indexed="81"/>
            <rFont val="Tahoma"/>
            <family val="2"/>
          </rPr>
          <t xml:space="preserve">
Much of the FY18 allocation increase was due to initial health room set-up needs.  This can be scaled back to refresh and replace levels for FY19
</t>
        </r>
      </text>
    </comment>
    <comment ref="AO355" authorId="0" shapeId="0" xr:uid="{00000000-0006-0000-0500-00005B000000}">
      <text>
        <r>
          <rPr>
            <b/>
            <sz val="9"/>
            <color indexed="81"/>
            <rFont val="Tahoma"/>
            <family val="2"/>
          </rPr>
          <t>Todd Morse:</t>
        </r>
        <r>
          <rPr>
            <sz val="9"/>
            <color indexed="81"/>
            <rFont val="Tahoma"/>
            <family val="2"/>
          </rPr>
          <t xml:space="preserve">
No change in formula - see comments on BI352 for factors impacting the change in value</t>
        </r>
      </text>
    </comment>
    <comment ref="BI355" authorId="0" shapeId="0" xr:uid="{00000000-0006-0000-0500-00005C000000}">
      <text>
        <r>
          <rPr>
            <b/>
            <sz val="9"/>
            <color indexed="81"/>
            <rFont val="Tahoma"/>
            <family val="2"/>
          </rPr>
          <t>Todd Morse:</t>
        </r>
        <r>
          <rPr>
            <sz val="9"/>
            <color indexed="81"/>
            <rFont val="Tahoma"/>
            <family val="2"/>
          </rPr>
          <t xml:space="preserve">
We are not hiring as many new staff in FY19 and so the training for new staff will be decreased (e.g. Capturing Kids Hearts)</t>
        </r>
      </text>
    </comment>
    <comment ref="AO356" authorId="0" shapeId="0" xr:uid="{00000000-0006-0000-0500-00005D000000}">
      <text>
        <r>
          <rPr>
            <b/>
            <sz val="9"/>
            <color indexed="81"/>
            <rFont val="Tahoma"/>
            <family val="2"/>
          </rPr>
          <t>Todd Morse:</t>
        </r>
        <r>
          <rPr>
            <sz val="9"/>
            <color indexed="81"/>
            <rFont val="Tahoma"/>
            <family val="2"/>
          </rPr>
          <t xml:space="preserve">
No change in formula - see comments on BI3523 for factors impacting the change in value</t>
        </r>
      </text>
    </comment>
    <comment ref="BI356" authorId="0" shapeId="0" xr:uid="{00000000-0006-0000-0500-00005E000000}">
      <text>
        <r>
          <rPr>
            <b/>
            <sz val="9"/>
            <color indexed="81"/>
            <rFont val="Tahoma"/>
            <family val="2"/>
          </rPr>
          <t>Todd Morse</t>
        </r>
        <r>
          <rPr>
            <sz val="9"/>
            <color indexed="81"/>
            <rFont val="Tahoma"/>
            <family val="2"/>
          </rPr>
          <t>I believe that the calculation should be based upon the FY18 total allocation of $12860 with inflation and then split between ES and MS/HS --&gt; the 60-40 split multipliers added to the formula in lines 353 and 354.</t>
        </r>
      </text>
    </comment>
    <comment ref="AO357" authorId="0" shapeId="0" xr:uid="{00000000-0006-0000-0500-00005F000000}">
      <text>
        <r>
          <rPr>
            <b/>
            <sz val="9"/>
            <color indexed="81"/>
            <rFont val="Tahoma"/>
            <family val="2"/>
          </rPr>
          <t>Todd Morse:</t>
        </r>
        <r>
          <rPr>
            <sz val="9"/>
            <color indexed="81"/>
            <rFont val="Tahoma"/>
            <family val="2"/>
          </rPr>
          <t xml:space="preserve">
No change in formula - see comments on BI3523 for factors impacting the change in value</t>
        </r>
      </text>
    </comment>
    <comment ref="AO512" authorId="0" shapeId="0" xr:uid="{00000000-0006-0000-0500-000060000000}">
      <text>
        <r>
          <rPr>
            <b/>
            <sz val="9"/>
            <color indexed="81"/>
            <rFont val="Tahoma"/>
            <family val="2"/>
          </rPr>
          <t>Todd Morse:</t>
        </r>
        <r>
          <rPr>
            <sz val="9"/>
            <color indexed="81"/>
            <rFont val="Tahoma"/>
            <family val="2"/>
          </rPr>
          <t xml:space="preserve">
see comment inserted on BI506</t>
        </r>
      </text>
    </comment>
    <comment ref="BI512" authorId="0" shapeId="0" xr:uid="{00000000-0006-0000-0500-000061000000}">
      <text>
        <r>
          <rPr>
            <b/>
            <sz val="9"/>
            <color indexed="81"/>
            <rFont val="Tahoma"/>
            <family val="2"/>
          </rPr>
          <t>Todd Morse:</t>
        </r>
        <r>
          <rPr>
            <sz val="9"/>
            <color indexed="81"/>
            <rFont val="Tahoma"/>
            <family val="2"/>
          </rPr>
          <t xml:space="preserve">
The finalized debt service schedule calls for total debt service to be $1,763,199.50 in FY19.  I adjusted the formula to draw from cell AO641 and then subtract out the contribution from the state capital construction fund contribution on line 507</t>
        </r>
      </text>
    </comment>
    <comment ref="AO513" authorId="0" shapeId="0" xr:uid="{00000000-0006-0000-0500-000062000000}">
      <text>
        <r>
          <rPr>
            <b/>
            <sz val="9"/>
            <color indexed="81"/>
            <rFont val="Tahoma"/>
            <family val="2"/>
          </rPr>
          <t>Todd Morse:</t>
        </r>
        <r>
          <rPr>
            <sz val="9"/>
            <color indexed="81"/>
            <rFont val="Tahoma"/>
            <family val="2"/>
          </rPr>
          <t xml:space="preserve">
see comment inserted on BI507</t>
        </r>
      </text>
    </comment>
    <comment ref="BI513" authorId="0" shapeId="0" xr:uid="{00000000-0006-0000-0500-000063000000}">
      <text>
        <r>
          <rPr>
            <b/>
            <sz val="9"/>
            <color indexed="81"/>
            <rFont val="Tahoma"/>
            <family val="2"/>
          </rPr>
          <t xml:space="preserve">Todd Morse (3/12/18):
</t>
        </r>
        <r>
          <rPr>
            <sz val="9"/>
            <color indexed="81"/>
            <rFont val="Tahoma"/>
            <family val="2"/>
          </rPr>
          <t>Our authorizer has clarified that it is the amount per FTE that is remaining constant at $277 --&gt; I updated the formula to multiply $277 by the FTE (1320 as of 3/12/18).</t>
        </r>
        <r>
          <rPr>
            <b/>
            <sz val="9"/>
            <color indexed="81"/>
            <rFont val="Tahoma"/>
            <family val="2"/>
          </rPr>
          <t xml:space="preserve">
Todd Morse (3/9/18):</t>
        </r>
        <r>
          <rPr>
            <sz val="9"/>
            <color indexed="81"/>
            <rFont val="Tahoma"/>
            <family val="2"/>
          </rPr>
          <t xml:space="preserve">
Our authorizer has recommended that we use the FY18 value for state capital construction fund for the FY19 value.  I removed the 3% inflation rate from the formula in BI507 through BT507
</t>
        </r>
      </text>
    </comment>
    <comment ref="B514" authorId="2" shapeId="0" xr:uid="{00000000-0006-0000-0500-000064000000}">
      <text>
        <r>
          <rPr>
            <b/>
            <sz val="9"/>
            <color indexed="81"/>
            <rFont val="Tahoma"/>
            <family val="2"/>
          </rPr>
          <t>mark walker:</t>
        </r>
        <r>
          <rPr>
            <sz val="9"/>
            <color indexed="81"/>
            <rFont val="Tahoma"/>
            <family val="2"/>
          </rPr>
          <t xml:space="preserve">
copier
phones
postage machine</t>
        </r>
      </text>
    </comment>
    <comment ref="AO529" authorId="0" shapeId="0" xr:uid="{00000000-0006-0000-0500-000065000000}">
      <text>
        <r>
          <rPr>
            <b/>
            <sz val="9"/>
            <color indexed="81"/>
            <rFont val="Tahoma"/>
            <family val="2"/>
          </rPr>
          <t>Todd Morse:</t>
        </r>
        <r>
          <rPr>
            <sz val="9"/>
            <color indexed="81"/>
            <rFont val="Tahoma"/>
            <family val="2"/>
          </rPr>
          <t xml:space="preserve">
see comment inserted on BI522</t>
        </r>
      </text>
    </comment>
    <comment ref="BI529" authorId="0" shapeId="0" xr:uid="{00000000-0006-0000-0500-000066000000}">
      <text>
        <r>
          <rPr>
            <b/>
            <sz val="9"/>
            <color indexed="81"/>
            <rFont val="Tahoma"/>
            <family val="2"/>
          </rPr>
          <t>Todd Morse:</t>
        </r>
        <r>
          <rPr>
            <sz val="9"/>
            <color indexed="81"/>
            <rFont val="Tahoma"/>
            <family val="2"/>
          </rPr>
          <t xml:space="preserve">
This included initial installation of new equipment in FY18 which will not be necessary in FY19 --&gt; I added in a 20% multiplier</t>
        </r>
      </text>
    </comment>
    <comment ref="BI555" authorId="0" shapeId="0" xr:uid="{00000000-0006-0000-0500-000067000000}">
      <text>
        <r>
          <rPr>
            <b/>
            <sz val="9"/>
            <color indexed="81"/>
            <rFont val="Tahoma"/>
            <family val="2"/>
          </rPr>
          <t>Todd Morse:</t>
        </r>
        <r>
          <rPr>
            <sz val="9"/>
            <color indexed="81"/>
            <rFont val="Tahoma"/>
            <family val="2"/>
          </rPr>
          <t xml:space="preserve">
I zeroed out this line and moved the renovation expenditures to the MLO line (549).  We did not have a separate MLO line in FY18
</t>
        </r>
      </text>
    </comment>
    <comment ref="BI556" authorId="0" shapeId="0" xr:uid="{00000000-0006-0000-0500-000068000000}">
      <text>
        <r>
          <rPr>
            <b/>
            <sz val="9"/>
            <color indexed="81"/>
            <rFont val="Tahoma"/>
            <family val="2"/>
          </rPr>
          <t>Todd Morse:</t>
        </r>
        <r>
          <rPr>
            <sz val="9"/>
            <color indexed="81"/>
            <rFont val="Tahoma"/>
            <family val="2"/>
          </rPr>
          <t xml:space="preserve">
We have $200,980 in approved projects for MLO 3B that will be engaged this summer.
</t>
        </r>
      </text>
    </comment>
    <comment ref="AO560" authorId="0" shapeId="0" xr:uid="{00000000-0006-0000-0500-000069000000}">
      <text>
        <r>
          <rPr>
            <b/>
            <sz val="9"/>
            <color indexed="81"/>
            <rFont val="Tahoma"/>
            <family val="2"/>
          </rPr>
          <t>Todd Morse:</t>
        </r>
        <r>
          <rPr>
            <sz val="9"/>
            <color indexed="81"/>
            <rFont val="Tahoma"/>
            <family val="2"/>
          </rPr>
          <t xml:space="preserve">
No change in formula - see the comment on BT 443  for factors impacting the change in value.</t>
        </r>
      </text>
    </comment>
    <comment ref="AR560" authorId="0" shapeId="0" xr:uid="{00000000-0006-0000-0500-00006A000000}">
      <text>
        <r>
          <rPr>
            <b/>
            <sz val="9"/>
            <color indexed="81"/>
            <rFont val="Tahoma"/>
            <family val="2"/>
          </rPr>
          <t>Todd Morse:</t>
        </r>
        <r>
          <rPr>
            <sz val="9"/>
            <color indexed="81"/>
            <rFont val="Tahoma"/>
            <family val="2"/>
          </rPr>
          <t xml:space="preserve">
No change in formula - see the comment on BT 443  for factors impacting the change in value.</t>
        </r>
      </text>
    </comment>
    <comment ref="BT560" authorId="0" shapeId="0" xr:uid="{00000000-0006-0000-0500-00006B000000}">
      <text>
        <r>
          <rPr>
            <b/>
            <sz val="9"/>
            <color indexed="81"/>
            <rFont val="Tahoma"/>
            <family val="2"/>
          </rPr>
          <t>Todd Morse:</t>
        </r>
        <r>
          <rPr>
            <sz val="9"/>
            <color indexed="81"/>
            <rFont val="Tahoma"/>
            <family val="2"/>
          </rPr>
          <t xml:space="preserve">
My understanding is that the food service fund is always a wash.  This should only cover food staff costs and so I've changed the formula to sum the food service staff costs shown in the food service fund.</t>
        </r>
      </text>
    </comment>
    <comment ref="B566" authorId="1" shapeId="0" xr:uid="{00000000-0006-0000-0500-00006C000000}">
      <text>
        <r>
          <rPr>
            <b/>
            <sz val="9"/>
            <color indexed="81"/>
            <rFont val="Tahoma"/>
            <family val="2"/>
          </rPr>
          <t>Baba Janneh:</t>
        </r>
        <r>
          <rPr>
            <sz val="9"/>
            <color indexed="81"/>
            <rFont val="Tahoma"/>
            <family val="2"/>
          </rPr>
          <t xml:space="preserve">
netted against revenue</t>
        </r>
      </text>
    </comment>
    <comment ref="AO600" authorId="0" shapeId="0" xr:uid="{00000000-0006-0000-0500-00006D000000}">
      <text>
        <r>
          <rPr>
            <b/>
            <sz val="9"/>
            <color indexed="81"/>
            <rFont val="Tahoma"/>
            <family val="2"/>
          </rPr>
          <t>Todd Morse:</t>
        </r>
        <r>
          <rPr>
            <sz val="9"/>
            <color indexed="81"/>
            <rFont val="Tahoma"/>
            <family val="2"/>
          </rPr>
          <t xml:space="preserve">
No change in formula for AO586,589,591,593.  See comments inserted in Food Services Staff section of the FY19 Staffing V1-1 (3) tab for factors impacting the change in value.</t>
        </r>
      </text>
    </comment>
    <comment ref="AO642" authorId="1" shapeId="0" xr:uid="{00000000-0006-0000-0500-00006E000000}">
      <text>
        <r>
          <rPr>
            <b/>
            <sz val="9"/>
            <color indexed="81"/>
            <rFont val="Tahoma"/>
            <family val="2"/>
          </rPr>
          <t>Baba Janneh:</t>
        </r>
        <r>
          <rPr>
            <sz val="9"/>
            <color indexed="81"/>
            <rFont val="Tahoma"/>
            <family val="2"/>
          </rPr>
          <t xml:space="preserve">
FY18 was related to expansion, no expenses expected for FY19</t>
        </r>
      </text>
    </comment>
    <comment ref="AO643" authorId="1" shapeId="0" xr:uid="{00000000-0006-0000-0500-00006F000000}">
      <text>
        <r>
          <rPr>
            <b/>
            <sz val="9"/>
            <color indexed="81"/>
            <rFont val="Tahoma"/>
            <family val="2"/>
          </rPr>
          <t>Baba Janneh:</t>
        </r>
        <r>
          <rPr>
            <sz val="9"/>
            <color indexed="81"/>
            <rFont val="Tahoma"/>
            <family val="2"/>
          </rPr>
          <t xml:space="preserve">
FY18 was related to expansion, no expenses expected for FY19</t>
        </r>
      </text>
    </comment>
    <comment ref="BI648" authorId="0" shapeId="0" xr:uid="{00000000-0006-0000-0500-000070000000}">
      <text>
        <r>
          <rPr>
            <b/>
            <sz val="9"/>
            <color indexed="81"/>
            <rFont val="Tahoma"/>
            <family val="2"/>
          </rPr>
          <t>Todd Morse:</t>
        </r>
        <r>
          <rPr>
            <sz val="9"/>
            <color indexed="81"/>
            <rFont val="Tahoma"/>
            <family val="2"/>
          </rPr>
          <t xml:space="preserve">
From the finalized debt service schedule the total debt service for FY19 should be $1,763,199.50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Todd Morse</author>
    <author>Andrew Franko</author>
  </authors>
  <commentList>
    <comment ref="E44" authorId="0" shapeId="0" xr:uid="{00000000-0006-0000-0600-000001000000}">
      <text>
        <r>
          <rPr>
            <b/>
            <sz val="9"/>
            <color indexed="81"/>
            <rFont val="Tahoma"/>
            <family val="2"/>
          </rPr>
          <t>Todd Morse:</t>
        </r>
        <r>
          <rPr>
            <sz val="9"/>
            <color indexed="81"/>
            <rFont val="Tahoma"/>
            <family val="2"/>
          </rPr>
          <t xml:space="preserve">
Should any of these values change given the increase in the # of teachers and students?
</t>
        </r>
      </text>
    </comment>
    <comment ref="P144" authorId="0" shapeId="0" xr:uid="{00000000-0006-0000-0600-000002000000}">
      <text>
        <r>
          <rPr>
            <b/>
            <sz val="9"/>
            <color indexed="81"/>
            <rFont val="Tahoma"/>
            <family val="2"/>
          </rPr>
          <t>Todd Morse:</t>
        </r>
        <r>
          <rPr>
            <sz val="9"/>
            <color indexed="81"/>
            <rFont val="Tahoma"/>
            <family val="2"/>
          </rPr>
          <t xml:space="preserve">
I revised this upward to (a) address the increase in enrollment and (b) address compensation for unused vacation days</t>
        </r>
      </text>
    </comment>
    <comment ref="J197" authorId="0" shapeId="0" xr:uid="{00000000-0006-0000-0600-000003000000}">
      <text>
        <r>
          <rPr>
            <b/>
            <sz val="9"/>
            <color indexed="81"/>
            <rFont val="Tahoma"/>
            <family val="2"/>
          </rPr>
          <t>Todd Morse:</t>
        </r>
        <r>
          <rPr>
            <sz val="9"/>
            <color indexed="81"/>
            <rFont val="Tahoma"/>
            <family val="2"/>
          </rPr>
          <t xml:space="preserve">
We need to adjust the food services workers' pay - two issues:
1. Colorado has a minimum wage increase starting January 2019
2. Column K was based on 5 hours/day, but I believe their time is in the 2.5-3 hours/day range.  The issue may be that several of them in the past also worked another job such as crossing guard and that additional pay was allocated here.  Going forward, I would like to only address the food services portion of their pay here and address any other roles in their appropriate categories...allocate by position rather than person.</t>
        </r>
      </text>
    </comment>
    <comment ref="W197" authorId="0" shapeId="0" xr:uid="{00000000-0006-0000-0600-000004000000}">
      <text>
        <r>
          <rPr>
            <b/>
            <sz val="9"/>
            <color indexed="81"/>
            <rFont val="Tahoma"/>
            <family val="2"/>
          </rPr>
          <t>Todd Morse:</t>
        </r>
        <r>
          <rPr>
            <sz val="9"/>
            <color indexed="81"/>
            <rFont val="Tahoma"/>
            <family val="2"/>
          </rPr>
          <t xml:space="preserve">
These folks are all part-time.  As such, do they receive an employer contribution to health insurance?</t>
        </r>
      </text>
    </comment>
    <comment ref="E207" authorId="1" shapeId="0" xr:uid="{00000000-0006-0000-0600-000005000000}">
      <text>
        <r>
          <rPr>
            <b/>
            <sz val="9"/>
            <color indexed="81"/>
            <rFont val="Tahoma"/>
            <family val="2"/>
          </rPr>
          <t>Andrew Franko:</t>
        </r>
        <r>
          <rPr>
            <sz val="9"/>
            <color indexed="81"/>
            <rFont val="Tahoma"/>
            <family val="2"/>
          </rPr>
          <t xml:space="preserve">
Salary needs to be updated. Annual salary is 80% not 100%. $103K not 106K.</t>
        </r>
      </text>
    </comment>
  </commentList>
</comments>
</file>

<file path=xl/sharedStrings.xml><?xml version="1.0" encoding="utf-8"?>
<sst xmlns="http://schemas.openxmlformats.org/spreadsheetml/2006/main" count="5207" uniqueCount="1762">
  <si>
    <t>Banning Lewis Ranch Academy</t>
  </si>
  <si>
    <t>FY18 VAR</t>
  </si>
  <si>
    <t>FY18 FCST</t>
  </si>
  <si>
    <t>FY18 BUD</t>
  </si>
  <si>
    <t>FY19 VAR</t>
  </si>
  <si>
    <t>FY19 FCST</t>
  </si>
  <si>
    <t>FY19 BUD</t>
  </si>
  <si>
    <t>UNAUDITED - FOR INTERNAL USE ONLY</t>
  </si>
  <si>
    <t>Consolidated (All Funds)</t>
  </si>
  <si>
    <t>General Fund</t>
  </si>
  <si>
    <t>Food Service Fund</t>
  </si>
  <si>
    <t>Enterprise Fund</t>
  </si>
  <si>
    <t>Student Activities Fund</t>
  </si>
  <si>
    <t>Coverage Ratio</t>
  </si>
  <si>
    <t>Days Cash on Hand</t>
  </si>
  <si>
    <t>Total FY18</t>
  </si>
  <si>
    <t>Var to Prelim Bud.</t>
  </si>
  <si>
    <t>Var to Rev Bud.</t>
  </si>
  <si>
    <t>Actual</t>
  </si>
  <si>
    <t>Forecast</t>
  </si>
  <si>
    <t>YTD Actual</t>
  </si>
  <si>
    <t>Budget</t>
  </si>
  <si>
    <t>Total FY19</t>
  </si>
  <si>
    <t>Variance to FY18</t>
  </si>
  <si>
    <t>Variance to Budget</t>
  </si>
  <si>
    <t>ACCOUNT TYPE &amp; NUMBER</t>
  </si>
  <si>
    <t>DESCRIPTION</t>
  </si>
  <si>
    <t>Prelim. Budget</t>
  </si>
  <si>
    <t>$</t>
  </si>
  <si>
    <t>%</t>
  </si>
  <si>
    <t>Revised Budget</t>
  </si>
  <si>
    <t>10   GENERAL FUND</t>
  </si>
  <si>
    <t>11.950.00.0000.1510.000.0000</t>
  </si>
  <si>
    <t>INVESTMENT INTEREST EARNINGS</t>
  </si>
  <si>
    <t>11.950.00.0000.1740.000.0000</t>
  </si>
  <si>
    <t>STUDENT FEES</t>
  </si>
  <si>
    <t>11.950.00.0000.1740.000.0001</t>
  </si>
  <si>
    <t>Fees - Athletics</t>
  </si>
  <si>
    <t>11.950.00.0000.1820.000.0000</t>
  </si>
  <si>
    <t>BEFORE/AFTER SCHOOL TUITION</t>
  </si>
  <si>
    <t>11.950.00.0000.1910.000.0000</t>
  </si>
  <si>
    <t>RENTAL OF FACILITY</t>
  </si>
  <si>
    <t>11.950.00.0000.1920.000.0000</t>
  </si>
  <si>
    <t>FUNDRAISING</t>
  </si>
  <si>
    <t>11.950.00.0000.5710.000.0000</t>
  </si>
  <si>
    <t xml:space="preserve">DISTRICT PER PUPIL REVENUE (PPR) </t>
  </si>
  <si>
    <t>11.950.10.0000.1990.000.0000</t>
  </si>
  <si>
    <t>MILL LEVY REVENUES - MLO-Ops</t>
  </si>
  <si>
    <t>11.950.00.0000.1990.000.0001</t>
  </si>
  <si>
    <t>MISCELLANEOUS - INSURANCE CLAIMS</t>
  </si>
  <si>
    <t>11.950.00.0000.1990.000.0000</t>
  </si>
  <si>
    <t xml:space="preserve">MISCELLANEOUS </t>
  </si>
  <si>
    <t>TOTAL LOCAL REVENUES</t>
  </si>
  <si>
    <t>11.950.00.0000.3113.000.3113</t>
  </si>
  <si>
    <t>ST CAP. CONSTRN FUNDING</t>
  </si>
  <si>
    <t>11.950.00.0000.3130.000.3130</t>
  </si>
  <si>
    <t>STATE SPEC ED FUNDING</t>
  </si>
  <si>
    <t>11.950.00.0000.3202.000.3202</t>
  </si>
  <si>
    <t>WELLNESS GRANT</t>
  </si>
  <si>
    <t>11.950.00.0000.3206.000.3206</t>
  </si>
  <si>
    <t>READ ACT</t>
  </si>
  <si>
    <t>11.950.00.0000.3150.000.3150</t>
  </si>
  <si>
    <t>GIFTED &amp; TALENTED</t>
  </si>
  <si>
    <t>TOTAL STATE REVENUES SPECIAL ED</t>
  </si>
  <si>
    <t>11.950.00.0000.4010.000.4010</t>
  </si>
  <si>
    <t>TITLE I, PART A</t>
  </si>
  <si>
    <t>11.950.00.0000.4010.000.4367</t>
  </si>
  <si>
    <t>TITLE II</t>
  </si>
  <si>
    <t>11.950.00.0000.4010.000.4186</t>
  </si>
  <si>
    <t>TITLE IV</t>
  </si>
  <si>
    <t>11.950.00.0000.4010.000.4298</t>
  </si>
  <si>
    <t>TITLE V</t>
  </si>
  <si>
    <t>11.950.00.0000.4010.000.4041</t>
  </si>
  <si>
    <t>FEDERAL IMPACT AID</t>
  </si>
  <si>
    <t>11.950.00.0000.4000.000.5027</t>
  </si>
  <si>
    <t xml:space="preserve">FEDERAL REV. SPEC ED </t>
  </si>
  <si>
    <t>11.950.00.0000.4000.000.4394</t>
  </si>
  <si>
    <t>FEDERAL AARA STABILIZATION FUNDS</t>
  </si>
  <si>
    <t>TOTAL FEDERAL REVENUES</t>
  </si>
  <si>
    <t>11.950.00.0000.5400.000.0000</t>
  </si>
  <si>
    <t>CAPITAL LEASE PROCEEDS - FURNISHING &amp; EQUIPMENT</t>
  </si>
  <si>
    <t>TOTAL OTHER SOURCES</t>
  </si>
  <si>
    <t>GENERAL FUND 10 Totals:</t>
  </si>
  <si>
    <t>10   GENERAL FUND EXPENDITURES</t>
  </si>
  <si>
    <t>ELEMENTARY INSTRUCTIONAL SERVICES</t>
  </si>
  <si>
    <t>11.950.00.0010.0110.201.0000</t>
  </si>
  <si>
    <t xml:space="preserve">TEACHERS - ELEMENTARY </t>
  </si>
  <si>
    <t>11.950.00.0010.0110.415.0000</t>
  </si>
  <si>
    <t>TEACHING ASSISTANT</t>
  </si>
  <si>
    <t>11.950.00.0010.0120.204.0000</t>
  </si>
  <si>
    <t>SUBSTITUTE PAY</t>
  </si>
  <si>
    <t>11.950.00.0010.0120.415.0000</t>
  </si>
  <si>
    <t>SUBSTITUE TEACHING ASSISTANTS</t>
  </si>
  <si>
    <t>11.950.00.0010.0150.201.0000</t>
  </si>
  <si>
    <t>STIPENDS/EXTRA DUTY - TEACHERS</t>
  </si>
  <si>
    <t>11.950.00.0010.0190.201.0000</t>
  </si>
  <si>
    <t>BONUS</t>
  </si>
  <si>
    <t>11.950.00.0010.0190.415.0000</t>
  </si>
  <si>
    <t>BONUS - TEACHING ASST</t>
  </si>
  <si>
    <t>11.950.00.0010.0210.201.0000</t>
  </si>
  <si>
    <t>LIFE &amp; DISABILITY - ELEMENTARY TEACHER</t>
  </si>
  <si>
    <t>11.950.00.0010.0210.415.0000</t>
  </si>
  <si>
    <t>LIFE &amp; DISABILITY - TEACHER ASSISTANTS</t>
  </si>
  <si>
    <t>11.950.00.0010.0220.201.0000</t>
  </si>
  <si>
    <t>FICA ELEMENTARY TEACHER</t>
  </si>
  <si>
    <t>11.950.00.0010.0220.204.0000</t>
  </si>
  <si>
    <t>FICA SUBSTITUTE PAY</t>
  </si>
  <si>
    <t>11.950.00.0010.0220.415.0000</t>
  </si>
  <si>
    <t>FICA TEACHER ASSISTANTS - ELEMENTARY</t>
  </si>
  <si>
    <t>11.950.00.0010.0251.201.0000</t>
  </si>
  <si>
    <t>HEALTH - ELEMENTARY TEACHER</t>
  </si>
  <si>
    <t>11.950.00.0010.0251.415.0000</t>
  </si>
  <si>
    <t>HEALTH - TEACHER ASSISTANTS</t>
  </si>
  <si>
    <t>11.950.00.0010.0252.201.0000</t>
  </si>
  <si>
    <t>DENTAL - ELEMENTARY TEACHER</t>
  </si>
  <si>
    <t>11.950.00.0010.0252.415.0000</t>
  </si>
  <si>
    <t>DENTAL - TEACHER ASSISTANTS</t>
  </si>
  <si>
    <t>11.950.00.0010.0253.201.0000</t>
  </si>
  <si>
    <t>VISION - ELEMENTARY TEACHER</t>
  </si>
  <si>
    <t>11.950.00.0010.0253.415.0000</t>
  </si>
  <si>
    <t>VISION - TEACHER ASSISTANTS</t>
  </si>
  <si>
    <t>11.950.00.0010.0290.201.0000</t>
  </si>
  <si>
    <t>401k ELEMENTARY TEACHER</t>
  </si>
  <si>
    <t>11.950.00.0010.0290.204.0000</t>
  </si>
  <si>
    <t>401k SUBSTITUTE PAY</t>
  </si>
  <si>
    <t>11.950.00.0010.0290.415.0000</t>
  </si>
  <si>
    <t>401k TEACHER ASSISTANTS - ELEMENTARY</t>
  </si>
  <si>
    <t>11.950.00.0010.0610.000.0000</t>
  </si>
  <si>
    <t>SUPPLIES - INSTRUCTIONAL (ELEM)</t>
  </si>
  <si>
    <t>11.950.12.0010.0610.000.0000</t>
  </si>
  <si>
    <t>MLO SUPPLIES - INSTRUCTIONAL (ELEM PRGM)</t>
  </si>
  <si>
    <t>11.950.00.0010.0610.000.4041</t>
  </si>
  <si>
    <t>SUPPLIES - IMPACT AID (ELEM)</t>
  </si>
  <si>
    <t>11.950.00.0010.0640.000.0000</t>
  </si>
  <si>
    <t>TEXTBOOKS &amp; PERIODICALS</t>
  </si>
  <si>
    <t>11.950.00.0010.0733.000.0000</t>
  </si>
  <si>
    <t>CAPITAL OUTLAY - FURNISHINGS</t>
  </si>
  <si>
    <t>11.950.00.0010.0734.000.0000</t>
  </si>
  <si>
    <t>CAPITAL OUTLAY - TECHNOLOGY</t>
  </si>
  <si>
    <t>11.950.12.0010.0735.000.0000</t>
  </si>
  <si>
    <t>Non-Capital Assets - MLO</t>
  </si>
  <si>
    <t>TOTAL ELEMENTARY INST. SERVICES</t>
  </si>
  <si>
    <t>MIDDLE SCHOOL INSTRUCTIONAL SERVICES</t>
  </si>
  <si>
    <t>11.952.00.0020.0110.201.0000</t>
  </si>
  <si>
    <t xml:space="preserve">TEACHERS - MIDDLE SCHOOL </t>
  </si>
  <si>
    <t>11.952.00.0020.0120.204.0000</t>
  </si>
  <si>
    <t>11.952.00.0020.0110.415.0000</t>
  </si>
  <si>
    <t>TEACHING ASSISTANTS - MIDDLE SCHOOL</t>
  </si>
  <si>
    <t>11.952.00.0020.0150.201.0000</t>
  </si>
  <si>
    <t>EXTRA DUTY STIPENDS</t>
  </si>
  <si>
    <t>11.952.00.0020.0190.201.0000</t>
  </si>
  <si>
    <t>BONUS MS TEACHERS</t>
  </si>
  <si>
    <t>11.952.00.0020.0190.415.0000</t>
  </si>
  <si>
    <t>MS TEACHING ASSISTANT BONUS</t>
  </si>
  <si>
    <t>11.952.00.0020.0210.201.0000</t>
  </si>
  <si>
    <t>LIFE &amp; DISABILITY - MIDDLE SCHOOL TEACHER</t>
  </si>
  <si>
    <t>11.952.00.0020.0220.201.0000</t>
  </si>
  <si>
    <t>FICA MIDDLE SCHOOL TEACHER</t>
  </si>
  <si>
    <t>11.952.00.0020.0220.204.0000</t>
  </si>
  <si>
    <t>11.952.00.0020.0220.415.0000</t>
  </si>
  <si>
    <t>FICA TEACHING ASSISTANTS MS</t>
  </si>
  <si>
    <t>11.952.00.0020.0251.201.0000</t>
  </si>
  <si>
    <t>HEALTH - MIDDLE SCHOOL TEACHER</t>
  </si>
  <si>
    <t>11.952.00.0020.0251.415.0000</t>
  </si>
  <si>
    <t>HEALTH - TEACHING ASSISTANTS MS</t>
  </si>
  <si>
    <t>11.952.00.0020.0252.201.0000</t>
  </si>
  <si>
    <t>DENTAL - MIDDLE SCHOOL TEACHER</t>
  </si>
  <si>
    <t>11.952.00.0020.0252.415.0000</t>
  </si>
  <si>
    <t>DENTAL - TEACHER ASSISTANTS MS</t>
  </si>
  <si>
    <t>11.952.00.0020.0253.201.0000</t>
  </si>
  <si>
    <t>VISION - MIDDLE SCHOOL TEACHER</t>
  </si>
  <si>
    <t>11.952.00.0020.0253.415.0000</t>
  </si>
  <si>
    <t>VISION - TEACHER ASSISTANTS MS</t>
  </si>
  <si>
    <t>11.952.00.0020.0290.201.0000</t>
  </si>
  <si>
    <t>401k MIDDLE SCHOOL TEACHER</t>
  </si>
  <si>
    <t>11.952.00.0020.0290.415.0000</t>
  </si>
  <si>
    <t>401k TEACHER ASSISTANTS MS</t>
  </si>
  <si>
    <t>11.952.00.0020.0610.000.0000</t>
  </si>
  <si>
    <t>SUPPLIES - INSTRUCTIONAL (MIDDLE SCHOOL)</t>
  </si>
  <si>
    <t>11.952.12.0020.0610.000.0000</t>
  </si>
  <si>
    <t>MLO SUPPLIES - INSTRUCTIONAL (MS PRGM)</t>
  </si>
  <si>
    <t>11.950.00.0020.0610.000.4041</t>
  </si>
  <si>
    <t>Supplies - Impact Aid</t>
  </si>
  <si>
    <t>11.952.00.0020.0640.000.0000</t>
  </si>
  <si>
    <t>11.952.00.0020.0733.000.0000</t>
  </si>
  <si>
    <t>11.952.00.0020.0734.000.0000</t>
  </si>
  <si>
    <t>CAPITAL OUTLAY - MS TECHNOLOGY</t>
  </si>
  <si>
    <t>TOTAL MIDDLE SCHOOL INSTR. SERVICES</t>
  </si>
  <si>
    <t>HIGH SCHOOL INSTRUCTIONAL SERVICES</t>
  </si>
  <si>
    <t>11.952.00.0030.0110.201.0000</t>
  </si>
  <si>
    <t xml:space="preserve">TEACHERS - HIGH SCHOOL </t>
  </si>
  <si>
    <t>11.952.00.0030.0120.204.0000</t>
  </si>
  <si>
    <t>11.952.00.0030.0150.201.0000</t>
  </si>
  <si>
    <t>11.952.00.0030.0190.201.0000</t>
  </si>
  <si>
    <t>BONUS HS TEACHERS</t>
  </si>
  <si>
    <t>11.952.00.0030.0210.201.0000</t>
  </si>
  <si>
    <t>LIFE &amp; DISABILITY - HIGH SCHOOL TEACHER</t>
  </si>
  <si>
    <t>11.952.00.0030.0220.201.0000</t>
  </si>
  <si>
    <t>FICA/UTA HIGH SCHOOL TEACHER</t>
  </si>
  <si>
    <t>11.952.00.0030.0220.204.0000</t>
  </si>
  <si>
    <t>11.952.00.0030.0251.201.0000</t>
  </si>
  <si>
    <t>MEDICAL INSUR - HIGH SCHOOL TEACHER</t>
  </si>
  <si>
    <t>11.952.00.0030.0252.201.0000</t>
  </si>
  <si>
    <t>DENTAL - HIGH SCHOOL TEACHER</t>
  </si>
  <si>
    <t>11.952.00.0030.0252.415.0000</t>
  </si>
  <si>
    <t>DENTAL - TEACHER ASSISTANTS HS</t>
  </si>
  <si>
    <t>11.952.00.0030.0253.201.0000</t>
  </si>
  <si>
    <t>VISION - HIGH SCHOOL TEACHER</t>
  </si>
  <si>
    <t>11.952.00.0030.0253.415.0000</t>
  </si>
  <si>
    <t>VISION - TEACHER ASSISTANTS HS</t>
  </si>
  <si>
    <t>11.952.00.0030.0290.201.0000</t>
  </si>
  <si>
    <t>401k HIGH SCHOOL TEACHER</t>
  </si>
  <si>
    <t>11.952.00.0030.0610.000.0000</t>
  </si>
  <si>
    <t>SUPPLIES - INSTRUCTIONAL (HIGH SCHOOL)</t>
  </si>
  <si>
    <t>11.952.12.0030.0610.000.0000</t>
  </si>
  <si>
    <t>MLO SUPPLIES - INSTRUCTIONAL (HS PRGM)</t>
  </si>
  <si>
    <t>11.952.00.0030.0610.000.4041</t>
  </si>
  <si>
    <t>Supplies - Impact Aid(HS)</t>
  </si>
  <si>
    <t>11.952.00.0030.0640.000.0000</t>
  </si>
  <si>
    <t>11.952.00.0030.0733.000.0000</t>
  </si>
  <si>
    <t>TOTAL HIGH SCHOOL INSTR. SERVICES</t>
  </si>
  <si>
    <t>SPECIALS INSTRUCTIONAL SERVICES</t>
  </si>
  <si>
    <t>11.950.00.0060.0110.201.0000</t>
  </si>
  <si>
    <t xml:space="preserve">TEACHERS - SPECIALS </t>
  </si>
  <si>
    <t>11.952.00.0060.0110.201.0000</t>
  </si>
  <si>
    <t>TEACHERS - SPECIALS - MS/HS</t>
  </si>
  <si>
    <t>11.950.00.0060.0150.201.0000</t>
  </si>
  <si>
    <t>EXTRA DUTY STIPENDS SPECIAL TEACHERS</t>
  </si>
  <si>
    <t>11.950.00.0060.0150.407.0000</t>
  </si>
  <si>
    <t>EXTRA DUTY COACHING STIPENDS</t>
  </si>
  <si>
    <t>11.952.00.0060.0150.407.0000</t>
  </si>
  <si>
    <t>EXTRA DUTY COACHING STIPENDS - MS/HS</t>
  </si>
  <si>
    <t>11.950.00.0060.0190.201.0000</t>
  </si>
  <si>
    <t>BONUS SPECIAL TEACHERS</t>
  </si>
  <si>
    <t>11.952.00.0060.0190.201.0000</t>
  </si>
  <si>
    <t>BONUS SPECIAL TEACHERS MS/HS</t>
  </si>
  <si>
    <t>11.950.00.0060.0210.201.0000</t>
  </si>
  <si>
    <t>LIFE &amp; DISABILITY - SPECIALS TEACHER</t>
  </si>
  <si>
    <t>11.950.00.0060.0220.201.0000</t>
  </si>
  <si>
    <t>FICA SPECIALS TEACHER</t>
  </si>
  <si>
    <t>11.952.00.0060.0220.201.0000</t>
  </si>
  <si>
    <t>FICA SPECIALS TEACHER - MS/HS</t>
  </si>
  <si>
    <t>11.950.00.0060.0220.407.0000</t>
  </si>
  <si>
    <t>FICA COACHING STIPENDS</t>
  </si>
  <si>
    <t>11.952.00.0060.0220.407.0000</t>
  </si>
  <si>
    <t>FICA COACHING STIPENDS - MS/HS</t>
  </si>
  <si>
    <t>11.950.00.0060.0251.201.0000</t>
  </si>
  <si>
    <t>HEALTH - SPECIALS TEACHER</t>
  </si>
  <si>
    <t>11.950.00.0060.0252.201.0000</t>
  </si>
  <si>
    <t>DENTAL - SPECIALS TEACHER</t>
  </si>
  <si>
    <t>11.952.00.0060.0251.201.0000</t>
  </si>
  <si>
    <t>HEALTH - SPECIALS TEACHER - MS/HS</t>
  </si>
  <si>
    <t>11.950.00.0060.0253.201.0000</t>
  </si>
  <si>
    <t>VISION - SPECIALS TEACHER</t>
  </si>
  <si>
    <t>11.950.00.0060.0290.201.0000</t>
  </si>
  <si>
    <t>401k SPECIALS TEACHER</t>
  </si>
  <si>
    <t>11.952.00.0060.0290.201.0000</t>
  </si>
  <si>
    <t>401k SPECIALS TEACHER - MS/HS</t>
  </si>
  <si>
    <t>11.950.00.0060.0290.407.0000</t>
  </si>
  <si>
    <t>401k EXTRA DUTY - COACHES</t>
  </si>
  <si>
    <t>11.952.00.0060.0290.407.0000</t>
  </si>
  <si>
    <t>401k EXTRA DUTY - COACHES MS/HS</t>
  </si>
  <si>
    <t>11.950.00.0060.0328.000.0000</t>
  </si>
  <si>
    <t>ASSESSMENTS</t>
  </si>
  <si>
    <t>CSAP/Alpine</t>
  </si>
  <si>
    <t>11.950.00.0060.0340.000.0000</t>
  </si>
  <si>
    <t>PURCHASED SERVICES - INSTRUCTION</t>
  </si>
  <si>
    <t xml:space="preserve"> </t>
  </si>
  <si>
    <t>11.950.00.0060.0610.000.0000</t>
  </si>
  <si>
    <t>11.950.12.0060.0610.000.0000</t>
  </si>
  <si>
    <t>MLO - SUPPLIES - INSTRUCTIONAL</t>
  </si>
  <si>
    <t>11.952.00.0060.0610.000.0000</t>
  </si>
  <si>
    <t>11.952.12.0060.0610.000.0000</t>
  </si>
  <si>
    <t>MLO - SUPPLIES - INSTRUCTIONAL (MS/HS SPECIALS)</t>
  </si>
  <si>
    <t>11.950.00.0060.0640.000.0000</t>
  </si>
  <si>
    <t>11.952.00.0060.0640.000.0000</t>
  </si>
  <si>
    <t>TEXTBOOKS &amp; PERIODICALS (MS/HS SPECIALS)</t>
  </si>
  <si>
    <t>11.950.00.0060.0650.000.0000</t>
  </si>
  <si>
    <t>SOFTWARE</t>
  </si>
  <si>
    <t>11.952.00.0060.0650.000.0000</t>
  </si>
  <si>
    <t>SOFTWARE(MS/HS SPECIALS)</t>
  </si>
  <si>
    <t>11.950.00.0060.0733.000.0000</t>
  </si>
  <si>
    <t>CAPITAL OUTLAY - FINANCED FURNISHING</t>
  </si>
  <si>
    <t>11.952.00.0060.0733.000.0000</t>
  </si>
  <si>
    <t>CAPITAL OUTLAY - FINANCED FURNISHING (MS/HS SPECIALS)</t>
  </si>
  <si>
    <t>11.950.00.0060.0734.000.0000</t>
  </si>
  <si>
    <t>CAPITAL OUTLAY - FINANCED TECHNOLOGY</t>
  </si>
  <si>
    <t>11.950.14.0060.0734.000.0000</t>
  </si>
  <si>
    <t>MLO TECH - CAPITAL OUTLAY TECHNOLOGY</t>
  </si>
  <si>
    <t>11.952.00.0060.0734.000.0000</t>
  </si>
  <si>
    <t>CAPITAL OUTLAY - FINANCED TECHNOLOGY (MS/HS SPECIALS)</t>
  </si>
  <si>
    <t>11.952.14.0060.0734.000.0000</t>
  </si>
  <si>
    <t>MLO TECH - CAPITAL OUTLAY TECHNOLOGY (MS/HS SPECIALS)</t>
  </si>
  <si>
    <t>11.950.00.0060.0735.000.0000</t>
  </si>
  <si>
    <t>Non-Capital Assets</t>
  </si>
  <si>
    <t>11.952.00.0060.0735.000.0000</t>
  </si>
  <si>
    <t>Non-Capital Assets (MS/HS SPECIALS)</t>
  </si>
  <si>
    <t>11.950.14.0060.0735.000.0000</t>
  </si>
  <si>
    <t>MLO TECH - NON-CAPITAL ASSETS</t>
  </si>
  <si>
    <t>11.952.14.0060.0735.000.0000</t>
  </si>
  <si>
    <t>MLO TECH - NON-CAPITAL ASSETS (MS/HS SPECIALS)</t>
  </si>
  <si>
    <t>11.950.00.0060.0810.000.0000</t>
  </si>
  <si>
    <t>DUES &amp; FEES - INSTRUCTIONAL</t>
  </si>
  <si>
    <t>11.952.00.0060.0810.000.0000</t>
  </si>
  <si>
    <t>DUES &amp; FEES - INSTRUCTIONAL (MS/HS)</t>
  </si>
  <si>
    <t>11.950.00.0080.0610.000.0000</t>
  </si>
  <si>
    <t>LIBRARY SUPPLIES &amp; MATERIALS</t>
  </si>
  <si>
    <t>11.950.00.0080.0650.000.0000</t>
  </si>
  <si>
    <t>LIBRARY SOFTWARE</t>
  </si>
  <si>
    <t>11.950.14.0080.0650.000.0000</t>
  </si>
  <si>
    <t>MLO TECH - SOFTWARE</t>
  </si>
  <si>
    <t>11.950.00.0200.0110.201.0000</t>
  </si>
  <si>
    <t>ART TEACHER</t>
  </si>
  <si>
    <t>11.952.00.0200.0110.201.0000</t>
  </si>
  <si>
    <t>ART TEACHER - MS/HS</t>
  </si>
  <si>
    <t>11.950.00.0200.0190.201.0000</t>
  </si>
  <si>
    <t>BONUS ART TEACHER</t>
  </si>
  <si>
    <t>11.952.00.0200.0190.201.0000</t>
  </si>
  <si>
    <t>BONUS ART TEACHER - MS/HS</t>
  </si>
  <si>
    <t>11.950.00.0200.0220.201.0000</t>
  </si>
  <si>
    <t>FICA ART TEACHER</t>
  </si>
  <si>
    <t>11.952.00.0200.0220.201.0000</t>
  </si>
  <si>
    <t>FICA ART TEACHER - MS/HS</t>
  </si>
  <si>
    <t>11.950.00.0200.0251.201.0000</t>
  </si>
  <si>
    <t>HEALTH - ART TEACHER</t>
  </si>
  <si>
    <t>11.952.00.0200.0251.201.0000</t>
  </si>
  <si>
    <t>HEALTH - ART TEACHER - MS/HS</t>
  </si>
  <si>
    <t>11.950.00.0200.0290.201.0000</t>
  </si>
  <si>
    <t>401k ART TEACHER</t>
  </si>
  <si>
    <t>11.952.00.0200.0290.201.0000</t>
  </si>
  <si>
    <t>401k ART TEACHER - MS/HS</t>
  </si>
  <si>
    <t>11.950.00.0511.0110.415.0000</t>
  </si>
  <si>
    <t xml:space="preserve">READING INVENTIONIST </t>
  </si>
  <si>
    <t>11.950.00.0511.0110.415.3206</t>
  </si>
  <si>
    <t>READING INVENTIONIST - Read Act</t>
  </si>
  <si>
    <t>11.950.00.0511.0220.415.0000</t>
  </si>
  <si>
    <t>FICA READING INVENTIONIST</t>
  </si>
  <si>
    <t>11.950.00.0511.0290.415.0000</t>
  </si>
  <si>
    <t>401K READING INTERVENTIONIST</t>
  </si>
  <si>
    <t>11.950.00.0511.0251.415.0000</t>
  </si>
  <si>
    <t>HEALTH - READING INTERVENTIONIST</t>
  </si>
  <si>
    <t>11.950.00.0511.0252.415.0000</t>
  </si>
  <si>
    <t>DENTAL - READING INTERVENTIONIST</t>
  </si>
  <si>
    <t>11.950.00.0511.0253.415.0000</t>
  </si>
  <si>
    <t>VISION - READING INTERVENTIONIST</t>
  </si>
  <si>
    <t>11.950.00.0511.0610.000.3206</t>
  </si>
  <si>
    <t>SUPPLIES/MTLS - READ ACT</t>
  </si>
  <si>
    <t>upp</t>
  </si>
  <si>
    <t>11.950.00.0600.0110.201.0000</t>
  </si>
  <si>
    <t>FOREIGN  LANGUAGE TEACHER</t>
  </si>
  <si>
    <t>11.952.00.0600.0110.201.0000</t>
  </si>
  <si>
    <t>FOREIGN  LANGUAGE TEACHER - MS/HS</t>
  </si>
  <si>
    <t>11.950.00.0600.0190.201.0000</t>
  </si>
  <si>
    <t>BONUS FOREIGN LANGUAGE TEACHER</t>
  </si>
  <si>
    <t>11.952.00.0600.0190.201.0000</t>
  </si>
  <si>
    <t>BONUS FOREIGN LANGUAGE TEACHER - MS/HS</t>
  </si>
  <si>
    <t>11.950.00.0600.0220.201.0000</t>
  </si>
  <si>
    <t>FICA FOREIGN LANGUAGE TEACHER</t>
  </si>
  <si>
    <t>11.952.00.0600.0220.201.0000</t>
  </si>
  <si>
    <t>FICA FOREIGN LANGUAGE TEACHER - MS/HS</t>
  </si>
  <si>
    <t>11.950.00.0600.0251.201.0000</t>
  </si>
  <si>
    <t>HEALTH - FOREIGN LANGUAGE TEACHER</t>
  </si>
  <si>
    <t>11.952.00.0600.0251.201.0000</t>
  </si>
  <si>
    <t>HEALTH - FOREIGN LANGUAGE TEACHER - MS/HS</t>
  </si>
  <si>
    <t>11.950.00.0600.0290.201.0000</t>
  </si>
  <si>
    <t>401k FOREIGN LANGUAGE TEACHER</t>
  </si>
  <si>
    <t>11.952.00.0600.0290.201.0000</t>
  </si>
  <si>
    <t>401k FOREIGN LANGUAGE TEACHER - MS/HS</t>
  </si>
  <si>
    <t>ELECTRONIC MEDIA -READ ACT</t>
  </si>
  <si>
    <t>11.950.00.1200.0110.201.0000</t>
  </si>
  <si>
    <t>MUSIC TEACHER</t>
  </si>
  <si>
    <t>11.952.00.1200.0110.201.0000</t>
  </si>
  <si>
    <t>MUSIC TEACHER - MS/HS</t>
  </si>
  <si>
    <t>11.950.00.1200.0190.201.0000</t>
  </si>
  <si>
    <t>BONUS MUSIC TEACHER</t>
  </si>
  <si>
    <t>11.952.00.1200.0190.201.0000</t>
  </si>
  <si>
    <t>BONUS MUSIC TEACHER - MS/HS</t>
  </si>
  <si>
    <t>11.950.00.1200.0220.201.0000</t>
  </si>
  <si>
    <t>FICA MUSIC TEACHER</t>
  </si>
  <si>
    <t>11.952.00.1200.0220.201.0000</t>
  </si>
  <si>
    <t>FICA MUSIC TEACHER - MS/HS</t>
  </si>
  <si>
    <t>11.950.00.1200.0251.201.0000</t>
  </si>
  <si>
    <t>HEALTH - MUSIC TEACHER</t>
  </si>
  <si>
    <t>11.950.00.1200.0252.201.0000</t>
  </si>
  <si>
    <t>DENTAL - MUSIC TEACHER</t>
  </si>
  <si>
    <t>11.950.00.1200.0253.201.0000</t>
  </si>
  <si>
    <t>VISION - MUSIC TEACHER</t>
  </si>
  <si>
    <t>11.952.00.1200.0251.201.0000</t>
  </si>
  <si>
    <t>HEALTH - MUSIC TEACHER - MS/HS</t>
  </si>
  <si>
    <t>11.950.00.1200.0290.201.0000</t>
  </si>
  <si>
    <t>401k MUSIC TEACHER</t>
  </si>
  <si>
    <t>11.952.00.1200.0290.201.0000</t>
  </si>
  <si>
    <t>401k MUSIC TEACHER - MS/HS</t>
  </si>
  <si>
    <t>11.950.00.1800.0300.000.0000</t>
  </si>
  <si>
    <t>CO-CURRICULUM PURCHASED SERVICES</t>
  </si>
  <si>
    <t>11.952.00.1800.0300.000.0000</t>
  </si>
  <si>
    <t>CO-CURRICULUM PURCHASED SERVICES - MS/HS</t>
  </si>
  <si>
    <t>11.950.00.1800.0580.000.0000</t>
  </si>
  <si>
    <t>FEES - ATHLETIC ENTRANCE FEES</t>
  </si>
  <si>
    <t>11.952.00.1800.0580.000.0000</t>
  </si>
  <si>
    <t>FEES - ATHLETIC ENTRANCE FEES - MS/HS</t>
  </si>
  <si>
    <t>11.950.00.1800.0738.000.0000</t>
  </si>
  <si>
    <t>PHYSICAL EDUCATION EQUIPMENT</t>
  </si>
  <si>
    <t>11.952.00.1800.0738.000.0000</t>
  </si>
  <si>
    <t>11.952.00.1800.0890.000.0000</t>
  </si>
  <si>
    <t>SUPPLIES - TEAM SPORTS</t>
  </si>
  <si>
    <t>11.950.00.1800.0890.000.0000</t>
  </si>
  <si>
    <t>TOTAL SPECIALS INST. SERVICES</t>
  </si>
  <si>
    <t>SPECIAL EDUCATION INSTRUCTIONAL SERVICES</t>
  </si>
  <si>
    <t>11.950.00.1700.0110.202.3130</t>
  </si>
  <si>
    <t>SPECIAL ED TEACHER</t>
  </si>
  <si>
    <t>11.950.00.1700.0110.416.3130</t>
  </si>
  <si>
    <t>SPECIAL ED TEACHER ASSISTANT</t>
  </si>
  <si>
    <t>11.950.00.1700.0210.202.3130</t>
  </si>
  <si>
    <t>LIFE &amp; DISABILITY - SPECIAL ED TEACH.</t>
  </si>
  <si>
    <t>11.950.00.1700.0210.416.3130</t>
  </si>
  <si>
    <t>LIFE &amp; DISABILITY - SPECIAL ED TEACHER ASSISTANT</t>
  </si>
  <si>
    <t>11.950.00.1700.0220.202.3130</t>
  </si>
  <si>
    <t>FICA SPECIAL ED TEACH.</t>
  </si>
  <si>
    <t>11.950.00.1700.0220.416.3130</t>
  </si>
  <si>
    <t>FICA SPECIAL ED TEACHER ASSISTANT</t>
  </si>
  <si>
    <t>11.950.00.1700.0251.202.3130</t>
  </si>
  <si>
    <t>HEALTH - SPECIAL ED TEACH.</t>
  </si>
  <si>
    <t>11.950.00.1700.0251.416.3130</t>
  </si>
  <si>
    <t>HEALTH - SPECIAL ED TEACHER ASSISTANT</t>
  </si>
  <si>
    <t>11.950.00.1700.0252.202.3130</t>
  </si>
  <si>
    <t>DENTAL - SPECIAL ED TEACH.</t>
  </si>
  <si>
    <t>11.950.00.1700.0252.416.3130</t>
  </si>
  <si>
    <t>DENTAL - SPECIAL ED TEACHER ASSISTANT</t>
  </si>
  <si>
    <t>11.950.00.1700.0253.202.3130</t>
  </si>
  <si>
    <t>VISION - SPECIAL ED TEACH.</t>
  </si>
  <si>
    <t>11.950.00.1700.0253.416.3130</t>
  </si>
  <si>
    <t>VISION - SPECIAL ED TEACHER ASSISTANT</t>
  </si>
  <si>
    <t>11.950.00.1700.0290.202.3130</t>
  </si>
  <si>
    <t>401k SPECIAL ED TEACH.</t>
  </si>
  <si>
    <t>11.950.00.1700.0290.416.3130</t>
  </si>
  <si>
    <t>401k SPECIAL ED TEACHER ASSISTANT</t>
  </si>
  <si>
    <t>11.950.00.1700.0328.000.3130</t>
  </si>
  <si>
    <t>ASSESSMENTS - SPECIAL EDUCATION</t>
  </si>
  <si>
    <t>11.950.00.1700.0594.000.3130</t>
  </si>
  <si>
    <t>DISTRICT SPECIAL ED SERVICES</t>
  </si>
  <si>
    <t>671.32 per fte</t>
  </si>
  <si>
    <t>11.950.00.1700.0610.000.3130</t>
  </si>
  <si>
    <t>SPECIAL ED. SUPPLIES</t>
  </si>
  <si>
    <t>TOTAL SPECIAL EDUC. INST. SERVICES</t>
  </si>
  <si>
    <t>SUPPORT SERVICES - PUPIL</t>
  </si>
  <si>
    <t>11.950.00.2100.0110.211.0000</t>
  </si>
  <si>
    <t>COUNSELOR</t>
  </si>
  <si>
    <t>11.952.00.2100.0110.211.0000</t>
  </si>
  <si>
    <t>COUNSELOR - MS/HS</t>
  </si>
  <si>
    <t>11.952.11.2100.0110.211.0000</t>
  </si>
  <si>
    <t>COUNSELOR - MS/HS MLO</t>
  </si>
  <si>
    <t>11.950.00.2100.0110.213.0000</t>
  </si>
  <si>
    <t>DEAN OF STUDENTS</t>
  </si>
  <si>
    <t>11.950.00.2100.0110.516.0000</t>
  </si>
  <si>
    <t>REGISTRAR</t>
  </si>
  <si>
    <t>11.952.00.2100.0110.516.0000</t>
  </si>
  <si>
    <t>REGISTRAR - MS/HS</t>
  </si>
  <si>
    <t>11.950.00.2100.0150.516.0000</t>
  </si>
  <si>
    <t>EXTRA DUTY/STIPEND REGISTRAR</t>
  </si>
  <si>
    <t>11.952.00.2100.0150.516.0000</t>
  </si>
  <si>
    <t>EXTRA DUTY/STIPEND REGISTRAR - MS/HS</t>
  </si>
  <si>
    <t>11.950.00.2100.0190.211.0000</t>
  </si>
  <si>
    <t>BONUS COUNSELOR</t>
  </si>
  <si>
    <t>11.952.00.2100.0190.211.0000</t>
  </si>
  <si>
    <t>BONUS COUNSELOR - MS/HS</t>
  </si>
  <si>
    <t>11.952.11.2100.0190.211.0000</t>
  </si>
  <si>
    <t>BONUS COUNSELOR - MS/HS MLO</t>
  </si>
  <si>
    <t>11.950.00.2100.0190.213.0000</t>
  </si>
  <si>
    <t>BONUS DEAN OF STUDENTS</t>
  </si>
  <si>
    <t>11.950.00.2100.0190.516.0000</t>
  </si>
  <si>
    <t>BONUS REGISTRAR</t>
  </si>
  <si>
    <t>11.952.00.2100.0190.516.0000</t>
  </si>
  <si>
    <t>BONUS REGISTRAR - MS/HS</t>
  </si>
  <si>
    <t>11.950.00.2100.0220.211.0000</t>
  </si>
  <si>
    <t>FICA COUNSELOR</t>
  </si>
  <si>
    <t>11.952.00.2100.0220.211.0000</t>
  </si>
  <si>
    <t>FICA COUNSELOR - MS/HS</t>
  </si>
  <si>
    <t>11.952.11.2100.0220.211.0000</t>
  </si>
  <si>
    <t>FICA COUNSELOR - MS MLO</t>
  </si>
  <si>
    <t>11.950.00.2100.0220.213.0000</t>
  </si>
  <si>
    <t>FICA DEAN OF STUDENTS</t>
  </si>
  <si>
    <t>11.950.00.2100.0220.516.0000</t>
  </si>
  <si>
    <t>FICA REGISTRAR</t>
  </si>
  <si>
    <t>11.952.00.2100.0220.516.0000</t>
  </si>
  <si>
    <t>FICA REGISTRAR - MS/HS</t>
  </si>
  <si>
    <t>11.950.00.2100.0251.211.0000</t>
  </si>
  <si>
    <t>HEALTH - COUNSELOR</t>
  </si>
  <si>
    <t>11.952.00.2100.0251.211.0000</t>
  </si>
  <si>
    <t>HEALTH - COUNSELOR - MS/HS</t>
  </si>
  <si>
    <t>11.952.11.2100.0251.211.0000</t>
  </si>
  <si>
    <t>HEALTH - COUNSELOR MLO</t>
  </si>
  <si>
    <t>11.950.00.2100.0251.213.0000</t>
  </si>
  <si>
    <t>HEALTH - DEAN OF STUDENTS</t>
  </si>
  <si>
    <t>11.950.00.2100.0251.516.0000</t>
  </si>
  <si>
    <t>HEALTH - REGISTRAR</t>
  </si>
  <si>
    <t>11.950.00.2100.0252.211.0000</t>
  </si>
  <si>
    <t>DENTAL - COUNSELOR</t>
  </si>
  <si>
    <t>11.950.00.2100.0252.213.0000</t>
  </si>
  <si>
    <t>DENTAL - DEAN OF STUDENTS</t>
  </si>
  <si>
    <t>11.950.00.2100.0252.516.0000</t>
  </si>
  <si>
    <t>DENTAL - REGISTRAR</t>
  </si>
  <si>
    <t>11.950.00.2100.0253.211.0000</t>
  </si>
  <si>
    <t>VISION - COUNSELOR</t>
  </si>
  <si>
    <t>11.950.00.2100.0253.516.0000</t>
  </si>
  <si>
    <t>VISION - REGISTRAR</t>
  </si>
  <si>
    <t>11.952.00.2100.0251.516.0000</t>
  </si>
  <si>
    <t>HEALTH - REGISTRAR - MS/HS</t>
  </si>
  <si>
    <t>11.950.00.2100.0290.211.0000</t>
  </si>
  <si>
    <t>401k COUNSELOR</t>
  </si>
  <si>
    <t>11.952.00.2100.0290.211.0000</t>
  </si>
  <si>
    <t>11.952.11.2100.0290.211.0000</t>
  </si>
  <si>
    <t>401k COUNSELOR MLO - MS/HS</t>
  </si>
  <si>
    <t>11.950.00.2100.0290.213.0000</t>
  </si>
  <si>
    <t>401K DEAN</t>
  </si>
  <si>
    <t>11.950.00.2100.0290.516.0000</t>
  </si>
  <si>
    <t>401k REGISTRAR</t>
  </si>
  <si>
    <t>11.952.00.2100.0290.516.0000</t>
  </si>
  <si>
    <t>401k REGISTRAR - MS/HS</t>
  </si>
  <si>
    <t>11.950.00.2113.0110.218.0000</t>
  </si>
  <si>
    <t>GIFTED &amp; TALENTED - READING INTERVENTION</t>
  </si>
  <si>
    <t>11.950.00.2113.0110.220.0000</t>
  </si>
  <si>
    <t>BEHAVIORAL INTERVENTION SPECIALIST</t>
  </si>
  <si>
    <t>11.950.00.2113.0150.220.0000</t>
  </si>
  <si>
    <t>EXTRA DUTY/STIPEND BIS</t>
  </si>
  <si>
    <t>11.950.00.2113.0190.218.0000</t>
  </si>
  <si>
    <t>BONUS LITERACY / MATH COACH</t>
  </si>
  <si>
    <t>11.950.00.2113.0190.220.0000</t>
  </si>
  <si>
    <t>BONUS BEHAVIORAL INTERVENTION SPECIALIST</t>
  </si>
  <si>
    <t>11.950.00.2113.0210.220.0000</t>
  </si>
  <si>
    <t>LIFE &amp; DISABILITY - BEHAVIORAL INTERVENTION SPECIALIST</t>
  </si>
  <si>
    <t>11.950.00.2113.0220.218.0000</t>
  </si>
  <si>
    <t>FICA LITERACY/MATH COACH</t>
  </si>
  <si>
    <t>11.950.00.2113.0220.220.0000</t>
  </si>
  <si>
    <t>FICA BEHAVIORAL INTERVENTION SPECIALIST</t>
  </si>
  <si>
    <t>11.950.00.2113.0251.218.0000</t>
  </si>
  <si>
    <t>HEALTH - LITERACY/MATH COACH</t>
  </si>
  <si>
    <t>11.950.00.2113.0251.220.0000</t>
  </si>
  <si>
    <t>HEALTH - BEHAVIORAL INTERVENTION SPECIALIST</t>
  </si>
  <si>
    <t>11.950.00.2113.0252.218.0000</t>
  </si>
  <si>
    <t>DENTAL - LITERACY/MATH COACH</t>
  </si>
  <si>
    <t>11.950.00.2113.0252.220.0000</t>
  </si>
  <si>
    <t>DENTAL - BEHAVIORAL INTERVENTION SPECIALIST</t>
  </si>
  <si>
    <t>11.950.00.2113.0253.218.0000</t>
  </si>
  <si>
    <t>VISION -  LITERACY/MATH COACH</t>
  </si>
  <si>
    <t>11.950.00.2113.0253.220.0000</t>
  </si>
  <si>
    <t>VISION - BEHAVIORAL INTERVENTION SPECIALIST</t>
  </si>
  <si>
    <t>11.950.00.2113.0290.218.0000</t>
  </si>
  <si>
    <t>401k LITERACY/MATH COACH</t>
  </si>
  <si>
    <t>11.950.00.2113.0290.220.0000</t>
  </si>
  <si>
    <t>401k BEHAVIORAL INTERVENTION SPECIALIST</t>
  </si>
  <si>
    <t>11.950.00.2130.0110.409.0000</t>
  </si>
  <si>
    <t>HEALTH AIDE</t>
  </si>
  <si>
    <t>11.950.00.2130.0210.233.0000</t>
  </si>
  <si>
    <t>LIFE &amp; DISABILITY - SCHOOL NURSE</t>
  </si>
  <si>
    <t>11.950.00.2130.0220.409.0000</t>
  </si>
  <si>
    <t>FICA HEALTH AIDE</t>
  </si>
  <si>
    <t>11.950.00.2130.0252.233.0000</t>
  </si>
  <si>
    <t>DENTAL - SCHOOL NURSE</t>
  </si>
  <si>
    <t>11.950.00.2130.0253.233.0000</t>
  </si>
  <si>
    <t>VISION - SCHOOL NURSE</t>
  </si>
  <si>
    <t>11.950.00.2130.0290.409.0000</t>
  </si>
  <si>
    <t>401k HEALTH AIDE</t>
  </si>
  <si>
    <t>11.950.00.2130.0339.000.3130</t>
  </si>
  <si>
    <t>NURSING SERVICES</t>
  </si>
  <si>
    <t>11.950.00.2130.0610.000.0000</t>
  </si>
  <si>
    <t>SUPPLIES - HEALTH, MEDICAL, SAFETY</t>
  </si>
  <si>
    <t>11.950.13.2130.0610.000.0000</t>
  </si>
  <si>
    <t>MLO PROGRAM - HEALTH, MEDICAL, SAFETY</t>
  </si>
  <si>
    <t>TOTAL SUPPORT SERVICES - PUPIL</t>
  </si>
  <si>
    <t>SUPPORT SERVICES - INSTRUCTIONAL STAFF</t>
  </si>
  <si>
    <t>11.950.00.2211.0320.000.0000</t>
  </si>
  <si>
    <t>PROFESSIONAL INST. MGMT</t>
  </si>
  <si>
    <t>6.25% 09-10 / 5% 10-11</t>
  </si>
  <si>
    <t>11.950.11.2213.0110.212.0000</t>
  </si>
  <si>
    <t xml:space="preserve">CIS/DIR OF INDIVIDUALIZED INSTR </t>
  </si>
  <si>
    <t>11.950.00.2213.0110.218.0000</t>
  </si>
  <si>
    <t>LITERACY / MATH COACH</t>
  </si>
  <si>
    <t>11.950.00.2213.0110.212.0000</t>
  </si>
  <si>
    <t>EXTRA DUTY/STIPEND LITERACY / MATH COACH</t>
  </si>
  <si>
    <t>11.950.00.2213.0150.212.0000</t>
  </si>
  <si>
    <t>EXTRA DUTY/STIPEND CIS</t>
  </si>
  <si>
    <t>BONUS - LITERACY / MATH COACH</t>
  </si>
  <si>
    <t>11.950.00.2213.0190.212.0000</t>
  </si>
  <si>
    <t>BONUS CIS</t>
  </si>
  <si>
    <t>11.950.00.2213.0210.212.0000</t>
  </si>
  <si>
    <t>LIFE &amp; DISABILITY - CIS</t>
  </si>
  <si>
    <t>11.950.00.2213.0210.218.0000</t>
  </si>
  <si>
    <t>LIFE &amp; DISABILITY - LITERACY/MATH COACH</t>
  </si>
  <si>
    <t>11.950.11.2213.0220.212.0000</t>
  </si>
  <si>
    <t>FICA CIS/DII MLO</t>
  </si>
  <si>
    <t>11.950.00.2213.0220.212.0000</t>
  </si>
  <si>
    <t>11.950.00.2213.0251.212.0000</t>
  </si>
  <si>
    <t>HEALTH - CIS</t>
  </si>
  <si>
    <t>11.950.11.2213.0251.212.0000</t>
  </si>
  <si>
    <t>HEALTH - DIR OF INDIV INSTRUCTION MLO</t>
  </si>
  <si>
    <t>11.950.00.2213.0251.218.0000</t>
  </si>
  <si>
    <t>11.950.00.2213.0252.212.0000</t>
  </si>
  <si>
    <t>DENTAL - CIS</t>
  </si>
  <si>
    <t>11.950.00.2213.0252.218.0000</t>
  </si>
  <si>
    <t>11.950.00.2213.0253.212.0000</t>
  </si>
  <si>
    <t>VISION - CIS</t>
  </si>
  <si>
    <t>11.950.00.2213.0253.218.0000</t>
  </si>
  <si>
    <t>VISION - LITERACY/MATH COACH</t>
  </si>
  <si>
    <t>11.950.11.2213.0290.212.0000</t>
  </si>
  <si>
    <t>401k CIS</t>
  </si>
  <si>
    <t>11.950.00.2213.0290.218.0000</t>
  </si>
  <si>
    <t>11.950.00.2213.0320.000.0000</t>
  </si>
  <si>
    <t>PURCHASED SERVICES - STAFF DEVELOPMENT</t>
  </si>
  <si>
    <t>11.950.00.2213.0580.000.0000</t>
  </si>
  <si>
    <t>STAFF DEVELOPMENT FEES/TRAVEL</t>
  </si>
  <si>
    <t>11.952.00.2213.0580.000.0000</t>
  </si>
  <si>
    <t>STAFF DEVELOPMENT FEES/TRAVEL - MS/HS</t>
  </si>
  <si>
    <t>11.950.00.2213.0610.000.0000</t>
  </si>
  <si>
    <t>SUPPLIES - STAFF DEVELOPMENT</t>
  </si>
  <si>
    <t>TOTAL SUPPORT SERVICES - INST. STAFF</t>
  </si>
  <si>
    <t>SUPPORT SERVICES - MEDIA CENTER</t>
  </si>
  <si>
    <t>11.950.00.2222.0640.000.0000</t>
  </si>
  <si>
    <t>LIBRARY BOOKS &amp; PERIODICALS</t>
  </si>
  <si>
    <t>TOTAL SUPPORT SERVICES - MEDIA CENTER</t>
  </si>
  <si>
    <t>BOARD OF EDUCATION</t>
  </si>
  <si>
    <t>11.950.00.2311.0580.000.0000</t>
  </si>
  <si>
    <t>BOARD OF DIRECTORS TRAVEL, REGISTRATION</t>
  </si>
  <si>
    <t>11.950.00.2311.0810.000.0000</t>
  </si>
  <si>
    <t>DUES &amp; FEES - BOARD OF DIRECTORS</t>
  </si>
  <si>
    <t>11.950.00.2311.0890.000.0000</t>
  </si>
  <si>
    <t>MISCELLANEOUS EXP - BOARD</t>
  </si>
  <si>
    <t>TOTAL BOARD OF EDUCATION</t>
  </si>
  <si>
    <t>EXECUTIVE ADMINISTRATION</t>
  </si>
  <si>
    <t>11.950.00.2315.0331.000.0000</t>
  </si>
  <si>
    <t>LEGAL SERVICES</t>
  </si>
  <si>
    <t>11.950.00.2317.0332.000.0000</t>
  </si>
  <si>
    <t>AUDIT SERVICES</t>
  </si>
  <si>
    <t>11.950.00.2321.0320.000.0000</t>
  </si>
  <si>
    <t>PROFESSIONAL MGMT. SERVICES</t>
  </si>
  <si>
    <t>TOTAL EXECUTIVE ADMINISTRATION</t>
  </si>
  <si>
    <t>SCHOOL ADMINISTRATION</t>
  </si>
  <si>
    <t>11.950.00.2400.0110.101.0000</t>
  </si>
  <si>
    <t>HEAD OF SCHOOL</t>
  </si>
  <si>
    <t>11.950.00.2400.0190.101.0000</t>
  </si>
  <si>
    <t>HEAD OF SCHOOL BONUS</t>
  </si>
  <si>
    <t>11.950.00.2400.0220.101.0000</t>
  </si>
  <si>
    <t>FICA HEAD OF SCHOOL</t>
  </si>
  <si>
    <t>11.950.00.2400.0251.101.0000</t>
  </si>
  <si>
    <t>HEALTH - HEAD OF SCHOOL</t>
  </si>
  <si>
    <t>11.950.00.2400.0290.101.0000</t>
  </si>
  <si>
    <t>401k HEAD OF SCHOOL</t>
  </si>
  <si>
    <t>11.950.00.2400.0110.103.0000</t>
  </si>
  <si>
    <t>BLRA PROGRAM DIRECTOR</t>
  </si>
  <si>
    <t>11.952.00.2400.0110.103.0000</t>
  </si>
  <si>
    <t>BLPA PROGRAM DIRECTOR - MS/HS</t>
  </si>
  <si>
    <t>11.950.00.2400.0190.103.0000</t>
  </si>
  <si>
    <t>BLRA PROGRAM DIRECTOR - BONUS</t>
  </si>
  <si>
    <t>11.952.00.2400.0190.103.0000</t>
  </si>
  <si>
    <t>BLPA PROGRAM DIRECTOR - MS/HS - BONUS</t>
  </si>
  <si>
    <t>11.950.00.2400.0220.103.0000</t>
  </si>
  <si>
    <t>FICA PROGRAM DIRECTOR</t>
  </si>
  <si>
    <t>11.952.00.2400.0220.103.0000</t>
  </si>
  <si>
    <t>FICA PROGRAM DIRECTOR MS/HS</t>
  </si>
  <si>
    <t>11.950.00.2400.0251.103.0000</t>
  </si>
  <si>
    <t>HEALTH - PROGRAM DIRECTOR</t>
  </si>
  <si>
    <t>11.952.00.2400.0251.103.0000</t>
  </si>
  <si>
    <t>HEALTH - PROGRAM DIRECTOR - MS/HS</t>
  </si>
  <si>
    <t>11.950.00.2400.0290.103.0000</t>
  </si>
  <si>
    <t>401k HS PROGRAM DIRECTOR</t>
  </si>
  <si>
    <t>11.952.00.2400.0290.103.0000</t>
  </si>
  <si>
    <t>401k HS PROGRAM DIRECTOR - MS/HS</t>
  </si>
  <si>
    <t>11.950.00.2410.0110.105.0000</t>
  </si>
  <si>
    <t>PRINCIPAL</t>
  </si>
  <si>
    <t>11.952.00.2410.0110.105.0000</t>
  </si>
  <si>
    <t>PRINCIPAL - MS/HS</t>
  </si>
  <si>
    <t>11.950.00.2410.0110.106.0000</t>
  </si>
  <si>
    <t>ASSISTANT PRINCIPAL</t>
  </si>
  <si>
    <t>11.952.00.2410.0110.106.0000</t>
  </si>
  <si>
    <t>ASSISTANT PRINCIPAL - MS/HS</t>
  </si>
  <si>
    <t>11.950.11.2410.0110.106.0000</t>
  </si>
  <si>
    <t>ASSISTANT PRINCIPAL - MLO</t>
  </si>
  <si>
    <t>11.950.00.2410.0110.500.0000</t>
  </si>
  <si>
    <t>CLERICAL &amp; SUPPORT STAFF</t>
  </si>
  <si>
    <t>11.952.00.2410.0110.500.0000</t>
  </si>
  <si>
    <t>CLERICAL &amp; SUPPORT STAFF - MS/HS</t>
  </si>
  <si>
    <t>11.950.00.2410.0190.105.0000</t>
  </si>
  <si>
    <t>BONUS PRINCIPAL</t>
  </si>
  <si>
    <t>11.952.00.2410.0190.105.0000</t>
  </si>
  <si>
    <t>BONUS PRINCIPAL - MS/HS</t>
  </si>
  <si>
    <t>11.950.00.2410.0190.106.0000</t>
  </si>
  <si>
    <t>BONUS ASSISTANT PRINCIPAL</t>
  </si>
  <si>
    <t>11.952.00.2410.0190.106.0000</t>
  </si>
  <si>
    <t>BONUS ASSISTANT PRINCIPAL - MS/HS</t>
  </si>
  <si>
    <t>11.950.11.2410.0190.106.0000</t>
  </si>
  <si>
    <t>BONUS ASSISTANT PRINCIPAL - MLO</t>
  </si>
  <si>
    <t>11.950.00.2410.0190.500.0000</t>
  </si>
  <si>
    <t>BONUS CLERICAL / SUPPORT STAFF</t>
  </si>
  <si>
    <t>11.950.00.2410.0210.105.0000</t>
  </si>
  <si>
    <t>LIFE &amp; DISABILITY - PRINCIPAL</t>
  </si>
  <si>
    <t>11.950.00.2410.0210.106.0000</t>
  </si>
  <si>
    <t>LIFE &amp; DISABILITY - ASSISTANT PRINCIPAL</t>
  </si>
  <si>
    <t>11.950.00.2410.0210.500.0000</t>
  </si>
  <si>
    <t>LIFE &amp; DISABILITY - CLERICAL &amp; SUPPORT STAFF</t>
  </si>
  <si>
    <t>11.952.00.2410.0210.500.0000</t>
  </si>
  <si>
    <t>LIFE &amp; DISABILITY - CLERICAL &amp; SUPPORT STAFF MS/HS</t>
  </si>
  <si>
    <t>11.950.00.2410.0220.105.0000</t>
  </si>
  <si>
    <t>FICA PRINCIPAL</t>
  </si>
  <si>
    <t>11.952.00.2410.0220.105.0000</t>
  </si>
  <si>
    <t>FICA PRINCIPAL - MS/HS</t>
  </si>
  <si>
    <t>11.950.00.2410.0220.106.0000</t>
  </si>
  <si>
    <t>FICA ASSISTANT PRINCIPAL</t>
  </si>
  <si>
    <t>11.950.11.2410.0220.106.0000</t>
  </si>
  <si>
    <t>FICA ASSISTANT PRINCIPAL - MLO</t>
  </si>
  <si>
    <t>11.952.00.2410.0220.106.0000</t>
  </si>
  <si>
    <t>FICA ASSISTANT PRINCIPAL - MS/HS</t>
  </si>
  <si>
    <t>11.950.00.2410.0220.500.0000</t>
  </si>
  <si>
    <t>FICA CLERICAL &amp; SUPPORT STAFF</t>
  </si>
  <si>
    <t>11.952.00.2410.0220.500.0000</t>
  </si>
  <si>
    <t>FICA CLERICAL &amp; SUPPORT STAFF MS/HS</t>
  </si>
  <si>
    <t>11.950.00.2410.0251.105.0000</t>
  </si>
  <si>
    <t>HEALTH - PRINCIPAL</t>
  </si>
  <si>
    <t>11.952.00.2410.0251.105.0000</t>
  </si>
  <si>
    <t>HEALTH - PRINCIPAL MS/HS</t>
  </si>
  <si>
    <t>11.950.00.2410.0251.106.0000</t>
  </si>
  <si>
    <t>HEALTH - ASSISTANT PRINCIPAL</t>
  </si>
  <si>
    <t>11.952.00.2410.0251.106.0000</t>
  </si>
  <si>
    <t>HEALTH - ASSISTANT PRINCIPAL - MS/HS</t>
  </si>
  <si>
    <t>11.950.11.2410.0251.106.0000</t>
  </si>
  <si>
    <t>HEALTH - ASSISTANT PRINCIPAL - MLO</t>
  </si>
  <si>
    <t>11.950.00.2410.0251.500.0000</t>
  </si>
  <si>
    <t>HEALTH - CLERICAL &amp; SUPPORT STAFF</t>
  </si>
  <si>
    <t>11.952.00.2410.0251.500.0000</t>
  </si>
  <si>
    <t>HEALTH - CLERICAL &amp; SUPPORT STAFF - MS/HS</t>
  </si>
  <si>
    <t>11.950.00.2410.0252.105.0000</t>
  </si>
  <si>
    <t>DENTAL - PRINCIPAL</t>
  </si>
  <si>
    <t>11.950.00.2410.0252.106.0000</t>
  </si>
  <si>
    <t>DENTAL - ASSISTANT PRINCIPAL</t>
  </si>
  <si>
    <t>11.950.00.2410.0252.500.0000</t>
  </si>
  <si>
    <t>DENTAL - CLERICAL &amp; SUPPORT STAFF</t>
  </si>
  <si>
    <t>11.950.00.2410.0253.105.0000</t>
  </si>
  <si>
    <t>VISION - PRINCIPAL</t>
  </si>
  <si>
    <t>11.950.00.2410.0253.106.0000</t>
  </si>
  <si>
    <t>VISION - ASSISTANT PRINCIPAL</t>
  </si>
  <si>
    <t>11.950.00.2410.0253.500.0000</t>
  </si>
  <si>
    <t>VISION - CLERICAL &amp; SUPPORT STAFF</t>
  </si>
  <si>
    <t>11.950.00.2410.0290.105.0000</t>
  </si>
  <si>
    <t>401k PRINCIPAL</t>
  </si>
  <si>
    <t>11.952.00.2410.0290.105.0000</t>
  </si>
  <si>
    <t>401k PRINCIPAL - MS/HS</t>
  </si>
  <si>
    <t>11.950.00.2410.0290.106.0000</t>
  </si>
  <si>
    <t>401k ASSISTANT PRINCIPAL</t>
  </si>
  <si>
    <t>11.952.00.2410.0290.106.0000</t>
  </si>
  <si>
    <t>401k ASSISTANT PRINCIPAL - MS/HS</t>
  </si>
  <si>
    <t>11.950.11.2410.0290.106.0000</t>
  </si>
  <si>
    <t>401k ASSISTANT PRINCIPAL - MLO</t>
  </si>
  <si>
    <t>11.950.00.2410.0290.500.0000</t>
  </si>
  <si>
    <t>401k CLERICAL &amp; SUPPORT STAFF</t>
  </si>
  <si>
    <t>11.952.00.2410.0290.500.0000</t>
  </si>
  <si>
    <t>401k CLERICAL &amp; SUPPORT STAFF - MS/HS</t>
  </si>
  <si>
    <t>11.950.00.2410.0340.000.0000</t>
  </si>
  <si>
    <t>PURCHASED SERVICES - ADMINISTRATION</t>
  </si>
  <si>
    <t>11.950.00.2410.0533.000.0000</t>
  </si>
  <si>
    <t>POSTAGE</t>
  </si>
  <si>
    <t>11.950.00.2410.0550.000.0000</t>
  </si>
  <si>
    <t>PRINTING, BINDING, DUPLICATION</t>
  </si>
  <si>
    <t>11.950.00.2410.0580.000.0000</t>
  </si>
  <si>
    <t>ADMIN TRAVEL, REGISTRATION</t>
  </si>
  <si>
    <t>11.950.00.2410.0610.000.0000</t>
  </si>
  <si>
    <t>SUPPLIES - GENERAL OFFICE</t>
  </si>
  <si>
    <t>11.952.00.2410.0610.000.0000</t>
  </si>
  <si>
    <t>SUPPLIES - GENERAL OFFICE MS/HS</t>
  </si>
  <si>
    <t>11.950.00.2410.0611.000.0000</t>
  </si>
  <si>
    <t>SUPPLIES - STUDENT FEES</t>
  </si>
  <si>
    <t>11.950.00.2410.0650.000.0000</t>
  </si>
  <si>
    <t>GENERAL ELECTRONIC MEDIA MATERIALS</t>
  </si>
  <si>
    <t>11.950.00.2410.0735.000.0000</t>
  </si>
  <si>
    <t>Non-Capital Equipment expense</t>
  </si>
  <si>
    <t>11.950.00.2410.0810.000.0000</t>
  </si>
  <si>
    <t>DUES &amp; FEES - ADMINISTRATIVE</t>
  </si>
  <si>
    <t>11.950.00.2410.0890.000.0000</t>
  </si>
  <si>
    <t>MISCELLANEOUS EXP - ADMINISTRATIVE</t>
  </si>
  <si>
    <t>TOTAL SCHOOL ADMINISTRATION</t>
  </si>
  <si>
    <t>BUSINESS SUPPORT SERVICES</t>
  </si>
  <si>
    <t>11.950.00.2500.0594.000.0000</t>
  </si>
  <si>
    <t>ACCOUNTING DISTRICT FEE - D49</t>
  </si>
  <si>
    <t>106.21 per fte</t>
  </si>
  <si>
    <t>11.950.00.2510.0110.509.0000</t>
  </si>
  <si>
    <t>BUSINESS MANAGER</t>
  </si>
  <si>
    <t>11.950.00.2510.0190.509.0000</t>
  </si>
  <si>
    <t>BONUS BUSINESS MANAGER</t>
  </si>
  <si>
    <t>11.950.00.2510.0220.509.0000</t>
  </si>
  <si>
    <t>FICA BUSINESS MANAGER</t>
  </si>
  <si>
    <t>11.950.00.2510.0251.509.0000</t>
  </si>
  <si>
    <t>HEALTH - BUSINESS MANAGER</t>
  </si>
  <si>
    <t>11.950.00.2510.0252.509.0000</t>
  </si>
  <si>
    <t>DENTAL - BUSINESS MANAGER</t>
  </si>
  <si>
    <t>11.950.00.2510.0253.509.0000</t>
  </si>
  <si>
    <t>VISION - BUSINESS MANAGER</t>
  </si>
  <si>
    <t>11.950.00.2510.0290.509.0000</t>
  </si>
  <si>
    <t>401k BUSINESS MANAGER</t>
  </si>
  <si>
    <t>11.950.00.2510.0313.000.0000</t>
  </si>
  <si>
    <t>BANKING FEES</t>
  </si>
  <si>
    <t>Bond Treasury fee $250, Trustee fee 2000, bank fees 250</t>
  </si>
  <si>
    <t>11.950.00.2510.0339.000.0000</t>
  </si>
  <si>
    <t>BACKGROUND CHECKS</t>
  </si>
  <si>
    <t>11.950.00.2515.0339.000.0000</t>
  </si>
  <si>
    <t>PAYROLL SERVICES</t>
  </si>
  <si>
    <t>Mosaica</t>
  </si>
  <si>
    <t>TOTAL BUSINESS SUPPORT SERVICES</t>
  </si>
  <si>
    <t>OPERATIONS &amp; MAINTENANCE</t>
  </si>
  <si>
    <t>11.950.00.2620.0110.608.0000</t>
  </si>
  <si>
    <t>CUSTODIAL</t>
  </si>
  <si>
    <t>11.952.00.2620.0110.608.0000</t>
  </si>
  <si>
    <t>CUSTODIAL - MS/HS</t>
  </si>
  <si>
    <t>11.950.00.2620.0190.608.0000</t>
  </si>
  <si>
    <t>BONUS CUSTODIAL</t>
  </si>
  <si>
    <t>11.950.00.2620.0150.608.0000</t>
  </si>
  <si>
    <t>PROJECT OVERSIGHT STIPEND</t>
  </si>
  <si>
    <t>11.950.00.2620.0220.608.0000</t>
  </si>
  <si>
    <t>FICA CUSTODIAL</t>
  </si>
  <si>
    <t>11.952.00.2620.0220.608.0000</t>
  </si>
  <si>
    <t>FICA CUSTODIAL - MS/HS</t>
  </si>
  <si>
    <t>11.950.00.2620.0251.608.0000</t>
  </si>
  <si>
    <t>HEALTH - CUSTODIAL</t>
  </si>
  <si>
    <t>11.952.00.2620.0251.608.0000</t>
  </si>
  <si>
    <t>HEALTH - CUSTODIAL - MS/HS</t>
  </si>
  <si>
    <t>11.950.00.2620.0252.608.0000</t>
  </si>
  <si>
    <t>DENTAL - CUSTODIAL</t>
  </si>
  <si>
    <t>11.950.00.2620.0253.608.0000</t>
  </si>
  <si>
    <t>VISION - CUSTODIAL</t>
  </si>
  <si>
    <t>11.950.00.2620.0290.608.0000</t>
  </si>
  <si>
    <t>401k CUSTODIAL</t>
  </si>
  <si>
    <t>11.952.00.2620.0290.608.0000</t>
  </si>
  <si>
    <t>401k CUSTODIAL - MS/HS</t>
  </si>
  <si>
    <t>11.950.00.2620.0110.103.0000</t>
  </si>
  <si>
    <t>FACILITIES MANAGER</t>
  </si>
  <si>
    <t>11.950.00.2620.0190.103.0000</t>
  </si>
  <si>
    <t>FACILITIES MANAGER  - BONUS</t>
  </si>
  <si>
    <t>11.950.00.2620.0220.103.0000</t>
  </si>
  <si>
    <t>FICA HS FACILITIES MANAGER</t>
  </si>
  <si>
    <t>11.950.00.2620.0251.103.0000</t>
  </si>
  <si>
    <t>HEALTH - HS FACILITIES MANAGER</t>
  </si>
  <si>
    <t>11.950.00.2620.0290.103.0000</t>
  </si>
  <si>
    <t>401k HS FACILITIES MANAGER</t>
  </si>
  <si>
    <t>11.952.00.2620.0110.103.0000</t>
  </si>
  <si>
    <t>FACILITIES MANAGER - MS/HS</t>
  </si>
  <si>
    <t>11.952.00.2620.0190.103.0000</t>
  </si>
  <si>
    <t>FACILITIES MANAGER  - MS/HS BONUS</t>
  </si>
  <si>
    <t>11.952.00.2620.0220.103.0000</t>
  </si>
  <si>
    <t>FICA HS FACILITIES MANAGER - MS/HS</t>
  </si>
  <si>
    <t>11.952.00.2620.0251.103.0000</t>
  </si>
  <si>
    <t>HEALTH - HS FACILITIES MANAGER - MS/HS</t>
  </si>
  <si>
    <t>11.952.00.2620.0290.103.0000</t>
  </si>
  <si>
    <t>401k HS FACILITIES MANAGER - MS/HS</t>
  </si>
  <si>
    <t>11.950.00.2620.0411.000.0000</t>
  </si>
  <si>
    <t>WATER/SEWAGE</t>
  </si>
  <si>
    <t>11.952.00.2620.0411.000.0000</t>
  </si>
  <si>
    <t>WATER/SEWAGE - MS/HS</t>
  </si>
  <si>
    <t>11.950.00.2620.0421.000.0000</t>
  </si>
  <si>
    <t>DISPOSAL SERVICE</t>
  </si>
  <si>
    <t>11.952.00.2620.0421.000.0000</t>
  </si>
  <si>
    <t>DISPOSAL SERVICE - MS/HS</t>
  </si>
  <si>
    <t>11.950.00.2620.0422.000.0000</t>
  </si>
  <si>
    <t>SNOW REMOVAL</t>
  </si>
  <si>
    <t>11.950.00.2620.0423.000.0000</t>
  </si>
  <si>
    <t>CUSTODIAL SERVICES(Includes BLPA Moving Costs)</t>
  </si>
  <si>
    <t>11.950.00.2620.0424.000.0000</t>
  </si>
  <si>
    <t>Lawn Care</t>
  </si>
  <si>
    <t>11.950.00.2620.0430.000.0000</t>
  </si>
  <si>
    <t>REPAIRS &amp; MAINT - FACILITY</t>
  </si>
  <si>
    <t>11.952.00.2620.0430.000.0000</t>
  </si>
  <si>
    <t>REPAIRS &amp; MAINT - FACILITY - MS/HS</t>
  </si>
  <si>
    <t>11.950.00.2620.0431.000.0000</t>
  </si>
  <si>
    <t>REPAIRS / MAINT - EQUIPMENT</t>
  </si>
  <si>
    <t>11.950.00.2620.0441.000.0000</t>
  </si>
  <si>
    <t>FACILITY RENT / BUILDING LEASE</t>
  </si>
  <si>
    <t>11.950.00.2620.0441.000.3113</t>
  </si>
  <si>
    <t>CAPITAL CONSTRUCTION FACILITY RENT/BUILDING LEASE</t>
  </si>
  <si>
    <t>11.950.00.2620.0442.000.0000</t>
  </si>
  <si>
    <t xml:space="preserve">EQUIPMENT RENTAL </t>
  </si>
  <si>
    <t>11.950.00.2620.0531.000.0000</t>
  </si>
  <si>
    <t>TELEPHONE</t>
  </si>
  <si>
    <t>Qwest 500/mo &amp; Verizon 165/mo</t>
  </si>
  <si>
    <t>11.952.00.2620.0531.000.0000</t>
  </si>
  <si>
    <t>TELEPHONE - MS/HS</t>
  </si>
  <si>
    <t>11.950.00.2620.0534.000.0000</t>
  </si>
  <si>
    <t>INTERNET ONLINE SERVICE</t>
  </si>
  <si>
    <t>11.952.00.2620.0534.000.0000</t>
  </si>
  <si>
    <t>INTERNET ONLINE SERVICE - MS/HS</t>
  </si>
  <si>
    <t>11.950.00.2620.0610.000.0000</t>
  </si>
  <si>
    <t>SUPPLIES - JANITORIAL</t>
  </si>
  <si>
    <t>11.952.00.2620.0610.000.0000</t>
  </si>
  <si>
    <t>SUPPLIES - JANITORIAL - MS/HS</t>
  </si>
  <si>
    <t>11.950.00.2620.0621.000.0000</t>
  </si>
  <si>
    <t>NATURAL GAS / ELECTRICITY</t>
  </si>
  <si>
    <t>11.952.00.2620.0621.000.0000</t>
  </si>
  <si>
    <t>NATURAL GAS / ELECTRICITY - MS/HS</t>
  </si>
  <si>
    <t>11.952.00.2620.0731.000.0000</t>
  </si>
  <si>
    <t>EQUIPMENT - DEPRECIABLE</t>
  </si>
  <si>
    <t>11.950.00.2660.0110.636.0000</t>
  </si>
  <si>
    <t>SECURITY / CROSSING GUARDS</t>
  </si>
  <si>
    <t>11.950.00.2660.0220.636.0000</t>
  </si>
  <si>
    <t>FICA SECURITY</t>
  </si>
  <si>
    <t>11.950.00.2660.0290.636.0000</t>
  </si>
  <si>
    <t>401k SECURITY</t>
  </si>
  <si>
    <t>11.950.00.2660.0426.000.0000</t>
  </si>
  <si>
    <t>SECURITY SERVICES</t>
  </si>
  <si>
    <t>11.950.00.2660.0734.000.0000</t>
  </si>
  <si>
    <t>CAPITAL OUTLAY - TECHNOLOGY- SECURITY</t>
  </si>
  <si>
    <t>TOTAL OPERATIONS &amp; MAINTENANCE</t>
  </si>
  <si>
    <t>CENTRAL SUPPORT &amp; COMMUNITY SERVICES</t>
  </si>
  <si>
    <t>11.950.00.2823.0340.000.0000</t>
  </si>
  <si>
    <t>PROFESSIONAL MARKETING</t>
  </si>
  <si>
    <t>11.950.00.2823.0341.000.0000</t>
  </si>
  <si>
    <t>MARKETING/FUNDRAISING - HIGH SCHOOL</t>
  </si>
  <si>
    <t>11.950.00.2823.0540.000.0000</t>
  </si>
  <si>
    <t>ADVERTISING / RECRUITING</t>
  </si>
  <si>
    <t>11.950.00.2830.0594.000.0000</t>
  </si>
  <si>
    <t>HUMAN RESOURCES PURCHASED - D49</t>
  </si>
  <si>
    <t>11.950.00.2835.0110.233.0000</t>
  </si>
  <si>
    <t>SCHOOL NURSE</t>
  </si>
  <si>
    <t>11.950.00.2835.0220.233.0000</t>
  </si>
  <si>
    <t>FICA SCHOOL NURSE</t>
  </si>
  <si>
    <t>11.950.00.2835.0251.233.0000</t>
  </si>
  <si>
    <t>HEALTH - SCHOOL NURSE</t>
  </si>
  <si>
    <t>11.950.00.2835.0290.233.0000</t>
  </si>
  <si>
    <t>401k SCHOOL NURSE</t>
  </si>
  <si>
    <t>11.950.00.2850.0521.000.0000</t>
  </si>
  <si>
    <t>PROPERTY/LIABILITY INSURANCE</t>
  </si>
  <si>
    <t>July 1-June30</t>
  </si>
  <si>
    <t>11.950.00.2850.0525.000.0000</t>
  </si>
  <si>
    <t>UNEMPLOYMENT INSURANCE</t>
  </si>
  <si>
    <t>11.950.00.2850.0526.000.0000</t>
  </si>
  <si>
    <t>WORKERS COMP INSURANCE</t>
  </si>
  <si>
    <t>11.950.00.3300.0110.403.0000</t>
  </si>
  <si>
    <t>BEFORE/AFTER SCHOOL LEADER</t>
  </si>
  <si>
    <t>11.950.00.3300.0190.403.0000</t>
  </si>
  <si>
    <t>BONUS BEFORE/AFTER SCHOL LEADER</t>
  </si>
  <si>
    <t>11.950.00.3300.0220.403.0000</t>
  </si>
  <si>
    <t>FICA BEFORE/AFTER SCHOOL LEADER</t>
  </si>
  <si>
    <t>11.950.00.3300.0290.403.0000</t>
  </si>
  <si>
    <t>401k BEFORE/AFTER SCHOOL LEADER</t>
  </si>
  <si>
    <t>TOTAL CENTRAL SUPPORT/COMM SERVICES</t>
  </si>
  <si>
    <t>OUTGOING TRANSFERS &amp; OTHER TRANSACTIONS</t>
  </si>
  <si>
    <t>11.950.00.4600.0450.000.0000</t>
  </si>
  <si>
    <t>BUILDING RENOVATION SERVICES</t>
  </si>
  <si>
    <t>11.950.10.4600.0450.000.0000</t>
  </si>
  <si>
    <t>BUILDING RENOVATION SERVICES - MLO</t>
  </si>
  <si>
    <t>11.950.00.4600.0722.000.0000</t>
  </si>
  <si>
    <t>BUILDING IMPROVEMENTS</t>
  </si>
  <si>
    <t>11.950.10.4600.0722.000.0000</t>
  </si>
  <si>
    <t>BUILDING IMPROVEMENTS - MLO</t>
  </si>
  <si>
    <t>11.950.00.5000.5621.000.0000</t>
  </si>
  <si>
    <t xml:space="preserve">TRANSFER TO CAPITAL RESERVE </t>
  </si>
  <si>
    <t>11.950.00.5000.5651.000.0000</t>
  </si>
  <si>
    <t xml:space="preserve">TRANSFER TO FOOD SERVICE </t>
  </si>
  <si>
    <t>11.950.00.5100.0832.000.0000</t>
  </si>
  <si>
    <t>SHORT TERM INTEREST</t>
  </si>
  <si>
    <t>11.950.00.5100.0833.000.0000</t>
  </si>
  <si>
    <t>CAPITAL LEASE REDEMPTION - INTEREST</t>
  </si>
  <si>
    <t>11.950.00.5100.0913.000.0000</t>
  </si>
  <si>
    <t>CAPITAL LEASE REDEMPTION - PRINCIPAL</t>
  </si>
  <si>
    <t>11.950.00.9100.0840.000.0000</t>
  </si>
  <si>
    <t>UNRESTRICTED 5% WORKING CAPITAL RESERVE</t>
  </si>
  <si>
    <t>11.950.00.9310.0840.000.0000</t>
  </si>
  <si>
    <t>TABOR RESERVE 3%</t>
  </si>
  <si>
    <t>11.950.00.9900.0840.000.4394</t>
  </si>
  <si>
    <t>FEDERAL STIMULUS FUNDS - FISCAL EMERGENCY RESERVE</t>
  </si>
  <si>
    <t>TOTAL OUTGOING /OTHER TRANSACTIONS</t>
  </si>
  <si>
    <t>TOTAL GENERAL FUND EXPENDITURES (w/o FOOD SERVICE COSTS)</t>
  </si>
  <si>
    <t>CURRENT YEAR CHANGE IN FUND BALANCE (w/o FOOD SERVICE FB)</t>
  </si>
  <si>
    <t>PRIOR YEAR FUND BALANCE - GENERAL FUND (w/o FOOD SERVICE FB)</t>
  </si>
  <si>
    <t>EXPECTED CURRENT YEAR FUND BALANCE - GENERAL FUND (w/o FOOD SERVICE FB)</t>
  </si>
  <si>
    <t>51   FOOD SERVICE FUND</t>
  </si>
  <si>
    <t>FOOD SERVICE FUND REVENUES</t>
  </si>
  <si>
    <t>51.950.00.0000.1510.000.0000</t>
  </si>
  <si>
    <t>INTEREST ON INVESTMENTS</t>
  </si>
  <si>
    <t>51.950.00.0000.1611.000.0000</t>
  </si>
  <si>
    <t>SALES TO STUDENTS</t>
  </si>
  <si>
    <t>51.950.00.0000.4550.000.4550</t>
  </si>
  <si>
    <t>USDA COMMODITIES</t>
  </si>
  <si>
    <t>51.950.00.0000.4553.000.0000</t>
  </si>
  <si>
    <t>CHILD NUTRITION PROGRAM - BREAKFAST</t>
  </si>
  <si>
    <t>51.950.00.0000.4555.000.0000</t>
  </si>
  <si>
    <t>CHILD NUTRITION PROGRAM - LUNCH</t>
  </si>
  <si>
    <t>51.950.00.0000.5211.000.0000</t>
  </si>
  <si>
    <t>CONTRIBUTION FROM GENERAL FUND</t>
  </si>
  <si>
    <t>TOTAL FOOD SERVICE FUND REVENUES</t>
  </si>
  <si>
    <t>FOOD SERVICE FUND EXPENDITURES</t>
  </si>
  <si>
    <t>51.950.00.3120.0110.607.0000</t>
  </si>
  <si>
    <t>FOOD SERVICE STAFF</t>
  </si>
  <si>
    <t>51.952.00.3120.0110.607.0000</t>
  </si>
  <si>
    <t>FOOD SERVICE STAFF - MS/HS</t>
  </si>
  <si>
    <t>51.950.00.3120.0190.607.0000</t>
  </si>
  <si>
    <t>BONUS FOOD SERVICE</t>
  </si>
  <si>
    <t>51.950.00.3120.0220.607.0000</t>
  </si>
  <si>
    <t>FICA - FOOD SERVICE STAFF</t>
  </si>
  <si>
    <t>51.952.00.3120.0220.607.0000</t>
  </si>
  <si>
    <t>FICA - FOOD SERVICE STAFF - MS/HS</t>
  </si>
  <si>
    <t>51.950.00.3120.0251.607.0000</t>
  </si>
  <si>
    <t xml:space="preserve">MEDICAL INSURANCE </t>
  </si>
  <si>
    <t>51.952.00.3120.0251.607.0000</t>
  </si>
  <si>
    <t>MEDICAL INSURANCE  - MS/HS</t>
  </si>
  <si>
    <t>51.950.00.3120.0290.607.0000</t>
  </si>
  <si>
    <t>401K - FOOD SERVICE STAFF</t>
  </si>
  <si>
    <t>51.952.00.3120.0290.607.0000</t>
  </si>
  <si>
    <t>401K - FOOD SERVICE STAFF - MS/HS</t>
  </si>
  <si>
    <t>51.950.00.3120.0570.000.0000</t>
  </si>
  <si>
    <t>CONTRACTED FOOD MANAGEMENT SERVICES</t>
  </si>
  <si>
    <t>51.950.00.3120.0610.000.0000</t>
  </si>
  <si>
    <t>NON-FOOD SUPPLIES</t>
  </si>
  <si>
    <t>51.950.00.3120.0630.000.0000</t>
  </si>
  <si>
    <t>FOOD SUPPLIES</t>
  </si>
  <si>
    <t>51.950.00.3120.0631.000.0000</t>
  </si>
  <si>
    <t>MILK</t>
  </si>
  <si>
    <t>51.950.00.3120.0632.000.0000</t>
  </si>
  <si>
    <t>USDA COMMODITIES FEES</t>
  </si>
  <si>
    <t>51.950.00.3120.0633.000.4550</t>
  </si>
  <si>
    <t>51.950.00.3120.0730.000.0000</t>
  </si>
  <si>
    <t>CAPITAL OUTLAY</t>
  </si>
  <si>
    <t>TOTAL FOOD SERVICE FUND EXPENSE</t>
  </si>
  <si>
    <t>CURRENT YEAR CHANGE IN FUND BALANCE - FOOD SERVICES</t>
  </si>
  <si>
    <t>PRIOR YEAR FUND BALANCE - FOOD SERVICES</t>
  </si>
  <si>
    <t>EXPECTED CURRENT YEAR FUND BALANCE - FOOD SERVICES</t>
  </si>
  <si>
    <t>COMBINED FUND BALANCES OF GENERAL FUND AND FOOD SERVICES</t>
  </si>
  <si>
    <t xml:space="preserve">CURRENT YEAR CHANGE IN FUND BALANCE </t>
  </si>
  <si>
    <t>PRIOR YEAR FUND BALANCE  - UNAUDITED</t>
  </si>
  <si>
    <t xml:space="preserve">EXPECTED CURRENT YEAR FUND BALANCE </t>
  </si>
  <si>
    <t>52   ENTERPRISE FUND</t>
  </si>
  <si>
    <t>ENTERPRISE FUND REVENUES</t>
  </si>
  <si>
    <t>52.950.00.0000.1510.000.0000</t>
  </si>
  <si>
    <t>52.950.00.0000.1910.000.0000</t>
  </si>
  <si>
    <t>LEASE REVENUE FROM FOUNDATION</t>
  </si>
  <si>
    <t>TOTAL ENTERPRISE FUND REVENUES</t>
  </si>
  <si>
    <t>ENTERPRISE FUND EXPENDITURES</t>
  </si>
  <si>
    <t>52.950.00.0060.0610.000.0000</t>
  </si>
  <si>
    <t>MAPS &amp; GLOBES</t>
  </si>
  <si>
    <t>52.950.00.0060.0640.000.0000</t>
  </si>
  <si>
    <t xml:space="preserve">CURRICULUM - OPEN COURT READING </t>
  </si>
  <si>
    <t>52.950.00.0060.0644.000.0000</t>
  </si>
  <si>
    <t>CURRICULUM - REAL MATH</t>
  </si>
  <si>
    <t>52.950.00.0060.0645.000.0000</t>
  </si>
  <si>
    <t xml:space="preserve">CURRICULUM - HARCOURT SCIENCE </t>
  </si>
  <si>
    <t>52.950.00.0060.0733.000.0000</t>
  </si>
  <si>
    <t>FURNITURE &amp; FIXTURES</t>
  </si>
  <si>
    <t>52.950.00.0060.0734.000.0000</t>
  </si>
  <si>
    <t>CLASSROOM TECHNOLOGY</t>
  </si>
  <si>
    <t>52.950.00.2222.0640.000.0000</t>
  </si>
  <si>
    <t>LIBRARY MEDIA</t>
  </si>
  <si>
    <t>52.950.00.3220.0740.000.0000</t>
  </si>
  <si>
    <t>DEPRECIATION EXPENSE</t>
  </si>
  <si>
    <t>52.950.00.3220.0741.000.0000</t>
  </si>
  <si>
    <t>AMORTIZATION EXPENSE</t>
  </si>
  <si>
    <t>52.950.00.4500.0721.000.0000</t>
  </si>
  <si>
    <t>FACILITY ACQUISITION/IMPROVEMENTS</t>
  </si>
  <si>
    <t>52.950.00.5100.0831.000.0000</t>
  </si>
  <si>
    <t>FACILITY DEBT SERVICE - INTEREST</t>
  </si>
  <si>
    <t>52.950.00.5100.0852.000.0000</t>
  </si>
  <si>
    <t>52.950.00.5100.0940.000.0000</t>
  </si>
  <si>
    <t>TRUSTEE FEES</t>
  </si>
  <si>
    <t>TOTAL ENTERPRISE FUND EXPENDITURES</t>
  </si>
  <si>
    <t>CURRENT YEAR CHANGE IN RETAINED EARNINGS</t>
  </si>
  <si>
    <t>PRIOR YEAR RETAINED EARNINGS - UNAUDITED</t>
  </si>
  <si>
    <t>EXPECTED CURRENT YEAR RETAINED EARNINGS</t>
  </si>
  <si>
    <t>74   STUDENT ACTIVITIES FUND</t>
  </si>
  <si>
    <t>STUDENT ACTIVITIES FUND REVENUES</t>
  </si>
  <si>
    <t>74.950.00.0000.1720.000.0000</t>
  </si>
  <si>
    <t>BOOK FAIR/YEARBOOK</t>
  </si>
  <si>
    <t>74.950.00.0000.1740.000.0000</t>
  </si>
  <si>
    <t>FIELD TRIP FEES</t>
  </si>
  <si>
    <t>74.950.00.0000.1750.000.0000</t>
  </si>
  <si>
    <t>FUNDRAISERS</t>
  </si>
  <si>
    <t>74.950.00.0000.1790.000.0000</t>
  </si>
  <si>
    <t>Uniform Sales</t>
  </si>
  <si>
    <t>74.950.00.0000.1790.000.0001</t>
  </si>
  <si>
    <t>Club Revenues</t>
  </si>
  <si>
    <t>74.950.00.0000.1790.000.0002</t>
  </si>
  <si>
    <t>Smile Squad Revenues</t>
  </si>
  <si>
    <t>74.950.00.0000.1790.000.0003</t>
  </si>
  <si>
    <t>PTO Reimbursement Revenues</t>
  </si>
  <si>
    <t>TOTAL STUDENT ACTIVITIES FUND REVENUES</t>
  </si>
  <si>
    <t>STUDENT ACTIVITIES FUND EXPENDITURES</t>
  </si>
  <si>
    <t>74.950.00.1900.0513.000.0000</t>
  </si>
  <si>
    <t>FIELD TRIPS</t>
  </si>
  <si>
    <t>74.950.00.1900.0340.000.0000</t>
  </si>
  <si>
    <t>STUDENT ACTIVITIES - PURCHASED SERVICES</t>
  </si>
  <si>
    <t>74.950.00.1900.0611.000.0000</t>
  </si>
  <si>
    <t>74.950.00.1900.0612.000.0000</t>
  </si>
  <si>
    <t>STUDENT COUNCIL</t>
  </si>
  <si>
    <t>74.950.00.1900.0612.000.0002</t>
  </si>
  <si>
    <t>SMILE SQUAD EXPENSE</t>
  </si>
  <si>
    <t>74.950.00.1900.0612.000.0003</t>
  </si>
  <si>
    <t>PTO REIMB EXPENSE</t>
  </si>
  <si>
    <t>74.950.00.1900.0614.000.0000</t>
  </si>
  <si>
    <t>FUNDRAISER SUPPLIES</t>
  </si>
  <si>
    <t>74.950.00.1900.0614.000.0072</t>
  </si>
  <si>
    <t>Art Supplies</t>
  </si>
  <si>
    <t>74.950.00.1900.0615.000.0000</t>
  </si>
  <si>
    <t>CLUB EXPENSES</t>
  </si>
  <si>
    <t>TOTAL STUDENT ACTIVITIES FUND EXPENSE</t>
  </si>
  <si>
    <t>TABOR Calculation:</t>
  </si>
  <si>
    <t>FY17 - Actual Balance</t>
  </si>
  <si>
    <t>FY18 - Estimated Addition</t>
  </si>
  <si>
    <t>FY18 - Estimated Balance</t>
  </si>
  <si>
    <t>FY19 - Estimated Balance</t>
  </si>
  <si>
    <t>FY19 - Estimated Expense</t>
  </si>
  <si>
    <t>BLRA STAFFING - FY19 BUDGET</t>
  </si>
  <si>
    <t>Payroll Taxes-Employers Share</t>
  </si>
  <si>
    <t>Insurance-Employers Share</t>
  </si>
  <si>
    <t>Workmen</t>
  </si>
  <si>
    <t>Notes/Questions/Comments</t>
  </si>
  <si>
    <t>Last Name</t>
  </si>
  <si>
    <t>Title</t>
  </si>
  <si>
    <t>Split</t>
  </si>
  <si>
    <t>Status</t>
  </si>
  <si>
    <t>CIL</t>
  </si>
  <si>
    <t>Increase</t>
  </si>
  <si>
    <t>Per Pay</t>
  </si>
  <si>
    <t>Annual Salary with CIL</t>
  </si>
  <si>
    <t>Soc. Sec.</t>
  </si>
  <si>
    <t>Medicare</t>
  </si>
  <si>
    <t>401k Match</t>
  </si>
  <si>
    <t>FUTA</t>
  </si>
  <si>
    <t>SUTA</t>
  </si>
  <si>
    <t>Total</t>
  </si>
  <si>
    <t>Employer</t>
  </si>
  <si>
    <t>Dental</t>
  </si>
  <si>
    <t>Vision</t>
  </si>
  <si>
    <t>Life/LTD/AD&amp;D</t>
  </si>
  <si>
    <t>Comp.</t>
  </si>
  <si>
    <t>17-18 Salary</t>
  </si>
  <si>
    <t>Merit</t>
  </si>
  <si>
    <t>%age</t>
  </si>
  <si>
    <t>Rate</t>
  </si>
  <si>
    <t>6.2%</t>
  </si>
  <si>
    <t>1.45%</t>
  </si>
  <si>
    <t xml:space="preserve">4% Insperity </t>
  </si>
  <si>
    <t>Taxes</t>
  </si>
  <si>
    <t>Hlth/Dtl/Vsn/Life</t>
  </si>
  <si>
    <t>Insurance</t>
  </si>
  <si>
    <t>.70</t>
  </si>
  <si>
    <t>1st</t>
  </si>
  <si>
    <t>Alley, Brianna</t>
  </si>
  <si>
    <t>Teacher</t>
  </si>
  <si>
    <t>I changed the header on column K to 17-18 salary - I also expanded column J so that I could address bonuses.</t>
  </si>
  <si>
    <t>Arvola, Emily (Resignation --&gt; TBH)</t>
  </si>
  <si>
    <t>NEW</t>
  </si>
  <si>
    <t>Alley</t>
  </si>
  <si>
    <t>Barglowski, Katie</t>
  </si>
  <si>
    <t>4th</t>
  </si>
  <si>
    <t>Bell, Caydee (Resignation --&gt; TBH)</t>
  </si>
  <si>
    <t>Teacher - Should be 50% of $47K</t>
  </si>
  <si>
    <t>2nd</t>
  </si>
  <si>
    <t>Brunker, Amanda</t>
  </si>
  <si>
    <t>3rd</t>
  </si>
  <si>
    <t>Cruthis, Allison</t>
  </si>
  <si>
    <t>Doll, Emily (Resignation --&gt; TBH)</t>
  </si>
  <si>
    <t>Hepworth</t>
  </si>
  <si>
    <t>Esquibel, Crissy Ann</t>
  </si>
  <si>
    <t>Wall</t>
  </si>
  <si>
    <t>Estevez, Laura</t>
  </si>
  <si>
    <t>Fladland, Emmalee</t>
  </si>
  <si>
    <t>K</t>
  </si>
  <si>
    <t>Gellerman, Julia</t>
  </si>
  <si>
    <t>5th</t>
  </si>
  <si>
    <t>Hepworth, , Jen</t>
  </si>
  <si>
    <t>Andriano</t>
  </si>
  <si>
    <t>Larkin, Emma</t>
  </si>
  <si>
    <t>Loconti, Frank</t>
  </si>
  <si>
    <t>Hansen</t>
  </si>
  <si>
    <t>Manhire, Nena</t>
  </si>
  <si>
    <t>Nemeth, Kassie (Resignation --&gt; TBH)</t>
  </si>
  <si>
    <t>Dehoyos</t>
  </si>
  <si>
    <t>Quintana, Heather</t>
  </si>
  <si>
    <t>Brizic</t>
  </si>
  <si>
    <t>Rich, Eliza</t>
  </si>
  <si>
    <t>Riegle, Ashley (Resignation --&gt; TBH)</t>
  </si>
  <si>
    <t>Schreffler, Carrie --&gt; Young, J</t>
  </si>
  <si>
    <t>Carrie Schreffler was replaced in October 2017 with Jeannie Young - this position can be eliminated since JY's position is accounted for below</t>
  </si>
  <si>
    <t>Stahlnecker, Kirstie</t>
  </si>
  <si>
    <t>Teti, Robert</t>
  </si>
  <si>
    <t>Tichenor, Angie</t>
  </si>
  <si>
    <t>Troupe, Megan,</t>
  </si>
  <si>
    <t>Vinchattle, Laura</t>
  </si>
  <si>
    <t>Vose, Janie</t>
  </si>
  <si>
    <t>Waldron, Jonah</t>
  </si>
  <si>
    <t>Welch, Soffia</t>
  </si>
  <si>
    <t>Williams, Stephanie</t>
  </si>
  <si>
    <t>Wright, Jennifer</t>
  </si>
  <si>
    <t>Young, Jeanie</t>
  </si>
  <si>
    <t>Zimmer, Tiffanie</t>
  </si>
  <si>
    <t>Act. Bonus</t>
  </si>
  <si>
    <t>Est. Bonus (46200) + 1800 Lead Teachers + 11,000 Athletic Coaches + 4000 Music + 250 student council + 250 yearbook + 500 NHS</t>
  </si>
  <si>
    <t>Why would athletic coaches be under elementary on the staffing page when we have dedicated lines on the REV-EXP Report tab?</t>
  </si>
  <si>
    <t>TOTAL ELEMENTARY TEACHERS</t>
  </si>
  <si>
    <t>001010</t>
  </si>
  <si>
    <t>6th</t>
  </si>
  <si>
    <t>Beary, Elaine</t>
  </si>
  <si>
    <t>7th</t>
  </si>
  <si>
    <t>Como, Brent</t>
  </si>
  <si>
    <t>8th</t>
  </si>
  <si>
    <t>England, Kendra</t>
  </si>
  <si>
    <t>Greene, Todd (Resignation --&gt; Moved to HS)</t>
  </si>
  <si>
    <t>Eliminated this part-time position</t>
  </si>
  <si>
    <t>Dewey</t>
  </si>
  <si>
    <t>Hill, Julie</t>
  </si>
  <si>
    <t>x</t>
  </si>
  <si>
    <t>Korthals, Jessica</t>
  </si>
  <si>
    <t>Larson, Jedidiah</t>
  </si>
  <si>
    <t>Lisa DeHoyos</t>
  </si>
  <si>
    <t>Maze, Jennifer</t>
  </si>
  <si>
    <t>McKenzie,Wesley (Tech --&gt; Move to Specials)</t>
  </si>
  <si>
    <t>Moved Wes McKenzie to Specials as he teaches Technology</t>
  </si>
  <si>
    <t>Montel, Tamala</t>
  </si>
  <si>
    <t>Porterfield, Collin</t>
  </si>
  <si>
    <t>Rivera, Katherine</t>
  </si>
  <si>
    <t>Watson, Austin</t>
  </si>
  <si>
    <t>Coaching Stipends - Middle School</t>
  </si>
  <si>
    <t>EST. BONUS</t>
  </si>
  <si>
    <t>TOTAL MIDDLE SCHOOL  TEACHERS</t>
  </si>
  <si>
    <t>9th</t>
  </si>
  <si>
    <t>Dorrell, Brianna</t>
  </si>
  <si>
    <t>Bradford, Myron/Geiger, Hannah</t>
  </si>
  <si>
    <t>Miller, Dale</t>
  </si>
  <si>
    <t>Reeves, Katie</t>
  </si>
  <si>
    <t>10th</t>
  </si>
  <si>
    <t>ELA TBH</t>
  </si>
  <si>
    <t>Math TBH</t>
  </si>
  <si>
    <t>Science TBH</t>
  </si>
  <si>
    <t>SS TBH</t>
  </si>
  <si>
    <t>Coaching Stipends - High School</t>
  </si>
  <si>
    <t>11th</t>
  </si>
  <si>
    <t>12th</t>
  </si>
  <si>
    <t>TOTAL HIGH SCHOOL TEACHERS</t>
  </si>
  <si>
    <t>PE-BLRA</t>
  </si>
  <si>
    <t>Brooks, Derik</t>
  </si>
  <si>
    <t>PE-BLPA</t>
  </si>
  <si>
    <t>Carson, Mark</t>
  </si>
  <si>
    <t>Edler, Amanda</t>
  </si>
  <si>
    <t>Gordon, Eric</t>
  </si>
  <si>
    <t>TECH-BLPA</t>
  </si>
  <si>
    <t>McKenzie, Wes</t>
  </si>
  <si>
    <t>Wes McKenzie replaced Frances Lucas in December --&gt; no bonus</t>
  </si>
  <si>
    <t>Nicholson, Brittney</t>
  </si>
  <si>
    <t>Portwood, Jeff</t>
  </si>
  <si>
    <t>ELECTIVES-BLPA</t>
  </si>
  <si>
    <t>Towery, Michael</t>
  </si>
  <si>
    <t>ELECTIVES - TBH</t>
  </si>
  <si>
    <t>TOTAL SPECIALS TEACHERS</t>
  </si>
  <si>
    <t>Art</t>
  </si>
  <si>
    <t>Clark, Lizzy</t>
  </si>
  <si>
    <t>Kalawe, Darlene</t>
  </si>
  <si>
    <t>TOTAL ART TEACHERS</t>
  </si>
  <si>
    <t>WL</t>
  </si>
  <si>
    <t>Aguilar, Kristin</t>
  </si>
  <si>
    <t>Solo, Kristine (Resignation --&gt; TBH)</t>
  </si>
  <si>
    <t>Theis, Kalene</t>
  </si>
  <si>
    <t>TOTAL FOREIGN LANGAUGE TEACHERS</t>
  </si>
  <si>
    <t>Music</t>
  </si>
  <si>
    <t>Jones, Peter</t>
  </si>
  <si>
    <t>Oliver, Dana</t>
  </si>
  <si>
    <t>TOTAL MUSIC TEACHERS</t>
  </si>
  <si>
    <t>Ham</t>
  </si>
  <si>
    <t>Director of Individualized Instruction</t>
  </si>
  <si>
    <t>Andrea Ham</t>
  </si>
  <si>
    <t>Director of Individ Instr</t>
  </si>
  <si>
    <t>Could we eliminate the DIR of INDIV. INSTRUCTION section from the spreadsheet?</t>
  </si>
  <si>
    <t>MLO DOLLARS</t>
  </si>
  <si>
    <t>TOTAL DIRECTOR OF INDIV. INSTRUCTION</t>
  </si>
  <si>
    <t>Various</t>
  </si>
  <si>
    <t>Substitute Teacher</t>
  </si>
  <si>
    <t>new</t>
  </si>
  <si>
    <t>Is it reasonable to request that substitute usage data be pulled to use with estimating this for 2018-19?  Also, do I understand correctly that we need to account for reimbursement of unused vacation days in this line? If so, then I estimate this at $127,000</t>
  </si>
  <si>
    <t>(35+5)*12*90=43200 Max for paid leave time + 1 day for professional development</t>
  </si>
  <si>
    <t>TOTAL SUBSTITUTES</t>
  </si>
  <si>
    <t>Could we eliminate the SE Aide section from the spreadsheet?</t>
  </si>
  <si>
    <t>TOTAL SE AIDE</t>
  </si>
  <si>
    <t xml:space="preserve"> Aide (Middle School)</t>
  </si>
  <si>
    <t>Riess, Tanya (Moved to Instructional Aides)</t>
  </si>
  <si>
    <t>Instructional Aide - BLPA  w/ Library Duties</t>
  </si>
  <si>
    <t>Move this position to INSTRUCTIONAL AIDES</t>
  </si>
  <si>
    <t>Aide (Kinder)</t>
  </si>
  <si>
    <t>Garza,Heather (Moved to Instructional Aides)</t>
  </si>
  <si>
    <t>Instructional Aide &lt;25hrs/wk</t>
  </si>
  <si>
    <t>Kinder Aide</t>
  </si>
  <si>
    <t>Helmns, Laura (Moved to Instructional Aides)</t>
  </si>
  <si>
    <t>Building Aide  - BLRA w/ Library Duties</t>
  </si>
  <si>
    <t>Koepp, Jenna (Moved to Instructional Aides)</t>
  </si>
  <si>
    <t>Instructional Aide</t>
  </si>
  <si>
    <t>Bldg Aide</t>
  </si>
  <si>
    <t>Stegman, CharLynn (Moved to Instructional Aides)</t>
  </si>
  <si>
    <t>Instructional Aide - BLRA</t>
  </si>
  <si>
    <t>TOTAL BUILDING AIDES</t>
  </si>
  <si>
    <t>ES Account</t>
  </si>
  <si>
    <t>001018</t>
  </si>
  <si>
    <t>Interventionist</t>
  </si>
  <si>
    <t>DNH</t>
  </si>
  <si>
    <t>Interventionist/40hrs/wk</t>
  </si>
  <si>
    <t>Interventionist - to Hlth Aide</t>
  </si>
  <si>
    <t>Interventionist/40 hrs/wk</t>
  </si>
  <si>
    <t>Interventionist/40 hrs.wk</t>
  </si>
  <si>
    <t>TOTAL INTERVENTIONIST</t>
  </si>
  <si>
    <t>In CO, interventionists are considered teachers (salaried) - we will not have interventionists in 2018-19</t>
  </si>
  <si>
    <t>Vose, Janie (Moved to TOSA Category)</t>
  </si>
  <si>
    <t>Instructional Coach</t>
  </si>
  <si>
    <t>Move this position to TEACHER ON SPECIAL ASSIGNMENT</t>
  </si>
  <si>
    <t>BLRA</t>
  </si>
  <si>
    <t>Garza,Heather</t>
  </si>
  <si>
    <t>Instructional Aide &lt;25hrs/wk - BLRA</t>
  </si>
  <si>
    <t>Helmns, Laura</t>
  </si>
  <si>
    <t>Instructional Aide - BLRA w/ Library Duties</t>
  </si>
  <si>
    <t>Koepp, Jenna</t>
  </si>
  <si>
    <t>Kula, Carla</t>
  </si>
  <si>
    <t>Instructional Aide &lt;25 hrs/wk</t>
  </si>
  <si>
    <t>BLPA</t>
  </si>
  <si>
    <t>Riess, Tanya</t>
  </si>
  <si>
    <t>Stegman, CharLynn</t>
  </si>
  <si>
    <t>TOTAL INSTRUCTIONAL AIDES</t>
  </si>
  <si>
    <t>MS Account</t>
  </si>
  <si>
    <t>Crossing Guards</t>
  </si>
  <si>
    <t>Hainault, Krystal</t>
  </si>
  <si>
    <t>Crossing Guard</t>
  </si>
  <si>
    <t>Gladdin, Sean</t>
  </si>
  <si>
    <t>Miller, Lucy</t>
  </si>
  <si>
    <t>TBH</t>
  </si>
  <si>
    <t>TOTAL Crossing Guards</t>
  </si>
  <si>
    <t>Health Aide</t>
  </si>
  <si>
    <t xml:space="preserve">Health Aide 40hrs/wk </t>
  </si>
  <si>
    <t>Could we eliminate the Health Aide section from the spreadsheet?</t>
  </si>
  <si>
    <t>TOTAL Health Aide</t>
  </si>
  <si>
    <t>Lunchroom supervisor</t>
  </si>
  <si>
    <t>Kula, Carla (Moved to Instructional Aides)</t>
  </si>
  <si>
    <t>Gansewendt, Jill</t>
  </si>
  <si>
    <t>Lunch Aide &lt;25 hrs/wk</t>
  </si>
  <si>
    <t>Reya, Stephen (sp?)</t>
  </si>
  <si>
    <t>Klever, Mary</t>
  </si>
  <si>
    <t>Chang, Christine</t>
  </si>
  <si>
    <t>TOTAL FOOD STAFF/Lunch room aide</t>
  </si>
  <si>
    <t>Brundage</t>
  </si>
  <si>
    <t>Chief Administrative Officer</t>
  </si>
  <si>
    <t>Morse, Todd</t>
  </si>
  <si>
    <t>CAO (Chief Administrative Officer)</t>
  </si>
  <si>
    <t>EST BONUS</t>
  </si>
  <si>
    <t>TOTAL CENTRAL ADMINISTRATION</t>
  </si>
  <si>
    <t>Warren</t>
  </si>
  <si>
    <t>Principal - Elementary</t>
  </si>
  <si>
    <t>Molnar, Shannon</t>
  </si>
  <si>
    <t>Principal - BLRA</t>
  </si>
  <si>
    <t>Wilkinson</t>
  </si>
  <si>
    <t>Principal - Middle School</t>
  </si>
  <si>
    <t>Monson, Brandon</t>
  </si>
  <si>
    <t>Principal - BLPA</t>
  </si>
  <si>
    <t>Asst. Principal</t>
  </si>
  <si>
    <t>Dahlman, Rick</t>
  </si>
  <si>
    <t>Assistant Principal - BLRA</t>
  </si>
  <si>
    <t>Crew, Cheryl</t>
  </si>
  <si>
    <t>Assistant Principal - BLPA</t>
  </si>
  <si>
    <t>BLPA Assistant Principal #2 - TBH</t>
  </si>
  <si>
    <t>TOTAL SITE ADMINISTRATION</t>
  </si>
  <si>
    <t>Counselor - Elementary</t>
  </si>
  <si>
    <t>Holmes, Alexandria</t>
  </si>
  <si>
    <t>Counselor - BLRA</t>
  </si>
  <si>
    <t>Counselor - MS/HS</t>
  </si>
  <si>
    <t>Wiggins, Liz</t>
  </si>
  <si>
    <t>Counselor - BLPA</t>
  </si>
  <si>
    <t>Volz, Jordan</t>
  </si>
  <si>
    <t>BLPA Counselor - TBH</t>
  </si>
  <si>
    <t>TOTAL COUNSELOR</t>
  </si>
  <si>
    <t>Christian</t>
  </si>
  <si>
    <t>Dean</t>
  </si>
  <si>
    <t>DEAN</t>
  </si>
  <si>
    <t>DEAN - ELEM</t>
  </si>
  <si>
    <t>Dahlman, Rick (Moved to SITE ADMINISTRATION)</t>
  </si>
  <si>
    <t>ASST PRINC - ES</t>
  </si>
  <si>
    <t>Crew, Cheryl (Moved to SITE ADMINISTRATION)</t>
  </si>
  <si>
    <t>ASST PRINC - BLPA</t>
  </si>
  <si>
    <t>TOTAL DEAN</t>
  </si>
  <si>
    <t>008012</t>
  </si>
  <si>
    <t>Andriano, Rebekah</t>
  </si>
  <si>
    <t>MTSS - BIS</t>
  </si>
  <si>
    <t>Mavel, Jesse</t>
  </si>
  <si>
    <t>BIS</t>
  </si>
  <si>
    <t>Duplicate</t>
  </si>
  <si>
    <t>TOTAL TEACHER ON SPECIAL ASSIGNMENT</t>
  </si>
  <si>
    <t>Gifted/Talented</t>
  </si>
  <si>
    <t>Eisenman, Miriah</t>
  </si>
  <si>
    <t>G/T</t>
  </si>
  <si>
    <t>Eisenman, Michael (Resignation --&gt; TBH)</t>
  </si>
  <si>
    <t>TOTAL GT</t>
  </si>
  <si>
    <t>Business Manager</t>
  </si>
  <si>
    <t>Barrett, Deann</t>
  </si>
  <si>
    <t>Business Manaer</t>
  </si>
  <si>
    <t>TOTAL BUSINESS MANAGER</t>
  </si>
  <si>
    <t>Registrar</t>
  </si>
  <si>
    <t>Carlson, Vanessa</t>
  </si>
  <si>
    <t>Registar - BLRA</t>
  </si>
  <si>
    <t>TOTAL REGISTAR</t>
  </si>
  <si>
    <t>13/hr</t>
  </si>
  <si>
    <t>Admin Asst.</t>
  </si>
  <si>
    <t>Harding, Cynthia</t>
  </si>
  <si>
    <t>Clerical Support/Admin Asst</t>
  </si>
  <si>
    <t>Evans, Heidi</t>
  </si>
  <si>
    <t>Not replaced</t>
  </si>
  <si>
    <t>FIT</t>
  </si>
  <si>
    <t>Townsend, Tiffany</t>
  </si>
  <si>
    <t>Costs must be budgeted to Purch IT services in 2018/19</t>
  </si>
  <si>
    <t>NOT Payroll</t>
  </si>
  <si>
    <t>Where does this get accounted for in the REV-EXP report?  The new total should be $56,650.</t>
  </si>
  <si>
    <t>TOTAL CLERICAL/SUPPORT</t>
  </si>
  <si>
    <t>Wilkinson, Rob</t>
  </si>
  <si>
    <t>BLRA Programs Director</t>
  </si>
  <si>
    <t>BLPA Programs Director</t>
  </si>
  <si>
    <t>TOTAL DIRECTOR/MANAGER</t>
  </si>
  <si>
    <t>Building Manager</t>
  </si>
  <si>
    <t>Shaw, Chuck</t>
  </si>
  <si>
    <t>Facilities Manager</t>
  </si>
  <si>
    <t>Hawk, Gary</t>
  </si>
  <si>
    <t>Custodian - BLPA</t>
  </si>
  <si>
    <t>Reynolds, Doris</t>
  </si>
  <si>
    <t>Custodian</t>
  </si>
  <si>
    <t>Yanez, Ana</t>
  </si>
  <si>
    <t>Custodian - BLRA</t>
  </si>
  <si>
    <t>Morales, Elsa</t>
  </si>
  <si>
    <t>Matherne, Lee</t>
  </si>
  <si>
    <t>Building Aide  - BLRA</t>
  </si>
  <si>
    <t>Ortega-Quevedo</t>
  </si>
  <si>
    <t>Building Aide - BLPA</t>
  </si>
  <si>
    <t>Shaw, Jordan</t>
  </si>
  <si>
    <t xml:space="preserve">Building Aide </t>
  </si>
  <si>
    <t>Aide (Library)</t>
  </si>
  <si>
    <t>Varner, Dave</t>
  </si>
  <si>
    <t>TOTAL FACILITIES/CUSTODIAL</t>
  </si>
  <si>
    <t>SCHOOL TOTALS</t>
  </si>
  <si>
    <t>W/O FOOD</t>
  </si>
  <si>
    <t>SUPPLIES - TEAM SPORTS - MS/HS</t>
  </si>
  <si>
    <t>PHYSICAL EDUCATION EQUIPMENT - MS/HS</t>
  </si>
  <si>
    <t>REVENUE/EXPENDITURE FY19 BUDGET REPORT</t>
  </si>
  <si>
    <t>Overview - Surplus / (Deficit)</t>
  </si>
  <si>
    <t>Total Estimated Enrollment</t>
  </si>
  <si>
    <t>Funded Pupil Count</t>
  </si>
  <si>
    <t>District per Pupil Revenue</t>
  </si>
  <si>
    <t>SUPPLIES - INSTRUCTIONAL (ELEMENTARY SPECIALS)</t>
  </si>
  <si>
    <t>SUPPLIES - INSTRUCTIONAL (MS/HS SPECIALS)</t>
  </si>
  <si>
    <t># of full time kindergarteners funded at .58 FTE</t>
  </si>
  <si>
    <t>% Total</t>
  </si>
  <si>
    <t>% Monthly</t>
  </si>
  <si>
    <t>Budget Month</t>
  </si>
  <si>
    <t>Actual YTD</t>
  </si>
  <si>
    <t>GENERAL FUND 11 Totals:</t>
  </si>
  <si>
    <t>11   GENERAL FUND</t>
  </si>
  <si>
    <t>11   GENERAL FUND EXPENDITURES</t>
  </si>
  <si>
    <t>Unaudited Statement of Financial Position - Internal Use Only</t>
  </si>
  <si>
    <t xml:space="preserve">Total </t>
  </si>
  <si>
    <t>General</t>
  </si>
  <si>
    <t>Capital Res.</t>
  </si>
  <si>
    <t>Grants</t>
  </si>
  <si>
    <t>Debt Svc.</t>
  </si>
  <si>
    <t>Cap. Proj.</t>
  </si>
  <si>
    <t>Food Svc</t>
  </si>
  <si>
    <t>Enterprise</t>
  </si>
  <si>
    <t>Pupil Activities</t>
  </si>
  <si>
    <t>All Funds</t>
  </si>
  <si>
    <t>Fund</t>
  </si>
  <si>
    <t xml:space="preserve">Fund </t>
  </si>
  <si>
    <t>"11"</t>
  </si>
  <si>
    <t>"21"</t>
  </si>
  <si>
    <t>"22"</t>
  </si>
  <si>
    <t>"31"</t>
  </si>
  <si>
    <t>"41"</t>
  </si>
  <si>
    <t>"51"</t>
  </si>
  <si>
    <t>"52"</t>
  </si>
  <si>
    <t>"74"</t>
  </si>
  <si>
    <t>Assets</t>
  </si>
  <si>
    <t>Current Assets:</t>
  </si>
  <si>
    <t>Cash in Operating Account</t>
  </si>
  <si>
    <t>Reserved Cash 2007 Bond Series</t>
  </si>
  <si>
    <t>Reserved Cash 2016 Bond Series</t>
  </si>
  <si>
    <t>Petty Cash</t>
  </si>
  <si>
    <t xml:space="preserve">     Subtotal cash</t>
  </si>
  <si>
    <t>Other Current Assets:</t>
  </si>
  <si>
    <t>Grants Receivable</t>
  </si>
  <si>
    <t>A/R Due From Other Funds</t>
  </si>
  <si>
    <t>A/R Other Govt Units</t>
  </si>
  <si>
    <t>A/R Other</t>
  </si>
  <si>
    <t>Prepaid Exp</t>
  </si>
  <si>
    <t>Deposits</t>
  </si>
  <si>
    <t xml:space="preserve">     Subtotal Other Current Assets</t>
  </si>
  <si>
    <t>Non-Current Assets</t>
  </si>
  <si>
    <t>Loan Issuance Costs</t>
  </si>
  <si>
    <t>Less: Accumulated Amortization</t>
  </si>
  <si>
    <t>Building</t>
  </si>
  <si>
    <t>Less: Accumulated Depreciation</t>
  </si>
  <si>
    <t>Construction in Progress - High School</t>
  </si>
  <si>
    <t>Library Media</t>
  </si>
  <si>
    <t>Equipment</t>
  </si>
  <si>
    <t xml:space="preserve">     Subtotal Non-Current Assets</t>
  </si>
  <si>
    <t>Total Assets</t>
  </si>
  <si>
    <t>Liabilities and Fund Equity</t>
  </si>
  <si>
    <t>A/P Due to Other Funds</t>
  </si>
  <si>
    <t>A/P Intergovernmental</t>
  </si>
  <si>
    <t>Accounts Payable General</t>
  </si>
  <si>
    <t>Salary &amp; Benefits Accrual</t>
  </si>
  <si>
    <t>Payroll Liabilities</t>
  </si>
  <si>
    <t xml:space="preserve">Deferred Revenue </t>
  </si>
  <si>
    <t>Retainage Payable</t>
  </si>
  <si>
    <t>Other Current Liabilites</t>
  </si>
  <si>
    <t>Non-Current Liabilities</t>
  </si>
  <si>
    <t>Bonds Payable</t>
  </si>
  <si>
    <t>Discount on Bonds Payable</t>
  </si>
  <si>
    <t>Fund Equity</t>
  </si>
  <si>
    <t>Investment in Fixed Assets</t>
  </si>
  <si>
    <t>Fund Balance Res. PP</t>
  </si>
  <si>
    <t>Fund Balance Res. TABOR</t>
  </si>
  <si>
    <t>Fund Balance Res. Working Cap. Res</t>
  </si>
  <si>
    <t>Fund Balance Res. DEBT SERVICE</t>
  </si>
  <si>
    <t>Fund Balance Unres Prior Year</t>
  </si>
  <si>
    <t>Fund Balance Unres.Current Year</t>
  </si>
  <si>
    <t>Subtotal Fund Equity</t>
  </si>
  <si>
    <t>Total Liabilities and Fund Equity</t>
  </si>
  <si>
    <t>Subtotal Non-Current liabilities</t>
  </si>
  <si>
    <t>Current Liabilities:</t>
  </si>
  <si>
    <t>Subtotal Current Liabilities</t>
  </si>
  <si>
    <t>ACCOUNT</t>
  </si>
  <si>
    <t>-</t>
  </si>
  <si>
    <t>11-950-00-0000-1510-000-0000</t>
  </si>
  <si>
    <t>11-950-00-0000-1740-000-0000</t>
  </si>
  <si>
    <t>11-950-00-0000-1740-000-0001</t>
  </si>
  <si>
    <t>11-950-00-0000-1820-000-0000</t>
  </si>
  <si>
    <t>11-950-00-0000-1910-000-0000</t>
  </si>
  <si>
    <t>11-950-00-0000-1920-000-0000</t>
  </si>
  <si>
    <t>11-950-00-0000-3954-000-3113</t>
  </si>
  <si>
    <t>11-950-00-0000-5710-000-0000</t>
  </si>
  <si>
    <t>11-950-00-0000-6721-000-0000</t>
  </si>
  <si>
    <t>11-950-00-0000-6760-000-0000</t>
  </si>
  <si>
    <t>11-950-00-0000-6770-000-0000</t>
  </si>
  <si>
    <t>11-950-00-0000-7401-000-0000</t>
  </si>
  <si>
    <t>11-950-00-0000-7421-000-0000</t>
  </si>
  <si>
    <t>11-950-00-0000-7461-000-0000</t>
  </si>
  <si>
    <t>11-950-00-0000-7462-000-0000</t>
  </si>
  <si>
    <t>11-950-00-0000-7471-000-0000</t>
  </si>
  <si>
    <t>11-950-00-0000-8103-000-0000</t>
  </si>
  <si>
    <t>11-950-00-0000-8131-000-0000</t>
  </si>
  <si>
    <t>11-950-00-0000-8153-000-0000</t>
  </si>
  <si>
    <t>11-950-00-0000-8181-000-0000</t>
  </si>
  <si>
    <t>11-950-00-0010-0110-201-0000</t>
  </si>
  <si>
    <t>11-950-00-0010-0110-415-0000</t>
  </si>
  <si>
    <t>11-950-00-0010-0120-204-0000</t>
  </si>
  <si>
    <t>11-950-00-0010-0190-201-0000</t>
  </si>
  <si>
    <t>11-950-00-0010-0220-201-0000</t>
  </si>
  <si>
    <t>11-950-00-0010-0220-204-0000</t>
  </si>
  <si>
    <t>11-950-00-0010-0220-415-0000</t>
  </si>
  <si>
    <t>11-950-00-0010-0251-201-0000</t>
  </si>
  <si>
    <t>11-950-00-0010-0251-415-0000</t>
  </si>
  <si>
    <t>11-950-00-0010-0290-201-0000</t>
  </si>
  <si>
    <t>11-950-00-0010-0290-204-0000</t>
  </si>
  <si>
    <t>11-950-00-0010-0290-415-0000</t>
  </si>
  <si>
    <t>11-950-00-0010-0610-000-0000</t>
  </si>
  <si>
    <t>11-950-00-0010-0735-000-0000</t>
  </si>
  <si>
    <t>11-950-00-0060-0110-201-0000</t>
  </si>
  <si>
    <t>11-950-00-0060-0150-407-0000</t>
  </si>
  <si>
    <t>11-950-00-0060-0220-201-0000</t>
  </si>
  <si>
    <t>11-950-00-0060-0220-407-0000</t>
  </si>
  <si>
    <t>11-950-00-0060-0251-201-0000</t>
  </si>
  <si>
    <t>11-950-00-0060-0328-000-0000</t>
  </si>
  <si>
    <t>11-950-00-0060-0610-000-0000</t>
  </si>
  <si>
    <t>11-950-00-0200-0110-201-0000</t>
  </si>
  <si>
    <t>11-950-00-0200-0220-201-0000</t>
  </si>
  <si>
    <t>11-950-00-0200-0251-201-0000</t>
  </si>
  <si>
    <t>11-950-00-0200-0290-201-0000</t>
  </si>
  <si>
    <t>11-950-00-0511-0110-415-3206</t>
  </si>
  <si>
    <t>11-950-00-0511-0220-415-3206</t>
  </si>
  <si>
    <t>11-950-00-0600-0110-201-0000</t>
  </si>
  <si>
    <t>11-950-00-0600-0220-201-0000</t>
  </si>
  <si>
    <t>11-950-00-0600-0251-201-0000</t>
  </si>
  <si>
    <t>11-950-00-0600-0290-201-0000</t>
  </si>
  <si>
    <t>11-950-00-1200-0110-201-0000</t>
  </si>
  <si>
    <t>11-950-00-1200-0220-201-0000</t>
  </si>
  <si>
    <t>11-950-00-1200-0251-201-0000</t>
  </si>
  <si>
    <t>11-950-00-1200-0290-201-0000</t>
  </si>
  <si>
    <t>11-950-00-1700-0594-000-3130</t>
  </si>
  <si>
    <t>11-950-00-1800-0580-000-0000</t>
  </si>
  <si>
    <t>11-950-00-2100-0110-211-0000</t>
  </si>
  <si>
    <t>11-950-00-2100-0110-516-0000</t>
  </si>
  <si>
    <t>11-950-00-2100-0220-211-0000</t>
  </si>
  <si>
    <t>11-950-00-2100-0220-516-0000</t>
  </si>
  <si>
    <t>11-950-00-2100-0251-211-0000</t>
  </si>
  <si>
    <t>11-950-00-2100-0251-516-0000</t>
  </si>
  <si>
    <t>11-950-00-2100-0290-211-0000</t>
  </si>
  <si>
    <t>11-950-00-2100-0290-516-0000</t>
  </si>
  <si>
    <t>11-950-00-2113-0110-218-0000</t>
  </si>
  <si>
    <t>11-950-00-2113-0220-218-0000</t>
  </si>
  <si>
    <t>11-950-00-2113-0251-218-0000</t>
  </si>
  <si>
    <t>11-950-00-2130-0610-000-0000</t>
  </si>
  <si>
    <t>11-950-00-2211-0320-000-0000</t>
  </si>
  <si>
    <t>11-950-00-2315-0331-000-0000</t>
  </si>
  <si>
    <t>11-950-00-2321-0320-000-0000</t>
  </si>
  <si>
    <t>11-950-00-2400-0110-101-0000</t>
  </si>
  <si>
    <t>11-950-00-2400-0110-103-0000</t>
  </si>
  <si>
    <t>11-950-00-2400-0220-101-0000</t>
  </si>
  <si>
    <t>11-950-00-2400-0220-103-0000</t>
  </si>
  <si>
    <t>11-950-00-2400-0251-101-0000</t>
  </si>
  <si>
    <t>11-950-00-2400-0290-101-0000</t>
  </si>
  <si>
    <t>11-950-00-2400-0290-103-0000</t>
  </si>
  <si>
    <t>11-950-00-2410-0110-105-0000</t>
  </si>
  <si>
    <t>11-950-00-2410-0110-106-0000</t>
  </si>
  <si>
    <t>11-950-00-2410-0110-500-0000</t>
  </si>
  <si>
    <t>11-950-00-2410-0220-105-0000</t>
  </si>
  <si>
    <t>11-950-00-2410-0220-106-0000</t>
  </si>
  <si>
    <t>11-950-00-2410-0220-500-0000</t>
  </si>
  <si>
    <t>11-950-00-2410-0251-105-0000</t>
  </si>
  <si>
    <t>11-950-00-2410-0251-106-0000</t>
  </si>
  <si>
    <t>11-950-00-2410-0251-500-0000</t>
  </si>
  <si>
    <t>11-950-00-2410-0290-105-0000</t>
  </si>
  <si>
    <t>11-950-00-2410-0290-106-0000</t>
  </si>
  <si>
    <t>11-950-00-2410-0533-000-0000</t>
  </si>
  <si>
    <t>11-950-00-2410-0610-000-0000</t>
  </si>
  <si>
    <t>11-950-00-2410-0611-000-0000</t>
  </si>
  <si>
    <t>11-950-00-2410-0890-000-0000</t>
  </si>
  <si>
    <t>11-950-00-2500-0594-000-0000</t>
  </si>
  <si>
    <t>11-950-00-2510-0110-509-0000</t>
  </si>
  <si>
    <t>11-950-00-2510-0220-509-0000</t>
  </si>
  <si>
    <t>11-950-00-2510-0251-509-0000</t>
  </si>
  <si>
    <t>11-950-00-2510-0290-509-0000</t>
  </si>
  <si>
    <t>11-950-00-2510-0313-000-0000</t>
  </si>
  <si>
    <t>11-950-00-2510-0339-000-0000</t>
  </si>
  <si>
    <t>11-950-00-2515-0339-000-0000</t>
  </si>
  <si>
    <t>11-950-00-2620-0110-608-0000</t>
  </si>
  <si>
    <t>11-950-00-2620-0220-608-0000</t>
  </si>
  <si>
    <t>11-950-00-2620-0251-608-0000</t>
  </si>
  <si>
    <t>11-950-00-2620-0290-608-0000</t>
  </si>
  <si>
    <t>11-950-00-2620-0411-000-0000</t>
  </si>
  <si>
    <t>11-950-00-2620-0424-000-0000</t>
  </si>
  <si>
    <t>11-950-00-2620-0430-000-0000</t>
  </si>
  <si>
    <t>11-950-00-2620-0431-000-0000</t>
  </si>
  <si>
    <t>11-950-00-2620-0441-000-0000</t>
  </si>
  <si>
    <t>11-950-00-2620-0441-000-3113</t>
  </si>
  <si>
    <t>11-950-00-2620-0442-000-0000</t>
  </si>
  <si>
    <t>11-950-00-2620-0531-000-0000</t>
  </si>
  <si>
    <t>11-950-00-2620-0534-000-0000</t>
  </si>
  <si>
    <t>11-950-00-2620-0610-000-0000</t>
  </si>
  <si>
    <t>11-950-00-2620-0621-000-0000</t>
  </si>
  <si>
    <t>11-950-00-2660-0110-636-0000</t>
  </si>
  <si>
    <t>11-950-00-2660-0220-636-0000</t>
  </si>
  <si>
    <t>11-950-00-2660-0722-000-0000</t>
  </si>
  <si>
    <t>11-950-00-2823-0340-000-0000</t>
  </si>
  <si>
    <t>11-950-00-2850-0521-000-0000</t>
  </si>
  <si>
    <t>11-950-00-3120-0110-607-0000</t>
  </si>
  <si>
    <t>11-950-00-3120-0220-607-0000</t>
  </si>
  <si>
    <t>11-950-00-4200-0722-000-0000</t>
  </si>
  <si>
    <t>11-950-66-0000-8101-000-0000</t>
  </si>
  <si>
    <t>11-950-67-0000-8101-000-0000</t>
  </si>
  <si>
    <t>11-950-70-0000-8101-000-0000</t>
  </si>
  <si>
    <t>11-952-00-0020-0110-201-0000</t>
  </si>
  <si>
    <t>11-952-00-0020-0110-415-0000</t>
  </si>
  <si>
    <t>11-952-00-0020-0220-201-0000</t>
  </si>
  <si>
    <t>11-952-00-0020-0220-415-0000</t>
  </si>
  <si>
    <t>11-952-00-0020-0251-201-0000</t>
  </si>
  <si>
    <t>11-952-00-0020-0251-415-0000</t>
  </si>
  <si>
    <t>11-952-00-0020-0290-201-0000</t>
  </si>
  <si>
    <t>11-952-00-0020-0610-000-0000</t>
  </si>
  <si>
    <t>11-952-00-0030-0110-201-0000</t>
  </si>
  <si>
    <t>11-952-00-0030-0220-201-0000</t>
  </si>
  <si>
    <t>11-952-00-0030-0251-201-0000</t>
  </si>
  <si>
    <t>11-952-00-0030-0290-201-0000</t>
  </si>
  <si>
    <t>11-952-00-0030-0610-000-0000</t>
  </si>
  <si>
    <t>11-952-00-0060-0110-201-0000</t>
  </si>
  <si>
    <t>11-952-00-0060-0220-201-0000</t>
  </si>
  <si>
    <t>11-952-00-0060-0251-201-0000</t>
  </si>
  <si>
    <t>11-952-00-0060-0290-201-0000</t>
  </si>
  <si>
    <t>11-952-00-0060-0610-000-0000</t>
  </si>
  <si>
    <t>11-952-00-1200-0110-201-0000</t>
  </si>
  <si>
    <t>11-952-00-1200-0220-201-0000</t>
  </si>
  <si>
    <t>11-952-00-1200-0251-201-0000</t>
  </si>
  <si>
    <t>11-952-00-1200-0290-201-0000</t>
  </si>
  <si>
    <t>11-952-00-1800-0580-000-0000</t>
  </si>
  <si>
    <t>11-952-00-1800-0890-000-0000</t>
  </si>
  <si>
    <t>11-952-00-2100-0110-211-0000</t>
  </si>
  <si>
    <t>11-952-00-2100-0220-211-0000</t>
  </si>
  <si>
    <t>11-952-00-2100-0251-211-0000</t>
  </si>
  <si>
    <t>11-952-00-2410-0110-105-0000</t>
  </si>
  <si>
    <t>11-952-00-2410-0110-106-0000</t>
  </si>
  <si>
    <t>11-952-00-2410-0220-105-0000</t>
  </si>
  <si>
    <t>11-952-00-2410-0220-106-0000</t>
  </si>
  <si>
    <t>11-952-00-2410-0251-106-0000</t>
  </si>
  <si>
    <t>11-952-00-2410-0290-106-0000</t>
  </si>
  <si>
    <t>11-952-00-2410-0610-000-0000</t>
  </si>
  <si>
    <t>11-952-00-2410-0611-000-0000</t>
  </si>
  <si>
    <t>11-952-00-2410-0735-000-0000</t>
  </si>
  <si>
    <t>11-952-00-2410-0810-000-0000</t>
  </si>
  <si>
    <t>11-952-00-2410-0890-000-0000</t>
  </si>
  <si>
    <t>11-952-00-2620-0411-000-0000</t>
  </si>
  <si>
    <t>11-952-00-2620-0424-000-0000</t>
  </si>
  <si>
    <t>11-952-00-2620-0430-000-0000</t>
  </si>
  <si>
    <t>11-952-00-2620-0431-000-0000</t>
  </si>
  <si>
    <t>11-952-00-2620-0531-000-0000</t>
  </si>
  <si>
    <t>11-952-00-2620-0534-000-0000</t>
  </si>
  <si>
    <t>11-952-00-2620-0610-000-0000</t>
  </si>
  <si>
    <t>11-952-00-2620-0621-000-0000</t>
  </si>
  <si>
    <t>11-952-00-2660-0722-000-0000</t>
  </si>
  <si>
    <t>51-950-00-0000-6770-000-0000</t>
  </si>
  <si>
    <t>52-500-00-0000-1920-000-0000</t>
  </si>
  <si>
    <t>52-950-00-0000-0910-000-0000</t>
  </si>
  <si>
    <t>52-950-00-0000-1510-000-0000</t>
  </si>
  <si>
    <t>52-950-00-0000-1910-000-0000</t>
  </si>
  <si>
    <t>52-950-00-0000-6770-000-0000</t>
  </si>
  <si>
    <t>52-950-00-0000-7401-000-0000</t>
  </si>
  <si>
    <t>52-950-00-0000-7432-000-0000</t>
  </si>
  <si>
    <t>52-950-00-0000-7444-000-0000</t>
  </si>
  <si>
    <t>52-950-00-0000-7521-000-0000</t>
  </si>
  <si>
    <t>52-950-00-0000-8111-000-0016</t>
  </si>
  <si>
    <t>52-950-00-0000-8111-001-0016</t>
  </si>
  <si>
    <t>52-950-00-0000-8111-002-0016</t>
  </si>
  <si>
    <t>52-950-00-0000-8111-003-0016</t>
  </si>
  <si>
    <t>52-950-00-0000-8111-004-0016</t>
  </si>
  <si>
    <t>52-950-00-0000-8111-005-0016</t>
  </si>
  <si>
    <t>52-950-00-0000-8111-007-0016</t>
  </si>
  <si>
    <t>52-950-00-0000-8111-008-0016</t>
  </si>
  <si>
    <t>52-950-00-0000-8231-000-0000</t>
  </si>
  <si>
    <t>52-950-00-0000-8232-000-0000</t>
  </si>
  <si>
    <t>52-950-00-0000-8233-000-0000</t>
  </si>
  <si>
    <t>52-950-00-0000-8234-000-0000</t>
  </si>
  <si>
    <t>52-950-00-0000-8241-000-0000</t>
  </si>
  <si>
    <t>52-950-00-0000-8242-000-0000</t>
  </si>
  <si>
    <t>52-950-00-0000-8251-000-0000</t>
  </si>
  <si>
    <t>52-950-00-5100-0831-000-0000</t>
  </si>
  <si>
    <t>74-950-00-0000-1720-000-0000</t>
  </si>
  <si>
    <t>74-950-00-0000-1750-000-0000</t>
  </si>
  <si>
    <t>74-950-00-0000-1790-000-0001</t>
  </si>
  <si>
    <t>74-950-00-0000-1790-000-0003</t>
  </si>
  <si>
    <t>74-950-00-0000-6770-000-0000</t>
  </si>
  <si>
    <t>74-950-00-0000-8131-000-0000</t>
  </si>
  <si>
    <t>74-950-00-1900-0612-000-0000</t>
  </si>
  <si>
    <t>74-950-00-1900-0614-000-0000</t>
  </si>
  <si>
    <t>80-950-00-0000-6711-000-0000</t>
  </si>
  <si>
    <t>80-950-00-0000-8231-000-0000</t>
  </si>
  <si>
    <t>80-950-00-0000-8233-000-0000</t>
  </si>
  <si>
    <t>80-950-00-0000-8241-000-0000</t>
  </si>
  <si>
    <t>80-950-00-0000-8242-000-0000</t>
  </si>
  <si>
    <t>Trial Balance</t>
  </si>
  <si>
    <t>Account #</t>
  </si>
  <si>
    <t>Description</t>
  </si>
  <si>
    <t>Ending</t>
  </si>
  <si>
    <t>As of 8/31/18</t>
  </si>
  <si>
    <t>YTD 8/31/18</t>
  </si>
  <si>
    <t>Report</t>
  </si>
  <si>
    <t>11</t>
  </si>
  <si>
    <t>51</t>
  </si>
  <si>
    <t>52</t>
  </si>
  <si>
    <t>74</t>
  </si>
  <si>
    <t>80</t>
  </si>
  <si>
    <t>DO NOT ENTER</t>
  </si>
  <si>
    <t>State Bank Checking - General</t>
  </si>
  <si>
    <t>State Bank Checking - Payroll</t>
  </si>
  <si>
    <t>State Bank Checking - Classroom</t>
  </si>
  <si>
    <t>11.952.00.2213.0610.000.0000</t>
  </si>
  <si>
    <t>11.952.00.2410.0611.000.0000</t>
  </si>
  <si>
    <t>11.952.00.2410.0735.000.0000</t>
  </si>
  <si>
    <t>11.952.00.2410.0890.000.0000</t>
  </si>
  <si>
    <t>11.952.00.2660.0722.000.0000</t>
  </si>
  <si>
    <t>ALARM SYSTEMS</t>
  </si>
  <si>
    <t>11.952.00.2620.0424.000.0000</t>
  </si>
  <si>
    <t>Amend Budget</t>
  </si>
  <si>
    <t>Amended Budget</t>
  </si>
  <si>
    <t>REVENUE/EXPENDITURE - YTD 12/31/18</t>
  </si>
  <si>
    <t>DECEMBER 31, 2018</t>
  </si>
  <si>
    <t>UNAUDITED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</si>
</sst>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409]mmmm\ d\,\ yyyy;@"/>
    <numFmt numFmtId="167" formatCode="[$-409]mmm\-yy;@"/>
    <numFmt numFmtId="168" formatCode="_(&quot;$&quot;* #,##0_);_(&quot;$&quot;* \(#,##0\);_(&quot;$&quot;* &quot;-&quot;??_);_(@_)"/>
    <numFmt numFmtId="169" formatCode="&quot;$&quot;#,##0"/>
    <numFmt numFmtId="170" formatCode="&quot;$&quot;#,##0.00"/>
    <numFmt numFmtId="171" formatCode="#,##0.000"/>
    <numFmt numFmtId="172" formatCode="_(* #,##0.0000_);_(* \(#,##0.0000\);_(* &quot;-&quot;??_);_(@_)"/>
    <numFmt numFmtId="173" formatCode="mmmm\ dd\,\ yyyy"/>
  </numFmts>
  <fonts count="61" x14ac:knownFonts="1">
    <font>
      <sz val="11"/>
      <color theme="1"/>
      <name val="Calibri"/>
      <family val="2"/>
      <scheme val="minor"/>
    </font>
    <font>
      <sz val="11"/>
      <color theme="1"/>
      <name val="Calibri"/>
      <family val="2"/>
      <scheme val="minor"/>
    </font>
    <font>
      <sz val="10"/>
      <name val="Arial"/>
      <family val="2"/>
    </font>
    <font>
      <sz val="10"/>
      <color indexed="8"/>
      <name val="Arial"/>
      <family val="2"/>
    </font>
    <font>
      <b/>
      <sz val="9"/>
      <color indexed="81"/>
      <name val="Tahoma"/>
      <family val="2"/>
    </font>
    <font>
      <sz val="9"/>
      <color indexed="81"/>
      <name val="Tahoma"/>
      <family val="2"/>
    </font>
    <font>
      <sz val="10"/>
      <name val="Calibri"/>
      <family val="2"/>
      <scheme val="minor"/>
    </font>
    <font>
      <sz val="10"/>
      <color theme="0"/>
      <name val="Calibri"/>
      <family val="2"/>
      <scheme val="minor"/>
    </font>
    <font>
      <b/>
      <sz val="10"/>
      <name val="Calibri"/>
      <family val="2"/>
      <scheme val="minor"/>
    </font>
    <font>
      <b/>
      <sz val="10"/>
      <color indexed="12"/>
      <name val="Calibri"/>
      <family val="2"/>
      <scheme val="minor"/>
    </font>
    <font>
      <sz val="10"/>
      <color indexed="12"/>
      <name val="Calibri"/>
      <family val="2"/>
      <scheme val="minor"/>
    </font>
    <font>
      <sz val="9"/>
      <color indexed="12"/>
      <name val="Calibri"/>
      <family val="2"/>
      <scheme val="minor"/>
    </font>
    <font>
      <b/>
      <sz val="9"/>
      <name val="Calibri"/>
      <family val="2"/>
      <scheme val="minor"/>
    </font>
    <font>
      <b/>
      <sz val="8"/>
      <name val="Calibri"/>
      <family val="2"/>
      <scheme val="minor"/>
    </font>
    <font>
      <b/>
      <sz val="10"/>
      <color rgb="FFFF0000"/>
      <name val="Calibri"/>
      <family val="2"/>
      <scheme val="minor"/>
    </font>
    <font>
      <strike/>
      <sz val="10"/>
      <name val="Calibri"/>
      <family val="2"/>
      <scheme val="minor"/>
    </font>
    <font>
      <b/>
      <strike/>
      <sz val="10"/>
      <name val="Calibri"/>
      <family val="2"/>
      <scheme val="minor"/>
    </font>
    <font>
      <strike/>
      <sz val="10"/>
      <color theme="0"/>
      <name val="Calibri"/>
      <family val="2"/>
      <scheme val="minor"/>
    </font>
    <font>
      <u/>
      <sz val="10"/>
      <name val="Calibri"/>
      <family val="2"/>
      <scheme val="minor"/>
    </font>
    <font>
      <b/>
      <sz val="10"/>
      <color theme="0"/>
      <name val="Calibri"/>
      <family val="2"/>
      <scheme val="minor"/>
    </font>
    <font>
      <strike/>
      <u/>
      <sz val="10"/>
      <name val="Calibri"/>
      <family val="2"/>
      <scheme val="minor"/>
    </font>
    <font>
      <b/>
      <strike/>
      <sz val="10"/>
      <color theme="0"/>
      <name val="Calibri"/>
      <family val="2"/>
      <scheme val="minor"/>
    </font>
    <font>
      <b/>
      <strike/>
      <sz val="10"/>
      <color rgb="FFFF0000"/>
      <name val="Calibri"/>
      <family val="2"/>
      <scheme val="minor"/>
    </font>
    <font>
      <strike/>
      <sz val="10"/>
      <color rgb="FFFF0000"/>
      <name val="Calibri"/>
      <family val="2"/>
      <scheme val="minor"/>
    </font>
    <font>
      <u/>
      <sz val="10"/>
      <color theme="0"/>
      <name val="Calibri"/>
      <family val="2"/>
      <scheme val="minor"/>
    </font>
    <font>
      <sz val="10"/>
      <color rgb="FFFF0000"/>
      <name val="Calibri"/>
      <family val="2"/>
      <scheme val="minor"/>
    </font>
    <font>
      <b/>
      <u/>
      <sz val="10"/>
      <name val="Calibri"/>
      <family val="2"/>
      <scheme val="minor"/>
    </font>
    <font>
      <b/>
      <sz val="11"/>
      <color theme="0"/>
      <name val="Calibri"/>
      <family val="2"/>
      <scheme val="minor"/>
    </font>
    <font>
      <sz val="11"/>
      <color theme="0"/>
      <name val="Calibri"/>
      <family val="2"/>
      <scheme val="minor"/>
    </font>
    <font>
      <b/>
      <sz val="18"/>
      <name val="Calibri"/>
      <family val="2"/>
      <scheme val="minor"/>
    </font>
    <font>
      <b/>
      <sz val="12"/>
      <name val="Calibri"/>
      <family val="2"/>
      <scheme val="minor"/>
    </font>
    <font>
      <b/>
      <sz val="11"/>
      <name val="Calibri"/>
      <family val="2"/>
      <scheme val="minor"/>
    </font>
    <font>
      <b/>
      <sz val="12"/>
      <color rgb="FFFF0000"/>
      <name val="Calibri"/>
      <family val="2"/>
      <scheme val="minor"/>
    </font>
    <font>
      <sz val="11"/>
      <name val="Calibri"/>
      <family val="2"/>
      <scheme val="minor"/>
    </font>
    <font>
      <b/>
      <sz val="11"/>
      <color rgb="FF0000FF"/>
      <name val="Calibri"/>
      <family val="2"/>
      <scheme val="minor"/>
    </font>
    <font>
      <b/>
      <u/>
      <sz val="11"/>
      <name val="Calibri"/>
      <family val="2"/>
      <scheme val="minor"/>
    </font>
    <font>
      <b/>
      <u/>
      <sz val="12"/>
      <name val="Calibri"/>
      <family val="2"/>
      <scheme val="minor"/>
    </font>
    <font>
      <sz val="8"/>
      <color theme="0"/>
      <name val="Calibri"/>
      <family val="2"/>
      <scheme val="minor"/>
    </font>
    <font>
      <b/>
      <sz val="8"/>
      <color theme="0"/>
      <name val="Calibri"/>
      <family val="2"/>
      <scheme val="minor"/>
    </font>
    <font>
      <b/>
      <sz val="14"/>
      <name val="Calibri"/>
      <family val="2"/>
      <scheme val="minor"/>
    </font>
    <font>
      <b/>
      <i/>
      <sz val="10"/>
      <name val="Calibri"/>
      <family val="2"/>
      <scheme val="minor"/>
    </font>
    <font>
      <b/>
      <i/>
      <sz val="10"/>
      <color theme="0"/>
      <name val="Calibri"/>
      <family val="2"/>
      <scheme val="minor"/>
    </font>
    <font>
      <b/>
      <strike/>
      <sz val="11"/>
      <name val="Calibri"/>
      <family val="2"/>
      <scheme val="minor"/>
    </font>
    <font>
      <strike/>
      <sz val="11"/>
      <name val="Calibri"/>
      <family val="2"/>
      <scheme val="minor"/>
    </font>
    <font>
      <sz val="10"/>
      <color theme="0" tint="-0.34998626667073579"/>
      <name val="Calibri"/>
      <family val="2"/>
      <scheme val="minor"/>
    </font>
    <font>
      <b/>
      <sz val="14"/>
      <name val="Arial"/>
      <family val="2"/>
    </font>
    <font>
      <sz val="10"/>
      <color indexed="10"/>
      <name val="Arial"/>
      <family val="2"/>
    </font>
    <font>
      <b/>
      <sz val="12"/>
      <color rgb="FFFF0000"/>
      <name val="Arial"/>
      <family val="2"/>
    </font>
    <font>
      <b/>
      <sz val="11"/>
      <color rgb="FF0000FF"/>
      <name val="Arial"/>
      <family val="2"/>
    </font>
    <font>
      <b/>
      <sz val="9"/>
      <color theme="0"/>
      <name val="Arial"/>
      <family val="2"/>
    </font>
    <font>
      <b/>
      <sz val="10"/>
      <name val="Arial"/>
      <family val="2"/>
    </font>
    <font>
      <sz val="10"/>
      <color rgb="FF0000FF"/>
      <name val="Arial"/>
      <family val="2"/>
    </font>
    <font>
      <i/>
      <sz val="10"/>
      <name val="Arial"/>
      <family val="2"/>
    </font>
    <font>
      <b/>
      <u val="singleAccounting"/>
      <sz val="11"/>
      <name val="Calibri"/>
      <family val="2"/>
      <scheme val="minor"/>
    </font>
    <font>
      <b/>
      <sz val="12"/>
      <name val="Arial"/>
      <family val="2"/>
    </font>
    <font>
      <sz val="9"/>
      <name val="Arial"/>
      <family val="2"/>
    </font>
    <font>
      <b/>
      <sz val="11"/>
      <name val="Arial"/>
      <family val="2"/>
    </font>
    <font>
      <b/>
      <sz val="10"/>
      <color rgb="FF0000FF"/>
      <name val="Arial"/>
      <family val="2"/>
    </font>
    <font>
      <b/>
      <sz val="9"/>
      <color rgb="FF0000FF"/>
      <name val="Arial"/>
      <family val="2"/>
    </font>
    <font>
      <b/>
      <sz val="9"/>
      <name val="Arial"/>
      <family val="2"/>
    </font>
    <font>
      <b/>
      <sz val="11"/>
      <color theme="1"/>
      <name val="Calibri"/>
      <family val="2"/>
      <scheme val="minor"/>
    </font>
  </fonts>
  <fills count="2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22"/>
        <bgColor indexed="64"/>
      </patternFill>
    </fill>
    <fill>
      <patternFill patternType="solid">
        <fgColor rgb="FF92D05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2CF927"/>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7030A0"/>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rgb="FFCC99FF"/>
        <bgColor indexed="64"/>
      </patternFill>
    </fill>
    <fill>
      <patternFill patternType="solid">
        <fgColor rgb="FF00B0F0"/>
        <bgColor indexed="64"/>
      </patternFill>
    </fill>
    <fill>
      <patternFill patternType="solid">
        <fgColor theme="8" tint="0.79998168889431442"/>
        <bgColor indexed="64"/>
      </patternFill>
    </fill>
    <fill>
      <patternFill patternType="solid">
        <fgColor theme="7" tint="0.59999389629810485"/>
        <bgColor indexed="64"/>
      </patternFill>
    </fill>
  </fills>
  <borders count="4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double">
        <color indexed="64"/>
      </top>
      <bottom style="thin">
        <color indexed="64"/>
      </bottom>
      <diagonal/>
    </border>
    <border>
      <left/>
      <right/>
      <top/>
      <bottom style="double">
        <color indexed="64"/>
      </bottom>
      <diagonal/>
    </border>
    <border>
      <left style="medium">
        <color indexed="64"/>
      </left>
      <right style="medium">
        <color indexed="64"/>
      </right>
      <top/>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Border="0" applyAlignment="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3" fillId="0" borderId="0">
      <alignment vertical="top"/>
    </xf>
    <xf numFmtId="0" fontId="3" fillId="0" borderId="0">
      <alignment vertical="top"/>
    </xf>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cellStyleXfs>
  <cellXfs count="822">
    <xf numFmtId="0" fontId="0" fillId="0" borderId="0" xfId="0"/>
    <xf numFmtId="0" fontId="6" fillId="0" borderId="0" xfId="13" applyFont="1" applyBorder="1"/>
    <xf numFmtId="0" fontId="6" fillId="0" borderId="19" xfId="13" applyFont="1" applyBorder="1"/>
    <xf numFmtId="0" fontId="6" fillId="0" borderId="20" xfId="13" applyFont="1" applyBorder="1"/>
    <xf numFmtId="0" fontId="6" fillId="0" borderId="20" xfId="13" applyFont="1" applyBorder="1" applyAlignment="1">
      <alignment horizontal="center"/>
    </xf>
    <xf numFmtId="3" fontId="6" fillId="0" borderId="20" xfId="13" applyNumberFormat="1" applyFont="1" applyBorder="1" applyAlignment="1">
      <alignment horizontal="center"/>
    </xf>
    <xf numFmtId="3" fontId="7" fillId="3" borderId="20" xfId="13" applyNumberFormat="1" applyFont="1" applyFill="1" applyBorder="1" applyAlignment="1">
      <alignment horizontal="center"/>
    </xf>
    <xf numFmtId="3" fontId="6" fillId="0" borderId="20" xfId="13" applyNumberFormat="1" applyFont="1" applyFill="1" applyBorder="1"/>
    <xf numFmtId="4" fontId="6" fillId="0" borderId="20" xfId="13" applyNumberFormat="1" applyFont="1" applyBorder="1"/>
    <xf numFmtId="4" fontId="6" fillId="4" borderId="20" xfId="13" applyNumberFormat="1" applyFont="1" applyFill="1" applyBorder="1"/>
    <xf numFmtId="164" fontId="8" fillId="0" borderId="20" xfId="13" applyNumberFormat="1" applyFont="1" applyFill="1" applyBorder="1"/>
    <xf numFmtId="164" fontId="8" fillId="0" borderId="21" xfId="14" applyNumberFormat="1" applyFont="1" applyBorder="1" applyAlignment="1">
      <alignment horizontal="center"/>
    </xf>
    <xf numFmtId="164" fontId="8" fillId="0" borderId="22" xfId="14" applyNumberFormat="1" applyFont="1" applyBorder="1" applyAlignment="1">
      <alignment horizontal="center"/>
    </xf>
    <xf numFmtId="164" fontId="8" fillId="0" borderId="23" xfId="14" applyNumberFormat="1" applyFont="1" applyBorder="1" applyAlignment="1">
      <alignment horizontal="center"/>
    </xf>
    <xf numFmtId="164" fontId="8" fillId="0" borderId="24" xfId="14" applyNumberFormat="1" applyFont="1" applyBorder="1" applyAlignment="1">
      <alignment horizontal="center"/>
    </xf>
    <xf numFmtId="0" fontId="6" fillId="0" borderId="25" xfId="13" applyFont="1" applyBorder="1"/>
    <xf numFmtId="0" fontId="9" fillId="5" borderId="26" xfId="13" applyFont="1" applyFill="1" applyBorder="1" applyAlignment="1">
      <alignment vertical="center"/>
    </xf>
    <xf numFmtId="0" fontId="9" fillId="5" borderId="21" xfId="13" applyFont="1" applyFill="1" applyBorder="1" applyAlignment="1">
      <alignment vertical="center"/>
    </xf>
    <xf numFmtId="0" fontId="9" fillId="5" borderId="21" xfId="13" applyFont="1" applyFill="1" applyBorder="1" applyAlignment="1">
      <alignment horizontal="center" vertical="center"/>
    </xf>
    <xf numFmtId="3" fontId="9" fillId="5" borderId="21" xfId="13" applyNumberFormat="1" applyFont="1" applyFill="1" applyBorder="1" applyAlignment="1">
      <alignment horizontal="center" vertical="center"/>
    </xf>
    <xf numFmtId="3" fontId="7" fillId="3" borderId="19" xfId="13" applyNumberFormat="1" applyFont="1" applyFill="1" applyBorder="1" applyAlignment="1">
      <alignment horizontal="center" vertical="center"/>
    </xf>
    <xf numFmtId="3" fontId="8" fillId="0" borderId="24" xfId="15" applyNumberFormat="1" applyFont="1" applyBorder="1" applyAlignment="1">
      <alignment horizontal="center" vertical="center"/>
    </xf>
    <xf numFmtId="3" fontId="8" fillId="4" borderId="24" xfId="15" applyNumberFormat="1" applyFont="1" applyFill="1" applyBorder="1" applyAlignment="1">
      <alignment horizontal="center" vertical="center"/>
    </xf>
    <xf numFmtId="164" fontId="8" fillId="0" borderId="0" xfId="14" applyNumberFormat="1" applyFont="1" applyBorder="1" applyAlignment="1">
      <alignment horizontal="center" vertical="center"/>
    </xf>
    <xf numFmtId="164" fontId="8" fillId="0" borderId="0" xfId="14" applyNumberFormat="1" applyFont="1" applyBorder="1" applyAlignment="1">
      <alignment vertical="center"/>
    </xf>
    <xf numFmtId="164" fontId="8" fillId="0" borderId="31" xfId="14" applyNumberFormat="1" applyFont="1" applyBorder="1" applyAlignment="1">
      <alignment horizontal="center" vertical="center"/>
    </xf>
    <xf numFmtId="14" fontId="10" fillId="0" borderId="0" xfId="13" applyNumberFormat="1" applyFont="1" applyFill="1" applyBorder="1" applyAlignment="1">
      <alignment vertical="center"/>
    </xf>
    <xf numFmtId="0" fontId="10" fillId="0" borderId="0" xfId="13" applyFont="1" applyFill="1" applyBorder="1" applyAlignment="1">
      <alignment vertical="center"/>
    </xf>
    <xf numFmtId="14" fontId="11" fillId="0" borderId="0" xfId="13" applyNumberFormat="1" applyFont="1" applyFill="1" applyBorder="1" applyAlignment="1">
      <alignment vertical="center"/>
    </xf>
    <xf numFmtId="3" fontId="10" fillId="0" borderId="0" xfId="13" applyNumberFormat="1" applyFont="1" applyFill="1" applyBorder="1" applyAlignment="1">
      <alignment vertical="center"/>
    </xf>
    <xf numFmtId="3" fontId="10" fillId="0" borderId="0" xfId="13" applyNumberFormat="1" applyFont="1" applyFill="1" applyBorder="1" applyAlignment="1">
      <alignment horizontal="center" vertical="center"/>
    </xf>
    <xf numFmtId="3" fontId="7" fillId="3" borderId="0" xfId="13" applyNumberFormat="1" applyFont="1" applyFill="1" applyBorder="1" applyAlignment="1">
      <alignment horizontal="center" vertical="center"/>
    </xf>
    <xf numFmtId="3" fontId="12" fillId="6" borderId="32" xfId="15" applyNumberFormat="1" applyFont="1" applyFill="1" applyBorder="1" applyAlignment="1">
      <alignment horizontal="center" vertical="center"/>
    </xf>
    <xf numFmtId="3" fontId="12" fillId="0" borderId="33" xfId="15" applyNumberFormat="1" applyFont="1" applyFill="1" applyBorder="1" applyAlignment="1">
      <alignment horizontal="center" vertical="center"/>
    </xf>
    <xf numFmtId="3" fontId="8" fillId="0" borderId="34" xfId="15" applyNumberFormat="1" applyFont="1" applyBorder="1" applyAlignment="1">
      <alignment horizontal="center" vertical="center"/>
    </xf>
    <xf numFmtId="3" fontId="8" fillId="0" borderId="35" xfId="15" applyNumberFormat="1" applyFont="1" applyBorder="1" applyAlignment="1">
      <alignment horizontal="center" vertical="center"/>
    </xf>
    <xf numFmtId="3" fontId="8" fillId="4" borderId="35" xfId="15" applyNumberFormat="1" applyFont="1" applyFill="1" applyBorder="1" applyAlignment="1">
      <alignment horizontal="center" vertical="center"/>
    </xf>
    <xf numFmtId="49" fontId="8" fillId="0" borderId="0" xfId="14" applyNumberFormat="1" applyFont="1" applyBorder="1" applyAlignment="1">
      <alignment horizontal="center" vertical="center"/>
    </xf>
    <xf numFmtId="165" fontId="8" fillId="0" borderId="0" xfId="14" applyNumberFormat="1" applyFont="1" applyBorder="1" applyAlignment="1">
      <alignment horizontal="center" vertical="center"/>
    </xf>
    <xf numFmtId="2" fontId="8" fillId="0" borderId="0" xfId="14" applyNumberFormat="1" applyFont="1" applyBorder="1" applyAlignment="1">
      <alignment horizontal="center" vertical="center"/>
    </xf>
    <xf numFmtId="9" fontId="6" fillId="7" borderId="0" xfId="3" applyFont="1" applyFill="1"/>
    <xf numFmtId="164" fontId="6" fillId="0" borderId="0" xfId="14" applyNumberFormat="1" applyFont="1" applyBorder="1" applyAlignment="1">
      <alignment vertical="center"/>
    </xf>
    <xf numFmtId="171" fontId="8" fillId="0" borderId="0" xfId="14" applyNumberFormat="1" applyFont="1" applyBorder="1" applyAlignment="1">
      <alignment vertical="center"/>
    </xf>
    <xf numFmtId="49" fontId="8" fillId="0" borderId="31" xfId="14" applyNumberFormat="1" applyFont="1" applyBorder="1" applyAlignment="1">
      <alignment horizontal="center" vertical="center"/>
    </xf>
    <xf numFmtId="0" fontId="6" fillId="0" borderId="0" xfId="13" applyFont="1" applyBorder="1" applyAlignment="1">
      <alignment vertical="center"/>
    </xf>
    <xf numFmtId="3" fontId="6" fillId="0" borderId="0" xfId="13" applyNumberFormat="1" applyFont="1" applyBorder="1" applyAlignment="1">
      <alignment vertical="center"/>
    </xf>
    <xf numFmtId="3" fontId="7" fillId="3" borderId="0" xfId="13" applyNumberFormat="1" applyFont="1" applyFill="1" applyBorder="1" applyAlignment="1">
      <alignment vertical="center"/>
    </xf>
    <xf numFmtId="3" fontId="6" fillId="0" borderId="0" xfId="15" applyNumberFormat="1" applyFont="1" applyFill="1" applyBorder="1" applyAlignment="1">
      <alignment vertical="center"/>
    </xf>
    <xf numFmtId="10" fontId="8" fillId="0" borderId="0" xfId="16" applyNumberFormat="1" applyFont="1" applyBorder="1" applyAlignment="1">
      <alignment vertical="center"/>
    </xf>
    <xf numFmtId="10" fontId="8" fillId="4" borderId="0" xfId="16" applyNumberFormat="1" applyFont="1" applyFill="1" applyBorder="1" applyAlignment="1">
      <alignment vertical="center"/>
    </xf>
    <xf numFmtId="164" fontId="8" fillId="0" borderId="0" xfId="13" applyNumberFormat="1" applyFont="1" applyFill="1" applyBorder="1" applyAlignment="1">
      <alignment vertical="center"/>
    </xf>
    <xf numFmtId="164" fontId="12" fillId="0" borderId="0" xfId="14" applyNumberFormat="1" applyFont="1" applyBorder="1" applyAlignment="1">
      <alignment horizontal="center" vertical="center"/>
    </xf>
    <xf numFmtId="164" fontId="8" fillId="7" borderId="0" xfId="14" applyNumberFormat="1" applyFont="1" applyFill="1" applyBorder="1" applyAlignment="1">
      <alignment horizontal="center" vertical="center"/>
    </xf>
    <xf numFmtId="2" fontId="8" fillId="0" borderId="37" xfId="14" applyNumberFormat="1" applyFont="1" applyBorder="1" applyAlignment="1">
      <alignment horizontal="center" vertical="center"/>
    </xf>
    <xf numFmtId="172" fontId="6" fillId="0" borderId="0" xfId="14" applyNumberFormat="1" applyFont="1" applyBorder="1" applyAlignment="1">
      <alignment horizontal="center" vertical="center"/>
    </xf>
    <xf numFmtId="3" fontId="6" fillId="0" borderId="0" xfId="13" applyNumberFormat="1" applyFont="1" applyBorder="1"/>
    <xf numFmtId="0" fontId="6" fillId="0" borderId="19" xfId="13" applyFont="1" applyFill="1" applyBorder="1"/>
    <xf numFmtId="0" fontId="8" fillId="8" borderId="20" xfId="13" applyFont="1" applyFill="1" applyBorder="1" applyAlignment="1">
      <alignment vertical="center"/>
    </xf>
    <xf numFmtId="0" fontId="6" fillId="0" borderId="20" xfId="13" applyFont="1" applyBorder="1" applyAlignment="1">
      <alignment vertical="center"/>
    </xf>
    <xf numFmtId="10" fontId="6" fillId="0" borderId="20" xfId="13" applyNumberFormat="1" applyFont="1" applyFill="1" applyBorder="1" applyAlignment="1">
      <alignment vertical="center"/>
    </xf>
    <xf numFmtId="3" fontId="6" fillId="0" borderId="20" xfId="13" applyNumberFormat="1" applyFont="1" applyFill="1" applyBorder="1" applyAlignment="1">
      <alignment vertical="center"/>
    </xf>
    <xf numFmtId="3" fontId="7" fillId="3" borderId="20" xfId="13" applyNumberFormat="1" applyFont="1" applyFill="1" applyBorder="1" applyAlignment="1">
      <alignment vertical="center"/>
    </xf>
    <xf numFmtId="3" fontId="6" fillId="9" borderId="20" xfId="13" applyNumberFormat="1" applyFont="1" applyFill="1" applyBorder="1" applyAlignment="1">
      <alignment vertical="center"/>
    </xf>
    <xf numFmtId="3" fontId="6" fillId="0" borderId="20" xfId="14" applyNumberFormat="1" applyFont="1" applyFill="1" applyBorder="1" applyAlignment="1">
      <alignment vertical="center"/>
    </xf>
    <xf numFmtId="3" fontId="8" fillId="0" borderId="20" xfId="14" applyNumberFormat="1" applyFont="1" applyFill="1" applyBorder="1" applyAlignment="1">
      <alignment vertical="center"/>
    </xf>
    <xf numFmtId="3" fontId="8" fillId="4" borderId="0" xfId="14" applyNumberFormat="1" applyFont="1" applyFill="1" applyBorder="1" applyAlignment="1">
      <alignment vertical="center"/>
    </xf>
    <xf numFmtId="3" fontId="8" fillId="10" borderId="20" xfId="13" applyNumberFormat="1" applyFont="1" applyFill="1" applyBorder="1" applyAlignment="1">
      <alignment vertical="center"/>
    </xf>
    <xf numFmtId="3" fontId="6" fillId="2" borderId="20" xfId="14" applyNumberFormat="1" applyFont="1" applyFill="1" applyBorder="1" applyAlignment="1">
      <alignment vertical="center"/>
    </xf>
    <xf numFmtId="3" fontId="6" fillId="8" borderId="0" xfId="14" applyNumberFormat="1" applyFont="1" applyFill="1" applyBorder="1" applyAlignment="1">
      <alignment vertical="center"/>
    </xf>
    <xf numFmtId="3" fontId="8" fillId="8" borderId="24" xfId="14" applyNumberFormat="1" applyFont="1" applyFill="1" applyBorder="1" applyAlignment="1">
      <alignment vertical="center"/>
    </xf>
    <xf numFmtId="0" fontId="6" fillId="0" borderId="0" xfId="13" applyFont="1" applyFill="1" applyBorder="1" applyAlignment="1">
      <alignment wrapText="1"/>
    </xf>
    <xf numFmtId="0" fontId="6" fillId="0" borderId="25" xfId="13" applyFont="1" applyFill="1" applyBorder="1"/>
    <xf numFmtId="0" fontId="8" fillId="11" borderId="0" xfId="13" applyFont="1" applyFill="1" applyBorder="1" applyAlignment="1">
      <alignment vertical="center"/>
    </xf>
    <xf numFmtId="0" fontId="14" fillId="0" borderId="0" xfId="13" applyFont="1" applyBorder="1" applyAlignment="1">
      <alignment vertical="center"/>
    </xf>
    <xf numFmtId="10" fontId="14" fillId="0" borderId="0" xfId="13" applyNumberFormat="1" applyFont="1" applyFill="1" applyBorder="1" applyAlignment="1">
      <alignment vertical="center"/>
    </xf>
    <xf numFmtId="3" fontId="14" fillId="0" borderId="0" xfId="13" applyNumberFormat="1" applyFont="1" applyFill="1" applyBorder="1" applyAlignment="1">
      <alignment vertical="center"/>
    </xf>
    <xf numFmtId="3" fontId="6" fillId="0" borderId="0" xfId="13" applyNumberFormat="1" applyFont="1" applyFill="1" applyBorder="1" applyAlignment="1">
      <alignment vertical="center"/>
    </xf>
    <xf numFmtId="3" fontId="14" fillId="2" borderId="0" xfId="13" applyNumberFormat="1" applyFont="1" applyFill="1" applyBorder="1" applyAlignment="1">
      <alignment vertical="center"/>
    </xf>
    <xf numFmtId="3" fontId="6" fillId="0" borderId="0" xfId="14" applyNumberFormat="1" applyFont="1" applyFill="1" applyBorder="1" applyAlignment="1">
      <alignment vertical="center"/>
    </xf>
    <xf numFmtId="3" fontId="8" fillId="0" borderId="0" xfId="14" applyNumberFormat="1" applyFont="1" applyFill="1" applyBorder="1" applyAlignment="1">
      <alignment vertical="center"/>
    </xf>
    <xf numFmtId="3" fontId="8" fillId="10" borderId="0" xfId="13" applyNumberFormat="1" applyFont="1" applyFill="1" applyBorder="1" applyAlignment="1">
      <alignment vertical="center"/>
    </xf>
    <xf numFmtId="3" fontId="6" fillId="2" borderId="0" xfId="14" applyNumberFormat="1" applyFont="1" applyFill="1" applyBorder="1" applyAlignment="1">
      <alignment vertical="center"/>
    </xf>
    <xf numFmtId="3" fontId="8" fillId="8" borderId="31" xfId="14" applyNumberFormat="1" applyFont="1" applyFill="1" applyBorder="1" applyAlignment="1">
      <alignment vertical="center"/>
    </xf>
    <xf numFmtId="0" fontId="8" fillId="8" borderId="0" xfId="13" applyFont="1" applyFill="1" applyBorder="1" applyAlignment="1">
      <alignment vertical="center"/>
    </xf>
    <xf numFmtId="10" fontId="6" fillId="0" borderId="0" xfId="13" applyNumberFormat="1" applyFont="1" applyFill="1" applyBorder="1" applyAlignment="1">
      <alignment vertical="center"/>
    </xf>
    <xf numFmtId="3" fontId="6" fillId="9" borderId="0" xfId="13" applyNumberFormat="1" applyFont="1" applyFill="1" applyBorder="1" applyAlignment="1">
      <alignment vertical="center"/>
    </xf>
    <xf numFmtId="3" fontId="6" fillId="0" borderId="0" xfId="13" applyNumberFormat="1" applyFont="1" applyFill="1" applyBorder="1"/>
    <xf numFmtId="164" fontId="6" fillId="0" borderId="0" xfId="13" applyNumberFormat="1" applyFont="1" applyBorder="1"/>
    <xf numFmtId="0" fontId="15" fillId="0" borderId="0" xfId="13" applyFont="1" applyBorder="1"/>
    <xf numFmtId="3" fontId="15" fillId="0" borderId="0" xfId="13" applyNumberFormat="1" applyFont="1" applyFill="1" applyBorder="1"/>
    <xf numFmtId="0" fontId="15" fillId="0" borderId="25" xfId="13" applyFont="1" applyFill="1" applyBorder="1"/>
    <xf numFmtId="0" fontId="16" fillId="2" borderId="0" xfId="13" applyFont="1" applyFill="1" applyBorder="1" applyAlignment="1">
      <alignment vertical="center"/>
    </xf>
    <xf numFmtId="0" fontId="15" fillId="0" borderId="0" xfId="13" applyFont="1" applyBorder="1" applyAlignment="1">
      <alignment vertical="center"/>
    </xf>
    <xf numFmtId="10" fontId="15" fillId="0" borderId="0" xfId="13" applyNumberFormat="1" applyFont="1" applyFill="1" applyBorder="1" applyAlignment="1">
      <alignment vertical="center"/>
    </xf>
    <xf numFmtId="3" fontId="15" fillId="0" borderId="0" xfId="13" applyNumberFormat="1" applyFont="1" applyFill="1" applyBorder="1" applyAlignment="1">
      <alignment vertical="center"/>
    </xf>
    <xf numFmtId="3" fontId="17" fillId="3" borderId="0" xfId="13" applyNumberFormat="1" applyFont="1" applyFill="1" applyBorder="1" applyAlignment="1">
      <alignment vertical="center"/>
    </xf>
    <xf numFmtId="3" fontId="15" fillId="9" borderId="0" xfId="13" applyNumberFormat="1" applyFont="1" applyFill="1" applyBorder="1" applyAlignment="1">
      <alignment vertical="center"/>
    </xf>
    <xf numFmtId="3" fontId="15" fillId="0" borderId="0" xfId="14" applyNumberFormat="1" applyFont="1" applyFill="1" applyBorder="1" applyAlignment="1">
      <alignment vertical="center"/>
    </xf>
    <xf numFmtId="3" fontId="16" fillId="0" borderId="0" xfId="14" applyNumberFormat="1" applyFont="1" applyFill="1" applyBorder="1" applyAlignment="1">
      <alignment vertical="center"/>
    </xf>
    <xf numFmtId="3" fontId="16" fillId="4" borderId="0" xfId="14" applyNumberFormat="1" applyFont="1" applyFill="1" applyBorder="1" applyAlignment="1">
      <alignment vertical="center"/>
    </xf>
    <xf numFmtId="3" fontId="16" fillId="10" borderId="0" xfId="13" applyNumberFormat="1" applyFont="1" applyFill="1" applyBorder="1" applyAlignment="1">
      <alignment vertical="center"/>
    </xf>
    <xf numFmtId="3" fontId="15" fillId="2" borderId="0" xfId="14" applyNumberFormat="1" applyFont="1" applyFill="1" applyBorder="1" applyAlignment="1">
      <alignment vertical="center"/>
    </xf>
    <xf numFmtId="3" fontId="16" fillId="8" borderId="31" xfId="14" applyNumberFormat="1" applyFont="1" applyFill="1" applyBorder="1" applyAlignment="1">
      <alignment vertical="center"/>
    </xf>
    <xf numFmtId="0" fontId="6" fillId="2" borderId="0" xfId="13" applyFont="1" applyFill="1" applyBorder="1" applyAlignment="1">
      <alignment wrapText="1"/>
    </xf>
    <xf numFmtId="164" fontId="15" fillId="0" borderId="0" xfId="13" applyNumberFormat="1" applyFont="1" applyBorder="1"/>
    <xf numFmtId="3" fontId="14" fillId="9" borderId="0" xfId="13" applyNumberFormat="1" applyFont="1" applyFill="1" applyBorder="1" applyAlignment="1">
      <alignment vertical="center"/>
    </xf>
    <xf numFmtId="0" fontId="14" fillId="0" borderId="0" xfId="13" applyFont="1" applyFill="1" applyBorder="1" applyAlignment="1">
      <alignment vertical="center"/>
    </xf>
    <xf numFmtId="3" fontId="8" fillId="12" borderId="0" xfId="14" applyNumberFormat="1" applyFont="1" applyFill="1" applyBorder="1" applyAlignment="1">
      <alignment vertical="center"/>
    </xf>
    <xf numFmtId="3" fontId="14" fillId="0" borderId="0" xfId="14" applyNumberFormat="1" applyFont="1" applyFill="1" applyBorder="1" applyAlignment="1">
      <alignment vertical="center"/>
    </xf>
    <xf numFmtId="3" fontId="14" fillId="4" borderId="0" xfId="14" applyNumberFormat="1" applyFont="1" applyFill="1" applyBorder="1" applyAlignment="1">
      <alignment vertical="center"/>
    </xf>
    <xf numFmtId="0" fontId="6" fillId="0" borderId="0" xfId="13" applyFont="1" applyFill="1" applyBorder="1" applyAlignment="1">
      <alignment vertical="center"/>
    </xf>
    <xf numFmtId="3" fontId="8" fillId="0" borderId="0" xfId="13" applyNumberFormat="1" applyFont="1" applyFill="1" applyBorder="1" applyAlignment="1">
      <alignment vertical="center"/>
    </xf>
    <xf numFmtId="3" fontId="8" fillId="0" borderId="31" xfId="14" applyNumberFormat="1" applyFont="1" applyFill="1" applyBorder="1" applyAlignment="1">
      <alignment vertical="center"/>
    </xf>
    <xf numFmtId="3" fontId="8" fillId="2" borderId="0" xfId="13" applyNumberFormat="1" applyFont="1" applyFill="1" applyBorder="1"/>
    <xf numFmtId="0" fontId="6" fillId="0" borderId="38" xfId="13" applyFont="1" applyBorder="1"/>
    <xf numFmtId="0" fontId="6" fillId="0" borderId="37" xfId="13" applyFont="1" applyFill="1" applyBorder="1" applyAlignment="1">
      <alignment vertical="center"/>
    </xf>
    <xf numFmtId="0" fontId="6" fillId="0" borderId="37" xfId="13" applyFont="1" applyBorder="1" applyAlignment="1">
      <alignment vertical="center"/>
    </xf>
    <xf numFmtId="10" fontId="6" fillId="0" borderId="37" xfId="13" applyNumberFormat="1" applyFont="1" applyFill="1" applyBorder="1" applyAlignment="1">
      <alignment vertical="center"/>
    </xf>
    <xf numFmtId="3" fontId="6" fillId="0" borderId="37" xfId="13" applyNumberFormat="1" applyFont="1" applyFill="1" applyBorder="1" applyAlignment="1">
      <alignment vertical="center"/>
    </xf>
    <xf numFmtId="3" fontId="7" fillId="3" borderId="37" xfId="13" applyNumberFormat="1" applyFont="1" applyFill="1" applyBorder="1" applyAlignment="1">
      <alignment vertical="center"/>
    </xf>
    <xf numFmtId="3" fontId="6" fillId="9" borderId="37" xfId="13" applyNumberFormat="1" applyFont="1" applyFill="1" applyBorder="1" applyAlignment="1">
      <alignment vertical="center"/>
    </xf>
    <xf numFmtId="3" fontId="8" fillId="0" borderId="37" xfId="16" applyNumberFormat="1" applyFont="1" applyFill="1" applyBorder="1" applyAlignment="1">
      <alignment vertical="center"/>
    </xf>
    <xf numFmtId="3" fontId="8" fillId="9" borderId="37" xfId="13" applyNumberFormat="1" applyFont="1" applyFill="1" applyBorder="1" applyAlignment="1">
      <alignment vertical="center"/>
    </xf>
    <xf numFmtId="3" fontId="6" fillId="0" borderId="37" xfId="14" applyNumberFormat="1" applyFont="1" applyFill="1" applyBorder="1" applyAlignment="1">
      <alignment vertical="center"/>
    </xf>
    <xf numFmtId="3" fontId="8" fillId="0" borderId="37" xfId="14" applyNumberFormat="1" applyFont="1" applyFill="1" applyBorder="1" applyAlignment="1">
      <alignment vertical="center"/>
    </xf>
    <xf numFmtId="3" fontId="8" fillId="0" borderId="35" xfId="14" applyNumberFormat="1" applyFont="1" applyFill="1" applyBorder="1" applyAlignment="1">
      <alignment vertical="center"/>
    </xf>
    <xf numFmtId="164" fontId="8" fillId="13" borderId="37" xfId="13" applyNumberFormat="1" applyFont="1" applyFill="1" applyBorder="1"/>
    <xf numFmtId="0" fontId="6" fillId="0" borderId="37" xfId="13" applyFont="1" applyFill="1" applyBorder="1" applyAlignment="1">
      <alignment horizontal="left" vertical="center"/>
    </xf>
    <xf numFmtId="0" fontId="18" fillId="0" borderId="37" xfId="13" applyFont="1" applyFill="1" applyBorder="1" applyAlignment="1">
      <alignment horizontal="left" vertical="center"/>
    </xf>
    <xf numFmtId="3" fontId="8" fillId="0" borderId="37" xfId="13" applyNumberFormat="1" applyFont="1" applyFill="1" applyBorder="1" applyAlignment="1">
      <alignment vertical="center"/>
    </xf>
    <xf numFmtId="3" fontId="19" fillId="3" borderId="37" xfId="13" applyNumberFormat="1" applyFont="1" applyFill="1" applyBorder="1" applyAlignment="1">
      <alignment vertical="center"/>
    </xf>
    <xf numFmtId="3" fontId="8" fillId="4" borderId="22" xfId="13" applyNumberFormat="1" applyFont="1" applyFill="1" applyBorder="1" applyAlignment="1">
      <alignment vertical="center"/>
    </xf>
    <xf numFmtId="3" fontId="8" fillId="13" borderId="37" xfId="13" applyNumberFormat="1" applyFont="1" applyFill="1" applyBorder="1" applyAlignment="1">
      <alignment vertical="center"/>
    </xf>
    <xf numFmtId="3" fontId="8" fillId="2" borderId="37" xfId="13" applyNumberFormat="1" applyFont="1" applyFill="1" applyBorder="1" applyAlignment="1">
      <alignment vertical="center"/>
    </xf>
    <xf numFmtId="3" fontId="8" fillId="0" borderId="35" xfId="13" applyNumberFormat="1" applyFont="1" applyFill="1" applyBorder="1" applyAlignment="1">
      <alignment vertical="center"/>
    </xf>
    <xf numFmtId="8" fontId="6" fillId="0" borderId="0" xfId="13" applyNumberFormat="1" applyFont="1" applyFill="1" applyBorder="1" applyAlignment="1">
      <alignment vertical="center"/>
    </xf>
    <xf numFmtId="3" fontId="8" fillId="0" borderId="0" xfId="16" applyNumberFormat="1" applyFont="1" applyFill="1" applyBorder="1" applyAlignment="1">
      <alignment vertical="center"/>
    </xf>
    <xf numFmtId="3" fontId="8" fillId="4" borderId="0" xfId="16" applyNumberFormat="1" applyFont="1" applyFill="1" applyBorder="1" applyAlignment="1">
      <alignment vertical="center"/>
    </xf>
    <xf numFmtId="3" fontId="6" fillId="14" borderId="20" xfId="13" applyNumberFormat="1" applyFont="1" applyFill="1" applyBorder="1" applyAlignment="1">
      <alignment vertical="center"/>
    </xf>
    <xf numFmtId="3" fontId="8" fillId="4" borderId="20" xfId="14" applyNumberFormat="1" applyFont="1" applyFill="1" applyBorder="1" applyAlignment="1">
      <alignment vertical="center"/>
    </xf>
    <xf numFmtId="3" fontId="6" fillId="8" borderId="20" xfId="14" applyNumberFormat="1" applyFont="1" applyFill="1" applyBorder="1" applyAlignment="1">
      <alignment vertical="center"/>
    </xf>
    <xf numFmtId="3" fontId="6" fillId="15" borderId="0" xfId="13" applyNumberFormat="1" applyFont="1" applyFill="1" applyBorder="1" applyAlignment="1">
      <alignment vertical="center"/>
    </xf>
    <xf numFmtId="0" fontId="6" fillId="0" borderId="0" xfId="13" applyFont="1" applyFill="1" applyBorder="1"/>
    <xf numFmtId="0" fontId="8" fillId="2" borderId="0" xfId="13" applyFont="1" applyFill="1" applyBorder="1" applyAlignment="1">
      <alignment vertical="center"/>
    </xf>
    <xf numFmtId="0" fontId="8" fillId="2" borderId="0" xfId="13" applyFont="1" applyFill="1" applyBorder="1"/>
    <xf numFmtId="3" fontId="6" fillId="8" borderId="37" xfId="14" applyNumberFormat="1" applyFont="1" applyFill="1" applyBorder="1" applyAlignment="1">
      <alignment vertical="center"/>
    </xf>
    <xf numFmtId="3" fontId="8" fillId="8" borderId="35" xfId="14" applyNumberFormat="1" applyFont="1" applyFill="1" applyBorder="1" applyAlignment="1">
      <alignment vertical="center"/>
    </xf>
    <xf numFmtId="0" fontId="6" fillId="0" borderId="0" xfId="13" applyFont="1" applyFill="1" applyBorder="1" applyAlignment="1">
      <alignment horizontal="left" vertical="center"/>
    </xf>
    <xf numFmtId="0" fontId="18" fillId="0" borderId="0" xfId="13" applyFont="1" applyFill="1" applyBorder="1" applyAlignment="1">
      <alignment horizontal="left" vertical="center"/>
    </xf>
    <xf numFmtId="3" fontId="8" fillId="4" borderId="0" xfId="13" applyNumberFormat="1" applyFont="1" applyFill="1" applyBorder="1" applyAlignment="1">
      <alignment vertical="center"/>
    </xf>
    <xf numFmtId="3" fontId="8" fillId="2" borderId="0" xfId="13" applyNumberFormat="1" applyFont="1" applyFill="1" applyBorder="1" applyAlignment="1">
      <alignment vertical="center"/>
    </xf>
    <xf numFmtId="0" fontId="8" fillId="0" borderId="0" xfId="13" applyFont="1" applyFill="1" applyBorder="1" applyAlignment="1">
      <alignment vertical="center"/>
    </xf>
    <xf numFmtId="42" fontId="6" fillId="0" borderId="37" xfId="13" applyNumberFormat="1" applyFont="1" applyFill="1" applyBorder="1" applyAlignment="1">
      <alignment vertical="center"/>
    </xf>
    <xf numFmtId="3" fontId="8" fillId="4" borderId="37" xfId="13" applyNumberFormat="1" applyFont="1" applyFill="1" applyBorder="1" applyAlignment="1">
      <alignment vertical="center"/>
    </xf>
    <xf numFmtId="3" fontId="19" fillId="3" borderId="0" xfId="13" applyNumberFormat="1" applyFont="1" applyFill="1" applyBorder="1" applyAlignment="1">
      <alignment vertical="center"/>
    </xf>
    <xf numFmtId="0" fontId="6" fillId="0" borderId="38" xfId="13" applyFont="1" applyFill="1" applyBorder="1"/>
    <xf numFmtId="3" fontId="8" fillId="4" borderId="37" xfId="16" applyNumberFormat="1" applyFont="1" applyFill="1" applyBorder="1" applyAlignment="1">
      <alignment vertical="center"/>
    </xf>
    <xf numFmtId="0" fontId="6" fillId="0" borderId="0" xfId="13" applyFont="1"/>
    <xf numFmtId="42" fontId="6" fillId="0" borderId="0" xfId="13" applyNumberFormat="1" applyFont="1" applyFill="1" applyBorder="1" applyAlignment="1">
      <alignment vertical="center"/>
    </xf>
    <xf numFmtId="3" fontId="6" fillId="0" borderId="0" xfId="13" applyNumberFormat="1" applyFont="1" applyFill="1" applyAlignment="1">
      <alignment vertical="center"/>
    </xf>
    <xf numFmtId="3" fontId="6" fillId="0" borderId="0" xfId="14" applyNumberFormat="1" applyFont="1" applyFill="1" applyAlignment="1">
      <alignment vertical="center"/>
    </xf>
    <xf numFmtId="3" fontId="8" fillId="0" borderId="0" xfId="14" applyNumberFormat="1" applyFont="1" applyFill="1" applyAlignment="1">
      <alignment vertical="center"/>
    </xf>
    <xf numFmtId="3" fontId="8" fillId="8" borderId="0" xfId="14" applyNumberFormat="1" applyFont="1" applyFill="1" applyBorder="1" applyAlignment="1">
      <alignment vertical="center"/>
    </xf>
    <xf numFmtId="3" fontId="8" fillId="16" borderId="37" xfId="13" applyNumberFormat="1" applyFont="1" applyFill="1" applyBorder="1" applyAlignment="1">
      <alignment vertical="center"/>
    </xf>
    <xf numFmtId="3" fontId="8" fillId="0" borderId="0" xfId="16" applyNumberFormat="1" applyFont="1" applyFill="1" applyAlignment="1">
      <alignment vertical="center"/>
    </xf>
    <xf numFmtId="3" fontId="8" fillId="4" borderId="0" xfId="16" applyNumberFormat="1" applyFont="1" applyFill="1" applyAlignment="1">
      <alignment vertical="center"/>
    </xf>
    <xf numFmtId="3" fontId="8" fillId="0" borderId="0" xfId="13" applyNumberFormat="1" applyFont="1" applyFill="1" applyAlignment="1">
      <alignment vertical="center"/>
    </xf>
    <xf numFmtId="0" fontId="6" fillId="17" borderId="0" xfId="13" applyFont="1" applyFill="1" applyBorder="1"/>
    <xf numFmtId="0" fontId="6" fillId="17" borderId="0" xfId="13" applyFont="1" applyFill="1"/>
    <xf numFmtId="0" fontId="6" fillId="17" borderId="0" xfId="13" applyFont="1" applyFill="1" applyBorder="1" applyAlignment="1">
      <alignment vertical="center"/>
    </xf>
    <xf numFmtId="42" fontId="6" fillId="17" borderId="0" xfId="13" applyNumberFormat="1" applyFont="1" applyFill="1" applyBorder="1" applyAlignment="1">
      <alignment vertical="center"/>
    </xf>
    <xf numFmtId="3" fontId="6" fillId="17" borderId="0" xfId="13" applyNumberFormat="1" applyFont="1" applyFill="1" applyBorder="1" applyAlignment="1">
      <alignment vertical="center"/>
    </xf>
    <xf numFmtId="3" fontId="7" fillId="17" borderId="0" xfId="13" applyNumberFormat="1" applyFont="1" applyFill="1" applyBorder="1" applyAlignment="1">
      <alignment vertical="center"/>
    </xf>
    <xf numFmtId="3" fontId="6" fillId="17" borderId="0" xfId="13" applyNumberFormat="1" applyFont="1" applyFill="1" applyAlignment="1">
      <alignment vertical="center"/>
    </xf>
    <xf numFmtId="3" fontId="8" fillId="17" borderId="0" xfId="16" applyNumberFormat="1" applyFont="1" applyFill="1" applyAlignment="1">
      <alignment vertical="center"/>
    </xf>
    <xf numFmtId="3" fontId="8" fillId="17" borderId="0" xfId="13" applyNumberFormat="1" applyFont="1" applyFill="1" applyAlignment="1">
      <alignment vertical="center"/>
    </xf>
    <xf numFmtId="3" fontId="6" fillId="17" borderId="0" xfId="14" applyNumberFormat="1" applyFont="1" applyFill="1" applyAlignment="1">
      <alignment vertical="center"/>
    </xf>
    <xf numFmtId="3" fontId="8" fillId="17" borderId="0" xfId="14" applyNumberFormat="1" applyFont="1" applyFill="1" applyAlignment="1">
      <alignment vertical="center"/>
    </xf>
    <xf numFmtId="0" fontId="6" fillId="17" borderId="0" xfId="13" applyFont="1" applyFill="1" applyBorder="1" applyAlignment="1">
      <alignment wrapText="1"/>
    </xf>
    <xf numFmtId="3" fontId="7" fillId="17" borderId="37" xfId="13" applyNumberFormat="1" applyFont="1" applyFill="1" applyBorder="1" applyAlignment="1">
      <alignment vertical="center"/>
    </xf>
    <xf numFmtId="3" fontId="6" fillId="17" borderId="37" xfId="13" applyNumberFormat="1" applyFont="1" applyFill="1" applyBorder="1" applyAlignment="1">
      <alignment vertical="center"/>
    </xf>
    <xf numFmtId="3" fontId="8" fillId="17" borderId="37" xfId="16" applyNumberFormat="1" applyFont="1" applyFill="1" applyBorder="1" applyAlignment="1">
      <alignment vertical="center"/>
    </xf>
    <xf numFmtId="3" fontId="8" fillId="17" borderId="0" xfId="16" applyNumberFormat="1" applyFont="1" applyFill="1" applyBorder="1" applyAlignment="1">
      <alignment vertical="center"/>
    </xf>
    <xf numFmtId="3" fontId="6" fillId="17" borderId="37" xfId="14" applyNumberFormat="1" applyFont="1" applyFill="1" applyBorder="1" applyAlignment="1">
      <alignment vertical="center"/>
    </xf>
    <xf numFmtId="0" fontId="15" fillId="17" borderId="0" xfId="13" applyFont="1" applyFill="1" applyBorder="1"/>
    <xf numFmtId="0" fontId="15" fillId="17" borderId="19" xfId="13" applyFont="1" applyFill="1" applyBorder="1"/>
    <xf numFmtId="0" fontId="15" fillId="17" borderId="20" xfId="13" applyFont="1" applyFill="1" applyBorder="1" applyAlignment="1">
      <alignment vertical="center"/>
    </xf>
    <xf numFmtId="10" fontId="15" fillId="17" borderId="20" xfId="13" applyNumberFormat="1" applyFont="1" applyFill="1" applyBorder="1" applyAlignment="1">
      <alignment vertical="center"/>
    </xf>
    <xf numFmtId="3" fontId="15" fillId="17" borderId="20" xfId="13" applyNumberFormat="1" applyFont="1" applyFill="1" applyBorder="1" applyAlignment="1">
      <alignment vertical="center"/>
    </xf>
    <xf numFmtId="3" fontId="17" fillId="17" borderId="20" xfId="13" applyNumberFormat="1" applyFont="1" applyFill="1" applyBorder="1" applyAlignment="1">
      <alignment vertical="center"/>
    </xf>
    <xf numFmtId="3" fontId="15" fillId="17" borderId="0" xfId="13" applyNumberFormat="1" applyFont="1" applyFill="1" applyBorder="1" applyAlignment="1">
      <alignment vertical="center"/>
    </xf>
    <xf numFmtId="3" fontId="16" fillId="17" borderId="20" xfId="14" applyNumberFormat="1" applyFont="1" applyFill="1" applyBorder="1" applyAlignment="1">
      <alignment vertical="center"/>
    </xf>
    <xf numFmtId="3" fontId="16" fillId="17" borderId="20" xfId="13" applyNumberFormat="1" applyFont="1" applyFill="1" applyBorder="1" applyAlignment="1">
      <alignment vertical="center"/>
    </xf>
    <xf numFmtId="3" fontId="15" fillId="17" borderId="20" xfId="14" applyNumberFormat="1" applyFont="1" applyFill="1" applyBorder="1" applyAlignment="1">
      <alignment vertical="center"/>
    </xf>
    <xf numFmtId="3" fontId="16" fillId="17" borderId="24" xfId="14" applyNumberFormat="1" applyFont="1" applyFill="1" applyBorder="1" applyAlignment="1">
      <alignment vertical="center"/>
    </xf>
    <xf numFmtId="0" fontId="15" fillId="17" borderId="25" xfId="13" applyFont="1" applyFill="1" applyBorder="1"/>
    <xf numFmtId="0" fontId="15" fillId="17" borderId="0" xfId="13" applyFont="1" applyFill="1" applyBorder="1" applyAlignment="1">
      <alignment vertical="center"/>
    </xf>
    <xf numFmtId="10" fontId="15" fillId="17" borderId="0" xfId="13" applyNumberFormat="1" applyFont="1" applyFill="1" applyBorder="1" applyAlignment="1">
      <alignment vertical="center"/>
    </xf>
    <xf numFmtId="3" fontId="17" fillId="17" borderId="0" xfId="13" applyNumberFormat="1" applyFont="1" applyFill="1" applyBorder="1" applyAlignment="1">
      <alignment vertical="center"/>
    </xf>
    <xf numFmtId="3" fontId="16" fillId="17" borderId="0" xfId="14" applyNumberFormat="1" applyFont="1" applyFill="1" applyBorder="1" applyAlignment="1">
      <alignment vertical="center"/>
    </xf>
    <xf numFmtId="3" fontId="16" fillId="17" borderId="0" xfId="13" applyNumberFormat="1" applyFont="1" applyFill="1" applyBorder="1" applyAlignment="1">
      <alignment vertical="center"/>
    </xf>
    <xf numFmtId="3" fontId="15" fillId="17" borderId="0" xfId="14" applyNumberFormat="1" applyFont="1" applyFill="1" applyBorder="1" applyAlignment="1">
      <alignment vertical="center"/>
    </xf>
    <xf numFmtId="3" fontId="16" fillId="17" borderId="31" xfId="14" applyNumberFormat="1" applyFont="1" applyFill="1" applyBorder="1" applyAlignment="1">
      <alignment vertical="center"/>
    </xf>
    <xf numFmtId="0" fontId="15" fillId="17" borderId="38" xfId="13" applyFont="1" applyFill="1" applyBorder="1"/>
    <xf numFmtId="0" fontId="15" fillId="17" borderId="37" xfId="13" applyFont="1" applyFill="1" applyBorder="1" applyAlignment="1">
      <alignment vertical="center"/>
    </xf>
    <xf numFmtId="8" fontId="15" fillId="17" borderId="37" xfId="13" applyNumberFormat="1" applyFont="1" applyFill="1" applyBorder="1" applyAlignment="1">
      <alignment vertical="center"/>
    </xf>
    <xf numFmtId="3" fontId="15" fillId="17" borderId="37" xfId="13" applyNumberFormat="1" applyFont="1" applyFill="1" applyBorder="1" applyAlignment="1">
      <alignment vertical="center"/>
    </xf>
    <xf numFmtId="3" fontId="17" fillId="17" borderId="37" xfId="13" applyNumberFormat="1" applyFont="1" applyFill="1" applyBorder="1" applyAlignment="1">
      <alignment vertical="center"/>
    </xf>
    <xf numFmtId="3" fontId="16" fillId="17" borderId="37" xfId="16" applyNumberFormat="1" applyFont="1" applyFill="1" applyBorder="1" applyAlignment="1">
      <alignment vertical="center"/>
    </xf>
    <xf numFmtId="3" fontId="16" fillId="17" borderId="37" xfId="13" applyNumberFormat="1" applyFont="1" applyFill="1" applyBorder="1" applyAlignment="1">
      <alignment vertical="center"/>
    </xf>
    <xf numFmtId="3" fontId="15" fillId="17" borderId="37" xfId="14" applyNumberFormat="1" applyFont="1" applyFill="1" applyBorder="1" applyAlignment="1">
      <alignment vertical="center"/>
    </xf>
    <xf numFmtId="3" fontId="16" fillId="17" borderId="37" xfId="14" applyNumberFormat="1" applyFont="1" applyFill="1" applyBorder="1" applyAlignment="1">
      <alignment vertical="center"/>
    </xf>
    <xf numFmtId="3" fontId="16" fillId="17" borderId="35" xfId="14" applyNumberFormat="1" applyFont="1" applyFill="1" applyBorder="1" applyAlignment="1">
      <alignment vertical="center"/>
    </xf>
    <xf numFmtId="164" fontId="16" fillId="17" borderId="37" xfId="13" applyNumberFormat="1" applyFont="1" applyFill="1" applyBorder="1"/>
    <xf numFmtId="0" fontId="15" fillId="17" borderId="37" xfId="13" applyFont="1" applyFill="1" applyBorder="1" applyAlignment="1">
      <alignment horizontal="left" vertical="center"/>
    </xf>
    <xf numFmtId="0" fontId="20" fillId="17" borderId="37" xfId="13" applyFont="1" applyFill="1" applyBorder="1" applyAlignment="1">
      <alignment horizontal="left" vertical="center"/>
    </xf>
    <xf numFmtId="3" fontId="21" fillId="17" borderId="37" xfId="13" applyNumberFormat="1" applyFont="1" applyFill="1" applyBorder="1" applyAlignment="1">
      <alignment vertical="center"/>
    </xf>
    <xf numFmtId="164" fontId="6" fillId="17" borderId="0" xfId="13" applyNumberFormat="1" applyFont="1" applyFill="1" applyBorder="1"/>
    <xf numFmtId="0" fontId="6" fillId="17" borderId="0" xfId="13" applyFont="1" applyFill="1" applyBorder="1" applyAlignment="1">
      <alignment horizontal="left" vertical="center"/>
    </xf>
    <xf numFmtId="0" fontId="18" fillId="17" borderId="0" xfId="13" applyFont="1" applyFill="1" applyBorder="1" applyAlignment="1">
      <alignment horizontal="left" vertical="center"/>
    </xf>
    <xf numFmtId="3" fontId="8" fillId="17" borderId="0" xfId="13" applyNumberFormat="1" applyFont="1" applyFill="1" applyBorder="1" applyAlignment="1">
      <alignment vertical="center"/>
    </xf>
    <xf numFmtId="3" fontId="19" fillId="17" borderId="0" xfId="13" applyNumberFormat="1" applyFont="1" applyFill="1" applyBorder="1" applyAlignment="1">
      <alignment vertical="center"/>
    </xf>
    <xf numFmtId="3" fontId="8" fillId="17" borderId="37" xfId="13" applyNumberFormat="1" applyFont="1" applyFill="1" applyBorder="1" applyAlignment="1">
      <alignment vertical="center"/>
    </xf>
    <xf numFmtId="0" fontId="6" fillId="0" borderId="20" xfId="13" applyFont="1" applyFill="1" applyBorder="1" applyAlignment="1">
      <alignment vertical="center"/>
    </xf>
    <xf numFmtId="3" fontId="6" fillId="0" borderId="20" xfId="16" applyNumberFormat="1" applyFont="1" applyFill="1" applyBorder="1" applyAlignment="1">
      <alignment vertical="center"/>
    </xf>
    <xf numFmtId="3" fontId="6" fillId="4" borderId="20" xfId="16" applyNumberFormat="1" applyFont="1" applyFill="1" applyBorder="1" applyAlignment="1">
      <alignment vertical="center"/>
    </xf>
    <xf numFmtId="0" fontId="6" fillId="0" borderId="37" xfId="13" quotePrefix="1" applyFont="1" applyFill="1" applyBorder="1" applyAlignment="1">
      <alignment vertical="center"/>
    </xf>
    <xf numFmtId="0" fontId="6" fillId="0" borderId="0" xfId="13" applyFont="1" applyFill="1"/>
    <xf numFmtId="0" fontId="6" fillId="0" borderId="0" xfId="13" applyFont="1" applyFill="1" applyAlignment="1">
      <alignment vertical="center"/>
    </xf>
    <xf numFmtId="3" fontId="7" fillId="3" borderId="0" xfId="13" applyNumberFormat="1" applyFont="1" applyFill="1" applyAlignment="1">
      <alignment vertical="center"/>
    </xf>
    <xf numFmtId="3" fontId="6" fillId="4" borderId="0" xfId="13" applyNumberFormat="1" applyFont="1" applyFill="1" applyAlignment="1">
      <alignment vertical="center"/>
    </xf>
    <xf numFmtId="0" fontId="6" fillId="18" borderId="0" xfId="13" applyFont="1" applyFill="1" applyBorder="1"/>
    <xf numFmtId="0" fontId="6" fillId="18" borderId="0" xfId="13" applyFont="1" applyFill="1"/>
    <xf numFmtId="0" fontId="6" fillId="18" borderId="0" xfId="13" applyFont="1" applyFill="1" applyAlignment="1">
      <alignment vertical="center"/>
    </xf>
    <xf numFmtId="3" fontId="7" fillId="18" borderId="0" xfId="13" applyNumberFormat="1" applyFont="1" applyFill="1" applyAlignment="1">
      <alignment vertical="center"/>
    </xf>
    <xf numFmtId="3" fontId="6" fillId="18" borderId="0" xfId="13" applyNumberFormat="1" applyFont="1" applyFill="1" applyAlignment="1">
      <alignment vertical="center"/>
    </xf>
    <xf numFmtId="3" fontId="8" fillId="18" borderId="37" xfId="16" applyNumberFormat="1" applyFont="1" applyFill="1" applyBorder="1" applyAlignment="1">
      <alignment vertical="center"/>
    </xf>
    <xf numFmtId="3" fontId="8" fillId="18" borderId="0" xfId="16" applyNumberFormat="1" applyFont="1" applyFill="1" applyBorder="1" applyAlignment="1">
      <alignment vertical="center"/>
    </xf>
    <xf numFmtId="0" fontId="6" fillId="18" borderId="0" xfId="13" applyFont="1" applyFill="1" applyBorder="1" applyAlignment="1">
      <alignment wrapText="1"/>
    </xf>
    <xf numFmtId="0" fontId="6" fillId="18" borderId="19" xfId="13" applyFont="1" applyFill="1" applyBorder="1"/>
    <xf numFmtId="0" fontId="6" fillId="18" borderId="20" xfId="13" applyFont="1" applyFill="1" applyBorder="1" applyAlignment="1">
      <alignment vertical="center"/>
    </xf>
    <xf numFmtId="10" fontId="6" fillId="18" borderId="20" xfId="13" applyNumberFormat="1" applyFont="1" applyFill="1" applyBorder="1" applyAlignment="1">
      <alignment vertical="center"/>
    </xf>
    <xf numFmtId="3" fontId="6" fillId="18" borderId="20" xfId="13" applyNumberFormat="1" applyFont="1" applyFill="1" applyBorder="1" applyAlignment="1">
      <alignment vertical="center"/>
    </xf>
    <xf numFmtId="3" fontId="7" fillId="18" borderId="20" xfId="13" applyNumberFormat="1" applyFont="1" applyFill="1" applyBorder="1" applyAlignment="1">
      <alignment vertical="center"/>
    </xf>
    <xf numFmtId="3" fontId="8" fillId="18" borderId="20" xfId="14" applyNumberFormat="1" applyFont="1" applyFill="1" applyBorder="1" applyAlignment="1">
      <alignment vertical="center"/>
    </xf>
    <xf numFmtId="3" fontId="8" fillId="18" borderId="20" xfId="13" applyNumberFormat="1" applyFont="1" applyFill="1" applyBorder="1" applyAlignment="1">
      <alignment vertical="center"/>
    </xf>
    <xf numFmtId="3" fontId="6" fillId="18" borderId="20" xfId="14" applyNumberFormat="1" applyFont="1" applyFill="1" applyBorder="1" applyAlignment="1">
      <alignment vertical="center"/>
    </xf>
    <xf numFmtId="3" fontId="8" fillId="18" borderId="24" xfId="14" applyNumberFormat="1" applyFont="1" applyFill="1" applyBorder="1" applyAlignment="1">
      <alignment vertical="center"/>
    </xf>
    <xf numFmtId="0" fontId="6" fillId="18" borderId="38" xfId="13" applyFont="1" applyFill="1" applyBorder="1"/>
    <xf numFmtId="0" fontId="6" fillId="18" borderId="37" xfId="13" applyFont="1" applyFill="1" applyBorder="1" applyAlignment="1">
      <alignment vertical="center"/>
    </xf>
    <xf numFmtId="8" fontId="6" fillId="18" borderId="37" xfId="13" applyNumberFormat="1" applyFont="1" applyFill="1" applyBorder="1" applyAlignment="1">
      <alignment vertical="center"/>
    </xf>
    <xf numFmtId="3" fontId="6" fillId="18" borderId="37" xfId="13" applyNumberFormat="1" applyFont="1" applyFill="1" applyBorder="1" applyAlignment="1">
      <alignment vertical="center"/>
    </xf>
    <xf numFmtId="3" fontId="7" fillId="18" borderId="37" xfId="13" applyNumberFormat="1" applyFont="1" applyFill="1" applyBorder="1" applyAlignment="1">
      <alignment vertical="center"/>
    </xf>
    <xf numFmtId="3" fontId="8" fillId="18" borderId="37" xfId="13" applyNumberFormat="1" applyFont="1" applyFill="1" applyBorder="1" applyAlignment="1">
      <alignment vertical="center"/>
    </xf>
    <xf numFmtId="3" fontId="6" fillId="18" borderId="37" xfId="14" applyNumberFormat="1" applyFont="1" applyFill="1" applyBorder="1" applyAlignment="1">
      <alignment vertical="center"/>
    </xf>
    <xf numFmtId="3" fontId="8" fillId="18" borderId="37" xfId="14" applyNumberFormat="1" applyFont="1" applyFill="1" applyBorder="1" applyAlignment="1">
      <alignment vertical="center"/>
    </xf>
    <xf numFmtId="3" fontId="8" fillId="18" borderId="35" xfId="14" applyNumberFormat="1" applyFont="1" applyFill="1" applyBorder="1" applyAlignment="1">
      <alignment vertical="center"/>
    </xf>
    <xf numFmtId="0" fontId="6" fillId="18" borderId="37" xfId="13" applyFont="1" applyFill="1" applyBorder="1" applyAlignment="1">
      <alignment horizontal="left" vertical="center"/>
    </xf>
    <xf numFmtId="0" fontId="18" fillId="18" borderId="37" xfId="13" applyFont="1" applyFill="1" applyBorder="1" applyAlignment="1">
      <alignment horizontal="left" vertical="center"/>
    </xf>
    <xf numFmtId="3" fontId="19" fillId="18" borderId="37" xfId="13" applyNumberFormat="1" applyFont="1" applyFill="1" applyBorder="1" applyAlignment="1">
      <alignment vertical="center"/>
    </xf>
    <xf numFmtId="3" fontId="8" fillId="18" borderId="35" xfId="13" applyNumberFormat="1" applyFont="1" applyFill="1" applyBorder="1" applyAlignment="1">
      <alignment vertical="center"/>
    </xf>
    <xf numFmtId="0" fontId="6" fillId="18" borderId="0" xfId="13" applyFont="1" applyFill="1" applyBorder="1" applyAlignment="1">
      <alignment vertical="center"/>
    </xf>
    <xf numFmtId="8" fontId="6" fillId="18" borderId="0" xfId="13" applyNumberFormat="1" applyFont="1" applyFill="1" applyBorder="1" applyAlignment="1">
      <alignment vertical="center"/>
    </xf>
    <xf numFmtId="3" fontId="6" fillId="18" borderId="0" xfId="13" applyNumberFormat="1" applyFont="1" applyFill="1" applyBorder="1" applyAlignment="1">
      <alignment vertical="center"/>
    </xf>
    <xf numFmtId="3" fontId="7" fillId="18" borderId="0" xfId="13" applyNumberFormat="1" applyFont="1" applyFill="1" applyBorder="1" applyAlignment="1">
      <alignment vertical="center"/>
    </xf>
    <xf numFmtId="3" fontId="8" fillId="18" borderId="0" xfId="16" applyNumberFormat="1" applyFont="1" applyFill="1" applyAlignment="1">
      <alignment vertical="center"/>
    </xf>
    <xf numFmtId="3" fontId="8" fillId="18" borderId="0" xfId="13" applyNumberFormat="1" applyFont="1" applyFill="1" applyAlignment="1">
      <alignment vertical="center"/>
    </xf>
    <xf numFmtId="3" fontId="6" fillId="18" borderId="0" xfId="14" applyNumberFormat="1" applyFont="1" applyFill="1" applyAlignment="1">
      <alignment vertical="center"/>
    </xf>
    <xf numFmtId="3" fontId="8" fillId="18" borderId="0" xfId="14" applyNumberFormat="1" applyFont="1" applyFill="1" applyAlignment="1">
      <alignment vertical="center"/>
    </xf>
    <xf numFmtId="8" fontId="6" fillId="0" borderId="0" xfId="13" applyNumberFormat="1" applyFont="1" applyBorder="1"/>
    <xf numFmtId="0" fontId="16" fillId="2" borderId="20" xfId="13" applyFont="1" applyFill="1" applyBorder="1" applyAlignment="1">
      <alignment vertical="center"/>
    </xf>
    <xf numFmtId="0" fontId="22" fillId="19" borderId="20" xfId="13" applyFont="1" applyFill="1" applyBorder="1" applyAlignment="1">
      <alignment vertical="center"/>
    </xf>
    <xf numFmtId="10" fontId="15" fillId="0" borderId="20" xfId="13" applyNumberFormat="1" applyFont="1" applyFill="1" applyBorder="1" applyAlignment="1">
      <alignment vertical="center"/>
    </xf>
    <xf numFmtId="3" fontId="15" fillId="0" borderId="20" xfId="13" applyNumberFormat="1" applyFont="1" applyFill="1" applyBorder="1" applyAlignment="1">
      <alignment vertical="center"/>
    </xf>
    <xf numFmtId="4" fontId="17" fillId="15" borderId="20" xfId="14" applyNumberFormat="1" applyFont="1" applyFill="1" applyBorder="1" applyAlignment="1">
      <alignment vertical="center"/>
    </xf>
    <xf numFmtId="3" fontId="15" fillId="9" borderId="20" xfId="13" applyNumberFormat="1" applyFont="1" applyFill="1" applyBorder="1" applyAlignment="1">
      <alignment vertical="center"/>
    </xf>
    <xf numFmtId="3" fontId="16" fillId="0" borderId="20" xfId="14" applyNumberFormat="1" applyFont="1" applyFill="1" applyBorder="1" applyAlignment="1">
      <alignment vertical="center"/>
    </xf>
    <xf numFmtId="3" fontId="16" fillId="10" borderId="20" xfId="13" applyNumberFormat="1" applyFont="1" applyFill="1" applyBorder="1" applyAlignment="1">
      <alignment vertical="center"/>
    </xf>
    <xf numFmtId="3" fontId="15" fillId="0" borderId="20" xfId="14" applyNumberFormat="1" applyFont="1" applyFill="1" applyBorder="1" applyAlignment="1">
      <alignment vertical="center"/>
    </xf>
    <xf numFmtId="3" fontId="15" fillId="2" borderId="20" xfId="14" applyNumberFormat="1" applyFont="1" applyFill="1" applyBorder="1" applyAlignment="1">
      <alignment vertical="center"/>
    </xf>
    <xf numFmtId="3" fontId="15" fillId="8" borderId="0" xfId="14" applyNumberFormat="1" applyFont="1" applyFill="1" applyBorder="1" applyAlignment="1">
      <alignment vertical="center"/>
    </xf>
    <xf numFmtId="3" fontId="16" fillId="8" borderId="24" xfId="14" applyNumberFormat="1" applyFont="1" applyFill="1" applyBorder="1" applyAlignment="1">
      <alignment vertical="center"/>
    </xf>
    <xf numFmtId="0" fontId="15" fillId="0" borderId="0" xfId="13" applyFont="1" applyFill="1" applyBorder="1" applyAlignment="1">
      <alignment vertical="center"/>
    </xf>
    <xf numFmtId="4" fontId="17" fillId="15" borderId="0" xfId="13" applyNumberFormat="1" applyFont="1" applyFill="1" applyBorder="1" applyAlignment="1">
      <alignment vertical="center"/>
    </xf>
    <xf numFmtId="8" fontId="6" fillId="0" borderId="0" xfId="13" applyNumberFormat="1" applyFont="1" applyBorder="1" applyAlignment="1">
      <alignment vertical="center"/>
    </xf>
    <xf numFmtId="0" fontId="6" fillId="0" borderId="25" xfId="13" applyFont="1" applyFill="1" applyBorder="1" applyAlignment="1">
      <alignment vertical="center"/>
    </xf>
    <xf numFmtId="164" fontId="6" fillId="0" borderId="0" xfId="13" applyNumberFormat="1" applyFont="1" applyBorder="1" applyAlignment="1">
      <alignment vertical="center"/>
    </xf>
    <xf numFmtId="8" fontId="6" fillId="0" borderId="0" xfId="13" applyNumberFormat="1" applyFont="1" applyFill="1" applyBorder="1"/>
    <xf numFmtId="0" fontId="23" fillId="0" borderId="0" xfId="13" applyFont="1" applyFill="1" applyBorder="1" applyAlignment="1">
      <alignment vertical="center"/>
    </xf>
    <xf numFmtId="0" fontId="6" fillId="0" borderId="21" xfId="13" applyFont="1" applyBorder="1"/>
    <xf numFmtId="0" fontId="6" fillId="0" borderId="22" xfId="13" applyFont="1" applyFill="1" applyBorder="1" applyAlignment="1">
      <alignment horizontal="left" vertical="center"/>
    </xf>
    <xf numFmtId="0" fontId="6" fillId="0" borderId="22" xfId="13" quotePrefix="1" applyFont="1" applyFill="1" applyBorder="1" applyAlignment="1">
      <alignment horizontal="left" vertical="center"/>
    </xf>
    <xf numFmtId="3" fontId="8" fillId="0" borderId="22" xfId="13" applyNumberFormat="1" applyFont="1" applyFill="1" applyBorder="1" applyAlignment="1">
      <alignment vertical="center"/>
    </xf>
    <xf numFmtId="3" fontId="19" fillId="3" borderId="22" xfId="13" applyNumberFormat="1" applyFont="1" applyFill="1" applyBorder="1" applyAlignment="1">
      <alignment vertical="center"/>
    </xf>
    <xf numFmtId="3" fontId="8" fillId="13" borderId="22" xfId="13" applyNumberFormat="1" applyFont="1" applyFill="1" applyBorder="1" applyAlignment="1">
      <alignment vertical="center"/>
    </xf>
    <xf numFmtId="3" fontId="8" fillId="2" borderId="22" xfId="13" applyNumberFormat="1" applyFont="1" applyFill="1" applyBorder="1" applyAlignment="1">
      <alignment vertical="center"/>
    </xf>
    <xf numFmtId="3" fontId="8" fillId="0" borderId="23" xfId="13" applyNumberFormat="1" applyFont="1" applyFill="1" applyBorder="1" applyAlignment="1">
      <alignment vertical="center"/>
    </xf>
    <xf numFmtId="0" fontId="6" fillId="0" borderId="0" xfId="13" quotePrefix="1" applyFont="1" applyFill="1" applyBorder="1" applyAlignment="1">
      <alignment horizontal="left" vertical="center"/>
    </xf>
    <xf numFmtId="3" fontId="19" fillId="0" borderId="22" xfId="13" applyNumberFormat="1" applyFont="1" applyFill="1" applyBorder="1" applyAlignment="1">
      <alignment vertical="center"/>
    </xf>
    <xf numFmtId="0" fontId="8" fillId="2" borderId="20" xfId="13" applyFont="1" applyFill="1" applyBorder="1" applyAlignment="1">
      <alignment vertical="center"/>
    </xf>
    <xf numFmtId="3" fontId="8" fillId="9" borderId="20" xfId="13" applyNumberFormat="1" applyFont="1" applyFill="1" applyBorder="1" applyAlignment="1">
      <alignment vertical="center"/>
    </xf>
    <xf numFmtId="3" fontId="8" fillId="9" borderId="0" xfId="13" applyNumberFormat="1" applyFont="1" applyFill="1" applyBorder="1" applyAlignment="1">
      <alignment vertical="center"/>
    </xf>
    <xf numFmtId="0" fontId="6" fillId="2" borderId="0" xfId="13" applyFont="1" applyFill="1" applyBorder="1"/>
    <xf numFmtId="3" fontId="7" fillId="15" borderId="0" xfId="13" applyNumberFormat="1" applyFont="1" applyFill="1" applyBorder="1" applyAlignment="1">
      <alignment vertical="center"/>
    </xf>
    <xf numFmtId="164" fontId="6" fillId="0" borderId="0" xfId="13" applyNumberFormat="1" applyFont="1" applyFill="1" applyBorder="1"/>
    <xf numFmtId="3" fontId="19" fillId="0" borderId="0" xfId="13" applyNumberFormat="1" applyFont="1" applyFill="1" applyBorder="1" applyAlignment="1">
      <alignment vertical="center"/>
    </xf>
    <xf numFmtId="0" fontId="15" fillId="0" borderId="0" xfId="13" applyFont="1" applyFill="1" applyBorder="1"/>
    <xf numFmtId="0" fontId="15" fillId="0" borderId="19" xfId="13" applyFont="1" applyBorder="1"/>
    <xf numFmtId="0" fontId="15" fillId="0" borderId="20" xfId="13" applyFont="1" applyFill="1" applyBorder="1" applyAlignment="1">
      <alignment vertical="center"/>
    </xf>
    <xf numFmtId="3" fontId="17" fillId="12" borderId="20" xfId="14" applyNumberFormat="1" applyFont="1" applyFill="1" applyBorder="1" applyAlignment="1">
      <alignment vertical="center"/>
    </xf>
    <xf numFmtId="3" fontId="15" fillId="2" borderId="20" xfId="13" applyNumberFormat="1" applyFont="1" applyFill="1" applyBorder="1" applyAlignment="1">
      <alignment vertical="center"/>
    </xf>
    <xf numFmtId="3" fontId="16" fillId="4" borderId="20" xfId="14" applyNumberFormat="1" applyFont="1" applyFill="1" applyBorder="1" applyAlignment="1">
      <alignment vertical="center"/>
    </xf>
    <xf numFmtId="3" fontId="15" fillId="8" borderId="20" xfId="14" applyNumberFormat="1" applyFont="1" applyFill="1" applyBorder="1" applyAlignment="1">
      <alignment vertical="center"/>
    </xf>
    <xf numFmtId="4" fontId="7" fillId="15" borderId="0" xfId="13" applyNumberFormat="1" applyFont="1" applyFill="1" applyBorder="1" applyAlignment="1">
      <alignment vertical="center"/>
    </xf>
    <xf numFmtId="3" fontId="6" fillId="9" borderId="0" xfId="13" applyNumberFormat="1" applyFont="1" applyFill="1" applyBorder="1" applyAlignment="1">
      <alignment horizontal="right" vertical="center"/>
    </xf>
    <xf numFmtId="4" fontId="7" fillId="15" borderId="0" xfId="14" applyNumberFormat="1" applyFont="1" applyFill="1" applyBorder="1" applyAlignment="1">
      <alignment vertical="center"/>
    </xf>
    <xf numFmtId="3" fontId="6" fillId="0" borderId="0" xfId="13" applyNumberFormat="1" applyFont="1" applyFill="1" applyBorder="1" applyAlignment="1">
      <alignment horizontal="right" vertical="center"/>
    </xf>
    <xf numFmtId="0" fontId="6" fillId="0" borderId="0" xfId="13" applyFont="1" applyBorder="1" applyAlignment="1">
      <alignment wrapText="1"/>
    </xf>
    <xf numFmtId="0" fontId="18" fillId="0" borderId="22" xfId="13" applyFont="1" applyFill="1" applyBorder="1" applyAlignment="1">
      <alignment horizontal="left" vertical="center"/>
    </xf>
    <xf numFmtId="3" fontId="8" fillId="0" borderId="22" xfId="13" applyNumberFormat="1" applyFont="1" applyFill="1" applyBorder="1" applyAlignment="1">
      <alignment horizontal="right" vertical="center"/>
    </xf>
    <xf numFmtId="3" fontId="6" fillId="0" borderId="0" xfId="13" applyNumberFormat="1" applyFont="1" applyFill="1" applyAlignment="1">
      <alignment horizontal="right" vertical="center"/>
    </xf>
    <xf numFmtId="0" fontId="6" fillId="0" borderId="19" xfId="13" applyFont="1" applyBorder="1" applyAlignment="1">
      <alignment vertical="center"/>
    </xf>
    <xf numFmtId="4" fontId="7" fillId="15" borderId="20" xfId="14" applyNumberFormat="1" applyFont="1" applyFill="1" applyBorder="1" applyAlignment="1">
      <alignment vertical="center"/>
    </xf>
    <xf numFmtId="3" fontId="6" fillId="9" borderId="20" xfId="13" applyNumberFormat="1" applyFont="1" applyFill="1" applyBorder="1" applyAlignment="1">
      <alignment horizontal="right" vertical="center"/>
    </xf>
    <xf numFmtId="3" fontId="8" fillId="0" borderId="20" xfId="16" applyNumberFormat="1" applyFont="1" applyFill="1" applyBorder="1" applyAlignment="1">
      <alignment vertical="center"/>
    </xf>
    <xf numFmtId="0" fontId="6" fillId="0" borderId="25" xfId="13" applyFont="1" applyBorder="1" applyAlignment="1">
      <alignment vertical="center"/>
    </xf>
    <xf numFmtId="0" fontId="6" fillId="0" borderId="0" xfId="13" applyFont="1" applyBorder="1" applyAlignment="1">
      <alignment vertical="center" wrapText="1"/>
    </xf>
    <xf numFmtId="3" fontId="8" fillId="0" borderId="0" xfId="13" applyNumberFormat="1" applyFont="1" applyFill="1" applyBorder="1" applyAlignment="1">
      <alignment horizontal="right" vertical="center"/>
    </xf>
    <xf numFmtId="3" fontId="6" fillId="18" borderId="0" xfId="13" applyNumberFormat="1" applyFont="1" applyFill="1" applyAlignment="1">
      <alignment horizontal="right" vertical="center"/>
    </xf>
    <xf numFmtId="8" fontId="6" fillId="18" borderId="0" xfId="13" applyNumberFormat="1" applyFont="1" applyFill="1" applyBorder="1"/>
    <xf numFmtId="0" fontId="15" fillId="18" borderId="20" xfId="13" applyFont="1" applyFill="1" applyBorder="1" applyAlignment="1">
      <alignment vertical="center"/>
    </xf>
    <xf numFmtId="3" fontId="6" fillId="18" borderId="20" xfId="13" applyNumberFormat="1" applyFont="1" applyFill="1" applyBorder="1" applyAlignment="1">
      <alignment horizontal="right" vertical="center"/>
    </xf>
    <xf numFmtId="0" fontId="6" fillId="18" borderId="25" xfId="13" applyFont="1" applyFill="1" applyBorder="1"/>
    <xf numFmtId="10" fontId="6" fillId="18" borderId="0" xfId="13" applyNumberFormat="1" applyFont="1" applyFill="1" applyBorder="1" applyAlignment="1">
      <alignment vertical="center"/>
    </xf>
    <xf numFmtId="3" fontId="6" fillId="18" borderId="0" xfId="13" applyNumberFormat="1" applyFont="1" applyFill="1" applyBorder="1" applyAlignment="1">
      <alignment horizontal="right" vertical="center"/>
    </xf>
    <xf numFmtId="3" fontId="8" fillId="18" borderId="0" xfId="14" applyNumberFormat="1" applyFont="1" applyFill="1" applyBorder="1" applyAlignment="1">
      <alignment vertical="center"/>
    </xf>
    <xf numFmtId="3" fontId="8" fillId="18" borderId="0" xfId="13" applyNumberFormat="1" applyFont="1" applyFill="1" applyBorder="1" applyAlignment="1">
      <alignment vertical="center"/>
    </xf>
    <xf numFmtId="3" fontId="6" fillId="18" borderId="0" xfId="14" applyNumberFormat="1" applyFont="1" applyFill="1" applyBorder="1" applyAlignment="1">
      <alignment vertical="center"/>
    </xf>
    <xf numFmtId="3" fontId="8" fillId="18" borderId="31" xfId="14" applyNumberFormat="1" applyFont="1" applyFill="1" applyBorder="1" applyAlignment="1">
      <alignment vertical="center"/>
    </xf>
    <xf numFmtId="164" fontId="8" fillId="18" borderId="37" xfId="13" applyNumberFormat="1" applyFont="1" applyFill="1" applyBorder="1"/>
    <xf numFmtId="3" fontId="8" fillId="18" borderId="37" xfId="13" applyNumberFormat="1" applyFont="1" applyFill="1" applyBorder="1" applyAlignment="1">
      <alignment horizontal="right" vertical="center"/>
    </xf>
    <xf numFmtId="164" fontId="6" fillId="18" borderId="0" xfId="13" applyNumberFormat="1" applyFont="1" applyFill="1" applyBorder="1"/>
    <xf numFmtId="0" fontId="6" fillId="18" borderId="0" xfId="13" applyFont="1" applyFill="1" applyBorder="1" applyAlignment="1">
      <alignment horizontal="left" vertical="center"/>
    </xf>
    <xf numFmtId="0" fontId="18" fillId="18" borderId="0" xfId="13" applyFont="1" applyFill="1" applyBorder="1" applyAlignment="1">
      <alignment horizontal="left" vertical="center"/>
    </xf>
    <xf numFmtId="3" fontId="19" fillId="18" borderId="0" xfId="13" applyNumberFormat="1" applyFont="1" applyFill="1" applyBorder="1" applyAlignment="1">
      <alignment vertical="center"/>
    </xf>
    <xf numFmtId="3" fontId="8" fillId="18" borderId="0" xfId="13" applyNumberFormat="1" applyFont="1" applyFill="1" applyBorder="1" applyAlignment="1">
      <alignment horizontal="right" vertical="center"/>
    </xf>
    <xf numFmtId="3" fontId="6" fillId="0" borderId="37" xfId="15" applyNumberFormat="1" applyFont="1" applyFill="1" applyBorder="1" applyAlignment="1">
      <alignment vertical="center"/>
    </xf>
    <xf numFmtId="3" fontId="8" fillId="0" borderId="37" xfId="15" applyNumberFormat="1" applyFont="1" applyBorder="1" applyAlignment="1">
      <alignment vertical="center"/>
    </xf>
    <xf numFmtId="3" fontId="8" fillId="4" borderId="37" xfId="15" applyNumberFormat="1" applyFont="1" applyFill="1" applyBorder="1" applyAlignment="1">
      <alignment vertical="center"/>
    </xf>
    <xf numFmtId="0" fontId="6" fillId="0" borderId="0" xfId="13" applyFont="1" applyAlignment="1">
      <alignment vertical="center"/>
    </xf>
    <xf numFmtId="3" fontId="6" fillId="0" borderId="0" xfId="15" applyNumberFormat="1" applyFont="1" applyFill="1" applyAlignment="1">
      <alignment vertical="center"/>
    </xf>
    <xf numFmtId="3" fontId="8" fillId="0" borderId="0" xfId="15" applyNumberFormat="1" applyFont="1" applyAlignment="1">
      <alignment vertical="center"/>
    </xf>
    <xf numFmtId="3" fontId="8" fillId="4" borderId="0" xfId="15" applyNumberFormat="1" applyFont="1" applyFill="1" applyAlignment="1">
      <alignment vertical="center"/>
    </xf>
    <xf numFmtId="3" fontId="18" fillId="0" borderId="37" xfId="13" applyNumberFormat="1" applyFont="1" applyFill="1" applyBorder="1" applyAlignment="1">
      <alignment horizontal="left" vertical="center"/>
    </xf>
    <xf numFmtId="3" fontId="24" fillId="3" borderId="37" xfId="13" applyNumberFormat="1" applyFont="1" applyFill="1" applyBorder="1" applyAlignment="1">
      <alignment horizontal="left" vertical="center"/>
    </xf>
    <xf numFmtId="0" fontId="8" fillId="8" borderId="0" xfId="13" applyFont="1" applyFill="1" applyBorder="1" applyAlignment="1">
      <alignment horizontal="left" vertical="center"/>
    </xf>
    <xf numFmtId="3" fontId="6" fillId="2" borderId="0" xfId="13" applyNumberFormat="1" applyFont="1" applyFill="1" applyBorder="1" applyAlignment="1">
      <alignment vertical="center"/>
    </xf>
    <xf numFmtId="3" fontId="6" fillId="0" borderId="20" xfId="15" applyNumberFormat="1" applyFont="1" applyFill="1" applyBorder="1" applyAlignment="1">
      <alignment vertical="center"/>
    </xf>
    <xf numFmtId="0" fontId="6" fillId="0" borderId="37" xfId="13" quotePrefix="1" applyFont="1" applyFill="1" applyBorder="1" applyAlignment="1">
      <alignment horizontal="left" vertical="center"/>
    </xf>
    <xf numFmtId="3" fontId="6" fillId="2" borderId="20" xfId="13" applyNumberFormat="1" applyFont="1" applyFill="1" applyBorder="1" applyAlignment="1">
      <alignment vertical="center"/>
    </xf>
    <xf numFmtId="3" fontId="8" fillId="0" borderId="24" xfId="14" applyNumberFormat="1" applyFont="1" applyFill="1" applyBorder="1" applyAlignment="1">
      <alignment vertical="center"/>
    </xf>
    <xf numFmtId="0" fontId="8" fillId="8" borderId="20" xfId="13" applyFont="1" applyFill="1" applyBorder="1" applyAlignment="1">
      <alignment horizontal="left" vertical="center"/>
    </xf>
    <xf numFmtId="3" fontId="6" fillId="6" borderId="20" xfId="13" applyNumberFormat="1" applyFont="1" applyFill="1" applyBorder="1" applyAlignment="1">
      <alignment vertical="center"/>
    </xf>
    <xf numFmtId="3" fontId="8" fillId="0" borderId="0" xfId="15" applyNumberFormat="1" applyFont="1" applyFill="1" applyAlignment="1">
      <alignment vertical="center"/>
    </xf>
    <xf numFmtId="0" fontId="6" fillId="2" borderId="0" xfId="13" applyFont="1" applyFill="1" applyBorder="1" applyAlignment="1">
      <alignment vertical="center"/>
    </xf>
    <xf numFmtId="0" fontId="25" fillId="0" borderId="0" xfId="13" applyFont="1" applyFill="1" applyBorder="1" applyAlignment="1">
      <alignment vertical="center"/>
    </xf>
    <xf numFmtId="164" fontId="6" fillId="20" borderId="0" xfId="13" applyNumberFormat="1" applyFont="1" applyFill="1"/>
    <xf numFmtId="0" fontId="6" fillId="0" borderId="21" xfId="13" applyFont="1" applyFill="1" applyBorder="1"/>
    <xf numFmtId="0" fontId="18" fillId="0" borderId="22" xfId="13" applyFont="1" applyFill="1" applyBorder="1" applyAlignment="1">
      <alignment vertical="center"/>
    </xf>
    <xf numFmtId="3" fontId="6" fillId="0" borderId="0" xfId="13" applyNumberFormat="1" applyFont="1" applyBorder="1" applyAlignment="1">
      <alignment wrapText="1"/>
    </xf>
    <xf numFmtId="3" fontId="6" fillId="21" borderId="0" xfId="13" applyNumberFormat="1" applyFont="1" applyFill="1"/>
    <xf numFmtId="1" fontId="6" fillId="0" borderId="0" xfId="13" applyNumberFormat="1" applyFont="1" applyFill="1" applyAlignment="1">
      <alignment vertical="center"/>
    </xf>
    <xf numFmtId="1" fontId="6" fillId="0" borderId="0" xfId="13" applyNumberFormat="1" applyFont="1" applyAlignment="1">
      <alignment vertical="center"/>
    </xf>
    <xf numFmtId="1" fontId="6" fillId="4" borderId="0" xfId="13" applyNumberFormat="1" applyFont="1" applyFill="1" applyAlignment="1">
      <alignment vertical="center"/>
    </xf>
    <xf numFmtId="164" fontId="6" fillId="0" borderId="0" xfId="1" applyNumberFormat="1" applyFont="1" applyAlignment="1">
      <alignment vertical="center"/>
    </xf>
    <xf numFmtId="164" fontId="6" fillId="0" borderId="0" xfId="1" applyNumberFormat="1" applyFont="1"/>
    <xf numFmtId="1" fontId="6" fillId="0" borderId="0" xfId="13" applyNumberFormat="1" applyFont="1" applyBorder="1" applyAlignment="1">
      <alignment vertical="center"/>
    </xf>
    <xf numFmtId="1" fontId="8" fillId="0" borderId="0" xfId="13" applyNumberFormat="1" applyFont="1" applyBorder="1" applyAlignment="1">
      <alignment vertical="center"/>
    </xf>
    <xf numFmtId="1" fontId="8" fillId="0" borderId="0" xfId="14" applyNumberFormat="1" applyFont="1" applyBorder="1" applyAlignment="1">
      <alignment vertical="center"/>
    </xf>
    <xf numFmtId="1" fontId="26" fillId="0" borderId="0" xfId="13" applyNumberFormat="1" applyFont="1" applyFill="1" applyAlignment="1">
      <alignment vertical="center"/>
    </xf>
    <xf numFmtId="1" fontId="8" fillId="0" borderId="0" xfId="13" applyNumberFormat="1" applyFont="1" applyFill="1" applyAlignment="1">
      <alignment vertical="center"/>
    </xf>
    <xf numFmtId="1" fontId="8" fillId="0" borderId="0" xfId="13" applyNumberFormat="1" applyFont="1" applyAlignment="1">
      <alignment vertical="center"/>
    </xf>
    <xf numFmtId="1" fontId="8" fillId="4" borderId="0" xfId="13" applyNumberFormat="1" applyFont="1" applyFill="1" applyAlignment="1">
      <alignment vertical="center"/>
    </xf>
    <xf numFmtId="3" fontId="6" fillId="0" borderId="0" xfId="13" applyNumberFormat="1" applyFont="1" applyAlignment="1">
      <alignment vertical="center"/>
    </xf>
    <xf numFmtId="10" fontId="6" fillId="0" borderId="0" xfId="3" applyNumberFormat="1" applyFont="1" applyAlignment="1">
      <alignment vertical="center"/>
    </xf>
    <xf numFmtId="1" fontId="6" fillId="0" borderId="0" xfId="14" applyNumberFormat="1" applyFont="1" applyFill="1" applyAlignment="1">
      <alignment vertical="center"/>
    </xf>
    <xf numFmtId="3" fontId="6" fillId="0" borderId="0" xfId="13" applyNumberFormat="1" applyFont="1"/>
    <xf numFmtId="3" fontId="7" fillId="3" borderId="0" xfId="13" applyNumberFormat="1" applyFont="1" applyFill="1"/>
    <xf numFmtId="1" fontId="6" fillId="0" borderId="0" xfId="13" applyNumberFormat="1" applyFont="1" applyFill="1"/>
    <xf numFmtId="1" fontId="6" fillId="0" borderId="0" xfId="13" applyNumberFormat="1" applyFont="1"/>
    <xf numFmtId="1" fontId="6" fillId="4" borderId="0" xfId="13" applyNumberFormat="1" applyFont="1" applyFill="1"/>
    <xf numFmtId="9" fontId="6" fillId="0" borderId="0" xfId="3" applyNumberFormat="1" applyFont="1"/>
    <xf numFmtId="43" fontId="6" fillId="0" borderId="0" xfId="1" applyFont="1"/>
    <xf numFmtId="10" fontId="6" fillId="0" borderId="0" xfId="3" applyNumberFormat="1" applyFont="1"/>
    <xf numFmtId="3" fontId="6" fillId="0" borderId="0" xfId="13" applyNumberFormat="1" applyFont="1" applyFill="1"/>
    <xf numFmtId="3" fontId="6" fillId="4" borderId="0" xfId="13" applyNumberFormat="1" applyFont="1" applyFill="1"/>
    <xf numFmtId="164" fontId="8" fillId="0" borderId="0" xfId="13" applyNumberFormat="1" applyFont="1" applyFill="1"/>
    <xf numFmtId="3" fontId="6" fillId="0" borderId="0" xfId="15" applyNumberFormat="1" applyFont="1" applyFill="1"/>
    <xf numFmtId="3" fontId="8" fillId="0" borderId="0" xfId="15" applyNumberFormat="1" applyFont="1"/>
    <xf numFmtId="3" fontId="8" fillId="4" borderId="0" xfId="15" applyNumberFormat="1" applyFont="1" applyFill="1"/>
    <xf numFmtId="0" fontId="6" fillId="0" borderId="0" xfId="4" applyFont="1" applyFill="1" applyBorder="1" applyAlignment="1">
      <alignment vertical="center"/>
    </xf>
    <xf numFmtId="164" fontId="19" fillId="0" borderId="0" xfId="4" applyNumberFormat="1" applyFont="1" applyFill="1" applyBorder="1" applyAlignment="1">
      <alignment vertical="center"/>
    </xf>
    <xf numFmtId="165" fontId="19" fillId="0" borderId="0" xfId="3" applyNumberFormat="1" applyFont="1" applyFill="1" applyBorder="1" applyAlignment="1">
      <alignment vertical="center"/>
    </xf>
    <xf numFmtId="43" fontId="19" fillId="0" borderId="0" xfId="4" applyNumberFormat="1" applyFont="1" applyFill="1" applyBorder="1" applyAlignment="1">
      <alignment vertical="center"/>
    </xf>
    <xf numFmtId="165" fontId="19" fillId="0" borderId="0" xfId="3" applyNumberFormat="1" applyFont="1" applyFill="1" applyBorder="1" applyAlignment="1">
      <alignment horizontal="right" vertical="center"/>
    </xf>
    <xf numFmtId="0" fontId="30" fillId="0" borderId="0" xfId="4" applyNumberFormat="1" applyFont="1" applyFill="1" applyBorder="1" applyAlignment="1">
      <alignment vertical="center"/>
    </xf>
    <xf numFmtId="0" fontId="6" fillId="0" borderId="0" xfId="4" applyFont="1" applyFill="1" applyBorder="1" applyAlignment="1">
      <alignment horizontal="center" vertical="center"/>
    </xf>
    <xf numFmtId="164" fontId="6" fillId="0" borderId="0" xfId="4" applyNumberFormat="1" applyFont="1" applyFill="1" applyBorder="1" applyAlignment="1">
      <alignment horizontal="center" vertical="center"/>
    </xf>
    <xf numFmtId="165" fontId="6" fillId="0" borderId="0" xfId="3" applyNumberFormat="1" applyFont="1" applyFill="1" applyBorder="1" applyAlignment="1">
      <alignment horizontal="center" vertical="center"/>
    </xf>
    <xf numFmtId="0" fontId="32" fillId="0" borderId="0" xfId="4" applyNumberFormat="1" applyFont="1" applyFill="1" applyBorder="1" applyAlignment="1">
      <alignment vertical="center"/>
    </xf>
    <xf numFmtId="43" fontId="33" fillId="0" borderId="1" xfId="4" applyNumberFormat="1" applyFont="1" applyFill="1" applyBorder="1" applyAlignment="1">
      <alignment vertical="center"/>
    </xf>
    <xf numFmtId="1" fontId="34" fillId="0" borderId="2" xfId="4" applyNumberFormat="1" applyFont="1" applyFill="1" applyBorder="1" applyAlignment="1">
      <alignment horizontal="center" vertical="center"/>
    </xf>
    <xf numFmtId="164" fontId="33" fillId="0" borderId="2" xfId="4" applyNumberFormat="1" applyFont="1" applyFill="1" applyBorder="1" applyAlignment="1">
      <alignment vertical="center"/>
    </xf>
    <xf numFmtId="165" fontId="33" fillId="0" borderId="2" xfId="3" applyNumberFormat="1" applyFont="1" applyFill="1" applyBorder="1" applyAlignment="1">
      <alignment vertical="center"/>
    </xf>
    <xf numFmtId="43" fontId="33" fillId="0" borderId="2" xfId="4" applyNumberFormat="1" applyFont="1" applyFill="1" applyBorder="1" applyAlignment="1">
      <alignment vertical="center"/>
    </xf>
    <xf numFmtId="165" fontId="33" fillId="0" borderId="3" xfId="3" applyNumberFormat="1" applyFont="1" applyFill="1" applyBorder="1" applyAlignment="1">
      <alignment vertical="center"/>
    </xf>
    <xf numFmtId="165" fontId="6" fillId="0" borderId="0" xfId="3" applyNumberFormat="1" applyFont="1" applyFill="1" applyBorder="1" applyAlignment="1">
      <alignment textRotation="90"/>
    </xf>
    <xf numFmtId="43" fontId="33" fillId="0" borderId="0" xfId="4" applyNumberFormat="1" applyFont="1" applyFill="1" applyBorder="1" applyAlignment="1">
      <alignment vertical="center"/>
    </xf>
    <xf numFmtId="164" fontId="33" fillId="0" borderId="0" xfId="4" applyNumberFormat="1" applyFont="1" applyFill="1" applyBorder="1" applyAlignment="1">
      <alignment vertical="center"/>
    </xf>
    <xf numFmtId="165" fontId="33" fillId="0" borderId="0" xfId="3" applyNumberFormat="1" applyFont="1" applyFill="1" applyBorder="1" applyAlignment="1">
      <alignment horizontal="right" vertical="center"/>
    </xf>
    <xf numFmtId="1" fontId="34" fillId="0" borderId="0" xfId="4" applyNumberFormat="1" applyFont="1" applyFill="1" applyBorder="1" applyAlignment="1">
      <alignment horizontal="center" vertical="center"/>
    </xf>
    <xf numFmtId="165" fontId="33" fillId="0" borderId="0" xfId="3" applyNumberFormat="1" applyFont="1" applyFill="1" applyBorder="1" applyAlignment="1">
      <alignment vertical="center"/>
    </xf>
    <xf numFmtId="1" fontId="34" fillId="0" borderId="1" xfId="4" applyNumberFormat="1" applyFont="1" applyFill="1" applyBorder="1" applyAlignment="1">
      <alignment horizontal="center" vertical="center"/>
    </xf>
    <xf numFmtId="1" fontId="34" fillId="0" borderId="3" xfId="4" applyNumberFormat="1" applyFont="1" applyFill="1" applyBorder="1" applyAlignment="1">
      <alignment horizontal="center" vertical="center"/>
    </xf>
    <xf numFmtId="43" fontId="33" fillId="0" borderId="4" xfId="4" applyNumberFormat="1" applyFont="1" applyFill="1" applyBorder="1" applyAlignment="1">
      <alignment vertical="center"/>
    </xf>
    <xf numFmtId="2" fontId="34" fillId="0" borderId="0" xfId="4" applyNumberFormat="1" applyFont="1" applyFill="1" applyBorder="1" applyAlignment="1">
      <alignment horizontal="center" vertical="center"/>
    </xf>
    <xf numFmtId="165" fontId="33" fillId="0" borderId="5" xfId="3" applyNumberFormat="1" applyFont="1" applyFill="1" applyBorder="1" applyAlignment="1">
      <alignment vertical="center"/>
    </xf>
    <xf numFmtId="1" fontId="34" fillId="0" borderId="4" xfId="4" applyNumberFormat="1" applyFont="1" applyFill="1" applyBorder="1" applyAlignment="1">
      <alignment horizontal="center" vertical="center"/>
    </xf>
    <xf numFmtId="1" fontId="34" fillId="0" borderId="5" xfId="4" applyNumberFormat="1" applyFont="1" applyFill="1" applyBorder="1" applyAlignment="1">
      <alignment horizontal="center" vertical="center"/>
    </xf>
    <xf numFmtId="5" fontId="33" fillId="0" borderId="0" xfId="4" applyNumberFormat="1" applyFont="1" applyFill="1" applyBorder="1" applyAlignment="1">
      <alignment horizontal="center" vertical="center"/>
    </xf>
    <xf numFmtId="43" fontId="33" fillId="0" borderId="6" xfId="4" applyNumberFormat="1" applyFont="1" applyFill="1" applyBorder="1" applyAlignment="1">
      <alignment vertical="center"/>
    </xf>
    <xf numFmtId="6" fontId="33" fillId="0" borderId="7" xfId="6" applyNumberFormat="1" applyFont="1" applyFill="1" applyBorder="1" applyAlignment="1">
      <alignment horizontal="center" vertical="center"/>
    </xf>
    <xf numFmtId="164" fontId="33" fillId="0" borderId="7" xfId="4" applyNumberFormat="1" applyFont="1" applyFill="1" applyBorder="1" applyAlignment="1">
      <alignment vertical="center"/>
    </xf>
    <xf numFmtId="165" fontId="33" fillId="0" borderId="7" xfId="3" applyNumberFormat="1" applyFont="1" applyFill="1" applyBorder="1" applyAlignment="1">
      <alignment vertical="center"/>
    </xf>
    <xf numFmtId="165" fontId="33" fillId="0" borderId="8" xfId="3" applyNumberFormat="1" applyFont="1" applyFill="1" applyBorder="1" applyAlignment="1">
      <alignment vertical="center"/>
    </xf>
    <xf numFmtId="6" fontId="33" fillId="0" borderId="6" xfId="6" applyNumberFormat="1" applyFont="1" applyFill="1" applyBorder="1" applyAlignment="1">
      <alignment horizontal="center" vertical="center"/>
    </xf>
    <xf numFmtId="6" fontId="33" fillId="0" borderId="8" xfId="6" applyNumberFormat="1" applyFont="1" applyFill="1" applyBorder="1" applyAlignment="1">
      <alignment horizontal="center" vertical="center"/>
    </xf>
    <xf numFmtId="6" fontId="33" fillId="0" borderId="0" xfId="6" applyNumberFormat="1" applyFont="1" applyFill="1" applyBorder="1" applyAlignment="1">
      <alignment horizontal="center" vertical="center"/>
    </xf>
    <xf numFmtId="165" fontId="33" fillId="0" borderId="0" xfId="3" applyNumberFormat="1" applyFont="1" applyFill="1" applyBorder="1" applyAlignment="1">
      <alignment horizontal="center" vertical="center" textRotation="90"/>
    </xf>
    <xf numFmtId="164" fontId="33" fillId="0" borderId="1" xfId="1" applyNumberFormat="1" applyFont="1" applyFill="1" applyBorder="1" applyAlignment="1">
      <alignment horizontal="center" vertical="center"/>
    </xf>
    <xf numFmtId="164" fontId="33" fillId="0" borderId="2" xfId="1" applyNumberFormat="1" applyFont="1" applyFill="1" applyBorder="1" applyAlignment="1">
      <alignment horizontal="center" vertical="center"/>
    </xf>
    <xf numFmtId="164" fontId="33" fillId="0" borderId="2" xfId="7" applyNumberFormat="1" applyFont="1" applyFill="1" applyBorder="1" applyAlignment="1">
      <alignment vertical="center"/>
    </xf>
    <xf numFmtId="164" fontId="33" fillId="0" borderId="0" xfId="3" applyNumberFormat="1" applyFont="1" applyFill="1" applyBorder="1" applyAlignment="1">
      <alignment horizontal="center" vertical="center" textRotation="90"/>
    </xf>
    <xf numFmtId="164" fontId="33" fillId="0" borderId="3" xfId="1" applyNumberFormat="1" applyFont="1" applyFill="1" applyBorder="1" applyAlignment="1">
      <alignment horizontal="center" vertical="center"/>
    </xf>
    <xf numFmtId="164" fontId="33" fillId="0" borderId="9" xfId="1" applyNumberFormat="1" applyFont="1" applyFill="1" applyBorder="1" applyAlignment="1">
      <alignment horizontal="center" vertical="center"/>
    </xf>
    <xf numFmtId="164" fontId="33" fillId="0" borderId="2" xfId="1" applyNumberFormat="1" applyFont="1" applyFill="1" applyBorder="1" applyAlignment="1">
      <alignment vertical="center"/>
    </xf>
    <xf numFmtId="165" fontId="33" fillId="0" borderId="3" xfId="3" applyNumberFormat="1" applyFont="1" applyFill="1" applyBorder="1" applyAlignment="1">
      <alignment horizontal="right" vertical="center"/>
    </xf>
    <xf numFmtId="164" fontId="33" fillId="0" borderId="4" xfId="1" applyNumberFormat="1" applyFont="1" applyFill="1" applyBorder="1" applyAlignment="1">
      <alignment horizontal="center" vertical="center"/>
    </xf>
    <xf numFmtId="164" fontId="33" fillId="0" borderId="0" xfId="1" applyNumberFormat="1" applyFont="1" applyFill="1" applyBorder="1" applyAlignment="1">
      <alignment horizontal="center" vertical="center"/>
    </xf>
    <xf numFmtId="164" fontId="33" fillId="0" borderId="0" xfId="7" applyNumberFormat="1" applyFont="1" applyFill="1" applyBorder="1" applyAlignment="1">
      <alignment vertical="center"/>
    </xf>
    <xf numFmtId="164" fontId="33" fillId="0" borderId="5" xfId="1" applyNumberFormat="1" applyFont="1" applyFill="1" applyBorder="1" applyAlignment="1">
      <alignment horizontal="center" vertical="center"/>
    </xf>
    <xf numFmtId="164" fontId="33" fillId="0" borderId="10" xfId="1" applyNumberFormat="1" applyFont="1" applyFill="1" applyBorder="1" applyAlignment="1">
      <alignment horizontal="center" vertical="center"/>
    </xf>
    <xf numFmtId="164" fontId="33" fillId="0" borderId="0" xfId="1" applyNumberFormat="1" applyFont="1" applyFill="1" applyBorder="1" applyAlignment="1">
      <alignment vertical="center"/>
    </xf>
    <xf numFmtId="165" fontId="33" fillId="0" borderId="5" xfId="3" applyNumberFormat="1" applyFont="1" applyFill="1" applyBorder="1" applyAlignment="1">
      <alignment horizontal="right" vertical="center"/>
    </xf>
    <xf numFmtId="164" fontId="33" fillId="0" borderId="6" xfId="1" applyNumberFormat="1" applyFont="1" applyFill="1" applyBorder="1" applyAlignment="1">
      <alignment horizontal="center" vertical="center"/>
    </xf>
    <xf numFmtId="164" fontId="33" fillId="0" borderId="7" xfId="1" applyNumberFormat="1" applyFont="1" applyFill="1" applyBorder="1" applyAlignment="1">
      <alignment horizontal="center" vertical="center"/>
    </xf>
    <xf numFmtId="164" fontId="33" fillId="0" borderId="7" xfId="7" applyNumberFormat="1" applyFont="1" applyFill="1" applyBorder="1" applyAlignment="1">
      <alignment vertical="center"/>
    </xf>
    <xf numFmtId="164" fontId="33" fillId="0" borderId="8" xfId="1" applyNumberFormat="1" applyFont="1" applyFill="1" applyBorder="1" applyAlignment="1">
      <alignment horizontal="center" vertical="center"/>
    </xf>
    <xf numFmtId="164" fontId="33" fillId="0" borderId="11" xfId="1" applyNumberFormat="1" applyFont="1" applyFill="1" applyBorder="1" applyAlignment="1">
      <alignment horizontal="center" vertical="center"/>
    </xf>
    <xf numFmtId="164" fontId="33" fillId="0" borderId="7" xfId="1" applyNumberFormat="1" applyFont="1" applyFill="1" applyBorder="1" applyAlignment="1">
      <alignment vertical="center"/>
    </xf>
    <xf numFmtId="165" fontId="33" fillId="0" borderId="8" xfId="3" applyNumberFormat="1" applyFont="1" applyFill="1" applyBorder="1" applyAlignment="1">
      <alignment horizontal="right" vertical="center"/>
    </xf>
    <xf numFmtId="6" fontId="33" fillId="0" borderId="2" xfId="6" applyNumberFormat="1" applyFont="1" applyFill="1" applyBorder="1" applyAlignment="1">
      <alignment horizontal="center" vertical="center"/>
    </xf>
    <xf numFmtId="43" fontId="33" fillId="0" borderId="3" xfId="4" applyNumberFormat="1" applyFont="1" applyFill="1" applyBorder="1" applyAlignment="1">
      <alignment vertical="center"/>
    </xf>
    <xf numFmtId="43" fontId="33" fillId="0" borderId="9" xfId="4" applyNumberFormat="1" applyFont="1" applyFill="1" applyBorder="1" applyAlignment="1">
      <alignment vertical="center"/>
    </xf>
    <xf numFmtId="5" fontId="33" fillId="0" borderId="2" xfId="4" applyNumberFormat="1" applyFont="1" applyFill="1" applyBorder="1" applyAlignment="1">
      <alignment horizontal="center" vertical="center"/>
    </xf>
    <xf numFmtId="6" fontId="33" fillId="0" borderId="1" xfId="6" applyNumberFormat="1" applyFont="1" applyFill="1" applyBorder="1" applyAlignment="1">
      <alignment horizontal="center" vertical="center"/>
    </xf>
    <xf numFmtId="6" fontId="33" fillId="0" borderId="3" xfId="6" applyNumberFormat="1" applyFont="1" applyFill="1" applyBorder="1" applyAlignment="1">
      <alignment horizontal="center" vertical="center"/>
    </xf>
    <xf numFmtId="43" fontId="33" fillId="0" borderId="7" xfId="4" applyNumberFormat="1" applyFont="1" applyFill="1" applyBorder="1" applyAlignment="1">
      <alignment vertical="center"/>
    </xf>
    <xf numFmtId="43" fontId="33" fillId="0" borderId="8" xfId="4" applyNumberFormat="1" applyFont="1" applyFill="1" applyBorder="1" applyAlignment="1">
      <alignment vertical="center"/>
    </xf>
    <xf numFmtId="43" fontId="33" fillId="0" borderId="11" xfId="4" applyNumberFormat="1" applyFont="1" applyFill="1" applyBorder="1" applyAlignment="1">
      <alignment vertical="center"/>
    </xf>
    <xf numFmtId="5" fontId="33" fillId="0" borderId="7" xfId="4" applyNumberFormat="1" applyFont="1" applyFill="1" applyBorder="1" applyAlignment="1">
      <alignment horizontal="center" vertical="center"/>
    </xf>
    <xf numFmtId="43" fontId="6" fillId="0" borderId="0" xfId="4" applyNumberFormat="1" applyFont="1" applyFill="1" applyBorder="1" applyAlignment="1">
      <alignment vertical="center"/>
    </xf>
    <xf numFmtId="6" fontId="6" fillId="0" borderId="0" xfId="6" applyNumberFormat="1" applyFont="1" applyFill="1" applyBorder="1" applyAlignment="1">
      <alignment horizontal="center" vertical="center"/>
    </xf>
    <xf numFmtId="164" fontId="6" fillId="0" borderId="0" xfId="4" applyNumberFormat="1" applyFont="1" applyFill="1" applyBorder="1" applyAlignment="1">
      <alignment vertical="center"/>
    </xf>
    <xf numFmtId="165" fontId="6" fillId="0" borderId="0" xfId="3" applyNumberFormat="1" applyFont="1" applyFill="1" applyBorder="1" applyAlignment="1">
      <alignment vertical="center"/>
    </xf>
    <xf numFmtId="165" fontId="6" fillId="0" borderId="0" xfId="3" applyNumberFormat="1" applyFont="1" applyFill="1" applyBorder="1" applyAlignment="1">
      <alignment vertical="center" textRotation="90"/>
    </xf>
    <xf numFmtId="165" fontId="6" fillId="0" borderId="0" xfId="3" applyNumberFormat="1" applyFont="1" applyFill="1" applyBorder="1" applyAlignment="1">
      <alignment horizontal="right" vertical="center"/>
    </xf>
    <xf numFmtId="5" fontId="6" fillId="0" borderId="0" xfId="4" applyNumberFormat="1" applyFont="1" applyFill="1" applyBorder="1" applyAlignment="1">
      <alignment horizontal="center" vertical="center"/>
    </xf>
    <xf numFmtId="164" fontId="35" fillId="0" borderId="1" xfId="8" quotePrefix="1" applyNumberFormat="1" applyFont="1" applyFill="1" applyBorder="1" applyAlignment="1">
      <alignment horizontal="center" vertical="center"/>
    </xf>
    <xf numFmtId="164" fontId="35" fillId="0" borderId="2" xfId="4" applyNumberFormat="1" applyFont="1" applyFill="1" applyBorder="1" applyAlignment="1">
      <alignment horizontal="center" vertical="center"/>
    </xf>
    <xf numFmtId="49" fontId="35" fillId="0" borderId="2" xfId="4" applyNumberFormat="1" applyFont="1" applyFill="1" applyBorder="1" applyAlignment="1">
      <alignment horizontal="center" vertical="center"/>
    </xf>
    <xf numFmtId="166" fontId="31" fillId="0" borderId="0" xfId="9" quotePrefix="1" applyNumberFormat="1" applyFont="1" applyFill="1" applyBorder="1" applyAlignment="1">
      <alignment horizontal="center" vertical="center"/>
    </xf>
    <xf numFmtId="0" fontId="31" fillId="0" borderId="0" xfId="8" quotePrefix="1" applyFont="1" applyFill="1" applyBorder="1" applyAlignment="1">
      <alignment horizontal="center" vertical="center"/>
    </xf>
    <xf numFmtId="0" fontId="31" fillId="0" borderId="0" xfId="9" quotePrefix="1" applyFont="1" applyFill="1" applyBorder="1" applyAlignment="1">
      <alignment horizontal="center" vertical="center"/>
    </xf>
    <xf numFmtId="0" fontId="31" fillId="0" borderId="0" xfId="4" quotePrefix="1" applyFont="1" applyFill="1" applyBorder="1" applyAlignment="1">
      <alignment horizontal="center" vertical="center"/>
    </xf>
    <xf numFmtId="166" fontId="31" fillId="0" borderId="0" xfId="4" quotePrefix="1" applyNumberFormat="1" applyFont="1" applyFill="1" applyBorder="1" applyAlignment="1">
      <alignment horizontal="center" vertical="center"/>
    </xf>
    <xf numFmtId="164" fontId="31" fillId="0" borderId="4" xfId="8" applyNumberFormat="1" applyFont="1" applyFill="1" applyBorder="1" applyAlignment="1">
      <alignment horizontal="center" vertical="center"/>
    </xf>
    <xf numFmtId="164" fontId="31" fillId="0" borderId="0" xfId="4" applyNumberFormat="1" applyFont="1" applyFill="1" applyBorder="1" applyAlignment="1">
      <alignment horizontal="center" vertical="center"/>
    </xf>
    <xf numFmtId="164" fontId="31" fillId="0" borderId="0" xfId="9" applyNumberFormat="1" applyFont="1" applyFill="1" applyBorder="1" applyAlignment="1">
      <alignment horizontal="center" vertical="center"/>
    </xf>
    <xf numFmtId="164" fontId="31" fillId="0" borderId="0" xfId="3" applyNumberFormat="1" applyFont="1" applyFill="1" applyBorder="1" applyAlignment="1">
      <alignment horizontal="center" vertical="center"/>
    </xf>
    <xf numFmtId="5" fontId="31" fillId="0" borderId="0" xfId="4" applyNumberFormat="1" applyFont="1" applyFill="1" applyBorder="1" applyAlignment="1">
      <alignment horizontal="center" vertical="center"/>
    </xf>
    <xf numFmtId="165" fontId="31" fillId="0" borderId="5" xfId="3" applyNumberFormat="1" applyFont="1" applyFill="1" applyBorder="1" applyAlignment="1">
      <alignment horizontal="center" vertical="center"/>
    </xf>
    <xf numFmtId="165" fontId="31" fillId="0" borderId="0" xfId="3" applyNumberFormat="1" applyFont="1" applyFill="1" applyBorder="1" applyAlignment="1">
      <alignment horizontal="center" vertical="center"/>
    </xf>
    <xf numFmtId="167" fontId="31" fillId="0" borderId="0" xfId="8" applyNumberFormat="1" applyFont="1" applyFill="1" applyBorder="1" applyAlignment="1">
      <alignment horizontal="center" vertical="center"/>
    </xf>
    <xf numFmtId="167" fontId="31" fillId="0" borderId="0" xfId="9" applyNumberFormat="1" applyFont="1" applyFill="1" applyBorder="1" applyAlignment="1">
      <alignment horizontal="center" vertical="center"/>
    </xf>
    <xf numFmtId="167" fontId="31" fillId="0" borderId="0" xfId="4" applyNumberFormat="1" applyFont="1" applyFill="1" applyBorder="1" applyAlignment="1">
      <alignment horizontal="center" vertical="center"/>
    </xf>
    <xf numFmtId="43" fontId="31" fillId="0" borderId="0" xfId="4" applyNumberFormat="1" applyFont="1" applyFill="1" applyBorder="1" applyAlignment="1">
      <alignment horizontal="center" vertical="center"/>
    </xf>
    <xf numFmtId="164" fontId="31" fillId="0" borderId="4" xfId="4" applyNumberFormat="1" applyFont="1" applyFill="1" applyBorder="1" applyAlignment="1">
      <alignment horizontal="center" vertical="center"/>
    </xf>
    <xf numFmtId="5" fontId="8" fillId="0" borderId="0" xfId="4" applyNumberFormat="1" applyFont="1" applyFill="1" applyBorder="1" applyAlignment="1">
      <alignment horizontal="center" vertical="center"/>
    </xf>
    <xf numFmtId="165" fontId="31" fillId="0" borderId="5" xfId="3" applyNumberFormat="1" applyFont="1" applyFill="1" applyBorder="1" applyAlignment="1">
      <alignment horizontal="right" vertical="center"/>
    </xf>
    <xf numFmtId="164" fontId="33" fillId="0" borderId="4" xfId="7" applyNumberFormat="1" applyFont="1" applyFill="1" applyBorder="1" applyAlignment="1">
      <alignment vertical="center"/>
    </xf>
    <xf numFmtId="43" fontId="33" fillId="0" borderId="0" xfId="7" applyFont="1" applyFill="1" applyBorder="1" applyAlignment="1">
      <alignment vertical="center"/>
    </xf>
    <xf numFmtId="0" fontId="33" fillId="0" borderId="0" xfId="4" applyFont="1" applyFill="1" applyBorder="1" applyAlignment="1">
      <alignment horizontal="left" vertical="center"/>
    </xf>
    <xf numFmtId="164" fontId="31" fillId="0" borderId="14" xfId="6" applyNumberFormat="1" applyFont="1" applyFill="1" applyBorder="1" applyAlignment="1">
      <alignment vertical="center"/>
    </xf>
    <xf numFmtId="164" fontId="31" fillId="0" borderId="13" xfId="6" applyNumberFormat="1" applyFont="1" applyFill="1" applyBorder="1" applyAlignment="1">
      <alignment vertical="center"/>
    </xf>
    <xf numFmtId="165" fontId="31" fillId="0" borderId="13" xfId="3" applyNumberFormat="1" applyFont="1" applyFill="1" applyBorder="1" applyAlignment="1">
      <alignment vertical="center"/>
    </xf>
    <xf numFmtId="165" fontId="31" fillId="0" borderId="15" xfId="3" applyNumberFormat="1" applyFont="1" applyFill="1" applyBorder="1" applyAlignment="1">
      <alignment vertical="center"/>
    </xf>
    <xf numFmtId="165" fontId="31" fillId="0" borderId="0" xfId="3" applyNumberFormat="1" applyFont="1" applyFill="1" applyBorder="1" applyAlignment="1">
      <alignment vertical="center"/>
    </xf>
    <xf numFmtId="168" fontId="31" fillId="0" borderId="0" xfId="6" applyNumberFormat="1" applyFont="1" applyFill="1" applyBorder="1" applyAlignment="1">
      <alignment vertical="center"/>
    </xf>
    <xf numFmtId="165" fontId="31" fillId="0" borderId="15" xfId="3" applyNumberFormat="1" applyFont="1" applyFill="1" applyBorder="1" applyAlignment="1">
      <alignment horizontal="right" vertical="center"/>
    </xf>
    <xf numFmtId="164" fontId="33" fillId="0" borderId="4" xfId="4" applyNumberFormat="1" applyFont="1" applyFill="1" applyBorder="1" applyAlignment="1">
      <alignment vertical="center"/>
    </xf>
    <xf numFmtId="7" fontId="33" fillId="0" borderId="0" xfId="4" applyNumberFormat="1" applyFont="1" applyFill="1" applyBorder="1" applyAlignment="1">
      <alignment vertical="center"/>
    </xf>
    <xf numFmtId="164" fontId="6" fillId="0" borderId="4" xfId="4" applyNumberFormat="1" applyFont="1" applyFill="1" applyBorder="1" applyAlignment="1">
      <alignment horizontal="left" vertical="center"/>
    </xf>
    <xf numFmtId="164" fontId="6" fillId="0" borderId="0" xfId="4" applyNumberFormat="1" applyFont="1" applyFill="1" applyBorder="1" applyAlignment="1">
      <alignment horizontal="left" vertical="center"/>
    </xf>
    <xf numFmtId="165" fontId="6" fillId="0" borderId="0" xfId="3" applyNumberFormat="1" applyFont="1" applyFill="1" applyBorder="1" applyAlignment="1">
      <alignment horizontal="left" vertical="center"/>
    </xf>
    <xf numFmtId="165" fontId="6" fillId="0" borderId="5" xfId="3" applyNumberFormat="1" applyFont="1" applyFill="1" applyBorder="1" applyAlignment="1">
      <alignment horizontal="left" vertical="center"/>
    </xf>
    <xf numFmtId="7" fontId="6" fillId="0" borderId="0" xfId="4" applyNumberFormat="1" applyFont="1" applyFill="1" applyBorder="1" applyAlignment="1">
      <alignment horizontal="left" vertical="center"/>
    </xf>
    <xf numFmtId="165" fontId="6" fillId="0" borderId="5" xfId="3" applyNumberFormat="1" applyFont="1" applyFill="1" applyBorder="1" applyAlignment="1">
      <alignment horizontal="right" vertical="center"/>
    </xf>
    <xf numFmtId="164" fontId="31" fillId="0" borderId="17" xfId="4" applyNumberFormat="1" applyFont="1" applyFill="1" applyBorder="1" applyAlignment="1">
      <alignment vertical="center"/>
    </xf>
    <xf numFmtId="164" fontId="31" fillId="0" borderId="16" xfId="4" applyNumberFormat="1" applyFont="1" applyFill="1" applyBorder="1" applyAlignment="1">
      <alignment vertical="center"/>
    </xf>
    <xf numFmtId="165" fontId="31" fillId="0" borderId="16" xfId="3" applyNumberFormat="1" applyFont="1" applyFill="1" applyBorder="1" applyAlignment="1">
      <alignment vertical="center"/>
    </xf>
    <xf numFmtId="165" fontId="31" fillId="0" borderId="18" xfId="3" applyNumberFormat="1" applyFont="1" applyFill="1" applyBorder="1" applyAlignment="1">
      <alignment vertical="center"/>
    </xf>
    <xf numFmtId="168" fontId="31" fillId="0" borderId="0" xfId="4" applyNumberFormat="1" applyFont="1" applyFill="1" applyBorder="1" applyAlignment="1">
      <alignment vertical="center"/>
    </xf>
    <xf numFmtId="165" fontId="31" fillId="0" borderId="18" xfId="3" applyNumberFormat="1" applyFont="1" applyFill="1" applyBorder="1" applyAlignment="1">
      <alignment horizontal="right" vertical="center"/>
    </xf>
    <xf numFmtId="0" fontId="31" fillId="0" borderId="0" xfId="4" applyFont="1" applyFill="1" applyBorder="1" applyAlignment="1">
      <alignment horizontal="left" vertical="center"/>
    </xf>
    <xf numFmtId="0" fontId="36" fillId="0" borderId="0" xfId="4" applyFont="1" applyFill="1" applyBorder="1" applyAlignment="1">
      <alignment horizontal="center" vertical="center"/>
    </xf>
    <xf numFmtId="0" fontId="31" fillId="0" borderId="0" xfId="4" applyFont="1" applyFill="1" applyBorder="1" applyAlignment="1">
      <alignment horizontal="center" vertical="center"/>
    </xf>
    <xf numFmtId="164" fontId="31" fillId="0" borderId="4" xfId="7" applyNumberFormat="1" applyFont="1" applyFill="1" applyBorder="1" applyAlignment="1">
      <alignment vertical="center"/>
    </xf>
    <xf numFmtId="164" fontId="31" fillId="0" borderId="0" xfId="7" applyNumberFormat="1" applyFont="1" applyFill="1" applyBorder="1" applyAlignment="1">
      <alignment vertical="center"/>
    </xf>
    <xf numFmtId="165" fontId="31" fillId="0" borderId="5" xfId="3" applyNumberFormat="1" applyFont="1" applyFill="1" applyBorder="1" applyAlignment="1">
      <alignment vertical="center"/>
    </xf>
    <xf numFmtId="43" fontId="31" fillId="0" borderId="0" xfId="7" applyNumberFormat="1" applyFont="1" applyFill="1" applyBorder="1" applyAlignment="1">
      <alignment vertical="center"/>
    </xf>
    <xf numFmtId="43" fontId="33" fillId="0" borderId="0" xfId="7" applyNumberFormat="1" applyFont="1" applyFill="1" applyBorder="1" applyAlignment="1">
      <alignment vertical="center"/>
    </xf>
    <xf numFmtId="164" fontId="31" fillId="0" borderId="17" xfId="6" applyNumberFormat="1" applyFont="1" applyFill="1" applyBorder="1" applyAlignment="1">
      <alignment vertical="center"/>
    </xf>
    <xf numFmtId="164" fontId="31" fillId="0" borderId="16" xfId="6" applyNumberFormat="1" applyFont="1" applyFill="1" applyBorder="1" applyAlignment="1">
      <alignment vertical="center"/>
    </xf>
    <xf numFmtId="44" fontId="31" fillId="0" borderId="0" xfId="6" applyFont="1" applyFill="1" applyBorder="1" applyAlignment="1">
      <alignment vertical="center"/>
    </xf>
    <xf numFmtId="49" fontId="27" fillId="0" borderId="0" xfId="4" applyNumberFormat="1" applyFont="1" applyFill="1" applyBorder="1" applyAlignment="1">
      <alignment horizontal="center" vertical="center"/>
    </xf>
    <xf numFmtId="0" fontId="8" fillId="0" borderId="0" xfId="4" applyFont="1" applyFill="1" applyBorder="1" applyAlignment="1">
      <alignment vertical="center"/>
    </xf>
    <xf numFmtId="0" fontId="33" fillId="0" borderId="0" xfId="0" applyFont="1" applyFill="1" applyBorder="1" applyAlignment="1">
      <alignment horizontal="left" vertical="center"/>
    </xf>
    <xf numFmtId="49" fontId="28" fillId="0" borderId="0" xfId="4" applyNumberFormat="1" applyFont="1" applyFill="1" applyBorder="1" applyAlignment="1">
      <alignment horizontal="center" vertical="center"/>
    </xf>
    <xf numFmtId="49" fontId="38" fillId="0" borderId="0" xfId="4" applyNumberFormat="1" applyFont="1" applyFill="1" applyBorder="1" applyAlignment="1">
      <alignment horizontal="center" vertical="center"/>
    </xf>
    <xf numFmtId="0" fontId="33" fillId="0" borderId="0" xfId="0" applyFont="1" applyFill="1" applyBorder="1" applyAlignment="1">
      <alignment horizontal="left"/>
    </xf>
    <xf numFmtId="49" fontId="37" fillId="0" borderId="0" xfId="4" applyNumberFormat="1" applyFont="1" applyFill="1" applyBorder="1" applyAlignment="1">
      <alignment horizontal="center" vertical="center"/>
    </xf>
    <xf numFmtId="169" fontId="28" fillId="0" borderId="0" xfId="4" applyNumberFormat="1" applyFont="1" applyFill="1" applyBorder="1" applyAlignment="1">
      <alignment vertical="center"/>
    </xf>
    <xf numFmtId="169" fontId="28" fillId="0" borderId="0" xfId="4" applyNumberFormat="1" applyFont="1" applyFill="1" applyBorder="1" applyAlignment="1">
      <alignment horizontal="center" vertical="center"/>
    </xf>
    <xf numFmtId="169" fontId="27" fillId="0" borderId="0" xfId="4" applyNumberFormat="1" applyFont="1" applyFill="1" applyBorder="1" applyAlignment="1">
      <alignment horizontal="center" vertical="center"/>
    </xf>
    <xf numFmtId="164" fontId="31" fillId="0" borderId="1" xfId="6" applyNumberFormat="1" applyFont="1" applyFill="1" applyBorder="1" applyAlignment="1">
      <alignment vertical="center"/>
    </xf>
    <xf numFmtId="164" fontId="31" fillId="0" borderId="2" xfId="6" applyNumberFormat="1" applyFont="1" applyFill="1" applyBorder="1" applyAlignment="1">
      <alignment vertical="center"/>
    </xf>
    <xf numFmtId="165" fontId="31" fillId="0" borderId="2" xfId="3" applyNumberFormat="1" applyFont="1" applyFill="1" applyBorder="1" applyAlignment="1">
      <alignment vertical="center"/>
    </xf>
    <xf numFmtId="165" fontId="31" fillId="0" borderId="3" xfId="3" applyNumberFormat="1" applyFont="1" applyFill="1" applyBorder="1" applyAlignment="1">
      <alignment vertical="center"/>
    </xf>
    <xf numFmtId="165" fontId="31" fillId="0" borderId="3" xfId="3" applyNumberFormat="1" applyFont="1" applyFill="1" applyBorder="1" applyAlignment="1">
      <alignment horizontal="right" vertical="center"/>
    </xf>
    <xf numFmtId="164" fontId="31" fillId="0" borderId="4" xfId="6" applyNumberFormat="1" applyFont="1" applyFill="1" applyBorder="1" applyAlignment="1">
      <alignment vertical="center"/>
    </xf>
    <xf numFmtId="164" fontId="31" fillId="0" borderId="0" xfId="6" applyNumberFormat="1" applyFont="1" applyFill="1" applyBorder="1" applyAlignment="1">
      <alignment vertical="center"/>
    </xf>
    <xf numFmtId="0" fontId="39" fillId="0" borderId="12" xfId="4" applyFont="1" applyFill="1" applyBorder="1" applyAlignment="1">
      <alignment horizontal="center" vertical="center"/>
    </xf>
    <xf numFmtId="9" fontId="33" fillId="0" borderId="5" xfId="3" applyFont="1" applyFill="1" applyBorder="1" applyAlignment="1">
      <alignment horizontal="right" vertical="center"/>
    </xf>
    <xf numFmtId="44" fontId="31" fillId="0" borderId="0" xfId="6" applyNumberFormat="1" applyFont="1" applyFill="1" applyBorder="1" applyAlignment="1">
      <alignment vertical="center"/>
    </xf>
    <xf numFmtId="6" fontId="31" fillId="0" borderId="0" xfId="7" applyNumberFormat="1" applyFont="1" applyFill="1" applyBorder="1" applyAlignment="1">
      <alignment vertical="center"/>
    </xf>
    <xf numFmtId="164" fontId="6" fillId="0" borderId="4" xfId="4" applyNumberFormat="1" applyFont="1" applyFill="1" applyBorder="1" applyAlignment="1">
      <alignment vertical="center"/>
    </xf>
    <xf numFmtId="165" fontId="6" fillId="0" borderId="5" xfId="3" applyNumberFormat="1" applyFont="1" applyFill="1" applyBorder="1" applyAlignment="1">
      <alignment vertical="center"/>
    </xf>
    <xf numFmtId="164" fontId="31" fillId="0" borderId="17" xfId="6" applyNumberFormat="1" applyFont="1" applyFill="1" applyBorder="1" applyAlignment="1">
      <alignment horizontal="center" vertical="center"/>
    </xf>
    <xf numFmtId="164" fontId="31" fillId="0" borderId="16" xfId="6" applyNumberFormat="1" applyFont="1" applyFill="1" applyBorder="1" applyAlignment="1">
      <alignment horizontal="center" vertical="center"/>
    </xf>
    <xf numFmtId="165" fontId="31" fillId="0" borderId="16" xfId="3" applyNumberFormat="1" applyFont="1" applyFill="1" applyBorder="1" applyAlignment="1">
      <alignment horizontal="center" vertical="center"/>
    </xf>
    <xf numFmtId="165" fontId="31" fillId="0" borderId="18" xfId="3" applyNumberFormat="1" applyFont="1" applyFill="1" applyBorder="1" applyAlignment="1">
      <alignment horizontal="center" vertical="center"/>
    </xf>
    <xf numFmtId="168" fontId="31" fillId="0" borderId="0" xfId="6" applyNumberFormat="1" applyFont="1" applyFill="1" applyBorder="1" applyAlignment="1">
      <alignment horizontal="center" vertical="center"/>
    </xf>
    <xf numFmtId="164" fontId="31" fillId="0" borderId="4" xfId="6" applyNumberFormat="1" applyFont="1" applyFill="1" applyBorder="1" applyAlignment="1">
      <alignment horizontal="center" vertical="center"/>
    </xf>
    <xf numFmtId="164" fontId="31" fillId="0" borderId="0" xfId="6" applyNumberFormat="1" applyFont="1" applyFill="1" applyBorder="1" applyAlignment="1">
      <alignment horizontal="center" vertical="center"/>
    </xf>
    <xf numFmtId="164" fontId="31" fillId="0" borderId="0" xfId="3" applyNumberFormat="1" applyFont="1" applyFill="1" applyBorder="1" applyAlignment="1">
      <alignment vertical="center"/>
    </xf>
    <xf numFmtId="164" fontId="31" fillId="0" borderId="6" xfId="6" applyNumberFormat="1" applyFont="1" applyFill="1" applyBorder="1" applyAlignment="1">
      <alignment horizontal="center" vertical="center"/>
    </xf>
    <xf numFmtId="164" fontId="31" fillId="0" borderId="13" xfId="6" applyNumberFormat="1" applyFont="1" applyFill="1" applyBorder="1" applyAlignment="1">
      <alignment horizontal="center" vertical="center"/>
    </xf>
    <xf numFmtId="164" fontId="31" fillId="0" borderId="7" xfId="6" applyNumberFormat="1" applyFont="1" applyFill="1" applyBorder="1" applyAlignment="1">
      <alignment horizontal="center" vertical="center"/>
    </xf>
    <xf numFmtId="164" fontId="31" fillId="0" borderId="7" xfId="3" applyNumberFormat="1" applyFont="1" applyFill="1" applyBorder="1" applyAlignment="1">
      <alignment horizontal="center" vertical="center"/>
    </xf>
    <xf numFmtId="165" fontId="31" fillId="0" borderId="8" xfId="3" applyNumberFormat="1" applyFont="1" applyFill="1" applyBorder="1" applyAlignment="1">
      <alignment horizontal="center" vertical="center"/>
    </xf>
    <xf numFmtId="165" fontId="31" fillId="0" borderId="8" xfId="3" applyNumberFormat="1" applyFont="1" applyFill="1" applyBorder="1" applyAlignment="1">
      <alignment horizontal="right" vertical="center"/>
    </xf>
    <xf numFmtId="164" fontId="6" fillId="0" borderId="0" xfId="3" applyNumberFormat="1" applyFont="1" applyFill="1" applyBorder="1" applyAlignment="1">
      <alignment vertical="center"/>
    </xf>
    <xf numFmtId="164" fontId="33" fillId="0" borderId="0" xfId="3" applyNumberFormat="1" applyFont="1" applyFill="1" applyBorder="1" applyAlignment="1">
      <alignment vertical="center"/>
    </xf>
    <xf numFmtId="164" fontId="33" fillId="0" borderId="0" xfId="6" applyNumberFormat="1" applyFont="1" applyFill="1" applyBorder="1" applyAlignment="1">
      <alignment horizontal="center" vertical="center"/>
    </xf>
    <xf numFmtId="164" fontId="6" fillId="0" borderId="0" xfId="6" applyNumberFormat="1" applyFont="1" applyFill="1" applyBorder="1" applyAlignment="1">
      <alignment horizontal="center" vertical="center"/>
    </xf>
    <xf numFmtId="3" fontId="40" fillId="22" borderId="20" xfId="13" applyNumberFormat="1" applyFont="1" applyFill="1" applyBorder="1" applyAlignment="1">
      <alignment vertical="center"/>
    </xf>
    <xf numFmtId="3" fontId="40" fillId="22" borderId="0" xfId="13" applyNumberFormat="1" applyFont="1" applyFill="1" applyBorder="1" applyAlignment="1">
      <alignment vertical="center"/>
    </xf>
    <xf numFmtId="4" fontId="41" fillId="22" borderId="0" xfId="13" applyNumberFormat="1" applyFont="1" applyFill="1" applyBorder="1" applyAlignment="1">
      <alignment vertical="center"/>
    </xf>
    <xf numFmtId="3" fontId="40" fillId="22" borderId="0" xfId="13" applyNumberFormat="1" applyFont="1" applyFill="1" applyBorder="1" applyAlignment="1">
      <alignment horizontal="right" vertical="center"/>
    </xf>
    <xf numFmtId="3" fontId="40" fillId="23" borderId="0" xfId="14" applyNumberFormat="1" applyFont="1" applyFill="1" applyBorder="1" applyAlignment="1">
      <alignment vertical="center"/>
    </xf>
    <xf numFmtId="165" fontId="6" fillId="0" borderId="0" xfId="3" applyNumberFormat="1" applyFont="1" applyFill="1" applyBorder="1" applyAlignment="1">
      <alignment horizontal="center" textRotation="90"/>
    </xf>
    <xf numFmtId="0" fontId="29" fillId="0" borderId="0" xfId="4" applyFont="1" applyFill="1" applyBorder="1" applyAlignment="1">
      <alignment vertical="center"/>
    </xf>
    <xf numFmtId="49" fontId="7" fillId="0" borderId="0" xfId="4" applyNumberFormat="1" applyFont="1" applyFill="1" applyBorder="1" applyAlignment="1">
      <alignment horizontal="center" vertical="center"/>
    </xf>
    <xf numFmtId="43" fontId="33" fillId="0" borderId="0" xfId="4" applyNumberFormat="1" applyFont="1" applyFill="1" applyBorder="1" applyAlignment="1">
      <alignment horizontal="center" vertical="center"/>
    </xf>
    <xf numFmtId="0" fontId="28" fillId="0" borderId="0" xfId="4" applyFont="1" applyFill="1" applyBorder="1" applyAlignment="1">
      <alignment horizontal="center" vertical="center"/>
    </xf>
    <xf numFmtId="14" fontId="33" fillId="0" borderId="0" xfId="4" applyNumberFormat="1" applyFont="1" applyFill="1" applyBorder="1" applyAlignment="1">
      <alignment horizontal="center" vertical="center"/>
    </xf>
    <xf numFmtId="0" fontId="33" fillId="0" borderId="0" xfId="4" applyFont="1" applyFill="1" applyBorder="1" applyAlignment="1">
      <alignment horizontal="center" vertical="center"/>
    </xf>
    <xf numFmtId="0" fontId="33" fillId="0" borderId="0" xfId="4" applyFont="1" applyFill="1" applyBorder="1" applyAlignment="1">
      <alignment vertical="center"/>
    </xf>
    <xf numFmtId="165" fontId="28" fillId="0" borderId="0" xfId="4" applyNumberFormat="1" applyFont="1" applyFill="1" applyBorder="1" applyAlignment="1">
      <alignment horizontal="center" vertical="center"/>
    </xf>
    <xf numFmtId="0" fontId="31" fillId="0" borderId="12" xfId="4" applyFont="1" applyFill="1" applyBorder="1" applyAlignment="1">
      <alignment horizontal="left" vertical="center"/>
    </xf>
    <xf numFmtId="0" fontId="8" fillId="0" borderId="13" xfId="4" applyFont="1" applyFill="1" applyBorder="1" applyAlignment="1">
      <alignment horizontal="center" vertical="center"/>
    </xf>
    <xf numFmtId="0" fontId="31" fillId="0" borderId="13" xfId="4" applyFont="1" applyFill="1" applyBorder="1" applyAlignment="1">
      <alignment horizontal="left" vertical="center"/>
    </xf>
    <xf numFmtId="0" fontId="6" fillId="0" borderId="16" xfId="4" applyFont="1" applyFill="1" applyBorder="1" applyAlignment="1">
      <alignment horizontal="center" vertical="center"/>
    </xf>
    <xf numFmtId="0" fontId="31" fillId="0" borderId="16" xfId="4" applyFont="1" applyFill="1" applyBorder="1" applyAlignment="1">
      <alignment horizontal="left" vertical="center"/>
    </xf>
    <xf numFmtId="1" fontId="27" fillId="0" borderId="0" xfId="4" applyNumberFormat="1" applyFont="1" applyFill="1" applyBorder="1" applyAlignment="1">
      <alignment horizontal="center" vertical="center"/>
    </xf>
    <xf numFmtId="169" fontId="37" fillId="0" borderId="0" xfId="4" applyNumberFormat="1" applyFont="1" applyFill="1" applyBorder="1" applyAlignment="1">
      <alignment horizontal="center" vertical="center"/>
    </xf>
    <xf numFmtId="170" fontId="37" fillId="0" borderId="0" xfId="4" applyNumberFormat="1" applyFont="1" applyFill="1" applyBorder="1" applyAlignment="1">
      <alignment horizontal="center" vertical="center"/>
    </xf>
    <xf numFmtId="169" fontId="38" fillId="0" borderId="0" xfId="4" applyNumberFormat="1" applyFont="1" applyFill="1" applyBorder="1" applyAlignment="1">
      <alignment horizontal="center" vertical="center"/>
    </xf>
    <xf numFmtId="170" fontId="38" fillId="0" borderId="0" xfId="4" applyNumberFormat="1" applyFont="1" applyFill="1" applyBorder="1" applyAlignment="1">
      <alignment horizontal="center" vertical="center"/>
    </xf>
    <xf numFmtId="9" fontId="28" fillId="0" borderId="0" xfId="12" applyFont="1" applyFill="1" applyBorder="1" applyAlignment="1">
      <alignment horizontal="center" vertical="center"/>
    </xf>
    <xf numFmtId="49" fontId="28" fillId="0" borderId="0" xfId="4" applyNumberFormat="1" applyFont="1" applyFill="1" applyBorder="1" applyAlignment="1">
      <alignment horizontal="left" vertical="center"/>
    </xf>
    <xf numFmtId="170" fontId="28" fillId="0" borderId="0" xfId="4" applyNumberFormat="1" applyFont="1" applyFill="1" applyBorder="1" applyAlignment="1">
      <alignment horizontal="center" vertical="center"/>
    </xf>
    <xf numFmtId="10" fontId="28" fillId="0" borderId="0" xfId="4" applyNumberFormat="1" applyFont="1" applyFill="1" applyBorder="1" applyAlignment="1">
      <alignment horizontal="center" vertical="center"/>
    </xf>
    <xf numFmtId="169" fontId="37" fillId="0" borderId="0" xfId="4" applyNumberFormat="1" applyFont="1" applyFill="1" applyBorder="1" applyAlignment="1">
      <alignment horizontal="left" vertical="center"/>
    </xf>
    <xf numFmtId="0" fontId="33" fillId="0" borderId="0" xfId="4" applyFont="1" applyFill="1" applyBorder="1" applyAlignment="1">
      <alignment horizontal="right" vertical="center"/>
    </xf>
    <xf numFmtId="2" fontId="33" fillId="0" borderId="0" xfId="4" applyNumberFormat="1" applyFont="1" applyFill="1" applyBorder="1" applyAlignment="1">
      <alignment horizontal="right" vertical="center"/>
    </xf>
    <xf numFmtId="0" fontId="35" fillId="0" borderId="0" xfId="4" applyFont="1" applyFill="1" applyBorder="1" applyAlignment="1">
      <alignment horizontal="right" vertical="center"/>
    </xf>
    <xf numFmtId="168" fontId="33" fillId="0" borderId="0" xfId="2" applyNumberFormat="1" applyFont="1" applyFill="1" applyBorder="1" applyAlignment="1">
      <alignment vertical="center"/>
    </xf>
    <xf numFmtId="0" fontId="31" fillId="0" borderId="0" xfId="5" quotePrefix="1" applyNumberFormat="1" applyFont="1" applyFill="1" applyAlignment="1">
      <alignment horizontal="left" vertical="center"/>
    </xf>
    <xf numFmtId="0" fontId="31" fillId="0" borderId="0" xfId="5" applyNumberFormat="1" applyFont="1" applyFill="1" applyAlignment="1">
      <alignment vertical="center"/>
    </xf>
    <xf numFmtId="0" fontId="31" fillId="0" borderId="0" xfId="10" applyFont="1" applyFill="1" applyBorder="1" applyAlignment="1">
      <alignment horizontal="left" vertical="center"/>
    </xf>
    <xf numFmtId="0" fontId="33" fillId="0" borderId="0" xfId="10" applyFont="1" applyFill="1" applyBorder="1" applyAlignment="1">
      <alignment horizontal="left" vertical="center"/>
    </xf>
    <xf numFmtId="0" fontId="42" fillId="0" borderId="0" xfId="0" applyFont="1" applyFill="1" applyBorder="1" applyAlignment="1">
      <alignment horizontal="left" vertical="center"/>
    </xf>
    <xf numFmtId="0" fontId="43" fillId="0" borderId="0" xfId="0" applyFont="1" applyFill="1" applyBorder="1" applyAlignment="1">
      <alignment horizontal="left" vertical="center"/>
    </xf>
    <xf numFmtId="0" fontId="33" fillId="0" borderId="0" xfId="11" applyFont="1" applyFill="1" applyBorder="1" applyAlignment="1">
      <alignment horizontal="left" vertical="center"/>
    </xf>
    <xf numFmtId="0" fontId="43" fillId="0" borderId="0" xfId="10" applyFont="1" applyFill="1" applyBorder="1" applyAlignment="1">
      <alignment horizontal="left" vertical="center"/>
    </xf>
    <xf numFmtId="0" fontId="33" fillId="0" borderId="0" xfId="0" applyFont="1" applyFill="1" applyBorder="1" applyAlignment="1"/>
    <xf numFmtId="0" fontId="33" fillId="0" borderId="0" xfId="0" quotePrefix="1" applyFont="1" applyFill="1" applyBorder="1" applyAlignment="1">
      <alignment horizontal="left" vertical="center"/>
    </xf>
    <xf numFmtId="0" fontId="36" fillId="0" borderId="0" xfId="4" applyFont="1" applyFill="1" applyBorder="1" applyAlignment="1">
      <alignment horizontal="left" vertical="center"/>
    </xf>
    <xf numFmtId="0" fontId="8" fillId="0" borderId="0" xfId="5" applyNumberFormat="1" applyFont="1" applyFill="1" applyAlignment="1">
      <alignment vertical="center"/>
    </xf>
    <xf numFmtId="6" fontId="31" fillId="0" borderId="6" xfId="6" applyNumberFormat="1" applyFont="1" applyFill="1" applyBorder="1" applyAlignment="1">
      <alignment horizontal="center" vertical="center"/>
    </xf>
    <xf numFmtId="6" fontId="31" fillId="0" borderId="7" xfId="6" applyNumberFormat="1" applyFont="1" applyFill="1" applyBorder="1" applyAlignment="1">
      <alignment horizontal="center" vertical="center"/>
    </xf>
    <xf numFmtId="6" fontId="31" fillId="0" borderId="8" xfId="6" applyNumberFormat="1" applyFont="1" applyFill="1" applyBorder="1" applyAlignment="1">
      <alignment horizontal="center" vertical="center"/>
    </xf>
    <xf numFmtId="165" fontId="7" fillId="0" borderId="0" xfId="3" applyNumberFormat="1" applyFont="1" applyFill="1" applyBorder="1" applyAlignment="1">
      <alignment horizontal="center" textRotation="90"/>
    </xf>
    <xf numFmtId="0" fontId="35" fillId="0" borderId="0" xfId="4" applyFont="1" applyFill="1" applyBorder="1" applyAlignment="1">
      <alignment horizontal="left" vertical="center"/>
    </xf>
    <xf numFmtId="5" fontId="31" fillId="0" borderId="7" xfId="4" applyNumberFormat="1" applyFont="1" applyFill="1" applyBorder="1" applyAlignment="1">
      <alignment horizontal="center" vertical="center"/>
    </xf>
    <xf numFmtId="164" fontId="31" fillId="0" borderId="7" xfId="9" applyNumberFormat="1" applyFont="1" applyFill="1" applyBorder="1" applyAlignment="1">
      <alignment horizontal="center" vertical="center"/>
    </xf>
    <xf numFmtId="49" fontId="35" fillId="0" borderId="0" xfId="4" applyNumberFormat="1" applyFont="1" applyFill="1" applyBorder="1" applyAlignment="1">
      <alignment horizontal="center" vertical="center"/>
    </xf>
    <xf numFmtId="6" fontId="31" fillId="0" borderId="0" xfId="6" applyNumberFormat="1" applyFont="1" applyFill="1" applyBorder="1" applyAlignment="1">
      <alignment horizontal="center" vertical="center"/>
    </xf>
    <xf numFmtId="1" fontId="28" fillId="0" borderId="0" xfId="4" applyNumberFormat="1" applyFont="1" applyFill="1" applyBorder="1" applyAlignment="1">
      <alignment horizontal="center" vertical="center"/>
    </xf>
    <xf numFmtId="0" fontId="43" fillId="0" borderId="0" xfId="11" applyFont="1" applyFill="1" applyBorder="1" applyAlignment="1">
      <alignment horizontal="left" vertical="center"/>
    </xf>
    <xf numFmtId="0" fontId="43" fillId="0" borderId="0" xfId="4" applyFont="1" applyFill="1" applyBorder="1" applyAlignment="1">
      <alignment horizontal="left" vertical="center"/>
    </xf>
    <xf numFmtId="0" fontId="44" fillId="0" borderId="0" xfId="4" applyFont="1" applyFill="1" applyBorder="1" applyAlignment="1">
      <alignment vertical="center"/>
    </xf>
    <xf numFmtId="165" fontId="34" fillId="0" borderId="3" xfId="3" applyNumberFormat="1" applyFont="1" applyFill="1" applyBorder="1" applyAlignment="1">
      <alignment horizontal="center" vertical="center"/>
    </xf>
    <xf numFmtId="165" fontId="34" fillId="0" borderId="5" xfId="3" applyNumberFormat="1" applyFont="1" applyFill="1" applyBorder="1" applyAlignment="1">
      <alignment horizontal="center" vertical="center"/>
    </xf>
    <xf numFmtId="0" fontId="31" fillId="0" borderId="7" xfId="4" applyFont="1" applyFill="1" applyBorder="1" applyAlignment="1">
      <alignment horizontal="center" vertical="center"/>
    </xf>
    <xf numFmtId="49" fontId="27" fillId="0" borderId="7" xfId="4" applyNumberFormat="1" applyFont="1" applyFill="1" applyBorder="1" applyAlignment="1">
      <alignment horizontal="center" vertical="center"/>
    </xf>
    <xf numFmtId="164" fontId="31" fillId="0" borderId="6" xfId="8" applyNumberFormat="1" applyFont="1" applyFill="1" applyBorder="1" applyAlignment="1">
      <alignment horizontal="center" vertical="center"/>
    </xf>
    <xf numFmtId="164" fontId="31" fillId="0" borderId="7" xfId="4" applyNumberFormat="1" applyFont="1" applyFill="1" applyBorder="1" applyAlignment="1">
      <alignment horizontal="center" vertical="center"/>
    </xf>
    <xf numFmtId="165" fontId="31" fillId="0" borderId="7" xfId="3" applyNumberFormat="1" applyFont="1" applyFill="1" applyBorder="1" applyAlignment="1">
      <alignment horizontal="center" vertical="center"/>
    </xf>
    <xf numFmtId="167" fontId="31" fillId="0" borderId="7" xfId="8" applyNumberFormat="1" applyFont="1" applyFill="1" applyBorder="1" applyAlignment="1">
      <alignment horizontal="center" vertical="center"/>
    </xf>
    <xf numFmtId="167" fontId="31" fillId="0" borderId="7" xfId="9" applyNumberFormat="1" applyFont="1" applyFill="1" applyBorder="1" applyAlignment="1">
      <alignment horizontal="center" vertical="center"/>
    </xf>
    <xf numFmtId="167" fontId="31" fillId="0" borderId="7" xfId="4" applyNumberFormat="1" applyFont="1" applyFill="1" applyBorder="1" applyAlignment="1">
      <alignment horizontal="center" vertical="center"/>
    </xf>
    <xf numFmtId="43" fontId="31" fillId="0" borderId="7" xfId="4" applyNumberFormat="1" applyFont="1" applyFill="1" applyBorder="1" applyAlignment="1">
      <alignment horizontal="center" vertical="center"/>
    </xf>
    <xf numFmtId="0" fontId="6" fillId="0" borderId="7" xfId="4" applyFont="1" applyFill="1" applyBorder="1" applyAlignment="1">
      <alignment vertical="center"/>
    </xf>
    <xf numFmtId="5" fontId="8" fillId="0" borderId="7" xfId="4" applyNumberFormat="1" applyFont="1" applyFill="1" applyBorder="1" applyAlignment="1">
      <alignment horizontal="center" vertical="center"/>
    </xf>
    <xf numFmtId="165" fontId="31" fillId="0" borderId="7" xfId="3" applyNumberFormat="1" applyFont="1" applyFill="1" applyBorder="1" applyAlignment="1">
      <alignment horizontal="right" vertical="center"/>
    </xf>
    <xf numFmtId="10" fontId="33" fillId="0" borderId="0" xfId="3" applyNumberFormat="1" applyFont="1" applyFill="1" applyBorder="1" applyAlignment="1">
      <alignment vertical="center"/>
    </xf>
    <xf numFmtId="165" fontId="6" fillId="0" borderId="0" xfId="3" applyNumberFormat="1" applyFont="1" applyFill="1" applyBorder="1" applyAlignment="1">
      <alignment horizontal="center" textRotation="90"/>
    </xf>
    <xf numFmtId="165" fontId="7" fillId="0" borderId="0" xfId="3" applyNumberFormat="1" applyFont="1" applyFill="1" applyBorder="1" applyAlignment="1">
      <alignment horizontal="center" textRotation="90"/>
    </xf>
    <xf numFmtId="7" fontId="6" fillId="0" borderId="0" xfId="4" applyNumberFormat="1" applyFont="1" applyFill="1" applyBorder="1" applyAlignment="1">
      <alignment horizontal="center" vertical="center"/>
    </xf>
    <xf numFmtId="0" fontId="35" fillId="0" borderId="0" xfId="8" quotePrefix="1" applyFont="1" applyFill="1" applyBorder="1" applyAlignment="1">
      <alignment horizontal="center" vertical="center"/>
    </xf>
    <xf numFmtId="49" fontId="35" fillId="0" borderId="0" xfId="4" quotePrefix="1" applyNumberFormat="1" applyFont="1" applyFill="1" applyBorder="1" applyAlignment="1">
      <alignment horizontal="center" vertical="center"/>
    </xf>
    <xf numFmtId="9" fontId="31" fillId="0" borderId="7" xfId="3" applyFont="1" applyFill="1" applyBorder="1" applyAlignment="1">
      <alignment horizontal="center" vertical="center" readingOrder="1"/>
    </xf>
    <xf numFmtId="9" fontId="31" fillId="0" borderId="0" xfId="3" applyFont="1" applyFill="1" applyBorder="1" applyAlignment="1">
      <alignment horizontal="center" vertical="center" readingOrder="1"/>
    </xf>
    <xf numFmtId="9" fontId="31" fillId="0" borderId="0" xfId="3" applyFont="1" applyFill="1" applyBorder="1" applyAlignment="1">
      <alignment vertical="center" readingOrder="1"/>
    </xf>
    <xf numFmtId="9" fontId="33" fillId="0" borderId="0" xfId="3" applyFont="1" applyFill="1" applyBorder="1" applyAlignment="1">
      <alignment vertical="center" readingOrder="1"/>
    </xf>
    <xf numFmtId="9" fontId="33" fillId="0" borderId="0" xfId="3" applyFont="1" applyFill="1" applyBorder="1" applyAlignment="1">
      <alignment horizontal="center" vertical="center" readingOrder="1"/>
    </xf>
    <xf numFmtId="9" fontId="33" fillId="0" borderId="0" xfId="3" applyFont="1" applyFill="1" applyBorder="1" applyAlignment="1">
      <alignment readingOrder="1"/>
    </xf>
    <xf numFmtId="165" fontId="33" fillId="0" borderId="0" xfId="3" applyNumberFormat="1" applyFont="1" applyFill="1" applyBorder="1" applyAlignment="1">
      <alignment horizontal="center" textRotation="90"/>
    </xf>
    <xf numFmtId="165" fontId="33" fillId="0" borderId="0" xfId="3" applyNumberFormat="1" applyFont="1" applyFill="1" applyBorder="1" applyAlignment="1">
      <alignment textRotation="90"/>
    </xf>
    <xf numFmtId="9" fontId="33" fillId="0" borderId="0" xfId="3" applyFont="1" applyFill="1" applyBorder="1" applyAlignment="1">
      <alignment horizontal="left" vertical="center" readingOrder="1"/>
    </xf>
    <xf numFmtId="9" fontId="33" fillId="0" borderId="7" xfId="3" applyFont="1" applyFill="1" applyBorder="1" applyAlignment="1">
      <alignment readingOrder="1"/>
    </xf>
    <xf numFmtId="9" fontId="33" fillId="0" borderId="7" xfId="3" applyFont="1" applyFill="1" applyBorder="1" applyAlignment="1">
      <alignment horizontal="center" vertical="center" readingOrder="1"/>
    </xf>
    <xf numFmtId="9" fontId="31" fillId="0" borderId="7" xfId="3" applyFont="1" applyFill="1" applyBorder="1" applyAlignment="1">
      <alignment readingOrder="1"/>
    </xf>
    <xf numFmtId="9" fontId="31" fillId="0" borderId="0" xfId="3" applyFont="1" applyFill="1" applyBorder="1" applyAlignment="1">
      <alignment readingOrder="1"/>
    </xf>
    <xf numFmtId="9" fontId="33" fillId="0" borderId="13" xfId="3" applyFont="1" applyFill="1" applyBorder="1" applyAlignment="1">
      <alignment readingOrder="1"/>
    </xf>
    <xf numFmtId="9" fontId="31" fillId="0" borderId="16" xfId="3" applyFont="1" applyFill="1" applyBorder="1" applyAlignment="1">
      <alignment vertical="center" readingOrder="1"/>
    </xf>
    <xf numFmtId="9" fontId="31" fillId="0" borderId="2" xfId="3" applyFont="1" applyFill="1" applyBorder="1" applyAlignment="1">
      <alignment vertical="center" readingOrder="1"/>
    </xf>
    <xf numFmtId="9" fontId="33" fillId="0" borderId="39" xfId="3" applyFont="1" applyFill="1" applyBorder="1" applyAlignment="1">
      <alignment vertical="center" readingOrder="1"/>
    </xf>
    <xf numFmtId="9" fontId="31" fillId="0" borderId="16" xfId="3" applyFont="1" applyFill="1" applyBorder="1" applyAlignment="1">
      <alignment horizontal="center" vertical="center" readingOrder="1"/>
    </xf>
    <xf numFmtId="9" fontId="31" fillId="0" borderId="13" xfId="3" applyFont="1" applyFill="1" applyBorder="1" applyAlignment="1">
      <alignment readingOrder="1"/>
    </xf>
    <xf numFmtId="9" fontId="31" fillId="0" borderId="16" xfId="3" applyFont="1" applyFill="1" applyBorder="1" applyAlignment="1">
      <alignment readingOrder="1"/>
    </xf>
    <xf numFmtId="10" fontId="28" fillId="0" borderId="0" xfId="3" applyNumberFormat="1" applyFont="1" applyFill="1" applyBorder="1" applyAlignment="1">
      <alignment vertical="center"/>
    </xf>
    <xf numFmtId="164" fontId="7" fillId="0" borderId="0" xfId="4" applyNumberFormat="1" applyFont="1" applyFill="1" applyBorder="1" applyAlignment="1">
      <alignment horizontal="center" vertical="center"/>
    </xf>
    <xf numFmtId="5" fontId="7" fillId="0" borderId="0" xfId="4" applyNumberFormat="1" applyFont="1" applyFill="1" applyBorder="1" applyAlignment="1">
      <alignment horizontal="center" vertical="center"/>
    </xf>
    <xf numFmtId="7" fontId="7" fillId="0" borderId="0" xfId="4" applyNumberFormat="1" applyFont="1" applyFill="1" applyBorder="1" applyAlignment="1">
      <alignment horizontal="center" vertical="center"/>
    </xf>
    <xf numFmtId="0" fontId="45" fillId="0" borderId="0" xfId="17" applyFont="1" applyAlignment="1">
      <alignment horizontal="centerContinuous"/>
    </xf>
    <xf numFmtId="0" fontId="2" fillId="0" borderId="0" xfId="17" applyAlignment="1">
      <alignment horizontal="centerContinuous"/>
    </xf>
    <xf numFmtId="0" fontId="46" fillId="0" borderId="0" xfId="17" applyFont="1" applyAlignment="1">
      <alignment horizontal="centerContinuous"/>
    </xf>
    <xf numFmtId="0" fontId="2" fillId="0" borderId="0" xfId="17"/>
    <xf numFmtId="0" fontId="47" fillId="0" borderId="0" xfId="17" applyFont="1" applyAlignment="1">
      <alignment horizontal="centerContinuous"/>
    </xf>
    <xf numFmtId="37" fontId="2" fillId="0" borderId="0" xfId="17" applyNumberFormat="1"/>
    <xf numFmtId="0" fontId="46" fillId="0" borderId="0" xfId="17" applyFont="1"/>
    <xf numFmtId="39" fontId="49" fillId="0" borderId="0" xfId="17" applyNumberFormat="1" applyFont="1"/>
    <xf numFmtId="37" fontId="2" fillId="0" borderId="20" xfId="17" applyNumberFormat="1" applyFill="1" applyBorder="1" applyAlignment="1">
      <alignment horizontal="center"/>
    </xf>
    <xf numFmtId="37" fontId="2" fillId="0" borderId="20" xfId="17" applyNumberFormat="1" applyBorder="1" applyAlignment="1">
      <alignment horizontal="center"/>
    </xf>
    <xf numFmtId="37" fontId="2" fillId="0" borderId="20" xfId="17" applyNumberFormat="1" applyFont="1" applyBorder="1" applyAlignment="1">
      <alignment horizontal="center"/>
    </xf>
    <xf numFmtId="37" fontId="2" fillId="0" borderId="0" xfId="17" applyNumberFormat="1" applyFont="1" applyFill="1" applyBorder="1" applyAlignment="1">
      <alignment horizontal="center"/>
    </xf>
    <xf numFmtId="37" fontId="2" fillId="0" borderId="0" xfId="17" applyNumberFormat="1" applyFont="1" applyBorder="1" applyAlignment="1">
      <alignment horizontal="center"/>
    </xf>
    <xf numFmtId="37" fontId="2" fillId="0" borderId="37" xfId="17" applyNumberFormat="1" applyFill="1" applyBorder="1" applyAlignment="1">
      <alignment horizontal="center"/>
    </xf>
    <xf numFmtId="37" fontId="2" fillId="0" borderId="37" xfId="17" applyNumberFormat="1" applyFont="1" applyFill="1" applyBorder="1" applyAlignment="1">
      <alignment horizontal="center"/>
    </xf>
    <xf numFmtId="37" fontId="2" fillId="0" borderId="37" xfId="17" applyNumberFormat="1" applyFont="1" applyBorder="1" applyAlignment="1">
      <alignment horizontal="center"/>
    </xf>
    <xf numFmtId="0" fontId="50" fillId="0" borderId="0" xfId="17" applyFont="1" applyAlignment="1">
      <alignment horizontal="center"/>
    </xf>
    <xf numFmtId="37" fontId="2" fillId="0" borderId="0" xfId="17" applyNumberFormat="1" applyFill="1" applyBorder="1" applyAlignment="1">
      <alignment horizontal="center"/>
    </xf>
    <xf numFmtId="0" fontId="2" fillId="0" borderId="0" xfId="17" applyFont="1" applyAlignment="1">
      <alignment horizontal="left"/>
    </xf>
    <xf numFmtId="43" fontId="2" fillId="0" borderId="0" xfId="14" applyFont="1" applyFill="1" applyBorder="1"/>
    <xf numFmtId="0" fontId="2" fillId="0" borderId="0" xfId="17" applyFont="1"/>
    <xf numFmtId="43" fontId="2" fillId="0" borderId="0" xfId="17" applyNumberFormat="1"/>
    <xf numFmtId="43" fontId="2" fillId="0" borderId="2" xfId="14" applyFont="1" applyFill="1" applyBorder="1"/>
    <xf numFmtId="43" fontId="2" fillId="0" borderId="0" xfId="14" applyFont="1" applyFill="1"/>
    <xf numFmtId="0" fontId="2" fillId="0" borderId="0" xfId="17" applyFont="1" applyAlignment="1">
      <alignment horizontal="left" indent="1"/>
    </xf>
    <xf numFmtId="0" fontId="2" fillId="0" borderId="0" xfId="17" applyFont="1" applyAlignment="1"/>
    <xf numFmtId="43" fontId="2" fillId="0" borderId="7" xfId="14" applyFont="1" applyFill="1" applyBorder="1"/>
    <xf numFmtId="43" fontId="2" fillId="0" borderId="0" xfId="14" applyFont="1"/>
    <xf numFmtId="4" fontId="2" fillId="0" borderId="0" xfId="17" applyNumberFormat="1" applyFill="1"/>
    <xf numFmtId="37" fontId="2" fillId="0" borderId="0" xfId="17" applyNumberFormat="1" applyFill="1"/>
    <xf numFmtId="44" fontId="2" fillId="0" borderId="40" xfId="15" applyFont="1" applyFill="1" applyBorder="1"/>
    <xf numFmtId="44" fontId="2" fillId="0" borderId="0" xfId="17" applyNumberFormat="1"/>
    <xf numFmtId="4" fontId="2" fillId="0" borderId="0" xfId="17" applyNumberFormat="1" applyFill="1" applyBorder="1"/>
    <xf numFmtId="43" fontId="2" fillId="0" borderId="2" xfId="14" applyFont="1" applyBorder="1"/>
    <xf numFmtId="4" fontId="2" fillId="0" borderId="0" xfId="17" applyNumberFormat="1"/>
    <xf numFmtId="44" fontId="2" fillId="0" borderId="40" xfId="15" applyFont="1" applyBorder="1"/>
    <xf numFmtId="37" fontId="2" fillId="0" borderId="0" xfId="17" applyNumberFormat="1" applyBorder="1"/>
    <xf numFmtId="0" fontId="52" fillId="0" borderId="0" xfId="17" applyFont="1"/>
    <xf numFmtId="39" fontId="52" fillId="0" borderId="0" xfId="17" applyNumberFormat="1" applyFont="1"/>
    <xf numFmtId="39" fontId="2" fillId="0" borderId="0" xfId="17" applyNumberFormat="1"/>
    <xf numFmtId="43" fontId="46" fillId="0" borderId="0" xfId="17" applyNumberFormat="1" applyFont="1"/>
    <xf numFmtId="5" fontId="2" fillId="0" borderId="0" xfId="17" applyNumberFormat="1"/>
    <xf numFmtId="0" fontId="2" fillId="0" borderId="0" xfId="17" applyBorder="1"/>
    <xf numFmtId="43" fontId="2" fillId="0" borderId="0" xfId="1" applyFont="1" applyBorder="1"/>
    <xf numFmtId="43" fontId="2" fillId="0" borderId="0" xfId="17" applyNumberFormat="1" applyBorder="1"/>
    <xf numFmtId="165" fontId="7" fillId="0" borderId="0" xfId="3" applyNumberFormat="1" applyFont="1" applyFill="1" applyBorder="1" applyAlignment="1">
      <alignment horizontal="center" textRotation="90"/>
    </xf>
    <xf numFmtId="165" fontId="6" fillId="0" borderId="0" xfId="3" applyNumberFormat="1" applyFont="1" applyFill="1" applyBorder="1" applyAlignment="1">
      <alignment horizontal="center" textRotation="90"/>
    </xf>
    <xf numFmtId="164" fontId="31" fillId="0" borderId="7" xfId="7" applyNumberFormat="1" applyFont="1" applyFill="1" applyBorder="1" applyAlignment="1">
      <alignment vertical="center"/>
    </xf>
    <xf numFmtId="164" fontId="53" fillId="0" borderId="0" xfId="7" applyNumberFormat="1" applyFont="1" applyFill="1" applyBorder="1" applyAlignment="1">
      <alignment vertical="center"/>
    </xf>
    <xf numFmtId="164" fontId="31" fillId="0" borderId="40" xfId="6" applyNumberFormat="1" applyFont="1" applyFill="1" applyBorder="1" applyAlignment="1">
      <alignment vertical="center"/>
    </xf>
    <xf numFmtId="164" fontId="31" fillId="0" borderId="7" xfId="6" applyNumberFormat="1" applyFont="1" applyFill="1" applyBorder="1" applyAlignment="1">
      <alignment vertical="center"/>
    </xf>
    <xf numFmtId="164" fontId="31" fillId="0" borderId="40" xfId="6" applyNumberFormat="1" applyFont="1" applyFill="1" applyBorder="1" applyAlignment="1">
      <alignment horizontal="center" vertical="center"/>
    </xf>
    <xf numFmtId="167" fontId="31" fillId="25" borderId="7" xfId="8" applyNumberFormat="1" applyFont="1" applyFill="1" applyBorder="1" applyAlignment="1">
      <alignment horizontal="center" vertical="center"/>
    </xf>
    <xf numFmtId="0" fontId="30" fillId="25" borderId="0" xfId="4" applyNumberFormat="1" applyFont="1" applyFill="1" applyBorder="1" applyAlignment="1">
      <alignment vertical="center"/>
    </xf>
    <xf numFmtId="0" fontId="31" fillId="25" borderId="0" xfId="4" applyFont="1" applyFill="1" applyBorder="1" applyAlignment="1">
      <alignment horizontal="center" vertical="center"/>
    </xf>
    <xf numFmtId="0" fontId="0" fillId="0" borderId="0" xfId="0" applyAlignment="1">
      <alignment horizontal="left" vertical="center"/>
    </xf>
    <xf numFmtId="4" fontId="0" fillId="0" borderId="0" xfId="0" applyNumberFormat="1" applyAlignment="1">
      <alignment vertical="center"/>
    </xf>
    <xf numFmtId="0" fontId="54" fillId="0" borderId="0" xfId="0" applyFont="1" applyAlignment="1"/>
    <xf numFmtId="0" fontId="55" fillId="0" borderId="0" xfId="0" applyFont="1" applyAlignment="1"/>
    <xf numFmtId="0" fontId="55" fillId="0" borderId="0" xfId="0" applyFont="1" applyFill="1" applyAlignment="1"/>
    <xf numFmtId="0" fontId="56" fillId="0" borderId="0" xfId="0" applyFont="1" applyFill="1" applyAlignment="1">
      <alignment horizontal="left"/>
    </xf>
    <xf numFmtId="14" fontId="57" fillId="0" borderId="0" xfId="0" applyNumberFormat="1" applyFont="1" applyBorder="1" applyAlignment="1">
      <alignment horizontal="left"/>
    </xf>
    <xf numFmtId="14" fontId="58" fillId="0" borderId="0" xfId="0" applyNumberFormat="1" applyFont="1" applyBorder="1" applyAlignment="1">
      <alignment horizontal="left"/>
    </xf>
    <xf numFmtId="0" fontId="55" fillId="2" borderId="0" xfId="0" applyFont="1" applyFill="1" applyAlignment="1"/>
    <xf numFmtId="0" fontId="59" fillId="10" borderId="0" xfId="0" applyFont="1" applyFill="1" applyAlignment="1">
      <alignment horizontal="center"/>
    </xf>
    <xf numFmtId="0" fontId="59" fillId="0" borderId="0" xfId="0" applyFont="1" applyAlignment="1">
      <alignment horizontal="center"/>
    </xf>
    <xf numFmtId="0" fontId="59" fillId="0" borderId="0" xfId="0" applyFont="1" applyFill="1" applyAlignment="1">
      <alignment horizontal="center"/>
    </xf>
    <xf numFmtId="0" fontId="0" fillId="0" borderId="0" xfId="0" applyAlignment="1">
      <alignment horizontal="center" vertical="center"/>
    </xf>
    <xf numFmtId="4" fontId="0" fillId="25" borderId="0" xfId="0" applyNumberFormat="1" applyFill="1" applyAlignment="1">
      <alignment vertical="center"/>
    </xf>
    <xf numFmtId="4" fontId="0" fillId="24" borderId="0" xfId="0" applyNumberFormat="1" applyFill="1" applyAlignment="1">
      <alignment vertical="center"/>
    </xf>
    <xf numFmtId="173" fontId="48" fillId="25" borderId="0" xfId="17" quotePrefix="1" applyNumberFormat="1" applyFont="1" applyFill="1" applyAlignment="1">
      <alignment horizontal="centerContinuous"/>
    </xf>
    <xf numFmtId="0" fontId="2" fillId="25" borderId="0" xfId="17" applyFill="1" applyAlignment="1">
      <alignment horizontal="centerContinuous"/>
    </xf>
    <xf numFmtId="0" fontId="46" fillId="25" borderId="0" xfId="17" applyFont="1" applyFill="1" applyAlignment="1">
      <alignment horizontal="centerContinuous"/>
    </xf>
    <xf numFmtId="0" fontId="0" fillId="25" borderId="26" xfId="0" applyFill="1" applyBorder="1"/>
    <xf numFmtId="4" fontId="0" fillId="0" borderId="0" xfId="0" applyNumberFormat="1"/>
    <xf numFmtId="0" fontId="33" fillId="22" borderId="0" xfId="4" applyFont="1" applyFill="1" applyBorder="1" applyAlignment="1">
      <alignment horizontal="left" vertical="center"/>
    </xf>
    <xf numFmtId="15" fontId="31" fillId="25" borderId="7" xfId="4" applyNumberFormat="1" applyFont="1" applyFill="1" applyBorder="1" applyAlignment="1">
      <alignment horizontal="center" vertical="center"/>
    </xf>
    <xf numFmtId="43" fontId="19" fillId="2" borderId="0" xfId="4" applyNumberFormat="1" applyFont="1" applyFill="1" applyBorder="1" applyAlignment="1">
      <alignment vertical="center"/>
    </xf>
    <xf numFmtId="0" fontId="31" fillId="2" borderId="0" xfId="8" quotePrefix="1" applyFont="1" applyFill="1" applyBorder="1" applyAlignment="1">
      <alignment horizontal="center" vertical="center"/>
    </xf>
    <xf numFmtId="167" fontId="31" fillId="2" borderId="0" xfId="9" applyNumberFormat="1" applyFont="1" applyFill="1" applyBorder="1" applyAlignment="1">
      <alignment horizontal="center" vertical="center"/>
    </xf>
    <xf numFmtId="1" fontId="34" fillId="2" borderId="2" xfId="4" applyNumberFormat="1" applyFont="1" applyFill="1" applyBorder="1" applyAlignment="1">
      <alignment horizontal="center" vertical="center"/>
    </xf>
    <xf numFmtId="1" fontId="34" fillId="2" borderId="0" xfId="4" applyNumberFormat="1" applyFont="1" applyFill="1" applyBorder="1" applyAlignment="1">
      <alignment horizontal="center" vertical="center"/>
    </xf>
    <xf numFmtId="6" fontId="31" fillId="2" borderId="7" xfId="6" applyNumberFormat="1" applyFont="1" applyFill="1" applyBorder="1" applyAlignment="1">
      <alignment horizontal="center" vertical="center"/>
    </xf>
    <xf numFmtId="6" fontId="31" fillId="2" borderId="0" xfId="6" applyNumberFormat="1" applyFont="1" applyFill="1" applyBorder="1" applyAlignment="1">
      <alignment horizontal="center" vertical="center"/>
    </xf>
    <xf numFmtId="6" fontId="33" fillId="2" borderId="0" xfId="6" applyNumberFormat="1" applyFont="1" applyFill="1" applyBorder="1" applyAlignment="1">
      <alignment horizontal="center" vertical="center"/>
    </xf>
    <xf numFmtId="164" fontId="33" fillId="2" borderId="2" xfId="1" applyNumberFormat="1" applyFont="1" applyFill="1" applyBorder="1" applyAlignment="1">
      <alignment horizontal="center" vertical="center"/>
    </xf>
    <xf numFmtId="164" fontId="33" fillId="2" borderId="0" xfId="1" applyNumberFormat="1" applyFont="1" applyFill="1" applyBorder="1" applyAlignment="1">
      <alignment horizontal="center" vertical="center"/>
    </xf>
    <xf numFmtId="164" fontId="33" fillId="2" borderId="7" xfId="1" applyNumberFormat="1" applyFont="1" applyFill="1" applyBorder="1" applyAlignment="1">
      <alignment horizontal="center" vertical="center"/>
    </xf>
    <xf numFmtId="6" fontId="33" fillId="2" borderId="2" xfId="6" applyNumberFormat="1" applyFont="1" applyFill="1" applyBorder="1" applyAlignment="1">
      <alignment horizontal="center" vertical="center"/>
    </xf>
    <xf numFmtId="6" fontId="33" fillId="2" borderId="7" xfId="6" applyNumberFormat="1" applyFont="1" applyFill="1" applyBorder="1" applyAlignment="1">
      <alignment horizontal="center" vertical="center"/>
    </xf>
    <xf numFmtId="43" fontId="6" fillId="2" borderId="0" xfId="4" applyNumberFormat="1" applyFont="1" applyFill="1" applyBorder="1" applyAlignment="1">
      <alignment vertical="center"/>
    </xf>
    <xf numFmtId="167" fontId="31" fillId="2" borderId="7" xfId="9" applyNumberFormat="1" applyFont="1" applyFill="1" applyBorder="1" applyAlignment="1">
      <alignment horizontal="center" vertical="center"/>
    </xf>
    <xf numFmtId="43" fontId="31" fillId="2" borderId="0" xfId="4" applyNumberFormat="1" applyFont="1" applyFill="1" applyBorder="1" applyAlignment="1">
      <alignment horizontal="center" vertical="center"/>
    </xf>
    <xf numFmtId="164" fontId="33" fillId="2" borderId="0" xfId="7" applyNumberFormat="1" applyFont="1" applyFill="1" applyBorder="1" applyAlignment="1">
      <alignment vertical="center"/>
    </xf>
    <xf numFmtId="164" fontId="31" fillId="2" borderId="13" xfId="6" applyNumberFormat="1" applyFont="1" applyFill="1" applyBorder="1" applyAlignment="1">
      <alignment vertical="center"/>
    </xf>
    <xf numFmtId="164" fontId="33" fillId="2" borderId="0" xfId="4" applyNumberFormat="1" applyFont="1" applyFill="1" applyBorder="1" applyAlignment="1">
      <alignment vertical="center"/>
    </xf>
    <xf numFmtId="164" fontId="6" fillId="2" borderId="0" xfId="4" applyNumberFormat="1" applyFont="1" applyFill="1" applyBorder="1" applyAlignment="1">
      <alignment horizontal="left" vertical="center"/>
    </xf>
    <xf numFmtId="164" fontId="31" fillId="2" borderId="16" xfId="4" applyNumberFormat="1" applyFont="1" applyFill="1" applyBorder="1" applyAlignment="1">
      <alignment vertical="center"/>
    </xf>
    <xf numFmtId="164" fontId="31" fillId="2" borderId="0" xfId="4" applyNumberFormat="1" applyFont="1" applyFill="1" applyBorder="1" applyAlignment="1">
      <alignment horizontal="center" vertical="center"/>
    </xf>
    <xf numFmtId="164" fontId="31" fillId="2" borderId="16" xfId="6" applyNumberFormat="1" applyFont="1" applyFill="1" applyBorder="1" applyAlignment="1">
      <alignment vertical="center"/>
    </xf>
    <xf numFmtId="164" fontId="31" fillId="2" borderId="0" xfId="7" applyNumberFormat="1" applyFont="1" applyFill="1" applyBorder="1" applyAlignment="1">
      <alignment vertical="center"/>
    </xf>
    <xf numFmtId="164" fontId="31" fillId="2" borderId="2" xfId="6" applyNumberFormat="1" applyFont="1" applyFill="1" applyBorder="1" applyAlignment="1">
      <alignment vertical="center"/>
    </xf>
    <xf numFmtId="164" fontId="31" fillId="2" borderId="0" xfId="6" applyNumberFormat="1" applyFont="1" applyFill="1" applyBorder="1" applyAlignment="1">
      <alignment vertical="center"/>
    </xf>
    <xf numFmtId="164" fontId="6" fillId="2" borderId="0" xfId="4" applyNumberFormat="1" applyFont="1" applyFill="1" applyBorder="1" applyAlignment="1">
      <alignment vertical="center"/>
    </xf>
    <xf numFmtId="164" fontId="31" fillId="2" borderId="16" xfId="6" applyNumberFormat="1" applyFont="1" applyFill="1" applyBorder="1" applyAlignment="1">
      <alignment horizontal="center" vertical="center"/>
    </xf>
    <xf numFmtId="164" fontId="31" fillId="2" borderId="0" xfId="6" applyNumberFormat="1" applyFont="1" applyFill="1" applyBorder="1" applyAlignment="1">
      <alignment horizontal="center" vertical="center"/>
    </xf>
    <xf numFmtId="43" fontId="33" fillId="2" borderId="0" xfId="4" applyNumberFormat="1" applyFont="1" applyFill="1" applyBorder="1" applyAlignment="1">
      <alignment vertical="center"/>
    </xf>
    <xf numFmtId="0" fontId="6" fillId="2" borderId="0" xfId="4" applyFont="1" applyFill="1" applyBorder="1" applyAlignment="1">
      <alignment horizontal="center" vertical="center"/>
    </xf>
    <xf numFmtId="2" fontId="33" fillId="2" borderId="0" xfId="4" applyNumberFormat="1" applyFont="1" applyFill="1" applyBorder="1" applyAlignment="1">
      <alignment horizontal="right" vertical="center"/>
    </xf>
    <xf numFmtId="0" fontId="0" fillId="2" borderId="0" xfId="0" applyFill="1"/>
    <xf numFmtId="1" fontId="33" fillId="0" borderId="0" xfId="4" applyNumberFormat="1" applyFont="1" applyFill="1" applyBorder="1" applyAlignment="1">
      <alignment horizontal="center" vertical="center"/>
    </xf>
    <xf numFmtId="0" fontId="35" fillId="0" borderId="0" xfId="8" quotePrefix="1" applyFont="1" applyFill="1" applyBorder="1" applyAlignment="1">
      <alignment horizontal="center" vertical="center" wrapText="1"/>
    </xf>
    <xf numFmtId="1" fontId="31" fillId="0" borderId="0" xfId="4" applyNumberFormat="1" applyFont="1" applyFill="1" applyBorder="1" applyAlignment="1">
      <alignment horizontal="center" vertical="center"/>
    </xf>
    <xf numFmtId="9" fontId="31" fillId="0" borderId="16" xfId="3" applyFont="1" applyFill="1" applyBorder="1" applyAlignment="1">
      <alignment horizontal="right" vertical="center" readingOrder="1"/>
    </xf>
    <xf numFmtId="9" fontId="31" fillId="0" borderId="0" xfId="3" applyFont="1" applyFill="1" applyBorder="1" applyAlignment="1">
      <alignment horizontal="right" vertical="center" readingOrder="1"/>
    </xf>
    <xf numFmtId="8" fontId="2" fillId="0" borderId="0" xfId="17" applyNumberFormat="1"/>
    <xf numFmtId="43" fontId="2" fillId="24" borderId="0" xfId="14" applyFont="1" applyFill="1"/>
    <xf numFmtId="43" fontId="2" fillId="24" borderId="0" xfId="14" applyFont="1" applyFill="1" applyBorder="1"/>
    <xf numFmtId="43" fontId="51" fillId="24" borderId="0" xfId="14" applyFont="1" applyFill="1"/>
    <xf numFmtId="8" fontId="2" fillId="24" borderId="0" xfId="14" applyNumberFormat="1" applyFont="1" applyFill="1"/>
    <xf numFmtId="8" fontId="2" fillId="24" borderId="0" xfId="14" applyNumberFormat="1" applyFont="1" applyFill="1" applyBorder="1"/>
    <xf numFmtId="43" fontId="2" fillId="24" borderId="7" xfId="14" applyFont="1" applyFill="1" applyBorder="1"/>
    <xf numFmtId="8" fontId="2" fillId="24" borderId="7" xfId="14" applyNumberFormat="1" applyFont="1" applyFill="1" applyBorder="1"/>
    <xf numFmtId="43" fontId="2" fillId="24" borderId="7" xfId="14" applyNumberFormat="1" applyFont="1" applyFill="1" applyBorder="1"/>
    <xf numFmtId="165" fontId="6" fillId="0" borderId="0" xfId="3" applyNumberFormat="1" applyFont="1" applyFill="1" applyBorder="1" applyAlignment="1">
      <alignment horizontal="center" textRotation="90"/>
    </xf>
    <xf numFmtId="165" fontId="7" fillId="0" borderId="0" xfId="3" applyNumberFormat="1" applyFont="1" applyFill="1" applyBorder="1" applyAlignment="1">
      <alignment horizontal="center" textRotation="90"/>
    </xf>
    <xf numFmtId="0" fontId="31" fillId="0" borderId="0" xfId="4" applyFont="1" applyFill="1" applyBorder="1" applyAlignment="1">
      <alignment horizontal="right" vertical="center"/>
    </xf>
    <xf numFmtId="164" fontId="35" fillId="0" borderId="2" xfId="9" quotePrefix="1" applyNumberFormat="1" applyFont="1" applyFill="1" applyBorder="1" applyAlignment="1">
      <alignment horizontal="center" vertical="center"/>
    </xf>
    <xf numFmtId="166" fontId="35" fillId="0" borderId="2" xfId="9" quotePrefix="1" applyNumberFormat="1" applyFont="1" applyFill="1" applyBorder="1" applyAlignment="1">
      <alignment horizontal="center" vertical="center"/>
    </xf>
    <xf numFmtId="166" fontId="35" fillId="0" borderId="3" xfId="9" quotePrefix="1" applyNumberFormat="1" applyFont="1" applyFill="1" applyBorder="1" applyAlignment="1">
      <alignment horizontal="center" vertical="center"/>
    </xf>
    <xf numFmtId="166" fontId="35" fillId="0" borderId="0" xfId="9" quotePrefix="1" applyNumberFormat="1" applyFont="1" applyFill="1" applyBorder="1" applyAlignment="1">
      <alignment horizontal="center" vertical="center"/>
    </xf>
    <xf numFmtId="0" fontId="60" fillId="25" borderId="0" xfId="0" applyFont="1" applyFill="1" applyAlignment="1">
      <alignment horizontal="center" vertical="center" wrapText="1"/>
    </xf>
    <xf numFmtId="0" fontId="0" fillId="25" borderId="30" xfId="0" applyFill="1" applyBorder="1" applyAlignment="1">
      <alignment horizontal="center" vertical="center" wrapText="1"/>
    </xf>
    <xf numFmtId="0" fontId="0" fillId="25" borderId="41" xfId="0" applyFill="1" applyBorder="1" applyAlignment="1">
      <alignment horizontal="center" vertical="center" wrapText="1"/>
    </xf>
    <xf numFmtId="0" fontId="0" fillId="25" borderId="36" xfId="0" applyFill="1" applyBorder="1" applyAlignment="1">
      <alignment horizontal="center" vertical="center" wrapText="1"/>
    </xf>
    <xf numFmtId="0" fontId="50" fillId="0" borderId="0" xfId="17" applyFont="1" applyAlignment="1">
      <alignment horizontal="center"/>
    </xf>
    <xf numFmtId="0" fontId="8" fillId="2" borderId="25" xfId="13" applyFont="1" applyFill="1" applyBorder="1" applyAlignment="1">
      <alignment horizontal="center" wrapText="1"/>
    </xf>
    <xf numFmtId="0" fontId="8" fillId="2" borderId="38" xfId="13" applyFont="1" applyFill="1" applyBorder="1" applyAlignment="1">
      <alignment horizontal="center" wrapText="1"/>
    </xf>
    <xf numFmtId="3" fontId="8" fillId="0" borderId="27" xfId="15" applyNumberFormat="1" applyFont="1" applyBorder="1" applyAlignment="1">
      <alignment horizontal="center" vertical="center"/>
    </xf>
    <xf numFmtId="3" fontId="8" fillId="0" borderId="28" xfId="15" applyNumberFormat="1" applyFont="1" applyBorder="1" applyAlignment="1">
      <alignment horizontal="center" vertical="center"/>
    </xf>
    <xf numFmtId="3" fontId="8" fillId="0" borderId="29" xfId="15" applyNumberFormat="1" applyFont="1" applyBorder="1" applyAlignment="1">
      <alignment horizontal="center" vertical="center"/>
    </xf>
    <xf numFmtId="3" fontId="8" fillId="0" borderId="30" xfId="15" applyNumberFormat="1" applyFont="1" applyFill="1" applyBorder="1" applyAlignment="1">
      <alignment horizontal="center" vertical="center" wrapText="1"/>
    </xf>
    <xf numFmtId="3" fontId="8" fillId="0" borderId="36" xfId="15" applyNumberFormat="1" applyFont="1" applyFill="1" applyBorder="1" applyAlignment="1">
      <alignment horizontal="center" vertical="center" wrapText="1"/>
    </xf>
    <xf numFmtId="49" fontId="13" fillId="0" borderId="0" xfId="14" applyNumberFormat="1" applyFont="1" applyBorder="1" applyAlignment="1">
      <alignment horizontal="center" vertical="center" wrapText="1"/>
    </xf>
  </cellXfs>
  <cellStyles count="18">
    <cellStyle name="Comma" xfId="1" builtinId="3"/>
    <cellStyle name="Comma 2 2" xfId="14" xr:uid="{00000000-0005-0000-0000-000001000000}"/>
    <cellStyle name="Comma 3" xfId="7" xr:uid="{00000000-0005-0000-0000-000002000000}"/>
    <cellStyle name="Currency" xfId="2" builtinId="4"/>
    <cellStyle name="Currency 2 2" xfId="15" xr:uid="{00000000-0005-0000-0000-000004000000}"/>
    <cellStyle name="Currency 3" xfId="6" xr:uid="{00000000-0005-0000-0000-000005000000}"/>
    <cellStyle name="Normal" xfId="0" builtinId="0"/>
    <cellStyle name="Normal 2" xfId="8" xr:uid="{00000000-0005-0000-0000-000007000000}"/>
    <cellStyle name="Normal 2 2" xfId="11" xr:uid="{00000000-0005-0000-0000-000008000000}"/>
    <cellStyle name="Normal 6" xfId="9" xr:uid="{00000000-0005-0000-0000-000009000000}"/>
    <cellStyle name="Normal 7" xfId="10" xr:uid="{00000000-0005-0000-0000-00000A000000}"/>
    <cellStyle name="Normal 8" xfId="4" xr:uid="{00000000-0005-0000-0000-00000B000000}"/>
    <cellStyle name="Normal 9" xfId="13" xr:uid="{00000000-0005-0000-0000-00000C000000}"/>
    <cellStyle name="Normal_DATA033106BALANCESHEETINCOMESTMT-051706" xfId="17" xr:uid="{00000000-0005-0000-0000-00000D000000}"/>
    <cellStyle name="Percent" xfId="3" builtinId="5"/>
    <cellStyle name="Percent 2 2" xfId="16" xr:uid="{00000000-0005-0000-0000-00000F000000}"/>
    <cellStyle name="Percent 3" xfId="12" xr:uid="{00000000-0005-0000-0000-000010000000}"/>
    <cellStyle name="STYLE1" xfId="5" xr:uid="{00000000-0005-0000-0000-000011000000}"/>
  </cellStyles>
  <dxfs count="50">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s>
  <tableStyles count="0" defaultTableStyle="TableStyleMedium2" defaultPivotStyle="PivotStyleLight16"/>
  <colors>
    <mruColors>
      <color rgb="FFCC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rogram%20Files\Microsoft%20Office\EXCEL\Brighton\BUDGET%20FY01\Program%20Files\Microsoft%20Office\EXCEL\Brighton\BUDGET%20FY00\FY00%20BCS%20Budg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rogram%20Files\Microsoft%20Office\EXCEL\Brighton\BUDGET%20FY01\Program%20Files\Microsoft%20Office\EXCEL\Brighton\BUDGET%20FY00\FY00%20BCS%20Budg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lamay\Documents\All%20Schools\FY18\FY18%20Financial%20Stmts\June%202018\BLRA%20-%20Jun%202018\BLRA%20-%20June%2030%202018%20Financial%20Stmt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klamay.ACCELSCHOOLS\Desktop\Budgets\FY16%20Budgets\BLRA%20-%20FY16%20Budgets\BLRA%20Preliminary%20budget%201516%204_15_15%20%20board%20approved_Staffing%20Revisions%20for%20revised%20budge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flora\Dropbox%20(Pansophic%20Learning)\Mike's%20Folders\School%20Actuals\FY17\4_October\BLRA%20-%20Oct%2031%202016%20Financial%20Stmts.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Worksheet%20in%206211%20Deferred%20Gain%20%20Loss%20Sale%20Leaseback"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StAmour\Desktop\Budget%20&amp;%20Financials\August%202018\YTD%20Trial%20Balance%20083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Changes"/>
      <sheetName val="BUDGSUM"/>
      <sheetName val="SALBEN"/>
      <sheetName val="DISTSERV"/>
      <sheetName val="BUDGREV"/>
      <sheetName val="BUDEXP"/>
    </sheetNames>
    <sheetDataSet>
      <sheetData sheetId="0" refreshError="1"/>
      <sheetData sheetId="1" refreshError="1"/>
      <sheetData sheetId="2" refreshError="1">
        <row r="63">
          <cell r="D63">
            <v>10750</v>
          </cell>
        </row>
      </sheetData>
      <sheetData sheetId="3" refreshError="1"/>
      <sheetData sheetId="4" refreshError="1">
        <row r="3">
          <cell r="C3">
            <v>350</v>
          </cell>
        </row>
        <row r="4">
          <cell r="C4">
            <v>4612</v>
          </cell>
        </row>
        <row r="8">
          <cell r="F8">
            <v>1</v>
          </cell>
        </row>
        <row r="10">
          <cell r="D10">
            <v>5580.8077499999999</v>
          </cell>
        </row>
        <row r="25">
          <cell r="B25">
            <v>350</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Changes"/>
      <sheetName val="BUDGSUM"/>
      <sheetName val="SALBEN"/>
      <sheetName val="DISTSERV"/>
      <sheetName val="BUDGREV"/>
      <sheetName val="BUDEXP"/>
    </sheetNames>
    <sheetDataSet>
      <sheetData sheetId="0" refreshError="1"/>
      <sheetData sheetId="1" refreshError="1"/>
      <sheetData sheetId="2" refreshError="1">
        <row r="63">
          <cell r="D63">
            <v>10750</v>
          </cell>
        </row>
      </sheetData>
      <sheetData sheetId="3" refreshError="1"/>
      <sheetData sheetId="4" refreshError="1">
        <row r="3">
          <cell r="C3">
            <v>350</v>
          </cell>
        </row>
        <row r="4">
          <cell r="C4">
            <v>4612</v>
          </cell>
        </row>
        <row r="8">
          <cell r="F8">
            <v>1</v>
          </cell>
        </row>
        <row r="10">
          <cell r="D10">
            <v>5580.8077499999999</v>
          </cell>
        </row>
        <row r="25">
          <cell r="B25">
            <v>350</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9-10 Revised"/>
      <sheetName val="Appropriation Resolution 09-10"/>
      <sheetName val="BUDGET 2010-11"/>
      <sheetName val="Appropriation Resolution 10-11"/>
      <sheetName val="Monthly TB"/>
      <sheetName val="Trial Balance"/>
      <sheetName val="FY13 revenue"/>
      <sheetName val="FY13 expense"/>
      <sheetName val="Rev FY14 orig budget"/>
      <sheetName val="Exp FY14 orig budget"/>
      <sheetName val="Dashboard"/>
      <sheetName val="BLRA Budget Dashboard"/>
      <sheetName val="FY18 Budget Dashboard"/>
      <sheetName val="Balance Sheet"/>
      <sheetName val="DASHBRD"/>
      <sheetName val="Rev-Exp Report"/>
      <sheetName val="Trial Balance (2)"/>
      <sheetName val="Revenues"/>
      <sheetName val="Expenditures"/>
      <sheetName val="Required by State"/>
      <sheetName val="FY17 Staffing V1-4"/>
      <sheetName val="Rev-Exp Report (3)"/>
      <sheetName val="Rev-Exp Report (2)"/>
      <sheetName val="FY17 Staffing V1-1"/>
      <sheetName val="FY16 Rvsd 1st Amend Staff"/>
      <sheetName val="Revised Staffing (2)"/>
      <sheetName val="Revised Staffing - Amy Orig"/>
      <sheetName val="Summary Data"/>
      <sheetName val="Summary budget"/>
      <sheetName val="Summary Financial"/>
      <sheetName val="Salary Worksheet 2008-09(4-8)"/>
      <sheetName val="Payroll"/>
      <sheetName val="BUDGET - old"/>
      <sheetName val="APPROPRIATION RESOLUTION"/>
      <sheetName val="Salary Worksheet 2009-10 Rev2"/>
      <sheetName val="Salary Worksheet 2009-10 Rev3"/>
      <sheetName val="Salary Worksheet 2010-11 680"/>
      <sheetName val="Salary Worksheet 2010-11 710"/>
      <sheetName val="Salary Worksheet 2009-10 625"/>
      <sheetName val="Salary Worksheet 2008-09(11-5)"/>
      <sheetName val="Salary Worksheet 2009-10 525"/>
      <sheetName val="Sheet1"/>
      <sheetName val="Salary Worksheet 2007-08(3-14)"/>
      <sheetName val="Salary Worksheet 2007-08(10-18)"/>
      <sheetName val="Salary Worksheet 2007-08 (4-30)"/>
      <sheetName val="Summary 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9-10 Revised"/>
      <sheetName val="Appropriation Resolution 09-10"/>
      <sheetName val="Preliminary BUDGET 2010-11"/>
      <sheetName val="Appropriation Resolution 10-11"/>
      <sheetName val="1st Revised BUDGET 2010-11"/>
      <sheetName val="Preliminary BUDGET 2011-12"/>
      <sheetName val="Preliminary BUDGET 2012-13"/>
      <sheetName val="2012-13Appropriation Resolution"/>
      <sheetName val="1st Revised BUDGET 2011-12"/>
      <sheetName val="2011-12Appropriation Resolution"/>
      <sheetName val="2015-16 Preliminary Resolution"/>
      <sheetName val="2012-13Amended Resolution"/>
      <sheetName val="Revenues"/>
      <sheetName val="Expenditures"/>
      <sheetName val="Salary Worksheet 2008-09(4-8)"/>
      <sheetName val="Revenues Summary"/>
      <sheetName val="Expenditures Summary"/>
      <sheetName val="Payroll"/>
      <sheetName val="BUDGET - old"/>
      <sheetName val="APPROPRIATION RESOLUTION"/>
      <sheetName val="Salary Worksheet 2009-10 Rev2"/>
      <sheetName val="Salary Worksheet 2009-10 Rev3"/>
      <sheetName val="Salary Worksheet 2010-11 680"/>
      <sheetName val="Salary Worksheet 2010-11 710"/>
      <sheetName val="Salary Worksheet 2010-11 710b"/>
      <sheetName val="Salary Worksheet 2011-12 736"/>
      <sheetName val="Salary Worksheet 2011-12 741"/>
      <sheetName val="Salary Worksheet 2012-13 731"/>
      <sheetName val="Salary Worksheet 2012-13 731 a"/>
      <sheetName val="Salary Worksheet 2013-14 725"/>
      <sheetName val="Salary Worksheet FY14 Prelimina"/>
      <sheetName val="Salary Worksheet FY16C"/>
      <sheetName val="Revised Staffing"/>
      <sheetName val="Salary Worksheet 2009-10 625"/>
      <sheetName val="Salary Worksheet 2008-09(11-5)"/>
      <sheetName val="Salary Worksheet 2009-10 525"/>
      <sheetName val="Sheet1"/>
      <sheetName val="Salary Worksheet 2007-08(3-14)"/>
      <sheetName val="Salary Worksheet 2007-08(10-18)"/>
      <sheetName val="Salary Worksheet 2007-08 (4-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E3" t="str">
            <v>Draft Preliminary</v>
          </cell>
        </row>
      </sheetData>
      <sheetData sheetId="13">
        <row r="8">
          <cell r="G8">
            <v>41983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9-10 Revised"/>
      <sheetName val="Appropriation Resolution 09-10"/>
      <sheetName val="BUDGET 2010-11"/>
      <sheetName val="Appropriation Resolution 10-11"/>
      <sheetName val="Monthly TB"/>
      <sheetName val="Trial Balance"/>
      <sheetName val="FY13 revenue"/>
      <sheetName val="FY13 expense"/>
      <sheetName val="Rev FY14 orig budget"/>
      <sheetName val="Exp FY14 orig budget"/>
      <sheetName val="Dashboard"/>
      <sheetName val="BLRA Budget Dashboard"/>
      <sheetName val="Balance Sheet"/>
      <sheetName val="DASHBRD"/>
      <sheetName val="Rev-Exp Report"/>
      <sheetName val="Revenues"/>
      <sheetName val="Expenditures"/>
      <sheetName val="Required by State"/>
      <sheetName val="FY17 Staffing V1-4"/>
      <sheetName val="Rev-Exp Report (3)"/>
      <sheetName val="Rev-Exp Report (2)"/>
      <sheetName val="FY17 Staffing V1-1"/>
      <sheetName val="FY16 Rvsd 1st Amend Staff"/>
      <sheetName val="Revised Staffing (2)"/>
      <sheetName val="Revised Staffing - Amy Orig"/>
      <sheetName val="Summary Data"/>
      <sheetName val="Summary budget"/>
      <sheetName val="Summary Financial"/>
      <sheetName val="Salary Worksheet 2008-09(4-8)"/>
      <sheetName val="Payroll"/>
      <sheetName val="BUDGET - old"/>
      <sheetName val="APPROPRIATION RESOLUTION"/>
      <sheetName val="Salary Worksheet 2009-10 Rev2"/>
      <sheetName val="Salary Worksheet 2009-10 Rev3"/>
      <sheetName val="Salary Worksheet 2010-11 680"/>
      <sheetName val="Salary Worksheet 2010-11 710"/>
      <sheetName val="Salary Worksheet 2009-10 625"/>
      <sheetName val="Salary Worksheet 2008-09(11-5)"/>
      <sheetName val="Salary Worksheet 2009-10 525"/>
      <sheetName val="Sheet1"/>
      <sheetName val="Salary Worksheet 2007-08(3-14)"/>
      <sheetName val="Salary Worksheet 2007-08(10-18)"/>
      <sheetName val="Salary Worksheet 2007-08 (4-30)"/>
      <sheetName val="Summary 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ing"/>
      <sheetName val="KC Sales-Leasebacks"/>
      <sheetName val="KL Deferred Gain"/>
      <sheetName val="Gain Loss Calc"/>
      <sheetName val="XREF"/>
      <sheetName val="Tickmarks"/>
      <sheetName val="OVERVIEW"/>
      <sheetName val="Sheet1"/>
      <sheetName val="CY Analysis"/>
      <sheetName val="MeetingSchedule"/>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rial Balance"/>
      <sheetName val="Account Summary - "/>
    </sheetNames>
    <sheetDataSet>
      <sheetData sheetId="0"/>
      <sheetData sheetId="1"/>
      <sheetData sheetId="2">
        <row r="1">
          <cell r="C1" t="str">
            <v>Account Number</v>
          </cell>
          <cell r="D1" t="str">
            <v>Account Description</v>
          </cell>
        </row>
        <row r="2">
          <cell r="C2" t="str">
            <v>11-950-00-0000-1510-000-0000</v>
          </cell>
          <cell r="D2" t="str">
            <v>Investment Interest Earnings</v>
          </cell>
        </row>
        <row r="3">
          <cell r="C3" t="str">
            <v>11-950-00-0000-1510-000-0000</v>
          </cell>
          <cell r="D3" t="str">
            <v>Investment Interest Earnings</v>
          </cell>
        </row>
        <row r="4">
          <cell r="C4" t="str">
            <v>11-950-00-0000-1740-000-0000</v>
          </cell>
          <cell r="D4" t="str">
            <v>Fees</v>
          </cell>
        </row>
        <row r="5">
          <cell r="C5" t="str">
            <v>11-950-00-0000-1740-000-0000</v>
          </cell>
          <cell r="D5" t="str">
            <v>Fees</v>
          </cell>
        </row>
        <row r="6">
          <cell r="C6" t="str">
            <v>11-950-00-0000-1740-000-0001</v>
          </cell>
          <cell r="D6" t="str">
            <v>Fees- Athletics</v>
          </cell>
        </row>
        <row r="7">
          <cell r="C7" t="str">
            <v>11-950-00-0000-1820-000-0000</v>
          </cell>
          <cell r="D7" t="str">
            <v>OASIS Tuition</v>
          </cell>
        </row>
        <row r="8">
          <cell r="C8" t="str">
            <v>11-950-00-0000-1910-000-0000</v>
          </cell>
          <cell r="D8" t="str">
            <v>Rental of Facilities</v>
          </cell>
        </row>
        <row r="9">
          <cell r="C9" t="str">
            <v>11-950-00-0000-1910-000-0000</v>
          </cell>
          <cell r="D9" t="str">
            <v>Rental of Facilities</v>
          </cell>
        </row>
        <row r="10">
          <cell r="C10" t="str">
            <v>11-950-00-0000-1920-000-0000</v>
          </cell>
          <cell r="D10" t="str">
            <v>Fundraising</v>
          </cell>
        </row>
        <row r="11">
          <cell r="C11" t="str">
            <v>11-950-00-0000-3954-000-3113</v>
          </cell>
          <cell r="D11" t="str">
            <v>Capital Construction Funding</v>
          </cell>
        </row>
        <row r="12">
          <cell r="C12" t="str">
            <v>11-950-00-0000-5710-000-0000</v>
          </cell>
          <cell r="D12" t="str">
            <v>District PPOR</v>
          </cell>
        </row>
        <row r="13">
          <cell r="C13" t="str">
            <v>11-950-00-0000-5710-000-0000</v>
          </cell>
          <cell r="D13" t="str">
            <v>District PPOR</v>
          </cell>
        </row>
        <row r="14">
          <cell r="C14" t="str">
            <v>11-950-00-0000-6721-000-0000</v>
          </cell>
          <cell r="D14" t="str">
            <v>Fund Balance - Tabor Reserve</v>
          </cell>
        </row>
        <row r="15">
          <cell r="C15" t="str">
            <v>11-950-00-0000-6760-000-0000</v>
          </cell>
          <cell r="D15" t="str">
            <v>Fund Balance - Reserved</v>
          </cell>
        </row>
        <row r="16">
          <cell r="C16" t="str">
            <v>11-950-00-0000-6770-000-0000</v>
          </cell>
          <cell r="D16" t="str">
            <v>Fund Balance - Unreserved</v>
          </cell>
        </row>
        <row r="17">
          <cell r="C17" t="str">
            <v>11-950-00-0000-7401-000-0000</v>
          </cell>
          <cell r="D17" t="str">
            <v>Due to Other Funds</v>
          </cell>
        </row>
        <row r="18">
          <cell r="C18" t="str">
            <v>11-950-00-0000-7401-000-0000</v>
          </cell>
          <cell r="D18" t="str">
            <v>Due to Other Funds</v>
          </cell>
        </row>
        <row r="19">
          <cell r="C19" t="str">
            <v>11-950-00-0000-7421-000-0000</v>
          </cell>
          <cell r="D19" t="str">
            <v>Accounts Payable</v>
          </cell>
        </row>
        <row r="20">
          <cell r="C20" t="str">
            <v>11-950-00-0000-7421-000-0000</v>
          </cell>
          <cell r="D20" t="str">
            <v>Accounts Payable</v>
          </cell>
        </row>
        <row r="21">
          <cell r="C21" t="str">
            <v>11-950-00-0000-7421-000-0000</v>
          </cell>
          <cell r="D21" t="str">
            <v>Accounts Payable</v>
          </cell>
        </row>
        <row r="22">
          <cell r="C22" t="str">
            <v>11-950-00-0000-7461-000-0000</v>
          </cell>
          <cell r="D22" t="str">
            <v>Accrued Payroll &amp; Benefits</v>
          </cell>
        </row>
        <row r="23">
          <cell r="C23" t="str">
            <v>11-950-00-0000-7461-000-0000</v>
          </cell>
          <cell r="D23" t="str">
            <v>Accrued Payroll &amp; Benefits</v>
          </cell>
        </row>
        <row r="24">
          <cell r="C24" t="str">
            <v>11-950-00-0000-7461-000-0000</v>
          </cell>
          <cell r="D24" t="str">
            <v>Accrued Payroll &amp; Benefits</v>
          </cell>
        </row>
        <row r="25">
          <cell r="C25" t="str">
            <v>11-950-00-0000-7462-000-0000</v>
          </cell>
          <cell r="D25" t="str">
            <v>Accrued Expenses</v>
          </cell>
        </row>
        <row r="26">
          <cell r="C26" t="str">
            <v>11-950-00-0000-7462-000-0000</v>
          </cell>
          <cell r="D26" t="str">
            <v>Accrued Expenses</v>
          </cell>
        </row>
        <row r="27">
          <cell r="C27" t="str">
            <v>11-950-00-0000-7462-000-0000</v>
          </cell>
          <cell r="D27" t="str">
            <v>Accrued Expenses</v>
          </cell>
        </row>
        <row r="28">
          <cell r="C28" t="str">
            <v>11-950-00-0000-7471-000-0000</v>
          </cell>
          <cell r="D28" t="str">
            <v>Payroll Deductions &amp; Withholdings</v>
          </cell>
        </row>
        <row r="29">
          <cell r="C29" t="str">
            <v>11-950-00-0000-7471-000-0000</v>
          </cell>
          <cell r="D29" t="str">
            <v>Payroll Deductions &amp; Withholdings</v>
          </cell>
        </row>
        <row r="30">
          <cell r="C30" t="str">
            <v>11-950-00-0000-7471-000-0000</v>
          </cell>
          <cell r="D30" t="str">
            <v>Payroll Deductions &amp; Withholdings</v>
          </cell>
        </row>
        <row r="31">
          <cell r="C31" t="str">
            <v>11-950-00-0000-8103-000-0000</v>
          </cell>
          <cell r="D31" t="str">
            <v>State Bank - Petty Cash</v>
          </cell>
        </row>
        <row r="32">
          <cell r="C32" t="str">
            <v>11-950-00-0000-8103-000-0000</v>
          </cell>
          <cell r="D32" t="str">
            <v>State Bank - Petty Cash</v>
          </cell>
        </row>
        <row r="33">
          <cell r="C33" t="str">
            <v>11-950-00-0000-8103-000-0000</v>
          </cell>
          <cell r="D33" t="str">
            <v>State Bank - Petty Cash</v>
          </cell>
        </row>
        <row r="34">
          <cell r="C34" t="str">
            <v>11-950-00-0000-8131-000-0000</v>
          </cell>
          <cell r="D34" t="str">
            <v>Due from Other Funds</v>
          </cell>
        </row>
        <row r="35">
          <cell r="C35" t="str">
            <v>11-950-00-0000-8153-000-0000</v>
          </cell>
          <cell r="D35" t="str">
            <v>Accounts Receivable</v>
          </cell>
        </row>
        <row r="36">
          <cell r="C36" t="str">
            <v>11-950-00-0000-8181-000-0000</v>
          </cell>
          <cell r="D36" t="str">
            <v>Prepaid Expenditures</v>
          </cell>
        </row>
        <row r="37">
          <cell r="C37" t="str">
            <v>11-950-00-0010-0110-201-0000</v>
          </cell>
          <cell r="D37" t="str">
            <v>ELEMENTARY TEACHER</v>
          </cell>
        </row>
        <row r="38">
          <cell r="C38" t="str">
            <v>11-950-00-0010-0110-201-0000</v>
          </cell>
          <cell r="D38" t="str">
            <v>ELEMENTARY TEACHER</v>
          </cell>
        </row>
        <row r="39">
          <cell r="C39" t="str">
            <v>11-950-00-0010-0110-415-0000</v>
          </cell>
          <cell r="D39" t="str">
            <v>ELEMENTARY TEACHER ASST</v>
          </cell>
        </row>
        <row r="40">
          <cell r="C40" t="str">
            <v>11-950-00-0010-0110-415-0000</v>
          </cell>
          <cell r="D40" t="str">
            <v>ELEMENTARY TEACHER ASST</v>
          </cell>
        </row>
        <row r="41">
          <cell r="C41" t="str">
            <v>11-950-00-0010-0120-204-0000</v>
          </cell>
          <cell r="D41" t="str">
            <v>ELEMENTARY SUBSTITUTES</v>
          </cell>
        </row>
        <row r="42">
          <cell r="C42" t="str">
            <v>11-950-00-0010-0120-204-0000</v>
          </cell>
          <cell r="D42" t="str">
            <v>ELEMENTARY SUBSTITUTES</v>
          </cell>
        </row>
        <row r="43">
          <cell r="C43" t="str">
            <v>11-950-00-0010-0190-201-0000</v>
          </cell>
          <cell r="D43" t="str">
            <v>Bonuses</v>
          </cell>
        </row>
        <row r="44">
          <cell r="C44" t="str">
            <v>11-950-00-0010-0220-201-0000</v>
          </cell>
          <cell r="D44" t="str">
            <v>MED/FICA ELEMENTARY TEACHER</v>
          </cell>
        </row>
        <row r="45">
          <cell r="C45" t="str">
            <v>11-950-00-0010-0220-201-0000</v>
          </cell>
          <cell r="D45" t="str">
            <v>MED/FICA ELEMENTARY TEACHER</v>
          </cell>
        </row>
        <row r="46">
          <cell r="C46" t="str">
            <v>11-950-00-0010-0220-204-0000</v>
          </cell>
          <cell r="D46" t="str">
            <v>MED/FICA SUBSTITUTES</v>
          </cell>
        </row>
        <row r="47">
          <cell r="C47" t="str">
            <v>11-950-00-0010-0220-204-0000</v>
          </cell>
          <cell r="D47" t="str">
            <v>MED/FICA SUBSTITUTES</v>
          </cell>
        </row>
        <row r="48">
          <cell r="C48" t="str">
            <v>11-950-00-0010-0220-415-0000</v>
          </cell>
          <cell r="D48" t="str">
            <v>MED/FICA ELE TEACHER ASST</v>
          </cell>
        </row>
        <row r="49">
          <cell r="C49" t="str">
            <v>11-950-00-0010-0220-415-0000</v>
          </cell>
          <cell r="D49" t="str">
            <v>MED/FICA ELE TEACHER ASST</v>
          </cell>
        </row>
        <row r="50">
          <cell r="C50" t="str">
            <v>11-950-00-0010-0251-201-0000</v>
          </cell>
          <cell r="D50" t="str">
            <v>HEALTH INS. ELE TEACHERS</v>
          </cell>
        </row>
        <row r="51">
          <cell r="C51" t="str">
            <v>11-950-00-0010-0251-201-0000</v>
          </cell>
          <cell r="D51" t="str">
            <v>HEALTH INS. ELE TEACHERS</v>
          </cell>
        </row>
        <row r="52">
          <cell r="C52" t="str">
            <v>11-950-00-0010-0251-415-0000</v>
          </cell>
          <cell r="D52" t="str">
            <v>HEALTH INS. ELE TEACHER ASSTS</v>
          </cell>
        </row>
        <row r="53">
          <cell r="C53" t="str">
            <v>11-950-00-0010-0251-415-0000</v>
          </cell>
          <cell r="D53" t="str">
            <v>HEALTH INS. ELE TEACHER ASSTS</v>
          </cell>
        </row>
        <row r="54">
          <cell r="C54" t="str">
            <v>11-950-00-0010-0290-201-0000</v>
          </cell>
          <cell r="D54" t="str">
            <v>401k ELE TEACHERS</v>
          </cell>
        </row>
        <row r="55">
          <cell r="C55" t="str">
            <v>11-950-00-0010-0290-201-0000</v>
          </cell>
          <cell r="D55" t="str">
            <v>401k ELE TEACHERS</v>
          </cell>
        </row>
        <row r="56">
          <cell r="C56" t="str">
            <v>11-950-00-0010-0290-204-0000</v>
          </cell>
          <cell r="D56" t="str">
            <v>401K SUBSTITUTES</v>
          </cell>
        </row>
        <row r="57">
          <cell r="C57" t="str">
            <v>11-950-00-0010-0290-204-0000</v>
          </cell>
          <cell r="D57" t="str">
            <v>401K SUBSTITUTES</v>
          </cell>
        </row>
        <row r="58">
          <cell r="C58" t="str">
            <v>11-950-00-0010-0290-415-0000</v>
          </cell>
          <cell r="D58" t="str">
            <v>401k ELE TEACHER ASSTS</v>
          </cell>
        </row>
        <row r="59">
          <cell r="C59" t="str">
            <v>11-950-00-0010-0290-415-0000</v>
          </cell>
          <cell r="D59" t="str">
            <v>401k ELE TEACHER ASSTS</v>
          </cell>
        </row>
        <row r="60">
          <cell r="C60" t="str">
            <v>11-950-00-0010-0610-000-0000</v>
          </cell>
          <cell r="D60" t="str">
            <v>ELEMENTARY TEACHING SUPPLIES</v>
          </cell>
        </row>
        <row r="61">
          <cell r="C61" t="str">
            <v>11-950-00-0010-0610-000-0000</v>
          </cell>
          <cell r="D61" t="str">
            <v>ELEMENTARY TEACHING SUPPLIES</v>
          </cell>
        </row>
        <row r="62">
          <cell r="C62" t="str">
            <v>11-950-00-0010-0735-000-0000</v>
          </cell>
          <cell r="D62" t="str">
            <v>Non-capital equipment</v>
          </cell>
        </row>
        <row r="63">
          <cell r="C63" t="str">
            <v>11-950-00-0060-0110-201-0000</v>
          </cell>
          <cell r="D63" t="str">
            <v>SPECIALS TEACHERS</v>
          </cell>
        </row>
        <row r="64">
          <cell r="C64" t="str">
            <v>11-950-00-0060-0110-201-0000</v>
          </cell>
          <cell r="D64" t="str">
            <v>SPECIALS TEACHERS</v>
          </cell>
        </row>
        <row r="65">
          <cell r="C65" t="str">
            <v>11-950-00-0200-0110-201-0000</v>
          </cell>
          <cell r="D65" t="str">
            <v>Elem. Art Teacher Salaries</v>
          </cell>
        </row>
        <row r="66">
          <cell r="C66" t="str">
            <v>11-950-00-0200-0110-201-0000</v>
          </cell>
          <cell r="D66" t="str">
            <v>Elem. Art Teacher Salaries</v>
          </cell>
        </row>
        <row r="67">
          <cell r="C67" t="str">
            <v>11-950-00-0060-0150-407-0000</v>
          </cell>
          <cell r="D67" t="str">
            <v>Other Puchased Services</v>
          </cell>
        </row>
        <row r="68">
          <cell r="C68" t="str">
            <v>11-950-00-0060-0150-407-0000</v>
          </cell>
          <cell r="D68" t="str">
            <v>Other Puchased Services</v>
          </cell>
        </row>
        <row r="69">
          <cell r="C69" t="str">
            <v>11-950-00-0200-0220-201-0000</v>
          </cell>
          <cell r="D69" t="str">
            <v>FICA/Med Elem. Art Teacher</v>
          </cell>
        </row>
        <row r="70">
          <cell r="C70" t="str">
            <v>11-950-00-0200-0220-201-0000</v>
          </cell>
          <cell r="D70" t="str">
            <v>FICA/Med Elem. Art Teacher</v>
          </cell>
        </row>
        <row r="71">
          <cell r="C71" t="str">
            <v>11-950-00-0200-0251-201-0000</v>
          </cell>
          <cell r="D71" t="str">
            <v>Health - Art Teacher</v>
          </cell>
        </row>
        <row r="72">
          <cell r="C72" t="str">
            <v>11-950-00-0200-0251-201-0000</v>
          </cell>
          <cell r="D72" t="str">
            <v>Health - Art Teacher</v>
          </cell>
        </row>
        <row r="73">
          <cell r="C73" t="str">
            <v>11-950-00-0200-0290-201-0000</v>
          </cell>
          <cell r="D73" t="str">
            <v>401K Elem. Art Teacher</v>
          </cell>
        </row>
        <row r="74">
          <cell r="C74" t="str">
            <v>11-950-00-0200-0290-201-0000</v>
          </cell>
          <cell r="D74" t="str">
            <v>401K Elem. Art Teacher</v>
          </cell>
        </row>
        <row r="75">
          <cell r="C75" t="str">
            <v>11-950-00-0060-0220-201-0000</v>
          </cell>
          <cell r="D75" t="str">
            <v>MED/FICA SPECIALS TEACHERS</v>
          </cell>
        </row>
        <row r="76">
          <cell r="C76" t="str">
            <v>11-950-00-0060-0220-201-0000</v>
          </cell>
          <cell r="D76" t="str">
            <v>MED/FICA SPECIALS TEACHERS</v>
          </cell>
        </row>
        <row r="77">
          <cell r="C77" t="str">
            <v>11-950-00-0060-0220-407-0000</v>
          </cell>
          <cell r="D77" t="str">
            <v>MED/FICA OTHER PURCHASED SERVICES</v>
          </cell>
        </row>
        <row r="78">
          <cell r="C78" t="str">
            <v>11-950-00-0060-0220-407-0000</v>
          </cell>
          <cell r="D78" t="str">
            <v>MED/FICA OTHER PURCHASED SERVICES</v>
          </cell>
        </row>
        <row r="79">
          <cell r="C79" t="str">
            <v>11-950-00-0511-0110-415-3206</v>
          </cell>
          <cell r="D79" t="str">
            <v>Reading Inventionist</v>
          </cell>
        </row>
        <row r="80">
          <cell r="C80" t="str">
            <v>11-950-00-0060-0251-201-0000</v>
          </cell>
          <cell r="D80" t="str">
            <v>HEALTH INS. SPECIALS TEACHERS</v>
          </cell>
        </row>
        <row r="81">
          <cell r="C81" t="str">
            <v>11-950-00-0060-0251-201-0000</v>
          </cell>
          <cell r="D81" t="str">
            <v>HEALTH INS. SPECIALS TEACHERS</v>
          </cell>
        </row>
        <row r="82">
          <cell r="C82" t="str">
            <v>11-950-00-0511-0220-415-3206</v>
          </cell>
          <cell r="D82" t="str">
            <v>FICA/Med Reading Inventionist</v>
          </cell>
        </row>
        <row r="83">
          <cell r="C83" t="str">
            <v>11-950-00-0600-0110-201-0000</v>
          </cell>
          <cell r="D83" t="str">
            <v>Foreign Language Teacher Salary</v>
          </cell>
        </row>
        <row r="84">
          <cell r="C84" t="str">
            <v>11-950-00-0600-0110-201-0000</v>
          </cell>
          <cell r="D84" t="str">
            <v>Foreign Language Teacher Salary</v>
          </cell>
        </row>
        <row r="85">
          <cell r="C85" t="str">
            <v>11-950-00-0060-0328-000-0000</v>
          </cell>
          <cell r="D85" t="str">
            <v>ASSESSMENTS</v>
          </cell>
        </row>
        <row r="86">
          <cell r="C86" t="str">
            <v>11-950-00-0600-0220-201-0000</v>
          </cell>
          <cell r="D86" t="str">
            <v>FICA/Med Foreign Language Teacher</v>
          </cell>
        </row>
        <row r="87">
          <cell r="C87" t="str">
            <v>11-950-00-0600-0220-201-0000</v>
          </cell>
          <cell r="D87" t="str">
            <v>FICA/Med Foreign Language Teacher</v>
          </cell>
        </row>
        <row r="88">
          <cell r="C88" t="str">
            <v>11-950-00-0600-0251-201-0000</v>
          </cell>
          <cell r="D88" t="str">
            <v>Health - Foreign Language</v>
          </cell>
        </row>
        <row r="89">
          <cell r="C89" t="str">
            <v>11-950-00-0600-0251-201-0000</v>
          </cell>
          <cell r="D89" t="str">
            <v>Health - Foreign Language</v>
          </cell>
        </row>
        <row r="90">
          <cell r="C90" t="str">
            <v>11-950-00-0600-0290-201-0000</v>
          </cell>
          <cell r="D90" t="str">
            <v>401k Foreign Language Teacher</v>
          </cell>
        </row>
        <row r="91">
          <cell r="C91" t="str">
            <v>11-950-00-0600-0290-201-0000</v>
          </cell>
          <cell r="D91" t="str">
            <v>401k Foreign Language Teacher</v>
          </cell>
        </row>
        <row r="92">
          <cell r="C92" t="str">
            <v>11-950-00-0060-0610-000-0000</v>
          </cell>
          <cell r="D92" t="str">
            <v>GENERAL INSTRUCTIONAL SUPPLIES</v>
          </cell>
        </row>
        <row r="93">
          <cell r="C93" t="str">
            <v>11-950-00-0060-0610-000-0000</v>
          </cell>
          <cell r="D93" t="str">
            <v>GENERAL INSTRUCTIONAL SUPPLIES</v>
          </cell>
        </row>
        <row r="94">
          <cell r="C94" t="str">
            <v>11-950-00-1200-0110-201-0000</v>
          </cell>
          <cell r="D94" t="str">
            <v>INSTRUCTIONAL SUPPLIES- TITLE IV</v>
          </cell>
        </row>
        <row r="95">
          <cell r="C95" t="str">
            <v>11-950-00-1200-0110-201-0000</v>
          </cell>
          <cell r="D95" t="str">
            <v>INSTRUCTIONAL SUPPLIES- TITLE IV</v>
          </cell>
        </row>
        <row r="96">
          <cell r="C96" t="str">
            <v>11-950-00-1200-0220-201-0000</v>
          </cell>
          <cell r="D96" t="str">
            <v>FICA/Med Elem. Music Teacher</v>
          </cell>
        </row>
        <row r="97">
          <cell r="C97" t="str">
            <v>11-950-00-1200-0220-201-0000</v>
          </cell>
          <cell r="D97" t="str">
            <v>FICA/Med Elem. Music Teacher</v>
          </cell>
        </row>
        <row r="98">
          <cell r="C98" t="str">
            <v>11-950-00-1200-0251-201-0000</v>
          </cell>
          <cell r="D98" t="str">
            <v>Health Insurance - Music Teacher</v>
          </cell>
        </row>
        <row r="99">
          <cell r="C99" t="str">
            <v>11-950-00-1200-0251-201-0000</v>
          </cell>
          <cell r="D99" t="str">
            <v>Health Insurance - Music Teacher</v>
          </cell>
        </row>
        <row r="100">
          <cell r="C100" t="str">
            <v>11-950-00-1200-0290-201-0000</v>
          </cell>
          <cell r="D100" t="str">
            <v>401k Elem. Music Teacher</v>
          </cell>
        </row>
        <row r="101">
          <cell r="C101" t="str">
            <v>11-950-00-1200-0290-201-0000</v>
          </cell>
          <cell r="D101" t="str">
            <v>401k Elem. Music Teacher</v>
          </cell>
        </row>
        <row r="102">
          <cell r="C102" t="str">
            <v>11-950-00-1700-0594-000-3130</v>
          </cell>
          <cell r="D102" t="str">
            <v>SPECIAL EDUCATION SVCS</v>
          </cell>
        </row>
        <row r="103">
          <cell r="C103" t="str">
            <v>11-950-00-1700-0594-000-3130</v>
          </cell>
          <cell r="D103" t="str">
            <v>SPECIAL EDUCATION SVCS</v>
          </cell>
        </row>
        <row r="104">
          <cell r="C104" t="str">
            <v>11-950-00-1800-0580-000-0000</v>
          </cell>
          <cell r="D104" t="str">
            <v>Athletic Entrance fees</v>
          </cell>
        </row>
        <row r="105">
          <cell r="C105" t="str">
            <v>11-950-00-2100-0110-211-0000</v>
          </cell>
          <cell r="D105" t="str">
            <v>Salaries Counselor</v>
          </cell>
        </row>
        <row r="106">
          <cell r="C106" t="str">
            <v>11-950-00-2100-0110-211-0000</v>
          </cell>
          <cell r="D106" t="str">
            <v>Salaries Counselor</v>
          </cell>
        </row>
        <row r="107">
          <cell r="C107" t="str">
            <v>11-950-00-2100-0110-516-0000</v>
          </cell>
          <cell r="D107" t="str">
            <v>Salaries - Registrar</v>
          </cell>
        </row>
        <row r="108">
          <cell r="C108" t="str">
            <v>11-950-00-2100-0110-516-0000</v>
          </cell>
          <cell r="D108" t="str">
            <v>Salaries - Registrar</v>
          </cell>
        </row>
        <row r="109">
          <cell r="C109" t="str">
            <v>11-950-00-2100-0220-211-0000</v>
          </cell>
          <cell r="D109" t="str">
            <v>SS/Med Counselor</v>
          </cell>
        </row>
        <row r="110">
          <cell r="C110" t="str">
            <v>11-950-00-2100-0220-211-0000</v>
          </cell>
          <cell r="D110" t="str">
            <v>SS/Med Counselor</v>
          </cell>
        </row>
        <row r="111">
          <cell r="C111" t="str">
            <v>11-950-00-2100-0220-516-0000</v>
          </cell>
          <cell r="D111" t="str">
            <v>FICA/Med Registrar</v>
          </cell>
        </row>
        <row r="112">
          <cell r="C112" t="str">
            <v>11-950-00-2100-0220-516-0000</v>
          </cell>
          <cell r="D112" t="str">
            <v>FICA/Med Registrar</v>
          </cell>
        </row>
        <row r="113">
          <cell r="C113" t="str">
            <v>11-950-00-2100-0251-211-0000</v>
          </cell>
          <cell r="D113" t="str">
            <v>Health Insurance - Counselor</v>
          </cell>
        </row>
        <row r="114">
          <cell r="C114" t="str">
            <v>11-950-00-2100-0251-211-0000</v>
          </cell>
          <cell r="D114" t="str">
            <v>Health Insurance - Counselor</v>
          </cell>
        </row>
        <row r="115">
          <cell r="C115" t="str">
            <v>11-950-00-2100-0251-516-0000</v>
          </cell>
          <cell r="D115" t="str">
            <v>Health Insurance - Registrar</v>
          </cell>
        </row>
        <row r="116">
          <cell r="C116" t="str">
            <v>11-950-00-2100-0251-516-0000</v>
          </cell>
          <cell r="D116" t="str">
            <v>Health Insurance - Registrar</v>
          </cell>
        </row>
        <row r="117">
          <cell r="C117" t="str">
            <v>11-950-00-2100-0290-211-0000</v>
          </cell>
          <cell r="D117" t="str">
            <v>401k Counselor</v>
          </cell>
        </row>
        <row r="118">
          <cell r="C118" t="str">
            <v>11-950-00-2100-0290-211-0000</v>
          </cell>
          <cell r="D118" t="str">
            <v>401k Counselor</v>
          </cell>
        </row>
        <row r="119">
          <cell r="C119" t="str">
            <v>11-950-00-2100-0290-516-0000</v>
          </cell>
          <cell r="D119" t="str">
            <v>401k Registrar</v>
          </cell>
        </row>
        <row r="120">
          <cell r="C120" t="str">
            <v>11-950-00-2100-0290-516-0000</v>
          </cell>
          <cell r="D120" t="str">
            <v>401k Registrar</v>
          </cell>
        </row>
        <row r="121">
          <cell r="C121" t="str">
            <v>11-950-00-2113-0110-218-0000</v>
          </cell>
          <cell r="D121" t="str">
            <v>LITERACY/MATH COACH</v>
          </cell>
        </row>
        <row r="122">
          <cell r="C122" t="str">
            <v>11-950-00-2113-0110-218-0000</v>
          </cell>
          <cell r="D122" t="str">
            <v>LITERACY/MATH COACH</v>
          </cell>
        </row>
        <row r="123">
          <cell r="C123" t="str">
            <v>11-950-00-2113-0220-218-0000</v>
          </cell>
          <cell r="D123" t="str">
            <v>MED/FICA LITERACY/MATH COACH</v>
          </cell>
        </row>
        <row r="124">
          <cell r="C124" t="str">
            <v>11-950-00-2113-0220-218-0000</v>
          </cell>
          <cell r="D124" t="str">
            <v>MED/FICA LITERACY/MATH COACH</v>
          </cell>
        </row>
        <row r="125">
          <cell r="C125" t="str">
            <v>11-950-00-2113-0251-218-0000</v>
          </cell>
          <cell r="D125" t="str">
            <v>HEALTH INS. LITERACY/MATH COACH</v>
          </cell>
        </row>
        <row r="126">
          <cell r="C126" t="str">
            <v>11-950-00-2113-0251-218-0000</v>
          </cell>
          <cell r="D126" t="str">
            <v>HEALTH INS. LITERACY/MATH COACH</v>
          </cell>
        </row>
        <row r="127">
          <cell r="C127" t="str">
            <v>11-950-00-2130-0610-000-0000</v>
          </cell>
          <cell r="D127" t="str">
            <v>HEALTH, MEDICAL,SAFETY SUPPLIES</v>
          </cell>
        </row>
        <row r="128">
          <cell r="C128" t="str">
            <v>11-950-00-2211-0320-000-0000</v>
          </cell>
          <cell r="D128" t="str">
            <v>PROFESSIONAL INST. MGMT</v>
          </cell>
        </row>
        <row r="129">
          <cell r="C129" t="str">
            <v>11-950-00-2211-0320-000-0000</v>
          </cell>
          <cell r="D129" t="str">
            <v>PROFESSIONAL INST. MGMT</v>
          </cell>
        </row>
        <row r="130">
          <cell r="C130" t="str">
            <v>11-950-00-2315-0331-000-0000</v>
          </cell>
          <cell r="D130" t="str">
            <v>LEGAL SERVICES</v>
          </cell>
        </row>
        <row r="131">
          <cell r="C131" t="str">
            <v>11-950-00-2321-0320-000-0000</v>
          </cell>
          <cell r="D131" t="str">
            <v>PROFESSIONAL MGMT. SERVICES</v>
          </cell>
        </row>
        <row r="132">
          <cell r="C132" t="str">
            <v>11-950-00-2321-0320-000-0000</v>
          </cell>
          <cell r="D132" t="str">
            <v>PROFESSIONAL MGMT. SERVICES</v>
          </cell>
        </row>
        <row r="133">
          <cell r="C133" t="str">
            <v>11-950-00-2400-0110-101-0000</v>
          </cell>
          <cell r="D133" t="str">
            <v>Salaries - Superintendent</v>
          </cell>
        </row>
        <row r="134">
          <cell r="C134" t="str">
            <v>11-950-00-2400-0110-101-0000</v>
          </cell>
          <cell r="D134" t="str">
            <v>Salaries - Superintendent</v>
          </cell>
        </row>
        <row r="135">
          <cell r="C135" t="str">
            <v>11-950-00-2400-0110-103-0000</v>
          </cell>
          <cell r="D135" t="str">
            <v>Special Projects Coordinator</v>
          </cell>
        </row>
        <row r="136">
          <cell r="C136" t="str">
            <v>11-950-00-2400-0110-103-0000</v>
          </cell>
          <cell r="D136" t="str">
            <v>Special Projects Coordinator</v>
          </cell>
        </row>
        <row r="137">
          <cell r="C137" t="str">
            <v>11-950-00-2400-0220-101-0000</v>
          </cell>
          <cell r="D137" t="str">
            <v>FICA - Superintendent</v>
          </cell>
        </row>
        <row r="138">
          <cell r="C138" t="str">
            <v>11-950-00-2400-0220-101-0000</v>
          </cell>
          <cell r="D138" t="str">
            <v>FICA - Superintendent</v>
          </cell>
        </row>
        <row r="139">
          <cell r="C139" t="str">
            <v>11-950-00-2400-0220-103-0000</v>
          </cell>
          <cell r="D139" t="str">
            <v>Employer FICA/UTA</v>
          </cell>
        </row>
        <row r="140">
          <cell r="C140" t="str">
            <v>11-950-00-2400-0220-103-0000</v>
          </cell>
          <cell r="D140" t="str">
            <v>Employer FICA/UTA</v>
          </cell>
        </row>
        <row r="141">
          <cell r="C141" t="str">
            <v>11-950-00-2400-0251-101-0000</v>
          </cell>
          <cell r="D141" t="str">
            <v>Health Svcs - Head of School</v>
          </cell>
        </row>
        <row r="142">
          <cell r="C142" t="str">
            <v>11-950-00-2400-0251-101-0000</v>
          </cell>
          <cell r="D142" t="str">
            <v>Health Svcs - Head of School</v>
          </cell>
        </row>
        <row r="143">
          <cell r="C143" t="str">
            <v>11-950-00-2400-0290-101-0000</v>
          </cell>
          <cell r="D143" t="str">
            <v>401k Superintendent</v>
          </cell>
        </row>
        <row r="144">
          <cell r="C144" t="str">
            <v>11-950-00-2400-0290-101-0000</v>
          </cell>
          <cell r="D144" t="str">
            <v>401k Superintendent</v>
          </cell>
        </row>
        <row r="145">
          <cell r="C145" t="str">
            <v>11-950-00-2400-0290-103-0000</v>
          </cell>
          <cell r="D145" t="str">
            <v>401K Contributions - SPC</v>
          </cell>
        </row>
        <row r="146">
          <cell r="C146" t="str">
            <v>11-950-00-2400-0290-103-0000</v>
          </cell>
          <cell r="D146" t="str">
            <v>401K Contributions - SPC</v>
          </cell>
        </row>
        <row r="147">
          <cell r="C147" t="str">
            <v>11-950-00-2410-0110-105-0000</v>
          </cell>
          <cell r="D147" t="str">
            <v>PRINCIPAL</v>
          </cell>
        </row>
        <row r="148">
          <cell r="C148" t="str">
            <v>11-950-00-2410-0110-105-0000</v>
          </cell>
          <cell r="D148" t="str">
            <v>PRINCIPAL</v>
          </cell>
        </row>
        <row r="149">
          <cell r="C149" t="str">
            <v>11-950-00-2410-0110-106-0000</v>
          </cell>
          <cell r="D149" t="str">
            <v>ASSISTANT PRINCIPAL</v>
          </cell>
        </row>
        <row r="150">
          <cell r="C150" t="str">
            <v>11-950-00-2410-0110-106-0000</v>
          </cell>
          <cell r="D150" t="str">
            <v>ASSISTANT PRINCIPAL</v>
          </cell>
        </row>
        <row r="151">
          <cell r="C151" t="str">
            <v>11-950-00-2410-0110-500-0000</v>
          </cell>
          <cell r="D151" t="str">
            <v>SUPPORT STAFF</v>
          </cell>
        </row>
        <row r="152">
          <cell r="C152" t="str">
            <v>11-950-00-2410-0110-500-0000</v>
          </cell>
          <cell r="D152" t="str">
            <v>SUPPORT STAFF</v>
          </cell>
        </row>
        <row r="153">
          <cell r="C153" t="str">
            <v>11-950-00-2410-0220-105-0000</v>
          </cell>
          <cell r="D153" t="str">
            <v>MED/FICA PRINCIPAL</v>
          </cell>
        </row>
        <row r="154">
          <cell r="C154" t="str">
            <v>11-950-00-2410-0220-105-0000</v>
          </cell>
          <cell r="D154" t="str">
            <v>MED/FICA PRINCIPAL</v>
          </cell>
        </row>
        <row r="155">
          <cell r="C155" t="str">
            <v>11-950-00-2410-0220-106-0000</v>
          </cell>
          <cell r="D155" t="str">
            <v>MED/FICA ASSIST. PRINCIPAL</v>
          </cell>
        </row>
        <row r="156">
          <cell r="C156" t="str">
            <v>11-950-00-2410-0220-106-0000</v>
          </cell>
          <cell r="D156" t="str">
            <v>MED/FICA ASSIST. PRINCIPAL</v>
          </cell>
        </row>
        <row r="157">
          <cell r="C157" t="str">
            <v>11-950-00-2410-0220-500-0000</v>
          </cell>
          <cell r="D157" t="str">
            <v>MED/FICA SUPPORT STAFF</v>
          </cell>
        </row>
        <row r="158">
          <cell r="C158" t="str">
            <v>11-950-00-2410-0220-500-0000</v>
          </cell>
          <cell r="D158" t="str">
            <v>MED/FICA SUPPORT STAFF</v>
          </cell>
        </row>
        <row r="159">
          <cell r="C159" t="str">
            <v>11-950-00-2410-0251-105-0000</v>
          </cell>
          <cell r="D159" t="str">
            <v>HEALTH INS. PRINCIPAL</v>
          </cell>
        </row>
        <row r="160">
          <cell r="C160" t="str">
            <v>11-950-00-2410-0251-105-0000</v>
          </cell>
          <cell r="D160" t="str">
            <v>HEALTH INS. PRINCIPAL</v>
          </cell>
        </row>
        <row r="161">
          <cell r="C161" t="str">
            <v>11-950-00-2410-0251-106-0000</v>
          </cell>
          <cell r="D161" t="str">
            <v>HEALTH INS. ASSIST. PRINCIPAL</v>
          </cell>
        </row>
        <row r="162">
          <cell r="C162" t="str">
            <v>11-950-00-2410-0251-106-0000</v>
          </cell>
          <cell r="D162" t="str">
            <v>HEALTH INS. ASSIST. PRINCIPAL</v>
          </cell>
        </row>
        <row r="163">
          <cell r="C163" t="str">
            <v>11-950-00-2410-0251-500-0000</v>
          </cell>
          <cell r="D163" t="str">
            <v>HEALTH INS. SUPPORT STAFF</v>
          </cell>
        </row>
        <row r="164">
          <cell r="C164" t="str">
            <v>11-950-00-2410-0251-500-0000</v>
          </cell>
          <cell r="D164" t="str">
            <v>HEALTH INS. SUPPORT STAFF</v>
          </cell>
        </row>
        <row r="165">
          <cell r="C165" t="str">
            <v>11-950-00-2410-0290-105-0000</v>
          </cell>
          <cell r="D165" t="str">
            <v>401k PRINCIPAL</v>
          </cell>
        </row>
        <row r="166">
          <cell r="C166" t="str">
            <v>11-950-00-2410-0290-105-0000</v>
          </cell>
          <cell r="D166" t="str">
            <v>401k PRINCIPAL</v>
          </cell>
        </row>
        <row r="167">
          <cell r="C167" t="str">
            <v>11-950-00-2410-0290-106-0000</v>
          </cell>
          <cell r="D167" t="str">
            <v>401k ASSIST. PRINCIPAL</v>
          </cell>
        </row>
        <row r="168">
          <cell r="C168" t="str">
            <v>11-950-00-2410-0290-106-0000</v>
          </cell>
          <cell r="D168" t="str">
            <v>401k ASSIST. PRINCIPAL</v>
          </cell>
        </row>
        <row r="169">
          <cell r="C169" t="str">
            <v>11-950-00-2410-0533-000-0000</v>
          </cell>
          <cell r="D169" t="str">
            <v>POSTAGE</v>
          </cell>
        </row>
        <row r="170">
          <cell r="C170" t="str">
            <v>11-950-00-2410-0533-000-0000</v>
          </cell>
          <cell r="D170" t="str">
            <v>POSTAGE</v>
          </cell>
        </row>
        <row r="171">
          <cell r="C171" t="str">
            <v>11-950-00-2410-0610-000-0000</v>
          </cell>
          <cell r="D171" t="str">
            <v>GENERAL OFFICE SUPPLIES</v>
          </cell>
        </row>
        <row r="172">
          <cell r="C172" t="str">
            <v>11-950-00-2410-0610-000-0000</v>
          </cell>
          <cell r="D172" t="str">
            <v>GENERAL OFFICE SUPPLIES</v>
          </cell>
        </row>
        <row r="173">
          <cell r="C173" t="str">
            <v>11-950-00-2410-0611-000-0000</v>
          </cell>
          <cell r="D173" t="str">
            <v>General Supplies - Student Fees</v>
          </cell>
        </row>
        <row r="174">
          <cell r="C174" t="str">
            <v>11-950-00-2410-0890-000-0000</v>
          </cell>
          <cell r="D174" t="str">
            <v>MISCELLANEOUS EXPENSE</v>
          </cell>
        </row>
        <row r="175">
          <cell r="C175" t="str">
            <v>11-950-00-2500-0594-000-0000</v>
          </cell>
          <cell r="D175" t="str">
            <v>ACCOUNTING DISTRICT FEE</v>
          </cell>
        </row>
        <row r="176">
          <cell r="C176" t="str">
            <v>11-950-00-2500-0594-000-0000</v>
          </cell>
          <cell r="D176" t="str">
            <v>ACCOUNTING DISTRICT FEE</v>
          </cell>
        </row>
        <row r="177">
          <cell r="C177" t="str">
            <v>11-950-00-2510-0110-509-0000</v>
          </cell>
          <cell r="D177" t="str">
            <v>Business Manager Salaries</v>
          </cell>
        </row>
        <row r="178">
          <cell r="C178" t="str">
            <v>11-950-00-2510-0110-509-0000</v>
          </cell>
          <cell r="D178" t="str">
            <v>Business Manager Salaries</v>
          </cell>
        </row>
        <row r="179">
          <cell r="C179" t="str">
            <v>11-950-00-2510-0220-509-0000</v>
          </cell>
          <cell r="D179" t="str">
            <v>FICA/Med Office Manager</v>
          </cell>
        </row>
        <row r="180">
          <cell r="C180" t="str">
            <v>11-950-00-2510-0220-509-0000</v>
          </cell>
          <cell r="D180" t="str">
            <v>FICA/Med Office Manager</v>
          </cell>
        </row>
        <row r="181">
          <cell r="C181" t="str">
            <v>11-950-00-2510-0251-509-0000</v>
          </cell>
          <cell r="D181" t="str">
            <v>Health Insurance - Office Manager</v>
          </cell>
        </row>
        <row r="182">
          <cell r="C182" t="str">
            <v>11-950-00-2510-0251-509-0000</v>
          </cell>
          <cell r="D182" t="str">
            <v>Health Insurance - Office Manager</v>
          </cell>
        </row>
        <row r="183">
          <cell r="C183" t="str">
            <v>11-950-00-2510-0290-509-0000</v>
          </cell>
          <cell r="D183" t="str">
            <v>401k Business Manager</v>
          </cell>
        </row>
        <row r="184">
          <cell r="C184" t="str">
            <v>11-950-00-2510-0290-509-0000</v>
          </cell>
          <cell r="D184" t="str">
            <v>401k Business Manager</v>
          </cell>
        </row>
        <row r="185">
          <cell r="C185" t="str">
            <v>11-950-00-2510-0313-000-0000</v>
          </cell>
          <cell r="D185" t="str">
            <v>BANKING / PAYING AGENT SERVICE FEES</v>
          </cell>
        </row>
        <row r="186">
          <cell r="C186" t="str">
            <v>11-950-00-2510-0313-000-0000</v>
          </cell>
          <cell r="D186" t="str">
            <v>BANKING / PAYING AGENT SERVICE FEES</v>
          </cell>
        </row>
        <row r="187">
          <cell r="C187" t="str">
            <v>11-950-00-2510-0339-000-0000</v>
          </cell>
          <cell r="D187" t="str">
            <v>BACKGROUND CHECKS</v>
          </cell>
        </row>
        <row r="188">
          <cell r="C188" t="str">
            <v>11-950-00-2515-0339-000-0000</v>
          </cell>
          <cell r="D188" t="str">
            <v>Professional Payroll Service Fees</v>
          </cell>
        </row>
        <row r="189">
          <cell r="C189" t="str">
            <v>11-950-00-2515-0339-000-0000</v>
          </cell>
          <cell r="D189" t="str">
            <v>Professional Payroll Service Fees</v>
          </cell>
        </row>
        <row r="190">
          <cell r="C190" t="str">
            <v>11-950-00-2620-0110-608-0000</v>
          </cell>
          <cell r="D190" t="str">
            <v>Custodial Staff</v>
          </cell>
        </row>
        <row r="191">
          <cell r="C191" t="str">
            <v>11-950-00-2620-0110-608-0000</v>
          </cell>
          <cell r="D191" t="str">
            <v>Custodial Staff</v>
          </cell>
        </row>
        <row r="192">
          <cell r="C192" t="str">
            <v>11-950-00-2620-0220-608-0000</v>
          </cell>
          <cell r="D192" t="str">
            <v>MED/FICA CUSTODIAL STAFF</v>
          </cell>
        </row>
        <row r="193">
          <cell r="C193" t="str">
            <v>11-950-00-2620-0220-608-0000</v>
          </cell>
          <cell r="D193" t="str">
            <v>MED/FICA CUSTODIAL STAFF</v>
          </cell>
        </row>
        <row r="194">
          <cell r="C194" t="str">
            <v>11-950-00-2620-0251-608-0000</v>
          </cell>
          <cell r="D194" t="str">
            <v>HEALTH INS. CUSTODIAN</v>
          </cell>
        </row>
        <row r="195">
          <cell r="C195" t="str">
            <v>11-950-00-2620-0251-608-0000</v>
          </cell>
          <cell r="D195" t="str">
            <v>HEALTH INS. CUSTODIAN</v>
          </cell>
        </row>
        <row r="196">
          <cell r="C196" t="str">
            <v>11-950-00-2620-0290-608-0000</v>
          </cell>
          <cell r="D196" t="str">
            <v>401k CUSTODIAL STAFF</v>
          </cell>
        </row>
        <row r="197">
          <cell r="C197" t="str">
            <v>11-950-00-2620-0290-608-0000</v>
          </cell>
          <cell r="D197" t="str">
            <v>401k CUSTODIAL STAFF</v>
          </cell>
        </row>
        <row r="198">
          <cell r="C198" t="str">
            <v>11-950-00-2620-0411-000-0000</v>
          </cell>
          <cell r="D198" t="str">
            <v>WATER/SEWAGE</v>
          </cell>
        </row>
        <row r="199">
          <cell r="C199" t="str">
            <v>11-950-00-2620-0424-000-0000</v>
          </cell>
          <cell r="D199" t="str">
            <v>Lawn Care</v>
          </cell>
        </row>
        <row r="200">
          <cell r="C200" t="str">
            <v>11-950-00-2620-0424-000-0000</v>
          </cell>
          <cell r="D200" t="str">
            <v>Lawn Care</v>
          </cell>
        </row>
        <row r="201">
          <cell r="C201" t="str">
            <v>11-950-00-2620-0430-000-0000</v>
          </cell>
          <cell r="D201" t="str">
            <v>REPAIRS &amp; MAINTENANCE FACILITY</v>
          </cell>
        </row>
        <row r="202">
          <cell r="C202" t="str">
            <v>11-950-00-2620-0430-000-0000</v>
          </cell>
          <cell r="D202" t="str">
            <v>REPAIRS &amp; MAINTENANCE FACILITY</v>
          </cell>
        </row>
        <row r="203">
          <cell r="C203" t="str">
            <v>11-950-00-2620-0431-000-0000</v>
          </cell>
          <cell r="D203" t="str">
            <v>REP/MAINT. EQUIPMENT</v>
          </cell>
        </row>
        <row r="204">
          <cell r="C204" t="str">
            <v>11-950-00-2620-0441-000-0000</v>
          </cell>
          <cell r="D204" t="str">
            <v>FACILITY RENT/BUILDING LEASE</v>
          </cell>
        </row>
        <row r="205">
          <cell r="C205" t="str">
            <v>11-950-00-2620-0441-000-0000</v>
          </cell>
          <cell r="D205" t="str">
            <v>FACILITY RENT/BUILDING LEASE</v>
          </cell>
        </row>
        <row r="206">
          <cell r="C206" t="str">
            <v>11-950-00-2620-0441-000-3113</v>
          </cell>
          <cell r="D206" t="str">
            <v>Facility Rent/Building Lease Capital Con</v>
          </cell>
        </row>
        <row r="207">
          <cell r="C207" t="str">
            <v>11-950-00-2620-0441-000-3113</v>
          </cell>
          <cell r="D207" t="str">
            <v>Facility Rent/Building Lease Capital Con</v>
          </cell>
        </row>
        <row r="208">
          <cell r="C208" t="str">
            <v>11-950-00-2620-0442-000-0000</v>
          </cell>
          <cell r="D208" t="str">
            <v>EQUIPMENT RENTAL - OFFICE</v>
          </cell>
        </row>
        <row r="209">
          <cell r="C209" t="str">
            <v>11-950-00-2620-0442-000-0000</v>
          </cell>
          <cell r="D209" t="str">
            <v>EQUIPMENT RENTAL - OFFICE</v>
          </cell>
        </row>
        <row r="210">
          <cell r="C210" t="str">
            <v>11-950-00-2620-0531-000-0000</v>
          </cell>
          <cell r="D210" t="str">
            <v>TELEPHONE</v>
          </cell>
        </row>
        <row r="211">
          <cell r="C211" t="str">
            <v>11-950-00-2620-0531-000-0000</v>
          </cell>
          <cell r="D211" t="str">
            <v>TELEPHONE</v>
          </cell>
        </row>
        <row r="212">
          <cell r="C212" t="str">
            <v>11-950-00-2620-0534-000-0000</v>
          </cell>
          <cell r="D212" t="str">
            <v>INTERNET ONLINE SERVICE</v>
          </cell>
        </row>
        <row r="213">
          <cell r="C213" t="str">
            <v>11-950-00-2620-0534-000-0000</v>
          </cell>
          <cell r="D213" t="str">
            <v>INTERNET ONLINE SERVICE</v>
          </cell>
        </row>
        <row r="214">
          <cell r="C214" t="str">
            <v>11-950-00-2620-0610-000-0000</v>
          </cell>
          <cell r="D214" t="str">
            <v>JANITORIAL SUPPLIES</v>
          </cell>
        </row>
        <row r="215">
          <cell r="C215" t="str">
            <v>11-950-00-2620-0621-000-0000</v>
          </cell>
          <cell r="D215" t="str">
            <v>NATURAL GAS / ELECTRICITY</v>
          </cell>
        </row>
        <row r="216">
          <cell r="C216" t="str">
            <v>11-950-00-2660-0110-636-0000</v>
          </cell>
          <cell r="D216" t="str">
            <v>Salaries - Security</v>
          </cell>
        </row>
        <row r="217">
          <cell r="C217" t="str">
            <v>11-950-00-2660-0220-636-0000</v>
          </cell>
          <cell r="D217" t="str">
            <v>FICA - Security</v>
          </cell>
        </row>
        <row r="218">
          <cell r="C218" t="str">
            <v>11-950-00-2660-0722-000-0000</v>
          </cell>
          <cell r="D218" t="str">
            <v>Alarm System</v>
          </cell>
        </row>
        <row r="219">
          <cell r="C219" t="str">
            <v>11-950-00-2823-0340-000-0000</v>
          </cell>
          <cell r="D219" t="str">
            <v>PROFESSIONAL MARKETING</v>
          </cell>
        </row>
        <row r="220">
          <cell r="C220" t="str">
            <v>11-950-00-2850-0521-000-0000</v>
          </cell>
          <cell r="D220" t="str">
            <v>LIABILITY INSURANCE</v>
          </cell>
        </row>
        <row r="221">
          <cell r="C221" t="str">
            <v>11-950-00-3120-0110-607-0000</v>
          </cell>
          <cell r="D221" t="str">
            <v>FOOD SERVICE STAFF</v>
          </cell>
        </row>
        <row r="222">
          <cell r="C222" t="str">
            <v>11-950-00-3120-0220-607-0000</v>
          </cell>
          <cell r="D222" t="str">
            <v>MED/FICA FOOD SVC STAFF</v>
          </cell>
        </row>
        <row r="223">
          <cell r="C223" t="str">
            <v>11-950-00-4200-0722-000-0000</v>
          </cell>
          <cell r="D223" t="str">
            <v>Site Improvement Services</v>
          </cell>
        </row>
        <row r="224">
          <cell r="C224" t="str">
            <v>11-950-00-4200-0722-000-0000</v>
          </cell>
          <cell r="D224" t="str">
            <v>Site Improvement Services</v>
          </cell>
        </row>
        <row r="225">
          <cell r="C225" t="str">
            <v>11-950-66-0000-8101-000-0000</v>
          </cell>
          <cell r="D225" t="str">
            <v>State Bank Checking - General</v>
          </cell>
        </row>
        <row r="226">
          <cell r="C226" t="str">
            <v>11-950-66-0000-8101-000-0000</v>
          </cell>
          <cell r="D226" t="str">
            <v>State Bank Checking - General</v>
          </cell>
        </row>
        <row r="227">
          <cell r="C227" t="str">
            <v>11-950-66-0000-8101-000-0000</v>
          </cell>
          <cell r="D227" t="str">
            <v>State Bank Checking - General</v>
          </cell>
        </row>
        <row r="228">
          <cell r="C228" t="str">
            <v>11-950-67-0000-8101-000-0000</v>
          </cell>
          <cell r="D228" t="str">
            <v>State Bank Checking - Payroll</v>
          </cell>
        </row>
        <row r="229">
          <cell r="C229" t="str">
            <v>11-950-67-0000-8101-000-0000</v>
          </cell>
          <cell r="D229" t="str">
            <v>State Bank Checking - Payroll</v>
          </cell>
        </row>
        <row r="230">
          <cell r="C230" t="str">
            <v>11-950-67-0000-8101-000-0000</v>
          </cell>
          <cell r="D230" t="str">
            <v>State Bank Checking - Payroll</v>
          </cell>
        </row>
        <row r="231">
          <cell r="C231" t="str">
            <v>11-950-70-0000-8101-000-0000</v>
          </cell>
          <cell r="D231" t="str">
            <v>State Bank Checking - Classroom</v>
          </cell>
        </row>
        <row r="232">
          <cell r="C232" t="str">
            <v>11-950-70-0000-8101-000-0000</v>
          </cell>
          <cell r="D232" t="str">
            <v>State Bank Checking - Classroom</v>
          </cell>
        </row>
        <row r="233">
          <cell r="C233" t="str">
            <v>11-950-70-0000-8101-000-0000</v>
          </cell>
          <cell r="D233" t="str">
            <v>State Bank Checking - Classroom</v>
          </cell>
        </row>
        <row r="234">
          <cell r="C234" t="str">
            <v>11-952-00-0020-0110-201-0000</v>
          </cell>
          <cell r="D234" t="str">
            <v>MS TEACHERS</v>
          </cell>
        </row>
        <row r="235">
          <cell r="C235" t="str">
            <v>11-952-00-0020-0110-201-0000</v>
          </cell>
          <cell r="D235" t="str">
            <v>MS TEACHERS</v>
          </cell>
        </row>
        <row r="236">
          <cell r="C236" t="str">
            <v>11-952-00-0020-0110-415-0000</v>
          </cell>
          <cell r="D236" t="str">
            <v>Salary Middle School Aide</v>
          </cell>
        </row>
        <row r="237">
          <cell r="C237" t="str">
            <v>11-952-00-0020-0110-415-0000</v>
          </cell>
          <cell r="D237" t="str">
            <v>Salary Middle School Aide</v>
          </cell>
        </row>
        <row r="238">
          <cell r="C238" t="str">
            <v>11-952-00-0020-0220-201-0000</v>
          </cell>
          <cell r="D238" t="str">
            <v>MED/FICA MS TEACHERS</v>
          </cell>
        </row>
        <row r="239">
          <cell r="C239" t="str">
            <v>11-952-00-0020-0220-201-0000</v>
          </cell>
          <cell r="D239" t="str">
            <v>MED/FICA MS TEACHERS</v>
          </cell>
        </row>
        <row r="240">
          <cell r="C240" t="str">
            <v>11-952-00-0020-0220-415-0000</v>
          </cell>
          <cell r="D240" t="str">
            <v>MED/SS Middle School Aide</v>
          </cell>
        </row>
        <row r="241">
          <cell r="C241" t="str">
            <v>11-952-00-0020-0220-415-0000</v>
          </cell>
          <cell r="D241" t="str">
            <v>MED/SS Middle School Aide</v>
          </cell>
        </row>
        <row r="242">
          <cell r="C242" t="str">
            <v>11-952-00-0020-0251-201-0000</v>
          </cell>
          <cell r="D242" t="str">
            <v>HEALTH INS. MS TEACHERS</v>
          </cell>
        </row>
        <row r="243">
          <cell r="C243" t="str">
            <v>11-952-00-0020-0251-201-0000</v>
          </cell>
          <cell r="D243" t="str">
            <v>HEALTH INS. MS TEACHERS</v>
          </cell>
        </row>
        <row r="244">
          <cell r="C244" t="str">
            <v>11-952-00-0020-0251-415-0000</v>
          </cell>
          <cell r="D244" t="str">
            <v>Health Insurance - Para</v>
          </cell>
        </row>
        <row r="245">
          <cell r="C245" t="str">
            <v>11-952-00-0020-0251-415-0000</v>
          </cell>
          <cell r="D245" t="str">
            <v>Health Insurance - Para</v>
          </cell>
        </row>
        <row r="246">
          <cell r="C246" t="str">
            <v>11-952-00-0020-0290-201-0000</v>
          </cell>
          <cell r="D246" t="str">
            <v>401k MS TEACHERS</v>
          </cell>
        </row>
        <row r="247">
          <cell r="C247" t="str">
            <v>11-952-00-0020-0290-201-0000</v>
          </cell>
          <cell r="D247" t="str">
            <v>401k MS TEACHERS</v>
          </cell>
        </row>
        <row r="248">
          <cell r="C248" t="str">
            <v>11-952-00-0020-0610-000-0000</v>
          </cell>
          <cell r="D248" t="str">
            <v>MS TEACHING SUPPLIES</v>
          </cell>
        </row>
        <row r="249">
          <cell r="C249" t="str">
            <v>11-952-00-0020-0610-000-0000</v>
          </cell>
          <cell r="D249" t="str">
            <v>MS TEACHING SUPPLIES</v>
          </cell>
        </row>
        <row r="250">
          <cell r="C250" t="str">
            <v>11-952-00-0030-0110-201-0000</v>
          </cell>
          <cell r="D250" t="str">
            <v>HS TEACHERS</v>
          </cell>
        </row>
        <row r="251">
          <cell r="C251" t="str">
            <v>11-952-00-0030-0110-201-0000</v>
          </cell>
          <cell r="D251" t="str">
            <v>HS TEACHERS</v>
          </cell>
        </row>
        <row r="252">
          <cell r="C252" t="str">
            <v>11-952-00-0030-0220-201-0000</v>
          </cell>
          <cell r="D252" t="str">
            <v>MED/FICA HS TEACHERS</v>
          </cell>
        </row>
        <row r="253">
          <cell r="C253" t="str">
            <v>11-952-00-0030-0220-201-0000</v>
          </cell>
          <cell r="D253" t="str">
            <v>MED/FICA HS TEACHERS</v>
          </cell>
        </row>
        <row r="254">
          <cell r="C254" t="str">
            <v>11-952-00-0030-0251-201-0000</v>
          </cell>
          <cell r="D254" t="str">
            <v>HEALTH INS. HS TEACHERS</v>
          </cell>
        </row>
        <row r="255">
          <cell r="C255" t="str">
            <v>11-952-00-0030-0251-201-0000</v>
          </cell>
          <cell r="D255" t="str">
            <v>HEALTH INS. HS TEACHERS</v>
          </cell>
        </row>
        <row r="256">
          <cell r="C256" t="str">
            <v>11-952-00-0030-0290-201-0000</v>
          </cell>
          <cell r="D256" t="str">
            <v>401k HS TEACHERS</v>
          </cell>
        </row>
        <row r="257">
          <cell r="C257" t="str">
            <v>11-952-00-0030-0290-201-0000</v>
          </cell>
          <cell r="D257" t="str">
            <v>401k HS TEACHERS</v>
          </cell>
        </row>
        <row r="258">
          <cell r="C258" t="str">
            <v>11-952-00-0030-0610-000-0000</v>
          </cell>
          <cell r="D258" t="str">
            <v>HS TEACHING SUPPLIES</v>
          </cell>
        </row>
        <row r="259">
          <cell r="C259" t="str">
            <v>11-952-00-0060-0110-201-0000</v>
          </cell>
          <cell r="D259" t="str">
            <v>SPECIALS TEACHERS - MS/HS</v>
          </cell>
        </row>
        <row r="260">
          <cell r="C260" t="str">
            <v>11-952-00-0060-0110-201-0000</v>
          </cell>
          <cell r="D260" t="str">
            <v>SPECIALS TEACHERS - MS/HS</v>
          </cell>
        </row>
        <row r="261">
          <cell r="C261" t="str">
            <v>11-952-00-0060-0220-201-0000</v>
          </cell>
          <cell r="D261" t="str">
            <v>MED/FICA SPECIALS TEACHERS</v>
          </cell>
        </row>
        <row r="262">
          <cell r="C262" t="str">
            <v>11-952-00-0060-0220-201-0000</v>
          </cell>
          <cell r="D262" t="str">
            <v>MED/FICA SPECIALS TEACHERS</v>
          </cell>
        </row>
        <row r="263">
          <cell r="C263" t="str">
            <v>11-952-00-0060-0251-201-0000</v>
          </cell>
          <cell r="D263" t="str">
            <v>HEALTH INS. SPECIALS TEACHERS</v>
          </cell>
        </row>
        <row r="264">
          <cell r="C264" t="str">
            <v>11-952-00-0060-0251-201-0000</v>
          </cell>
          <cell r="D264" t="str">
            <v>HEALTH INS. SPECIALS TEACHERS</v>
          </cell>
        </row>
        <row r="265">
          <cell r="C265" t="str">
            <v>11-952-00-0060-0290-201-0000</v>
          </cell>
          <cell r="D265" t="str">
            <v>401k SPECIALS TEACHERS</v>
          </cell>
        </row>
        <row r="266">
          <cell r="C266" t="str">
            <v>11-952-00-0060-0290-201-0000</v>
          </cell>
          <cell r="D266" t="str">
            <v>401k SPECIALS TEACHERS</v>
          </cell>
        </row>
        <row r="267">
          <cell r="C267" t="str">
            <v>11-952-00-0060-0610-000-0000</v>
          </cell>
          <cell r="D267" t="str">
            <v>GENERAL INSTRUCTIONAL SUPPLIES MS/HS</v>
          </cell>
        </row>
        <row r="268">
          <cell r="C268" t="str">
            <v>11-952-00-0060-0610-000-0000</v>
          </cell>
          <cell r="D268" t="str">
            <v>GENERAL INSTRUCTIONAL SUPPLIES MS/HS</v>
          </cell>
        </row>
        <row r="269">
          <cell r="C269" t="str">
            <v>11-952-00-1200-0110-201-0000</v>
          </cell>
          <cell r="D269" t="str">
            <v>MS/HS Music Teacher Salary</v>
          </cell>
        </row>
        <row r="270">
          <cell r="C270" t="str">
            <v>11-952-00-1200-0110-201-0000</v>
          </cell>
          <cell r="D270" t="str">
            <v>MS/HS Music Teacher Salary</v>
          </cell>
        </row>
        <row r="271">
          <cell r="C271" t="str">
            <v>11-952-00-1200-0220-201-0000</v>
          </cell>
          <cell r="D271" t="str">
            <v>FICA/Med MS/HS Music Teacher</v>
          </cell>
        </row>
        <row r="272">
          <cell r="C272" t="str">
            <v>11-952-00-1200-0220-201-0000</v>
          </cell>
          <cell r="D272" t="str">
            <v>FICA/Med MS/HS Music Teacher</v>
          </cell>
        </row>
        <row r="273">
          <cell r="C273" t="str">
            <v>11-952-00-1200-0251-201-0000</v>
          </cell>
          <cell r="D273" t="str">
            <v>Health Insurance - Music Teacher</v>
          </cell>
        </row>
        <row r="274">
          <cell r="C274" t="str">
            <v>11-952-00-1200-0251-201-0000</v>
          </cell>
          <cell r="D274" t="str">
            <v>Health Insurance - Music Teacher</v>
          </cell>
        </row>
        <row r="275">
          <cell r="C275" t="str">
            <v>11-952-00-1200-0290-201-0000</v>
          </cell>
          <cell r="D275" t="str">
            <v>401k MS/HS. Music Teacher</v>
          </cell>
        </row>
        <row r="276">
          <cell r="C276" t="str">
            <v>11-952-00-1200-0290-201-0000</v>
          </cell>
          <cell r="D276" t="str">
            <v>401k MS/HS. Music Teacher</v>
          </cell>
        </row>
        <row r="277">
          <cell r="C277" t="str">
            <v>11-952-00-1800-0580-000-0000</v>
          </cell>
          <cell r="D277" t="str">
            <v>Athletic Entrance fees</v>
          </cell>
        </row>
        <row r="278">
          <cell r="C278" t="str">
            <v>11-952-00-1800-0580-000-0000</v>
          </cell>
          <cell r="D278" t="str">
            <v>Athletic Entrance fees</v>
          </cell>
        </row>
        <row r="279">
          <cell r="C279" t="str">
            <v>11-952-00-1800-0890-000-0000</v>
          </cell>
          <cell r="D279" t="str">
            <v>Miscellaneous Team Sport Supplies</v>
          </cell>
        </row>
        <row r="280">
          <cell r="C280" t="str">
            <v>11-952-00-1800-0890-000-0000</v>
          </cell>
          <cell r="D280" t="str">
            <v>Miscellaneous Team Sport Supplies</v>
          </cell>
        </row>
        <row r="281">
          <cell r="C281" t="str">
            <v>11-952-00-2100-0110-211-0000</v>
          </cell>
          <cell r="D281" t="str">
            <v>Salaries Counselor</v>
          </cell>
        </row>
        <row r="282">
          <cell r="C282" t="str">
            <v>11-952-00-2100-0110-211-0000</v>
          </cell>
          <cell r="D282" t="str">
            <v>Salaries Counselor</v>
          </cell>
        </row>
        <row r="283">
          <cell r="C283" t="str">
            <v>11-952-00-2100-0220-211-0000</v>
          </cell>
          <cell r="D283" t="str">
            <v>SS/Med Counselor</v>
          </cell>
        </row>
        <row r="284">
          <cell r="C284" t="str">
            <v>11-952-00-2100-0220-211-0000</v>
          </cell>
          <cell r="D284" t="str">
            <v>SS/Med Counselor</v>
          </cell>
        </row>
        <row r="285">
          <cell r="C285" t="str">
            <v>11-952-00-2100-0251-211-0000</v>
          </cell>
          <cell r="D285" t="str">
            <v>Health Insurance - Counselor</v>
          </cell>
        </row>
        <row r="286">
          <cell r="C286" t="str">
            <v>11-952-00-2100-0251-211-0000</v>
          </cell>
          <cell r="D286" t="str">
            <v>Health Insurance - Counselor</v>
          </cell>
        </row>
        <row r="287">
          <cell r="C287" t="str">
            <v>11-952-00-2410-0110-105-0000</v>
          </cell>
          <cell r="D287" t="str">
            <v>PRINCIPAL</v>
          </cell>
        </row>
        <row r="288">
          <cell r="C288" t="str">
            <v>11-952-00-2410-0110-105-0000</v>
          </cell>
          <cell r="D288" t="str">
            <v>PRINCIPAL</v>
          </cell>
        </row>
        <row r="289">
          <cell r="C289" t="str">
            <v>11-952-00-2410-0110-106-0000</v>
          </cell>
          <cell r="D289" t="str">
            <v>ASSISTANT PRINCIPAL</v>
          </cell>
        </row>
        <row r="290">
          <cell r="C290" t="str">
            <v>11-952-00-2410-0110-106-0000</v>
          </cell>
          <cell r="D290" t="str">
            <v>ASSISTANT PRINCIPAL</v>
          </cell>
        </row>
        <row r="291">
          <cell r="C291" t="str">
            <v>11-952-00-2410-0220-105-0000</v>
          </cell>
          <cell r="D291" t="str">
            <v>MED/FICA PRINCIPAL</v>
          </cell>
        </row>
        <row r="292">
          <cell r="C292" t="str">
            <v>11-952-00-2410-0220-105-0000</v>
          </cell>
          <cell r="D292" t="str">
            <v>MED/FICA PRINCIPAL</v>
          </cell>
        </row>
        <row r="293">
          <cell r="C293" t="str">
            <v>11-952-00-2410-0220-106-0000</v>
          </cell>
          <cell r="D293" t="str">
            <v>MED/FICA ASSIST. PRINCIPAL</v>
          </cell>
        </row>
        <row r="294">
          <cell r="C294" t="str">
            <v>11-952-00-2410-0220-106-0000</v>
          </cell>
          <cell r="D294" t="str">
            <v>MED/FICA ASSIST. PRINCIPAL</v>
          </cell>
        </row>
        <row r="295">
          <cell r="C295" t="str">
            <v>11-952-00-2410-0251-106-0000</v>
          </cell>
          <cell r="D295" t="str">
            <v>HEALTH INS. ASSIST. PRINCIPAL</v>
          </cell>
        </row>
        <row r="296">
          <cell r="C296" t="str">
            <v>11-952-00-2410-0251-106-0000</v>
          </cell>
          <cell r="D296" t="str">
            <v>HEALTH INS. ASSIST. PRINCIPAL</v>
          </cell>
        </row>
        <row r="297">
          <cell r="C297" t="str">
            <v>11-952-00-2410-0290-106-0000</v>
          </cell>
          <cell r="D297" t="str">
            <v>401k ASSIST. PRINCIPAL</v>
          </cell>
        </row>
        <row r="298">
          <cell r="C298" t="str">
            <v>11-952-00-2410-0290-106-0000</v>
          </cell>
          <cell r="D298" t="str">
            <v>401k ASSIST. PRINCIPAL</v>
          </cell>
        </row>
        <row r="299">
          <cell r="C299" t="str">
            <v>11-952-00-2410-0610-000-0000</v>
          </cell>
          <cell r="D299" t="str">
            <v>GENERAL OFFICE SUPPLIES</v>
          </cell>
        </row>
        <row r="300">
          <cell r="C300" t="str">
            <v>11-952-00-2410-0610-000-0000</v>
          </cell>
          <cell r="D300" t="str">
            <v>GENERAL OFFICE SUPPLIES</v>
          </cell>
        </row>
        <row r="301">
          <cell r="C301" t="str">
            <v>11-952-00-2410-0611-000-0000</v>
          </cell>
          <cell r="D301" t="str">
            <v>General Supplies - Student Fees</v>
          </cell>
        </row>
        <row r="302">
          <cell r="C302" t="str">
            <v>11-952-00-2410-0735-000-0000</v>
          </cell>
          <cell r="D302" t="str">
            <v>Non-Capital equipment purchase</v>
          </cell>
        </row>
        <row r="303">
          <cell r="C303" t="str">
            <v>11-952-00-2410-0810-000-0000</v>
          </cell>
          <cell r="D303" t="str">
            <v>ADMIN DUES &amp; FEES</v>
          </cell>
        </row>
        <row r="304">
          <cell r="C304" t="str">
            <v>11-952-00-2410-0890-000-0000</v>
          </cell>
          <cell r="D304" t="str">
            <v>MISCELLANEOUS EXPENSE</v>
          </cell>
        </row>
        <row r="305">
          <cell r="C305" t="str">
            <v>11-952-00-2620-0411-000-0000</v>
          </cell>
          <cell r="D305" t="str">
            <v>WATER/SEWAGE</v>
          </cell>
        </row>
        <row r="306">
          <cell r="C306" t="str">
            <v>11-952-00-2620-0424-000-0000</v>
          </cell>
          <cell r="D306" t="str">
            <v>Lawn Care</v>
          </cell>
        </row>
        <row r="307">
          <cell r="C307" t="str">
            <v>11-952-00-2620-0424-000-0000</v>
          </cell>
          <cell r="D307" t="str">
            <v>Lawn Care</v>
          </cell>
        </row>
        <row r="308">
          <cell r="C308" t="str">
            <v>11-952-00-2620-0430-000-0000</v>
          </cell>
          <cell r="D308" t="str">
            <v>REPAIRS &amp; MAINTENANCE FACILITY</v>
          </cell>
        </row>
        <row r="309">
          <cell r="C309" t="str">
            <v>11-952-00-2620-0430-000-0000</v>
          </cell>
          <cell r="D309" t="str">
            <v>REPAIRS &amp; MAINTENANCE FACILITY</v>
          </cell>
        </row>
        <row r="310">
          <cell r="C310" t="str">
            <v>11-952-00-2620-0431-000-0000</v>
          </cell>
          <cell r="D310" t="str">
            <v>REP/MAINT. EQUIPMENT</v>
          </cell>
        </row>
        <row r="311">
          <cell r="C311" t="str">
            <v>11-952-00-2620-0531-000-0000</v>
          </cell>
          <cell r="D311" t="str">
            <v>TELEPHONE</v>
          </cell>
        </row>
        <row r="312">
          <cell r="C312" t="str">
            <v>11-952-00-2620-0531-000-0000</v>
          </cell>
          <cell r="D312" t="str">
            <v>TELEPHONE</v>
          </cell>
        </row>
        <row r="313">
          <cell r="C313" t="str">
            <v>11-952-00-2620-0534-000-0000</v>
          </cell>
          <cell r="D313" t="str">
            <v>INTERNET ONLINE SERVICE</v>
          </cell>
        </row>
        <row r="314">
          <cell r="C314" t="str">
            <v>11-952-00-2620-0534-000-0000</v>
          </cell>
          <cell r="D314" t="str">
            <v>INTERNET ONLINE SERVICE</v>
          </cell>
        </row>
        <row r="315">
          <cell r="C315" t="str">
            <v>11-952-00-2620-0610-000-0000</v>
          </cell>
          <cell r="D315" t="str">
            <v>JANITORIAL SUPPLIES</v>
          </cell>
        </row>
        <row r="316">
          <cell r="C316" t="str">
            <v>11-952-00-2620-0610-000-0000</v>
          </cell>
          <cell r="D316" t="str">
            <v>JANITORIAL SUPPLIES</v>
          </cell>
        </row>
        <row r="317">
          <cell r="C317" t="str">
            <v>11-952-00-2620-0621-000-0000</v>
          </cell>
          <cell r="D317" t="str">
            <v>NATURAL GAS / ELECTRICITY</v>
          </cell>
        </row>
        <row r="318">
          <cell r="C318" t="str">
            <v>11-952-00-2660-0722-000-0000</v>
          </cell>
          <cell r="D318" t="str">
            <v>Alarm System</v>
          </cell>
        </row>
        <row r="319">
          <cell r="C319" t="str">
            <v>51-950-00-0000-6770-000-0000</v>
          </cell>
          <cell r="D319" t="str">
            <v>Unreserved Fund Balance</v>
          </cell>
        </row>
        <row r="320">
          <cell r="C320" t="str">
            <v>52-500-00-0000-1920-000-0000</v>
          </cell>
          <cell r="D320" t="str">
            <v>Contribution/Donation</v>
          </cell>
        </row>
        <row r="321">
          <cell r="C321" t="str">
            <v>52-950-00-0000-1510-000-0000</v>
          </cell>
          <cell r="D321" t="str">
            <v>Interest on Investments</v>
          </cell>
        </row>
        <row r="322">
          <cell r="C322" t="str">
            <v>52-950-00-0000-1510-000-0000</v>
          </cell>
          <cell r="D322" t="str">
            <v>Interest on Investments</v>
          </cell>
        </row>
        <row r="323">
          <cell r="C323" t="str">
            <v>52-950-00-0000-1910-000-0000</v>
          </cell>
          <cell r="D323" t="str">
            <v>Lease Revenue</v>
          </cell>
        </row>
        <row r="324">
          <cell r="C324" t="str">
            <v>52-950-00-0000-1910-000-0000</v>
          </cell>
          <cell r="D324" t="str">
            <v>Lease Revenue</v>
          </cell>
        </row>
        <row r="325">
          <cell r="C325" t="str">
            <v>52-950-00-0000-6770-000-0000</v>
          </cell>
          <cell r="D325" t="str">
            <v>Retained Earnings</v>
          </cell>
        </row>
        <row r="326">
          <cell r="C326" t="str">
            <v>52-950-00-0000-7401-000-0000</v>
          </cell>
          <cell r="D326" t="str">
            <v>Due to other Funds</v>
          </cell>
        </row>
        <row r="327">
          <cell r="C327" t="str">
            <v>52-950-00-0000-7401-000-0000</v>
          </cell>
          <cell r="D327" t="str">
            <v>Due to other Funds</v>
          </cell>
        </row>
        <row r="328">
          <cell r="C328" t="str">
            <v>52-950-00-0000-7444-000-0000</v>
          </cell>
          <cell r="D328" t="str">
            <v>Accrued Interest</v>
          </cell>
        </row>
        <row r="329">
          <cell r="C329" t="str">
            <v>52-950-00-0000-8111-000-0016</v>
          </cell>
          <cell r="D329" t="str">
            <v>Investments - Interest Reserve 2016</v>
          </cell>
        </row>
        <row r="330">
          <cell r="C330" t="str">
            <v>52-950-00-0000-8111-000-0016</v>
          </cell>
          <cell r="D330" t="str">
            <v>Investments - Interest Reserve 2016</v>
          </cell>
        </row>
        <row r="331">
          <cell r="C331" t="str">
            <v>52-950-00-0000-8111-000-0016</v>
          </cell>
          <cell r="D331" t="str">
            <v>Investments - Interest Reserve 2016</v>
          </cell>
        </row>
        <row r="332">
          <cell r="C332" t="str">
            <v>52-950-00-0000-8111-001-0016</v>
          </cell>
          <cell r="D332" t="str">
            <v>Investments - Principal Reserve 2016</v>
          </cell>
        </row>
        <row r="333">
          <cell r="C333" t="str">
            <v>52-950-00-0000-8111-001-0016</v>
          </cell>
          <cell r="D333" t="str">
            <v>Investments - Principal Reserve 2016</v>
          </cell>
        </row>
        <row r="334">
          <cell r="C334" t="str">
            <v>52-950-00-0000-8111-001-0016</v>
          </cell>
          <cell r="D334" t="str">
            <v>Investments - Principal Reserve 2016</v>
          </cell>
        </row>
        <row r="335">
          <cell r="C335" t="str">
            <v>52-950-00-0000-8111-002-0016</v>
          </cell>
          <cell r="D335" t="str">
            <v>Investments - Debt Service Reserve 2016</v>
          </cell>
        </row>
        <row r="336">
          <cell r="C336" t="str">
            <v>52-950-00-0000-8111-002-0016</v>
          </cell>
          <cell r="D336" t="str">
            <v>Investments - Debt Service Reserve 2016</v>
          </cell>
        </row>
        <row r="337">
          <cell r="C337" t="str">
            <v>52-950-00-0000-8111-002-0016</v>
          </cell>
          <cell r="D337" t="str">
            <v>Investments - Debt Service Reserve 2016</v>
          </cell>
        </row>
        <row r="338">
          <cell r="C338" t="str">
            <v>52-950-00-0000-8111-003-0016</v>
          </cell>
          <cell r="D338" t="str">
            <v>Investments - Liquid Reserve Fund 2016</v>
          </cell>
        </row>
        <row r="339">
          <cell r="C339" t="str">
            <v>52-950-00-0000-8111-003-0016</v>
          </cell>
          <cell r="D339" t="str">
            <v>Investments - Liquid Reserve Fund 2016</v>
          </cell>
        </row>
        <row r="340">
          <cell r="C340" t="str">
            <v>52-950-00-0000-8111-003-0016</v>
          </cell>
          <cell r="D340" t="str">
            <v>Investments - Liquid Reserve Fund 2016</v>
          </cell>
        </row>
        <row r="341">
          <cell r="C341" t="str">
            <v>52-950-00-0000-8111-004-0016</v>
          </cell>
          <cell r="D341" t="str">
            <v>Investments - Issuance Costs 2016</v>
          </cell>
        </row>
        <row r="342">
          <cell r="C342" t="str">
            <v>52-950-00-0000-8111-005-0016</v>
          </cell>
          <cell r="D342" t="str">
            <v>Investments - Repair &amp; Replacement 2016</v>
          </cell>
        </row>
        <row r="343">
          <cell r="C343" t="str">
            <v>52-950-00-0000-8111-007-0016</v>
          </cell>
          <cell r="D343" t="str">
            <v>Investments - Project Fund 2016</v>
          </cell>
        </row>
        <row r="344">
          <cell r="C344" t="str">
            <v>52-950-00-0000-8111-007-0016</v>
          </cell>
          <cell r="D344" t="str">
            <v>Investments - Project Fund 2016</v>
          </cell>
        </row>
        <row r="345">
          <cell r="C345" t="str">
            <v>52-950-00-0000-8111-007-0016</v>
          </cell>
          <cell r="D345" t="str">
            <v>Investments - Project Fund 2016</v>
          </cell>
        </row>
        <row r="346">
          <cell r="C346" t="str">
            <v>52-950-00-0000-8111-008-0016</v>
          </cell>
          <cell r="D346" t="str">
            <v>Investments - Construction Reserve 2016</v>
          </cell>
        </row>
        <row r="347">
          <cell r="C347" t="str">
            <v>52-950-00-0000-8111-008-0016</v>
          </cell>
          <cell r="D347" t="str">
            <v>Investments - Construction Reserve 2016</v>
          </cell>
        </row>
        <row r="348">
          <cell r="C348" t="str">
            <v>52-950-00-0000-8111-008-0016</v>
          </cell>
          <cell r="D348" t="str">
            <v>Investments - Construction Reserve 2016</v>
          </cell>
        </row>
        <row r="349">
          <cell r="C349" t="str">
            <v>52-950-00-0000-8231-000-0000</v>
          </cell>
          <cell r="D349" t="str">
            <v>Buildings &amp; Improvements</v>
          </cell>
        </row>
        <row r="350">
          <cell r="C350" t="str">
            <v>52-950-00-0000-8232-000-0000</v>
          </cell>
          <cell r="D350" t="str">
            <v>Accumulated Depreciation - Bldg</v>
          </cell>
        </row>
        <row r="351">
          <cell r="C351" t="str">
            <v>52-950-00-0000-8233-000-0000</v>
          </cell>
          <cell r="D351" t="str">
            <v>Library Media</v>
          </cell>
        </row>
        <row r="352">
          <cell r="C352" t="str">
            <v>52-950-00-0000-8234-000-0000</v>
          </cell>
          <cell r="D352" t="str">
            <v>Accumulated Depreciation - Library Media</v>
          </cell>
        </row>
        <row r="353">
          <cell r="C353" t="str">
            <v>52-950-00-0000-8241-000-0000</v>
          </cell>
          <cell r="D353" t="str">
            <v>Furniture, Fixtures &amp; Equipment</v>
          </cell>
        </row>
        <row r="354">
          <cell r="C354" t="str">
            <v>52-950-00-0000-8242-000-0000</v>
          </cell>
          <cell r="D354" t="str">
            <v>Accumulated Depreciation - FF&amp;E</v>
          </cell>
        </row>
        <row r="355">
          <cell r="C355" t="str">
            <v>52-950-00-0000-8251-000-0000</v>
          </cell>
          <cell r="D355" t="str">
            <v>Construction in Progress</v>
          </cell>
        </row>
        <row r="356">
          <cell r="C356" t="str">
            <v>52-950-00-5100-0831-000-0000</v>
          </cell>
          <cell r="D356" t="str">
            <v>FACILITY DEBT SERVICE - INTEREST</v>
          </cell>
        </row>
        <row r="357">
          <cell r="C357" t="str">
            <v>74-950-00-0000-1720-000-0000</v>
          </cell>
          <cell r="D357" t="str">
            <v>Book Fair</v>
          </cell>
        </row>
        <row r="358">
          <cell r="C358" t="str">
            <v>74-950-00-0000-1750-000-0000</v>
          </cell>
          <cell r="D358" t="str">
            <v>Fundraisers</v>
          </cell>
        </row>
        <row r="359">
          <cell r="C359" t="str">
            <v>74-950-00-0000-1790-000-0001</v>
          </cell>
          <cell r="D359" t="str">
            <v>Club Revenues</v>
          </cell>
        </row>
        <row r="360">
          <cell r="C360" t="str">
            <v>74-950-00-0000-1790-000-0003</v>
          </cell>
          <cell r="D360" t="str">
            <v>PTO Reimbursements</v>
          </cell>
        </row>
        <row r="361">
          <cell r="C361" t="str">
            <v>74-950-00-0000-6770-000-0000</v>
          </cell>
          <cell r="D361" t="str">
            <v>Unreserved Fund Balance</v>
          </cell>
        </row>
        <row r="362">
          <cell r="C362" t="str">
            <v>74-950-00-0000-8131-000-0000</v>
          </cell>
          <cell r="D362" t="str">
            <v>Due from other Funds</v>
          </cell>
        </row>
        <row r="363">
          <cell r="C363" t="str">
            <v>74-950-00-1900-0612-000-0000</v>
          </cell>
          <cell r="D363" t="str">
            <v>STUDENT COUNCIL</v>
          </cell>
        </row>
        <row r="364">
          <cell r="C364" t="str">
            <v>74-950-00-1900-0614-000-0000</v>
          </cell>
          <cell r="D364" t="str">
            <v>FUNDRAISER SUPPLIES</v>
          </cell>
        </row>
        <row r="365">
          <cell r="C365" t="str">
            <v>80-950-00-0000-6711-000-0000</v>
          </cell>
          <cell r="D365" t="str">
            <v>GFAAG - Investment in Capital Assets</v>
          </cell>
        </row>
        <row r="366">
          <cell r="C366" t="str">
            <v>80-950-00-0000-8231-000-0000</v>
          </cell>
          <cell r="D366" t="str">
            <v>GFAAG - Buildings &amp; Improvements</v>
          </cell>
        </row>
        <row r="367">
          <cell r="C367" t="str">
            <v>80-950-00-0000-8233-000-0000</v>
          </cell>
          <cell r="D367" t="str">
            <v>Library Media</v>
          </cell>
        </row>
        <row r="368">
          <cell r="C368" t="str">
            <v>80-950-00-0000-8241-000-0000</v>
          </cell>
          <cell r="D368" t="str">
            <v>GFAAG - Furniture &amp; Equipment</v>
          </cell>
        </row>
        <row r="369">
          <cell r="C369" t="str">
            <v>80-950-00-0000-8242-000-0000</v>
          </cell>
          <cell r="D369" t="str">
            <v>GFAAG-Accumulated Depreciation</v>
          </cell>
        </row>
        <row r="370">
          <cell r="C370" t="str">
            <v>52-950-00-0000-7521-000-0000</v>
          </cell>
          <cell r="D370" t="str">
            <v>Bonds Payable</v>
          </cell>
        </row>
        <row r="371">
          <cell r="C371" t="str">
            <v>52-950-00-0000-7432-000-0000</v>
          </cell>
          <cell r="D371" t="str">
            <v>Construction Contracts Payable</v>
          </cell>
        </row>
        <row r="372">
          <cell r="C372" t="str">
            <v>52-950-00-0000-0910-000-0000</v>
          </cell>
          <cell r="D372" t="str">
            <v>Deferred on Refunding - 2016 Bonds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V731"/>
  <sheetViews>
    <sheetView topLeftCell="A19" zoomScale="90" zoomScaleNormal="90" workbookViewId="0">
      <selection activeCell="A19" sqref="A19"/>
    </sheetView>
  </sheetViews>
  <sheetFormatPr defaultColWidth="8.7109375" defaultRowHeight="12.75" outlineLevelRow="1" outlineLevelCol="2" x14ac:dyDescent="0.25"/>
  <cols>
    <col min="1" max="1" width="29.5703125" style="400" customWidth="1"/>
    <col min="2" max="2" width="59.28515625" style="400" bestFit="1" customWidth="1"/>
    <col min="3" max="3" width="3.7109375" style="583" customWidth="1"/>
    <col min="4" max="4" width="13.28515625" style="471" hidden="1" customWidth="1" outlineLevel="1"/>
    <col min="5" max="5" width="18.42578125" style="471" hidden="1" customWidth="1" outlineLevel="1"/>
    <col min="6" max="6" width="11" style="473" hidden="1" customWidth="1" outlineLevel="1"/>
    <col min="7" max="7" width="9.28515625" style="474" hidden="1" customWidth="1" outlineLevel="1"/>
    <col min="8" max="8" width="17.7109375" style="477" hidden="1" customWidth="1" outlineLevel="1"/>
    <col min="9" max="9" width="11" style="473" hidden="1" customWidth="1" outlineLevel="1"/>
    <col min="10" max="10" width="8.28515625" style="474" hidden="1" customWidth="1" outlineLevel="1"/>
    <col min="11" max="11" width="3.7109375" style="474" hidden="1" customWidth="1" collapsed="1"/>
    <col min="12" max="12" width="10.28515625" style="471" hidden="1" customWidth="1" outlineLevel="1"/>
    <col min="13" max="14" width="12" style="471" hidden="1" customWidth="1" outlineLevel="1"/>
    <col min="15" max="16" width="10.28515625" style="471" hidden="1" customWidth="1" outlineLevel="1"/>
    <col min="17" max="23" width="12" style="471" hidden="1" customWidth="1" outlineLevel="1"/>
    <col min="24" max="24" width="3.7109375" style="471" hidden="1" customWidth="1" outlineLevel="1"/>
    <col min="25" max="25" width="13.28515625" style="471" hidden="1" customWidth="1" outlineLevel="1"/>
    <col min="26" max="26" width="3.7109375" style="471" hidden="1" customWidth="1" collapsed="1"/>
    <col min="27" max="38" width="12" style="471" hidden="1" customWidth="1" outlineLevel="1"/>
    <col min="39" max="39" width="3.7109375" style="400" hidden="1" customWidth="1" collapsed="1"/>
    <col min="40" max="40" width="12.28515625" style="471" bestFit="1" customWidth="1" outlineLevel="1"/>
    <col min="41" max="41" width="12.28515625" style="477" bestFit="1" customWidth="1" outlineLevel="1"/>
    <col min="42" max="42" width="11.28515625" style="473" bestFit="1" customWidth="1" outlineLevel="1"/>
    <col min="43" max="43" width="8.7109375" style="476" bestFit="1" customWidth="1" outlineLevel="1"/>
    <col min="44" max="44" width="12.28515625" style="477" hidden="1" customWidth="1" outlineLevel="2"/>
    <col min="45" max="45" width="5.5703125" style="473" hidden="1" customWidth="1" outlineLevel="2"/>
    <col min="46" max="46" width="5.5703125" style="474" hidden="1" customWidth="1" outlineLevel="2"/>
    <col min="47" max="47" width="4.28515625" style="474" hidden="1" customWidth="1"/>
    <col min="48" max="58" width="11.28515625" style="471" hidden="1" customWidth="1" outlineLevel="1"/>
    <col min="59" max="59" width="12" style="471" hidden="1" customWidth="1" outlineLevel="1"/>
    <col min="60" max="60" width="4.28515625" style="471" bestFit="1" customWidth="1" collapsed="1"/>
    <col min="61" max="71" width="11.28515625" style="471" bestFit="1" customWidth="1" outlineLevel="1"/>
    <col min="72" max="72" width="12" style="471" bestFit="1" customWidth="1" outlineLevel="1"/>
    <col min="73" max="73" width="3.7109375" style="400" hidden="1" customWidth="1"/>
    <col min="74" max="16384" width="8.7109375" style="400"/>
  </cols>
  <sheetData>
    <row r="1" spans="1:73" ht="39" customHeight="1" x14ac:dyDescent="0.25">
      <c r="A1" s="582" t="s">
        <v>0</v>
      </c>
      <c r="D1" s="400"/>
      <c r="E1" s="400"/>
      <c r="F1" s="401"/>
      <c r="G1" s="402"/>
      <c r="H1" s="400"/>
      <c r="I1" s="401"/>
      <c r="J1" s="402"/>
      <c r="K1" s="802" t="s">
        <v>1</v>
      </c>
      <c r="L1" s="400"/>
      <c r="M1" s="403"/>
      <c r="N1" s="403"/>
      <c r="O1" s="403"/>
      <c r="P1" s="403"/>
      <c r="Q1" s="403"/>
      <c r="R1" s="403"/>
      <c r="S1" s="403"/>
      <c r="T1" s="403"/>
      <c r="U1" s="403"/>
      <c r="V1" s="403"/>
      <c r="W1" s="403"/>
      <c r="X1" s="403"/>
      <c r="Y1" s="403"/>
      <c r="Z1" s="802" t="s">
        <v>2</v>
      </c>
      <c r="AA1" s="400"/>
      <c r="AB1" s="403"/>
      <c r="AC1" s="403"/>
      <c r="AD1" s="403"/>
      <c r="AE1" s="403"/>
      <c r="AF1" s="403"/>
      <c r="AG1" s="403"/>
      <c r="AH1" s="403"/>
      <c r="AI1" s="403"/>
      <c r="AJ1" s="403"/>
      <c r="AK1" s="403"/>
      <c r="AL1" s="403"/>
      <c r="AM1" s="802" t="s">
        <v>3</v>
      </c>
      <c r="AN1" s="400"/>
      <c r="AO1" s="400"/>
      <c r="AP1" s="401"/>
      <c r="AQ1" s="404"/>
      <c r="AR1" s="400"/>
      <c r="AS1" s="401"/>
      <c r="AT1" s="402"/>
      <c r="AU1" s="803" t="s">
        <v>4</v>
      </c>
      <c r="AV1" s="400"/>
      <c r="AW1" s="403"/>
      <c r="AX1" s="403"/>
      <c r="AY1" s="403"/>
      <c r="AZ1" s="403"/>
      <c r="BA1" s="403"/>
      <c r="BB1" s="403"/>
      <c r="BC1" s="403"/>
      <c r="BD1" s="403"/>
      <c r="BE1" s="403"/>
      <c r="BF1" s="403"/>
      <c r="BG1" s="403"/>
      <c r="BH1" s="803" t="s">
        <v>5</v>
      </c>
      <c r="BI1" s="400"/>
      <c r="BJ1" s="403"/>
      <c r="BK1" s="403"/>
      <c r="BL1" s="403"/>
      <c r="BM1" s="403"/>
      <c r="BN1" s="403"/>
      <c r="BO1" s="403"/>
      <c r="BP1" s="403"/>
      <c r="BQ1" s="403"/>
      <c r="BR1" s="403"/>
      <c r="BS1" s="403"/>
      <c r="BT1" s="403"/>
      <c r="BU1" s="803" t="s">
        <v>6</v>
      </c>
    </row>
    <row r="2" spans="1:73" s="406" customFormat="1" ht="15.75" customHeight="1" x14ac:dyDescent="0.25">
      <c r="A2" s="405" t="s">
        <v>1432</v>
      </c>
      <c r="B2" s="526"/>
      <c r="C2" s="535"/>
      <c r="F2" s="407"/>
      <c r="G2" s="408"/>
      <c r="I2" s="407"/>
      <c r="J2" s="408"/>
      <c r="K2" s="802"/>
      <c r="Z2" s="802"/>
      <c r="AM2" s="802"/>
      <c r="AN2" s="628" t="s">
        <v>15</v>
      </c>
      <c r="AO2" s="628" t="s">
        <v>22</v>
      </c>
      <c r="AP2" s="808" t="s">
        <v>23</v>
      </c>
      <c r="AQ2" s="808"/>
      <c r="AU2" s="803"/>
      <c r="BH2" s="803"/>
      <c r="BI2" s="482" t="s">
        <v>21</v>
      </c>
      <c r="BJ2" s="482" t="s">
        <v>21</v>
      </c>
      <c r="BK2" s="482" t="s">
        <v>21</v>
      </c>
      <c r="BL2" s="482" t="s">
        <v>21</v>
      </c>
      <c r="BM2" s="482" t="s">
        <v>21</v>
      </c>
      <c r="BN2" s="482" t="s">
        <v>21</v>
      </c>
      <c r="BO2" s="482" t="s">
        <v>21</v>
      </c>
      <c r="BP2" s="482" t="s">
        <v>21</v>
      </c>
      <c r="BQ2" s="482" t="s">
        <v>21</v>
      </c>
      <c r="BR2" s="482" t="s">
        <v>21</v>
      </c>
      <c r="BS2" s="482" t="s">
        <v>21</v>
      </c>
      <c r="BT2" s="482" t="s">
        <v>21</v>
      </c>
      <c r="BU2" s="803"/>
    </row>
    <row r="3" spans="1:73" s="406" customFormat="1" ht="15.75" x14ac:dyDescent="0.25">
      <c r="A3" s="409" t="s">
        <v>7</v>
      </c>
      <c r="B3" s="584"/>
      <c r="C3" s="585"/>
      <c r="F3" s="407"/>
      <c r="G3" s="408"/>
      <c r="I3" s="407"/>
      <c r="J3" s="408"/>
      <c r="K3" s="802"/>
      <c r="Z3" s="802"/>
      <c r="AM3" s="802"/>
      <c r="AN3" s="490" t="s">
        <v>19</v>
      </c>
      <c r="AO3" s="490" t="s">
        <v>21</v>
      </c>
      <c r="AP3" s="488" t="s">
        <v>28</v>
      </c>
      <c r="AQ3" s="492" t="s">
        <v>29</v>
      </c>
      <c r="AU3" s="803"/>
      <c r="BH3" s="803"/>
      <c r="BI3" s="493">
        <v>43312</v>
      </c>
      <c r="BJ3" s="494">
        <v>43343</v>
      </c>
      <c r="BK3" s="493">
        <v>43373</v>
      </c>
      <c r="BL3" s="494">
        <v>43404</v>
      </c>
      <c r="BM3" s="493">
        <v>43434</v>
      </c>
      <c r="BN3" s="494">
        <v>43465</v>
      </c>
      <c r="BO3" s="493">
        <v>43496</v>
      </c>
      <c r="BP3" s="494">
        <v>43524</v>
      </c>
      <c r="BQ3" s="493">
        <v>43555</v>
      </c>
      <c r="BR3" s="494">
        <v>43585</v>
      </c>
      <c r="BS3" s="493">
        <v>43616</v>
      </c>
      <c r="BT3" s="494">
        <v>43646</v>
      </c>
      <c r="BU3" s="803"/>
    </row>
    <row r="4" spans="1:73" s="406" customFormat="1" ht="15.75" x14ac:dyDescent="0.25">
      <c r="A4" s="409"/>
      <c r="B4" s="584"/>
      <c r="C4" s="585"/>
      <c r="F4" s="407"/>
      <c r="G4" s="408"/>
      <c r="I4" s="407"/>
      <c r="J4" s="408"/>
      <c r="K4" s="581"/>
      <c r="Z4" s="581"/>
      <c r="AM4" s="581"/>
      <c r="AN4" s="490"/>
      <c r="AO4" s="490"/>
      <c r="AP4" s="488"/>
      <c r="AQ4" s="492"/>
      <c r="AU4" s="624"/>
      <c r="BH4" s="624"/>
      <c r="BI4" s="493"/>
      <c r="BJ4" s="494"/>
      <c r="BK4" s="493"/>
      <c r="BL4" s="494"/>
      <c r="BM4" s="493"/>
      <c r="BN4" s="494"/>
      <c r="BO4" s="493"/>
      <c r="BP4" s="494"/>
      <c r="BQ4" s="493"/>
      <c r="BR4" s="494"/>
      <c r="BS4" s="493"/>
      <c r="BT4" s="494"/>
      <c r="BU4" s="624"/>
    </row>
    <row r="5" spans="1:73" s="587" customFormat="1" ht="15" outlineLevel="1" x14ac:dyDescent="0.25">
      <c r="A5" s="586"/>
      <c r="B5" s="524" t="s">
        <v>1434</v>
      </c>
      <c r="C5" s="585"/>
      <c r="D5" s="410"/>
      <c r="E5" s="411">
        <v>1286</v>
      </c>
      <c r="F5" s="412"/>
      <c r="G5" s="413"/>
      <c r="H5" s="411">
        <v>1245</v>
      </c>
      <c r="I5" s="414"/>
      <c r="J5" s="415"/>
      <c r="K5" s="416"/>
      <c r="L5" s="417"/>
      <c r="M5" s="417"/>
      <c r="N5" s="417"/>
      <c r="O5" s="417"/>
      <c r="P5" s="417"/>
      <c r="Q5" s="417"/>
      <c r="R5" s="417"/>
      <c r="S5" s="417"/>
      <c r="T5" s="417"/>
      <c r="U5" s="417"/>
      <c r="V5" s="417"/>
      <c r="W5" s="417"/>
      <c r="X5" s="417"/>
      <c r="Y5" s="417"/>
      <c r="Z5" s="416"/>
      <c r="AA5" s="417"/>
      <c r="AB5" s="417"/>
      <c r="AC5" s="417"/>
      <c r="AD5" s="417"/>
      <c r="AE5" s="417"/>
      <c r="AF5" s="417"/>
      <c r="AG5" s="417"/>
      <c r="AH5" s="417"/>
      <c r="AI5" s="417"/>
      <c r="AJ5" s="417"/>
      <c r="AK5" s="417"/>
      <c r="AL5" s="417"/>
      <c r="AM5" s="416"/>
      <c r="AN5" s="422">
        <v>1245</v>
      </c>
      <c r="AO5" s="411">
        <f>AVERAGE(BI5:BT5)</f>
        <v>1369</v>
      </c>
      <c r="AP5" s="411">
        <f>IFERROR(AO5-AN5,0)</f>
        <v>124</v>
      </c>
      <c r="AQ5" s="634">
        <f>IFERROR(AP5/ABS(AN5),"-")</f>
        <v>9.9598393574297187E-2</v>
      </c>
      <c r="AR5" s="480" t="s">
        <v>22</v>
      </c>
      <c r="AS5" s="806" t="s">
        <v>24</v>
      </c>
      <c r="AT5" s="807"/>
      <c r="AU5" s="416"/>
      <c r="AV5" s="422">
        <f t="shared" ref="AV5:BG7" si="0">BI5</f>
        <v>1369</v>
      </c>
      <c r="AW5" s="411">
        <f t="shared" si="0"/>
        <v>1369</v>
      </c>
      <c r="AX5" s="411">
        <f t="shared" si="0"/>
        <v>1369</v>
      </c>
      <c r="AY5" s="411">
        <f t="shared" si="0"/>
        <v>1369</v>
      </c>
      <c r="AZ5" s="411">
        <f t="shared" si="0"/>
        <v>1369</v>
      </c>
      <c r="BA5" s="411">
        <f t="shared" si="0"/>
        <v>1369</v>
      </c>
      <c r="BB5" s="411">
        <f t="shared" si="0"/>
        <v>1369</v>
      </c>
      <c r="BC5" s="411">
        <f t="shared" si="0"/>
        <v>1369</v>
      </c>
      <c r="BD5" s="411">
        <f t="shared" si="0"/>
        <v>1369</v>
      </c>
      <c r="BE5" s="411">
        <f t="shared" si="0"/>
        <v>1369</v>
      </c>
      <c r="BF5" s="411">
        <f t="shared" si="0"/>
        <v>1369</v>
      </c>
      <c r="BG5" s="423">
        <f t="shared" si="0"/>
        <v>1369</v>
      </c>
      <c r="BH5" s="416"/>
      <c r="BI5" s="422">
        <v>1369</v>
      </c>
      <c r="BJ5" s="411">
        <v>1369</v>
      </c>
      <c r="BK5" s="411">
        <v>1369</v>
      </c>
      <c r="BL5" s="411">
        <v>1369</v>
      </c>
      <c r="BM5" s="411">
        <v>1369</v>
      </c>
      <c r="BN5" s="411">
        <v>1369</v>
      </c>
      <c r="BO5" s="411">
        <v>1369</v>
      </c>
      <c r="BP5" s="411">
        <v>1369</v>
      </c>
      <c r="BQ5" s="411">
        <v>1369</v>
      </c>
      <c r="BR5" s="411">
        <v>1369</v>
      </c>
      <c r="BS5" s="411">
        <v>1369</v>
      </c>
      <c r="BT5" s="423">
        <v>1369</v>
      </c>
      <c r="BU5" s="416"/>
    </row>
    <row r="6" spans="1:73" s="587" customFormat="1" ht="15" outlineLevel="1" x14ac:dyDescent="0.25">
      <c r="B6" s="524" t="s">
        <v>1435</v>
      </c>
      <c r="C6" s="585"/>
      <c r="D6" s="424"/>
      <c r="E6" s="425">
        <v>1237.28</v>
      </c>
      <c r="F6" s="418"/>
      <c r="G6" s="421"/>
      <c r="H6" s="425">
        <v>1196.28</v>
      </c>
      <c r="I6" s="417"/>
      <c r="J6" s="426"/>
      <c r="K6" s="416"/>
      <c r="L6" s="417"/>
      <c r="M6" s="417"/>
      <c r="N6" s="417"/>
      <c r="O6" s="417"/>
      <c r="P6" s="417"/>
      <c r="Q6" s="417"/>
      <c r="R6" s="417"/>
      <c r="S6" s="417"/>
      <c r="T6" s="417"/>
      <c r="U6" s="417"/>
      <c r="V6" s="417"/>
      <c r="W6" s="417"/>
      <c r="X6" s="417"/>
      <c r="Y6" s="417"/>
      <c r="Z6" s="416"/>
      <c r="AA6" s="417"/>
      <c r="AB6" s="417"/>
      <c r="AC6" s="417"/>
      <c r="AD6" s="417"/>
      <c r="AE6" s="417"/>
      <c r="AF6" s="417"/>
      <c r="AG6" s="417"/>
      <c r="AH6" s="417"/>
      <c r="AI6" s="417"/>
      <c r="AJ6" s="417"/>
      <c r="AK6" s="417"/>
      <c r="AL6" s="417"/>
      <c r="AM6" s="416"/>
      <c r="AN6" s="427">
        <v>1196.28</v>
      </c>
      <c r="AO6" s="420">
        <f>AVERAGE(BI6:BT6)</f>
        <v>1320.2800000000002</v>
      </c>
      <c r="AP6" s="420">
        <f>IFERROR(AO6-AN6,0)</f>
        <v>124.00000000000023</v>
      </c>
      <c r="AQ6" s="635">
        <f>IFERROR(AP6/ABS(AN6),"-")</f>
        <v>0.10365466278797625</v>
      </c>
      <c r="AR6" s="490" t="s">
        <v>21</v>
      </c>
      <c r="AS6" s="488" t="s">
        <v>28</v>
      </c>
      <c r="AT6" s="491" t="s">
        <v>29</v>
      </c>
      <c r="AU6" s="416"/>
      <c r="AV6" s="427">
        <f t="shared" si="0"/>
        <v>1320.28</v>
      </c>
      <c r="AW6" s="420">
        <f t="shared" si="0"/>
        <v>1320.28</v>
      </c>
      <c r="AX6" s="420">
        <f t="shared" si="0"/>
        <v>1320.28</v>
      </c>
      <c r="AY6" s="420">
        <f t="shared" si="0"/>
        <v>1320.28</v>
      </c>
      <c r="AZ6" s="420">
        <f t="shared" si="0"/>
        <v>1320.28</v>
      </c>
      <c r="BA6" s="420">
        <f t="shared" si="0"/>
        <v>1320.28</v>
      </c>
      <c r="BB6" s="420">
        <f t="shared" si="0"/>
        <v>1320.28</v>
      </c>
      <c r="BC6" s="420">
        <f t="shared" si="0"/>
        <v>1320.28</v>
      </c>
      <c r="BD6" s="420">
        <f t="shared" si="0"/>
        <v>1320.28</v>
      </c>
      <c r="BE6" s="420">
        <f t="shared" si="0"/>
        <v>1320.28</v>
      </c>
      <c r="BF6" s="420">
        <f t="shared" si="0"/>
        <v>1320.28</v>
      </c>
      <c r="BG6" s="428">
        <f t="shared" si="0"/>
        <v>1320.28</v>
      </c>
      <c r="BH6" s="416"/>
      <c r="BI6" s="427">
        <f t="shared" ref="BI6:BT6" si="1">(BI5-BI7)+0.58*BI7</f>
        <v>1320.28</v>
      </c>
      <c r="BJ6" s="420">
        <f t="shared" si="1"/>
        <v>1320.28</v>
      </c>
      <c r="BK6" s="420">
        <f t="shared" si="1"/>
        <v>1320.28</v>
      </c>
      <c r="BL6" s="420">
        <f t="shared" si="1"/>
        <v>1320.28</v>
      </c>
      <c r="BM6" s="420">
        <f t="shared" si="1"/>
        <v>1320.28</v>
      </c>
      <c r="BN6" s="420">
        <f t="shared" si="1"/>
        <v>1320.28</v>
      </c>
      <c r="BO6" s="420">
        <f t="shared" si="1"/>
        <v>1320.28</v>
      </c>
      <c r="BP6" s="420">
        <f t="shared" si="1"/>
        <v>1320.28</v>
      </c>
      <c r="BQ6" s="420">
        <f t="shared" si="1"/>
        <v>1320.28</v>
      </c>
      <c r="BR6" s="420">
        <f t="shared" si="1"/>
        <v>1320.28</v>
      </c>
      <c r="BS6" s="420">
        <f t="shared" si="1"/>
        <v>1320.28</v>
      </c>
      <c r="BT6" s="428">
        <f t="shared" si="1"/>
        <v>1320.28</v>
      </c>
      <c r="BU6" s="416"/>
    </row>
    <row r="7" spans="1:73" s="588" customFormat="1" ht="15" customHeight="1" outlineLevel="1" x14ac:dyDescent="0.25">
      <c r="B7" s="524" t="s">
        <v>1439</v>
      </c>
      <c r="C7" s="538"/>
      <c r="D7" s="424"/>
      <c r="E7" s="420">
        <v>116</v>
      </c>
      <c r="F7" s="418"/>
      <c r="G7" s="421"/>
      <c r="H7" s="420">
        <v>116</v>
      </c>
      <c r="I7" s="418"/>
      <c r="J7" s="426"/>
      <c r="K7" s="416"/>
      <c r="L7" s="417"/>
      <c r="M7" s="417"/>
      <c r="N7" s="417"/>
      <c r="O7" s="417"/>
      <c r="P7" s="417"/>
      <c r="Q7" s="417"/>
      <c r="R7" s="417"/>
      <c r="S7" s="417"/>
      <c r="T7" s="417"/>
      <c r="U7" s="417"/>
      <c r="V7" s="417"/>
      <c r="W7" s="417"/>
      <c r="X7" s="417"/>
      <c r="Y7" s="417"/>
      <c r="Z7" s="416"/>
      <c r="AA7" s="417"/>
      <c r="AB7" s="417"/>
      <c r="AC7" s="417"/>
      <c r="AD7" s="417"/>
      <c r="AE7" s="417"/>
      <c r="AF7" s="417"/>
      <c r="AG7" s="417"/>
      <c r="AH7" s="417"/>
      <c r="AI7" s="417"/>
      <c r="AJ7" s="417"/>
      <c r="AK7" s="417"/>
      <c r="AL7" s="417"/>
      <c r="AM7" s="416"/>
      <c r="AN7" s="427">
        <v>116</v>
      </c>
      <c r="AO7" s="420">
        <f>AVERAGE(BI7:BT7)</f>
        <v>116</v>
      </c>
      <c r="AP7" s="420">
        <f>IFERROR(AO7-AN7,0)</f>
        <v>0</v>
      </c>
      <c r="AQ7" s="635">
        <f>IFERROR(AP7/ABS(AN7),"-")</f>
        <v>0</v>
      </c>
      <c r="AR7" s="429"/>
      <c r="AS7" s="418"/>
      <c r="AT7" s="421"/>
      <c r="AU7" s="416"/>
      <c r="AV7" s="427">
        <f t="shared" si="0"/>
        <v>116</v>
      </c>
      <c r="AW7" s="420">
        <f t="shared" si="0"/>
        <v>116</v>
      </c>
      <c r="AX7" s="420">
        <f t="shared" si="0"/>
        <v>116</v>
      </c>
      <c r="AY7" s="420">
        <f t="shared" si="0"/>
        <v>116</v>
      </c>
      <c r="AZ7" s="420">
        <f t="shared" si="0"/>
        <v>116</v>
      </c>
      <c r="BA7" s="420">
        <f t="shared" si="0"/>
        <v>116</v>
      </c>
      <c r="BB7" s="420">
        <f t="shared" si="0"/>
        <v>116</v>
      </c>
      <c r="BC7" s="420">
        <f t="shared" si="0"/>
        <v>116</v>
      </c>
      <c r="BD7" s="420">
        <f t="shared" si="0"/>
        <v>116</v>
      </c>
      <c r="BE7" s="420">
        <f t="shared" si="0"/>
        <v>116</v>
      </c>
      <c r="BF7" s="420">
        <f t="shared" si="0"/>
        <v>116</v>
      </c>
      <c r="BG7" s="428">
        <f t="shared" si="0"/>
        <v>116</v>
      </c>
      <c r="BH7" s="416"/>
      <c r="BI7" s="427">
        <f>116</f>
        <v>116</v>
      </c>
      <c r="BJ7" s="420">
        <v>116</v>
      </c>
      <c r="BK7" s="420">
        <v>116</v>
      </c>
      <c r="BL7" s="420">
        <v>116</v>
      </c>
      <c r="BM7" s="420">
        <v>116</v>
      </c>
      <c r="BN7" s="420">
        <v>116</v>
      </c>
      <c r="BO7" s="420">
        <v>116</v>
      </c>
      <c r="BP7" s="420">
        <v>116</v>
      </c>
      <c r="BQ7" s="420">
        <v>116</v>
      </c>
      <c r="BR7" s="420">
        <v>116</v>
      </c>
      <c r="BS7" s="420">
        <v>116</v>
      </c>
      <c r="BT7" s="428">
        <v>116</v>
      </c>
      <c r="BU7" s="416"/>
    </row>
    <row r="8" spans="1:73" s="588" customFormat="1" ht="15" customHeight="1" outlineLevel="1" x14ac:dyDescent="0.25">
      <c r="A8" s="609"/>
      <c r="B8" s="524" t="s">
        <v>1436</v>
      </c>
      <c r="C8" s="538"/>
      <c r="D8" s="430"/>
      <c r="E8" s="431">
        <v>7092</v>
      </c>
      <c r="F8" s="432"/>
      <c r="G8" s="433"/>
      <c r="H8" s="431">
        <v>7321</v>
      </c>
      <c r="I8" s="432"/>
      <c r="J8" s="434"/>
      <c r="K8" s="416"/>
      <c r="L8" s="417"/>
      <c r="M8" s="417"/>
      <c r="N8" s="417"/>
      <c r="O8" s="417"/>
      <c r="P8" s="417"/>
      <c r="Q8" s="417"/>
      <c r="R8" s="417"/>
      <c r="S8" s="417"/>
      <c r="T8" s="417"/>
      <c r="U8" s="417"/>
      <c r="V8" s="417"/>
      <c r="W8" s="417"/>
      <c r="X8" s="417"/>
      <c r="Y8" s="417"/>
      <c r="Z8" s="416"/>
      <c r="AA8" s="417"/>
      <c r="AB8" s="417"/>
      <c r="AC8" s="417"/>
      <c r="AD8" s="417"/>
      <c r="AE8" s="417"/>
      <c r="AF8" s="417"/>
      <c r="AG8" s="417"/>
      <c r="AH8" s="417"/>
      <c r="AI8" s="417"/>
      <c r="AJ8" s="417"/>
      <c r="AK8" s="417"/>
      <c r="AL8" s="417"/>
      <c r="AM8" s="416"/>
      <c r="AN8" s="621">
        <v>7321</v>
      </c>
      <c r="AO8" s="622">
        <f>AVERAGE(BI8:BT8)</f>
        <v>7502</v>
      </c>
      <c r="AP8" s="622">
        <f>IFERROR(AO8-AN8,0)</f>
        <v>181</v>
      </c>
      <c r="AQ8" s="570">
        <f>IFERROR(AP8/ABS(AN8),"-")</f>
        <v>2.4723398442835678E-2</v>
      </c>
      <c r="AR8" s="429"/>
      <c r="AS8" s="418"/>
      <c r="AT8" s="421"/>
      <c r="AU8" s="416"/>
      <c r="AV8" s="435">
        <f t="shared" ref="AV8:BG8" si="2">BI8</f>
        <v>7502</v>
      </c>
      <c r="AW8" s="431">
        <f t="shared" si="2"/>
        <v>7502</v>
      </c>
      <c r="AX8" s="431">
        <f t="shared" si="2"/>
        <v>7502</v>
      </c>
      <c r="AY8" s="431">
        <f t="shared" si="2"/>
        <v>7502</v>
      </c>
      <c r="AZ8" s="431">
        <f t="shared" si="2"/>
        <v>7502</v>
      </c>
      <c r="BA8" s="431">
        <f t="shared" si="2"/>
        <v>7502</v>
      </c>
      <c r="BB8" s="431">
        <f t="shared" si="2"/>
        <v>7502</v>
      </c>
      <c r="BC8" s="431">
        <f t="shared" si="2"/>
        <v>7502</v>
      </c>
      <c r="BD8" s="431">
        <f t="shared" si="2"/>
        <v>7502</v>
      </c>
      <c r="BE8" s="431">
        <f t="shared" si="2"/>
        <v>7502</v>
      </c>
      <c r="BF8" s="431">
        <f t="shared" si="2"/>
        <v>7502</v>
      </c>
      <c r="BG8" s="436">
        <f t="shared" si="2"/>
        <v>7502</v>
      </c>
      <c r="BH8" s="416"/>
      <c r="BI8" s="621">
        <v>7502</v>
      </c>
      <c r="BJ8" s="622">
        <v>7502</v>
      </c>
      <c r="BK8" s="622">
        <v>7502</v>
      </c>
      <c r="BL8" s="622">
        <v>7502</v>
      </c>
      <c r="BM8" s="622">
        <v>7502</v>
      </c>
      <c r="BN8" s="622">
        <v>7502</v>
      </c>
      <c r="BO8" s="622">
        <v>7502</v>
      </c>
      <c r="BP8" s="622">
        <v>7502</v>
      </c>
      <c r="BQ8" s="622">
        <v>7502</v>
      </c>
      <c r="BR8" s="622">
        <v>7502</v>
      </c>
      <c r="BS8" s="622">
        <v>7502</v>
      </c>
      <c r="BT8" s="623">
        <v>7502</v>
      </c>
      <c r="BU8" s="416"/>
    </row>
    <row r="9" spans="1:73" s="588" customFormat="1" ht="15" customHeight="1" outlineLevel="1" x14ac:dyDescent="0.25">
      <c r="A9" s="609"/>
      <c r="B9" s="524"/>
      <c r="C9" s="538"/>
      <c r="D9" s="417"/>
      <c r="E9" s="437"/>
      <c r="F9" s="418"/>
      <c r="G9" s="421"/>
      <c r="H9" s="437"/>
      <c r="I9" s="418"/>
      <c r="J9" s="421"/>
      <c r="K9" s="416"/>
      <c r="L9" s="417"/>
      <c r="M9" s="417"/>
      <c r="N9" s="417"/>
      <c r="O9" s="417"/>
      <c r="P9" s="417"/>
      <c r="Q9" s="417"/>
      <c r="R9" s="417"/>
      <c r="S9" s="417"/>
      <c r="T9" s="417"/>
      <c r="U9" s="417"/>
      <c r="V9" s="417"/>
      <c r="W9" s="417"/>
      <c r="X9" s="417"/>
      <c r="Y9" s="417"/>
      <c r="Z9" s="416"/>
      <c r="AA9" s="417"/>
      <c r="AB9" s="417"/>
      <c r="AC9" s="417"/>
      <c r="AD9" s="417"/>
      <c r="AE9" s="417"/>
      <c r="AF9" s="417"/>
      <c r="AG9" s="417"/>
      <c r="AH9" s="417"/>
      <c r="AI9" s="417"/>
      <c r="AJ9" s="417"/>
      <c r="AK9" s="417"/>
      <c r="AL9" s="417"/>
      <c r="AM9" s="416"/>
      <c r="AN9" s="629"/>
      <c r="AO9" s="629"/>
      <c r="AP9" s="629"/>
      <c r="AQ9" s="629"/>
      <c r="AR9" s="429"/>
      <c r="AS9" s="418"/>
      <c r="AT9" s="421"/>
      <c r="AU9" s="416"/>
      <c r="AV9" s="437"/>
      <c r="AW9" s="437"/>
      <c r="AX9" s="437"/>
      <c r="AY9" s="437"/>
      <c r="AZ9" s="437"/>
      <c r="BA9" s="437"/>
      <c r="BB9" s="437"/>
      <c r="BC9" s="437"/>
      <c r="BD9" s="437"/>
      <c r="BE9" s="437"/>
      <c r="BF9" s="437"/>
      <c r="BG9" s="437"/>
      <c r="BH9" s="416"/>
      <c r="BI9" s="629"/>
      <c r="BJ9" s="629"/>
      <c r="BK9" s="629"/>
      <c r="BL9" s="629"/>
      <c r="BM9" s="629"/>
      <c r="BN9" s="629"/>
      <c r="BO9" s="629"/>
      <c r="BP9" s="629"/>
      <c r="BQ9" s="629"/>
      <c r="BR9" s="629"/>
      <c r="BS9" s="629"/>
      <c r="BT9" s="629"/>
      <c r="BU9" s="416"/>
    </row>
    <row r="10" spans="1:73" s="588" customFormat="1" ht="15" customHeight="1" outlineLevel="1" x14ac:dyDescent="0.25">
      <c r="A10" s="610"/>
      <c r="B10" s="625" t="s">
        <v>1433</v>
      </c>
      <c r="C10" s="538"/>
      <c r="D10" s="417"/>
      <c r="E10" s="437"/>
      <c r="F10" s="418"/>
      <c r="G10" s="421"/>
      <c r="H10" s="437"/>
      <c r="I10" s="418"/>
      <c r="J10" s="421"/>
      <c r="K10" s="438"/>
      <c r="L10" s="417"/>
      <c r="M10" s="417"/>
      <c r="N10" s="417"/>
      <c r="O10" s="417"/>
      <c r="P10" s="417"/>
      <c r="Q10" s="417"/>
      <c r="R10" s="417"/>
      <c r="S10" s="417"/>
      <c r="T10" s="417"/>
      <c r="U10" s="417"/>
      <c r="V10" s="417"/>
      <c r="W10" s="417"/>
      <c r="X10" s="417"/>
      <c r="Y10" s="417"/>
      <c r="Z10" s="438"/>
      <c r="AA10" s="417"/>
      <c r="AB10" s="417"/>
      <c r="AC10" s="417"/>
      <c r="AD10" s="417"/>
      <c r="AE10" s="417"/>
      <c r="AF10" s="417"/>
      <c r="AG10" s="417"/>
      <c r="AH10" s="417"/>
      <c r="AI10" s="417"/>
      <c r="AJ10" s="417"/>
      <c r="AK10" s="417"/>
      <c r="AL10" s="417"/>
      <c r="AM10" s="438"/>
      <c r="AR10" s="429"/>
      <c r="AS10" s="418"/>
      <c r="AT10" s="421"/>
      <c r="AU10" s="438"/>
      <c r="AV10" s="437"/>
      <c r="AW10" s="437"/>
      <c r="AX10" s="437"/>
      <c r="AY10" s="437"/>
      <c r="AZ10" s="437"/>
      <c r="BA10" s="437"/>
      <c r="BB10" s="437"/>
      <c r="BC10" s="437"/>
      <c r="BD10" s="437"/>
      <c r="BE10" s="437"/>
      <c r="BF10" s="437"/>
      <c r="BG10" s="437"/>
      <c r="BH10" s="438"/>
      <c r="BI10" s="437"/>
      <c r="BJ10" s="437"/>
      <c r="BK10" s="437"/>
      <c r="BL10" s="437"/>
      <c r="BM10" s="437"/>
      <c r="BN10" s="437"/>
      <c r="BO10" s="437"/>
      <c r="BP10" s="437"/>
      <c r="BQ10" s="437"/>
      <c r="BR10" s="437"/>
      <c r="BS10" s="437"/>
      <c r="BT10" s="437"/>
      <c r="BU10" s="438"/>
    </row>
    <row r="11" spans="1:73" s="588" customFormat="1" ht="15" customHeight="1" outlineLevel="1" x14ac:dyDescent="0.25">
      <c r="A11" s="610"/>
      <c r="B11" s="524" t="s">
        <v>8</v>
      </c>
      <c r="C11" s="538"/>
      <c r="D11" s="439">
        <f t="shared" ref="D11:J11" si="3">SUM(D12:D15)</f>
        <v>-1082404.610000001</v>
      </c>
      <c r="E11" s="440">
        <f t="shared" si="3"/>
        <v>-659544.33257400012</v>
      </c>
      <c r="F11" s="441">
        <f>IFERROR(D11-E11,0)</f>
        <v>-422860.27742600092</v>
      </c>
      <c r="G11" s="413">
        <f>IFERROR(F11/ABS(E11),0)</f>
        <v>-0.64114003644865902</v>
      </c>
      <c r="H11" s="440">
        <f t="shared" si="3"/>
        <v>-984834.03000000119</v>
      </c>
      <c r="I11" s="441">
        <f t="shared" si="3"/>
        <v>-97570.579999999813</v>
      </c>
      <c r="J11" s="415">
        <f t="shared" si="3"/>
        <v>1.9343971580585803E-2</v>
      </c>
      <c r="K11" s="442"/>
      <c r="L11" s="439">
        <f t="shared" ref="L11:W11" si="4">SUM(L12:L15)</f>
        <v>251112.56000000014</v>
      </c>
      <c r="M11" s="440">
        <f t="shared" si="4"/>
        <v>-431066.7900000001</v>
      </c>
      <c r="N11" s="440">
        <f t="shared" si="4"/>
        <v>350867.09000000008</v>
      </c>
      <c r="O11" s="440">
        <f t="shared" si="4"/>
        <v>50867.1899999999</v>
      </c>
      <c r="P11" s="440">
        <f t="shared" si="4"/>
        <v>155824.00999999972</v>
      </c>
      <c r="Q11" s="440">
        <f t="shared" si="4"/>
        <v>-424744.07999999996</v>
      </c>
      <c r="R11" s="440">
        <f t="shared" si="4"/>
        <v>-172544.09833333327</v>
      </c>
      <c r="S11" s="440">
        <f t="shared" si="4"/>
        <v>-172544.09833333344</v>
      </c>
      <c r="T11" s="440">
        <f t="shared" si="4"/>
        <v>-172544.09833333339</v>
      </c>
      <c r="U11" s="440">
        <f t="shared" si="4"/>
        <v>-172544.09833333327</v>
      </c>
      <c r="V11" s="440">
        <f t="shared" si="4"/>
        <v>-172544.09833333315</v>
      </c>
      <c r="W11" s="443">
        <f t="shared" si="4"/>
        <v>-172544.09833333277</v>
      </c>
      <c r="X11" s="418"/>
      <c r="Y11" s="444">
        <f>SUM(Y12:Y15)</f>
        <v>-1082404.6100000015</v>
      </c>
      <c r="Z11" s="442"/>
      <c r="AA11" s="439">
        <f t="shared" ref="AA11:AL11" si="5">SUM(AA12:AA15)</f>
        <v>-82069.502500000031</v>
      </c>
      <c r="AB11" s="440">
        <f t="shared" si="5"/>
        <v>-82069.502500000031</v>
      </c>
      <c r="AC11" s="440">
        <f t="shared" si="5"/>
        <v>-82069.502500000031</v>
      </c>
      <c r="AD11" s="440">
        <f t="shared" si="5"/>
        <v>-82069.502500000031</v>
      </c>
      <c r="AE11" s="440">
        <f t="shared" si="5"/>
        <v>-82069.502500000031</v>
      </c>
      <c r="AF11" s="440">
        <f t="shared" si="5"/>
        <v>-82069.502500000031</v>
      </c>
      <c r="AG11" s="440">
        <f t="shared" si="5"/>
        <v>-82069.502500000031</v>
      </c>
      <c r="AH11" s="440">
        <f t="shared" si="5"/>
        <v>-82069.502500000031</v>
      </c>
      <c r="AI11" s="440">
        <f t="shared" si="5"/>
        <v>-82069.502500000031</v>
      </c>
      <c r="AJ11" s="440">
        <f t="shared" si="5"/>
        <v>-82069.502500000031</v>
      </c>
      <c r="AK11" s="440">
        <f t="shared" si="5"/>
        <v>-82069.502500000031</v>
      </c>
      <c r="AL11" s="443">
        <f t="shared" si="5"/>
        <v>-82069.502500000031</v>
      </c>
      <c r="AM11" s="442"/>
      <c r="AN11" s="439">
        <f>SUM(AN12:AN15)</f>
        <v>-1082404.610000001</v>
      </c>
      <c r="AO11" s="440">
        <f>SUM(AO12:AO15)</f>
        <v>-771321.81577960739</v>
      </c>
      <c r="AP11" s="445">
        <f>IFERROR(AO11-AN11,0)</f>
        <v>311082.79422039364</v>
      </c>
      <c r="AQ11" s="446">
        <f>IFERROR(AP11/ABS(AN11),"-")</f>
        <v>0.28739973143720565</v>
      </c>
      <c r="AR11" s="440">
        <f>SUM(AR12:AR15)</f>
        <v>-771321.81577960739</v>
      </c>
      <c r="AS11" s="445">
        <f>IFERROR(AO11-AR11,0)</f>
        <v>0</v>
      </c>
      <c r="AT11" s="415">
        <f>IFERROR(AS11/ABS(AR11),0)</f>
        <v>0</v>
      </c>
      <c r="AU11" s="442"/>
      <c r="AV11" s="439">
        <f t="shared" ref="AV11:BG11" si="6">SUM(AV12:AV15)</f>
        <v>281440.58028620348</v>
      </c>
      <c r="AW11" s="440">
        <f t="shared" si="6"/>
        <v>165854.55252172289</v>
      </c>
      <c r="AX11" s="440">
        <f t="shared" si="6"/>
        <v>88509.028171574246</v>
      </c>
      <c r="AY11" s="440">
        <f t="shared" si="6"/>
        <v>-151210.47182842571</v>
      </c>
      <c r="AZ11" s="440">
        <f t="shared" si="6"/>
        <v>92513.028171574246</v>
      </c>
      <c r="BA11" s="440">
        <f t="shared" si="6"/>
        <v>-751178.82720138424</v>
      </c>
      <c r="BB11" s="440">
        <f t="shared" si="6"/>
        <v>29930.8127986158</v>
      </c>
      <c r="BC11" s="440">
        <f t="shared" si="6"/>
        <v>134424.92279861579</v>
      </c>
      <c r="BD11" s="440">
        <f t="shared" si="6"/>
        <v>175420.92279861579</v>
      </c>
      <c r="BE11" s="440">
        <f t="shared" si="6"/>
        <v>83701.422798615895</v>
      </c>
      <c r="BF11" s="440">
        <f t="shared" si="6"/>
        <v>130420.92279861578</v>
      </c>
      <c r="BG11" s="443">
        <f t="shared" si="6"/>
        <v>-1051148.7098939505</v>
      </c>
      <c r="BH11" s="442"/>
      <c r="BI11" s="439">
        <f>SUM(BI12:BI15)</f>
        <v>281440.58028620348</v>
      </c>
      <c r="BJ11" s="440">
        <f t="shared" ref="BJ11:BT11" si="7">SUM(BJ12:BJ15)</f>
        <v>165854.55252172289</v>
      </c>
      <c r="BK11" s="440">
        <f t="shared" si="7"/>
        <v>88509.028171574246</v>
      </c>
      <c r="BL11" s="440">
        <f t="shared" si="7"/>
        <v>-151210.47182842571</v>
      </c>
      <c r="BM11" s="440">
        <f t="shared" si="7"/>
        <v>92513.028171574246</v>
      </c>
      <c r="BN11" s="440">
        <f t="shared" si="7"/>
        <v>-751178.82720138424</v>
      </c>
      <c r="BO11" s="440">
        <f t="shared" si="7"/>
        <v>29930.8127986158</v>
      </c>
      <c r="BP11" s="440">
        <f t="shared" si="7"/>
        <v>134424.92279861579</v>
      </c>
      <c r="BQ11" s="440">
        <f t="shared" si="7"/>
        <v>175420.92279861579</v>
      </c>
      <c r="BR11" s="440">
        <f t="shared" si="7"/>
        <v>83701.422798615895</v>
      </c>
      <c r="BS11" s="440">
        <f t="shared" si="7"/>
        <v>130420.92279861578</v>
      </c>
      <c r="BT11" s="443">
        <f t="shared" si="7"/>
        <v>-1051148.7098939505</v>
      </c>
      <c r="BU11" s="438"/>
    </row>
    <row r="12" spans="1:73" s="588" customFormat="1" ht="15" customHeight="1" outlineLevel="1" x14ac:dyDescent="0.25">
      <c r="A12" s="610"/>
      <c r="B12" s="524" t="s">
        <v>9</v>
      </c>
      <c r="C12" s="538"/>
      <c r="D12" s="447">
        <f t="shared" ref="D12:J12" si="8">D55-D566</f>
        <v>67640.709999999031</v>
      </c>
      <c r="E12" s="448">
        <f t="shared" si="8"/>
        <v>25963.682426000014</v>
      </c>
      <c r="F12" s="449">
        <f>IFERROR(D12-E12,0)</f>
        <v>41677.027573999017</v>
      </c>
      <c r="G12" s="421">
        <f>IFERROR(F12/ABS(E12),0)</f>
        <v>1.6052047968459078</v>
      </c>
      <c r="H12" s="448">
        <f t="shared" si="8"/>
        <v>175442.96999999881</v>
      </c>
      <c r="I12" s="449">
        <f t="shared" si="8"/>
        <v>-107802.25999999978</v>
      </c>
      <c r="J12" s="426">
        <f t="shared" si="8"/>
        <v>-1.0795850540643744E-2</v>
      </c>
      <c r="K12" s="442"/>
      <c r="L12" s="447">
        <f t="shared" ref="L12:W12" si="9">L55-L566</f>
        <v>162417.92000000016</v>
      </c>
      <c r="M12" s="448">
        <f t="shared" si="9"/>
        <v>-143180.8600000001</v>
      </c>
      <c r="N12" s="448">
        <f t="shared" si="9"/>
        <v>273165.74</v>
      </c>
      <c r="O12" s="448">
        <f t="shared" si="9"/>
        <v>-54004.590000000084</v>
      </c>
      <c r="P12" s="448">
        <f t="shared" si="9"/>
        <v>84363.649999999674</v>
      </c>
      <c r="Q12" s="448">
        <f t="shared" si="9"/>
        <v>204534.83000000019</v>
      </c>
      <c r="R12" s="448">
        <f t="shared" si="9"/>
        <v>-76609.329999999958</v>
      </c>
      <c r="S12" s="448">
        <f t="shared" si="9"/>
        <v>-76609.330000000075</v>
      </c>
      <c r="T12" s="448">
        <f t="shared" si="9"/>
        <v>-76609.330000000075</v>
      </c>
      <c r="U12" s="448">
        <f t="shared" si="9"/>
        <v>-76609.329999999958</v>
      </c>
      <c r="V12" s="448">
        <f t="shared" si="9"/>
        <v>-76609.329999999958</v>
      </c>
      <c r="W12" s="450">
        <f t="shared" si="9"/>
        <v>-76609.329999999492</v>
      </c>
      <c r="X12" s="418"/>
      <c r="Y12" s="451">
        <f>Y55-Y566</f>
        <v>67640.709999999031</v>
      </c>
      <c r="Z12" s="442"/>
      <c r="AA12" s="447">
        <f t="shared" ref="AA12:AL12" si="10">AA55-AA566</f>
        <v>14620.247499999939</v>
      </c>
      <c r="AB12" s="448">
        <f t="shared" si="10"/>
        <v>14620.247499999939</v>
      </c>
      <c r="AC12" s="448">
        <f t="shared" si="10"/>
        <v>14620.247499999939</v>
      </c>
      <c r="AD12" s="448">
        <f t="shared" si="10"/>
        <v>14620.247499999939</v>
      </c>
      <c r="AE12" s="448">
        <f t="shared" si="10"/>
        <v>14620.247499999939</v>
      </c>
      <c r="AF12" s="448">
        <f t="shared" si="10"/>
        <v>14620.247499999939</v>
      </c>
      <c r="AG12" s="448">
        <f t="shared" si="10"/>
        <v>14620.247499999939</v>
      </c>
      <c r="AH12" s="448">
        <f t="shared" si="10"/>
        <v>14620.247499999939</v>
      </c>
      <c r="AI12" s="448">
        <f t="shared" si="10"/>
        <v>14620.247499999939</v>
      </c>
      <c r="AJ12" s="448">
        <f t="shared" si="10"/>
        <v>14620.247499999939</v>
      </c>
      <c r="AK12" s="448">
        <f t="shared" si="10"/>
        <v>14620.247499999939</v>
      </c>
      <c r="AL12" s="450">
        <f t="shared" si="10"/>
        <v>14620.247499999939</v>
      </c>
      <c r="AM12" s="442"/>
      <c r="AN12" s="447">
        <f>AN55-AN566</f>
        <v>67640.709999999031</v>
      </c>
      <c r="AO12" s="448">
        <f>AO55-AO566</f>
        <v>-356356.84138603322</v>
      </c>
      <c r="AP12" s="452">
        <f>IFERROR(AO12-AN12,0)</f>
        <v>-423997.55138603225</v>
      </c>
      <c r="AQ12" s="453">
        <f>IFERROR(AP12/ABS(AN12),"-")</f>
        <v>-6.2683781909746115</v>
      </c>
      <c r="AR12" s="448">
        <f>AR55-AR566</f>
        <v>-356356.84138603322</v>
      </c>
      <c r="AS12" s="452">
        <f>IFERROR(AO12-AR12,0)</f>
        <v>0</v>
      </c>
      <c r="AT12" s="426">
        <f>IFERROR(AS12/ABS(AR12),0)</f>
        <v>0</v>
      </c>
      <c r="AU12" s="442"/>
      <c r="AV12" s="447">
        <f t="shared" ref="AV12:BG12" si="11">AV55-AV566</f>
        <v>169087.70315233467</v>
      </c>
      <c r="AW12" s="448">
        <f t="shared" si="11"/>
        <v>57911.231524854084</v>
      </c>
      <c r="AX12" s="448">
        <f t="shared" si="11"/>
        <v>-19434.292825294542</v>
      </c>
      <c r="AY12" s="448">
        <f t="shared" si="11"/>
        <v>-259153.79282529454</v>
      </c>
      <c r="AZ12" s="448">
        <f t="shared" si="11"/>
        <v>-15430.292825294542</v>
      </c>
      <c r="BA12" s="448">
        <f t="shared" si="11"/>
        <v>22477.601801746991</v>
      </c>
      <c r="BB12" s="448">
        <f t="shared" si="11"/>
        <v>-78012.508198252995</v>
      </c>
      <c r="BC12" s="448">
        <f t="shared" si="11"/>
        <v>26481.601801746991</v>
      </c>
      <c r="BD12" s="448">
        <f t="shared" si="11"/>
        <v>67477.601801746991</v>
      </c>
      <c r="BE12" s="448">
        <f t="shared" si="11"/>
        <v>-24241.898198252893</v>
      </c>
      <c r="BF12" s="448">
        <f t="shared" si="11"/>
        <v>22477.601801746991</v>
      </c>
      <c r="BG12" s="450">
        <f t="shared" si="11"/>
        <v>-325997.39839781926</v>
      </c>
      <c r="BH12" s="442"/>
      <c r="BI12" s="447">
        <f>BI55-BI566</f>
        <v>169087.70315233467</v>
      </c>
      <c r="BJ12" s="448">
        <f t="shared" ref="BJ12:BT12" si="12">BJ55-BJ566</f>
        <v>57911.231524854084</v>
      </c>
      <c r="BK12" s="448">
        <f t="shared" si="12"/>
        <v>-19434.292825294542</v>
      </c>
      <c r="BL12" s="448">
        <f t="shared" si="12"/>
        <v>-259153.79282529454</v>
      </c>
      <c r="BM12" s="448">
        <f t="shared" si="12"/>
        <v>-15430.292825294542</v>
      </c>
      <c r="BN12" s="448">
        <f t="shared" si="12"/>
        <v>22477.601801746991</v>
      </c>
      <c r="BO12" s="448">
        <f t="shared" si="12"/>
        <v>-78012.508198252995</v>
      </c>
      <c r="BP12" s="448">
        <f t="shared" si="12"/>
        <v>26481.601801746991</v>
      </c>
      <c r="BQ12" s="448">
        <f t="shared" si="12"/>
        <v>67477.601801746991</v>
      </c>
      <c r="BR12" s="448">
        <f t="shared" si="12"/>
        <v>-24241.898198252893</v>
      </c>
      <c r="BS12" s="448">
        <f t="shared" si="12"/>
        <v>22477.601801746991</v>
      </c>
      <c r="BT12" s="450">
        <f t="shared" si="12"/>
        <v>-325997.39839781926</v>
      </c>
      <c r="BU12" s="438"/>
    </row>
    <row r="13" spans="1:73" s="588" customFormat="1" ht="15" customHeight="1" outlineLevel="1" x14ac:dyDescent="0.25">
      <c r="A13" s="610"/>
      <c r="B13" s="524" t="s">
        <v>10</v>
      </c>
      <c r="C13" s="538"/>
      <c r="D13" s="447">
        <f t="shared" ref="D13:J13" si="13">D585-D606</f>
        <v>0</v>
      </c>
      <c r="E13" s="448">
        <f t="shared" si="13"/>
        <v>0</v>
      </c>
      <c r="F13" s="449">
        <f>IFERROR(D13-E13,0)</f>
        <v>0</v>
      </c>
      <c r="G13" s="421">
        <f>IFERROR(F13/ABS(E13),0)</f>
        <v>0</v>
      </c>
      <c r="H13" s="448">
        <f t="shared" si="13"/>
        <v>0</v>
      </c>
      <c r="I13" s="449">
        <f t="shared" si="13"/>
        <v>0</v>
      </c>
      <c r="J13" s="426">
        <f t="shared" si="13"/>
        <v>0</v>
      </c>
      <c r="K13" s="442"/>
      <c r="L13" s="447">
        <f t="shared" ref="L13:W13" si="14">L585-L606</f>
        <v>0</v>
      </c>
      <c r="M13" s="448">
        <f t="shared" si="14"/>
        <v>-1699.5900000000001</v>
      </c>
      <c r="N13" s="448">
        <f t="shared" si="14"/>
        <v>-2688.72</v>
      </c>
      <c r="O13" s="448">
        <f t="shared" si="14"/>
        <v>-2395.9600000000009</v>
      </c>
      <c r="P13" s="448">
        <f t="shared" si="14"/>
        <v>-2271.33</v>
      </c>
      <c r="Q13" s="448">
        <f t="shared" si="14"/>
        <v>-2271.1400000000003</v>
      </c>
      <c r="R13" s="448">
        <f t="shared" si="14"/>
        <v>1887.79</v>
      </c>
      <c r="S13" s="448">
        <f t="shared" si="14"/>
        <v>1887.7900000000004</v>
      </c>
      <c r="T13" s="448">
        <f t="shared" si="14"/>
        <v>1887.7899999999995</v>
      </c>
      <c r="U13" s="448">
        <f t="shared" si="14"/>
        <v>1887.7899999999991</v>
      </c>
      <c r="V13" s="448">
        <f t="shared" si="14"/>
        <v>1887.7899999999991</v>
      </c>
      <c r="W13" s="450">
        <f t="shared" si="14"/>
        <v>1887.7899999999991</v>
      </c>
      <c r="X13" s="418"/>
      <c r="Y13" s="451">
        <f>Y585-Y606</f>
        <v>0</v>
      </c>
      <c r="Z13" s="442"/>
      <c r="AA13" s="447">
        <f t="shared" ref="AA13:AL13" si="15">AA585-AA606</f>
        <v>0</v>
      </c>
      <c r="AB13" s="448">
        <f t="shared" si="15"/>
        <v>0</v>
      </c>
      <c r="AC13" s="448">
        <f t="shared" si="15"/>
        <v>0</v>
      </c>
      <c r="AD13" s="448">
        <f t="shared" si="15"/>
        <v>0</v>
      </c>
      <c r="AE13" s="448">
        <f t="shared" si="15"/>
        <v>0</v>
      </c>
      <c r="AF13" s="448">
        <f t="shared" si="15"/>
        <v>0</v>
      </c>
      <c r="AG13" s="448">
        <f t="shared" si="15"/>
        <v>0</v>
      </c>
      <c r="AH13" s="448">
        <f t="shared" si="15"/>
        <v>0</v>
      </c>
      <c r="AI13" s="448">
        <f t="shared" si="15"/>
        <v>0</v>
      </c>
      <c r="AJ13" s="448">
        <f t="shared" si="15"/>
        <v>0</v>
      </c>
      <c r="AK13" s="448">
        <f t="shared" si="15"/>
        <v>0</v>
      </c>
      <c r="AL13" s="450">
        <f t="shared" si="15"/>
        <v>0</v>
      </c>
      <c r="AM13" s="442"/>
      <c r="AN13" s="447">
        <f>AN585-AN606</f>
        <v>0</v>
      </c>
      <c r="AO13" s="448">
        <f>AO585-AO606</f>
        <v>0</v>
      </c>
      <c r="AP13" s="452">
        <f>IFERROR(AO13-AN13,0)</f>
        <v>0</v>
      </c>
      <c r="AQ13" s="453" t="str">
        <f>IFERROR(AP13/ABS(AN13),"-")</f>
        <v>-</v>
      </c>
      <c r="AR13" s="448">
        <f>AR585-AR606</f>
        <v>0</v>
      </c>
      <c r="AS13" s="452">
        <f>IFERROR(AO13-AR13,0)</f>
        <v>0</v>
      </c>
      <c r="AT13" s="426">
        <f>IFERROR(AS13/ABS(AR13),0)</f>
        <v>0</v>
      </c>
      <c r="AU13" s="442"/>
      <c r="AV13" s="447">
        <f t="shared" ref="AV13:BG13" si="16">AV585-AV606</f>
        <v>0</v>
      </c>
      <c r="AW13" s="448">
        <f t="shared" si="16"/>
        <v>-4409.5561369999996</v>
      </c>
      <c r="AX13" s="448">
        <f t="shared" si="16"/>
        <v>-4409.5561369999996</v>
      </c>
      <c r="AY13" s="448">
        <f t="shared" si="16"/>
        <v>-4409.5561369999996</v>
      </c>
      <c r="AZ13" s="448">
        <f t="shared" si="16"/>
        <v>-4409.5561369999996</v>
      </c>
      <c r="BA13" s="448">
        <f t="shared" si="16"/>
        <v>-4409.5561369999996</v>
      </c>
      <c r="BB13" s="448">
        <f t="shared" si="16"/>
        <v>-4409.5561369999996</v>
      </c>
      <c r="BC13" s="448">
        <f t="shared" si="16"/>
        <v>-4409.5561369999996</v>
      </c>
      <c r="BD13" s="448">
        <f t="shared" si="16"/>
        <v>-4409.5561369999996</v>
      </c>
      <c r="BE13" s="448">
        <f t="shared" si="16"/>
        <v>-4409.5561369999996</v>
      </c>
      <c r="BF13" s="448">
        <f t="shared" si="16"/>
        <v>-4409.5561369999996</v>
      </c>
      <c r="BG13" s="450">
        <f t="shared" si="16"/>
        <v>44095.561370000003</v>
      </c>
      <c r="BH13" s="442"/>
      <c r="BI13" s="447">
        <f>BI585-BI606</f>
        <v>0</v>
      </c>
      <c r="BJ13" s="448">
        <f t="shared" ref="BJ13:BT13" si="17">BJ585-BJ606</f>
        <v>-4409.5561369999996</v>
      </c>
      <c r="BK13" s="448">
        <f t="shared" si="17"/>
        <v>-4409.5561369999996</v>
      </c>
      <c r="BL13" s="448">
        <f t="shared" si="17"/>
        <v>-4409.5561369999996</v>
      </c>
      <c r="BM13" s="448">
        <f t="shared" si="17"/>
        <v>-4409.5561369999996</v>
      </c>
      <c r="BN13" s="448">
        <f t="shared" si="17"/>
        <v>-4409.5561369999996</v>
      </c>
      <c r="BO13" s="448">
        <f t="shared" si="17"/>
        <v>-4409.5561369999996</v>
      </c>
      <c r="BP13" s="448">
        <f t="shared" si="17"/>
        <v>-4409.5561369999996</v>
      </c>
      <c r="BQ13" s="448">
        <f t="shared" si="17"/>
        <v>-4409.5561369999996</v>
      </c>
      <c r="BR13" s="448">
        <f t="shared" si="17"/>
        <v>-4409.5561369999996</v>
      </c>
      <c r="BS13" s="448">
        <f t="shared" si="17"/>
        <v>-4409.5561369999996</v>
      </c>
      <c r="BT13" s="450">
        <f t="shared" si="17"/>
        <v>44095.561370000003</v>
      </c>
      <c r="BU13" s="438"/>
    </row>
    <row r="14" spans="1:73" s="588" customFormat="1" ht="15" customHeight="1" outlineLevel="1" x14ac:dyDescent="0.25">
      <c r="A14" s="610"/>
      <c r="B14" s="524" t="s">
        <v>11</v>
      </c>
      <c r="C14" s="538"/>
      <c r="D14" s="447">
        <f t="shared" ref="D14:J14" si="18">D630-D648</f>
        <v>-1184284.54</v>
      </c>
      <c r="E14" s="448">
        <f t="shared" si="18"/>
        <v>-714781.26500000013</v>
      </c>
      <c r="F14" s="449">
        <f>IFERROR(D14-E14,0)</f>
        <v>-469503.27499999991</v>
      </c>
      <c r="G14" s="421">
        <f>IFERROR(F14/ABS(E14),0)</f>
        <v>-0.65684888229408167</v>
      </c>
      <c r="H14" s="448">
        <f t="shared" si="18"/>
        <v>-1189549</v>
      </c>
      <c r="I14" s="449">
        <f t="shared" si="18"/>
        <v>5264.4599999999627</v>
      </c>
      <c r="J14" s="426">
        <f t="shared" si="18"/>
        <v>4.8863414489550613E-3</v>
      </c>
      <c r="K14" s="442"/>
      <c r="L14" s="447">
        <f t="shared" ref="L14:W14" si="19">L630-L648</f>
        <v>83192.049999999988</v>
      </c>
      <c r="M14" s="448">
        <f t="shared" si="19"/>
        <v>-286256.55</v>
      </c>
      <c r="N14" s="448">
        <f t="shared" si="19"/>
        <v>79720.040000000008</v>
      </c>
      <c r="O14" s="448">
        <f t="shared" si="19"/>
        <v>75772.829999999987</v>
      </c>
      <c r="P14" s="448">
        <f t="shared" si="19"/>
        <v>79613.050000000047</v>
      </c>
      <c r="Q14" s="448">
        <f t="shared" si="19"/>
        <v>-629237.00000000012</v>
      </c>
      <c r="R14" s="448">
        <f t="shared" si="19"/>
        <v>-97848.159999999974</v>
      </c>
      <c r="S14" s="448">
        <f t="shared" si="19"/>
        <v>-97848.160000000047</v>
      </c>
      <c r="T14" s="448">
        <f t="shared" si="19"/>
        <v>-97848.16</v>
      </c>
      <c r="U14" s="448">
        <f t="shared" si="19"/>
        <v>-97848.15999999996</v>
      </c>
      <c r="V14" s="448">
        <f t="shared" si="19"/>
        <v>-97848.159999999887</v>
      </c>
      <c r="W14" s="450">
        <f t="shared" si="19"/>
        <v>-97848.159999999945</v>
      </c>
      <c r="X14" s="418"/>
      <c r="Y14" s="451">
        <f>Y630-Y648</f>
        <v>-1184284.5400000005</v>
      </c>
      <c r="Z14" s="442"/>
      <c r="AA14" s="447">
        <f t="shared" ref="AA14:AL14" si="20">AA630-AA648</f>
        <v>-99129.083333333314</v>
      </c>
      <c r="AB14" s="448">
        <f t="shared" si="20"/>
        <v>-99129.083333333314</v>
      </c>
      <c r="AC14" s="448">
        <f t="shared" si="20"/>
        <v>-99129.083333333314</v>
      </c>
      <c r="AD14" s="448">
        <f t="shared" si="20"/>
        <v>-99129.083333333314</v>
      </c>
      <c r="AE14" s="448">
        <f t="shared" si="20"/>
        <v>-99129.083333333314</v>
      </c>
      <c r="AF14" s="448">
        <f t="shared" si="20"/>
        <v>-99129.083333333314</v>
      </c>
      <c r="AG14" s="448">
        <f t="shared" si="20"/>
        <v>-99129.083333333314</v>
      </c>
      <c r="AH14" s="448">
        <f t="shared" si="20"/>
        <v>-99129.083333333314</v>
      </c>
      <c r="AI14" s="448">
        <f t="shared" si="20"/>
        <v>-99129.083333333314</v>
      </c>
      <c r="AJ14" s="448">
        <f t="shared" si="20"/>
        <v>-99129.083333333314</v>
      </c>
      <c r="AK14" s="448">
        <f t="shared" si="20"/>
        <v>-99129.083333333314</v>
      </c>
      <c r="AL14" s="450">
        <f t="shared" si="20"/>
        <v>-99129.083333333314</v>
      </c>
      <c r="AM14" s="442"/>
      <c r="AN14" s="447">
        <f>AN630-AN648</f>
        <v>-1184284.54</v>
      </c>
      <c r="AO14" s="448">
        <f>AO630-AO648</f>
        <v>-452116.37373493961</v>
      </c>
      <c r="AP14" s="452">
        <f>IFERROR(AO14-AN14,0)</f>
        <v>732168.16626506043</v>
      </c>
      <c r="AQ14" s="453">
        <f>IFERROR(AP14/ABS(AN14),"-")</f>
        <v>0.61823670033306388</v>
      </c>
      <c r="AR14" s="448">
        <f>AR630-AR648</f>
        <v>-452116.37373493961</v>
      </c>
      <c r="AS14" s="452">
        <f>IFERROR(AO14-AR14,0)</f>
        <v>0</v>
      </c>
      <c r="AT14" s="426">
        <f>IFERROR(AS14/ABS(AR14),0)</f>
        <v>0</v>
      </c>
      <c r="AU14" s="442"/>
      <c r="AV14" s="447">
        <f t="shared" ref="AV14:BG14" si="21">AV630-AV648</f>
        <v>109256.92718875501</v>
      </c>
      <c r="AW14" s="448">
        <f t="shared" si="21"/>
        <v>109256.92718875501</v>
      </c>
      <c r="AX14" s="448">
        <f t="shared" si="21"/>
        <v>109256.92718875501</v>
      </c>
      <c r="AY14" s="448">
        <f t="shared" si="21"/>
        <v>109256.92718875501</v>
      </c>
      <c r="AZ14" s="448">
        <f t="shared" si="21"/>
        <v>109256.92718875501</v>
      </c>
      <c r="BA14" s="448">
        <f t="shared" si="21"/>
        <v>-772342.82281124499</v>
      </c>
      <c r="BB14" s="448">
        <f t="shared" si="21"/>
        <v>109256.92718875501</v>
      </c>
      <c r="BC14" s="448">
        <f t="shared" si="21"/>
        <v>109256.92718875501</v>
      </c>
      <c r="BD14" s="448">
        <f t="shared" si="21"/>
        <v>109256.92718875501</v>
      </c>
      <c r="BE14" s="448">
        <f t="shared" si="21"/>
        <v>109256.92718875501</v>
      </c>
      <c r="BF14" s="448">
        <f t="shared" si="21"/>
        <v>109256.92718875501</v>
      </c>
      <c r="BG14" s="450">
        <f t="shared" si="21"/>
        <v>-772342.82281124499</v>
      </c>
      <c r="BH14" s="442"/>
      <c r="BI14" s="447">
        <f>BI630-BI648</f>
        <v>109256.92718875501</v>
      </c>
      <c r="BJ14" s="448">
        <f t="shared" ref="BJ14:BT14" si="22">BJ630-BJ648</f>
        <v>109256.92718875501</v>
      </c>
      <c r="BK14" s="448">
        <f t="shared" si="22"/>
        <v>109256.92718875501</v>
      </c>
      <c r="BL14" s="448">
        <f t="shared" si="22"/>
        <v>109256.92718875501</v>
      </c>
      <c r="BM14" s="448">
        <f t="shared" si="22"/>
        <v>109256.92718875501</v>
      </c>
      <c r="BN14" s="448">
        <f t="shared" si="22"/>
        <v>-772342.82281124499</v>
      </c>
      <c r="BO14" s="448">
        <f t="shared" si="22"/>
        <v>109256.92718875501</v>
      </c>
      <c r="BP14" s="448">
        <f t="shared" si="22"/>
        <v>109256.92718875501</v>
      </c>
      <c r="BQ14" s="448">
        <f t="shared" si="22"/>
        <v>109256.92718875501</v>
      </c>
      <c r="BR14" s="448">
        <f t="shared" si="22"/>
        <v>109256.92718875501</v>
      </c>
      <c r="BS14" s="448">
        <f t="shared" si="22"/>
        <v>109256.92718875501</v>
      </c>
      <c r="BT14" s="450">
        <f t="shared" si="22"/>
        <v>-772342.82281124499</v>
      </c>
      <c r="BU14" s="438"/>
    </row>
    <row r="15" spans="1:73" s="588" customFormat="1" ht="15" customHeight="1" outlineLevel="1" x14ac:dyDescent="0.25">
      <c r="A15" s="610"/>
      <c r="B15" s="524" t="s">
        <v>12</v>
      </c>
      <c r="C15" s="538"/>
      <c r="D15" s="454">
        <f t="shared" ref="D15:J15" si="23">D668-D681</f>
        <v>34239.22</v>
      </c>
      <c r="E15" s="455">
        <f t="shared" si="23"/>
        <v>29273.25</v>
      </c>
      <c r="F15" s="456">
        <f>IFERROR(D15-E15,0)</f>
        <v>4965.9700000000012</v>
      </c>
      <c r="G15" s="433">
        <f>IFERROR(F15/ABS(E15),0)</f>
        <v>0.16964190856840294</v>
      </c>
      <c r="H15" s="455">
        <f t="shared" si="23"/>
        <v>29272</v>
      </c>
      <c r="I15" s="456">
        <f t="shared" si="23"/>
        <v>4967.2200000000012</v>
      </c>
      <c r="J15" s="434">
        <f t="shared" si="23"/>
        <v>2.5253480672274488E-2</v>
      </c>
      <c r="K15" s="442"/>
      <c r="L15" s="454">
        <f t="shared" ref="L15:W15" si="24">L668-L681</f>
        <v>5502.59</v>
      </c>
      <c r="M15" s="455">
        <f t="shared" si="24"/>
        <v>70.210000000000036</v>
      </c>
      <c r="N15" s="455">
        <f t="shared" si="24"/>
        <v>670.02999999999975</v>
      </c>
      <c r="O15" s="455">
        <f t="shared" si="24"/>
        <v>31494.909999999996</v>
      </c>
      <c r="P15" s="455">
        <f t="shared" si="24"/>
        <v>-5881.3600000000006</v>
      </c>
      <c r="Q15" s="455">
        <f t="shared" si="24"/>
        <v>2229.2299999999987</v>
      </c>
      <c r="R15" s="455">
        <f t="shared" si="24"/>
        <v>25.601666666669189</v>
      </c>
      <c r="S15" s="455">
        <f t="shared" si="24"/>
        <v>25.601666666669189</v>
      </c>
      <c r="T15" s="455">
        <f t="shared" si="24"/>
        <v>25.601666666669189</v>
      </c>
      <c r="U15" s="455">
        <f t="shared" si="24"/>
        <v>25.601666666665551</v>
      </c>
      <c r="V15" s="455">
        <f t="shared" si="24"/>
        <v>25.601666666669189</v>
      </c>
      <c r="W15" s="457">
        <f t="shared" si="24"/>
        <v>25.601666666654637</v>
      </c>
      <c r="X15" s="418"/>
      <c r="Y15" s="458">
        <f>Y668-Y681</f>
        <v>34239.219999999972</v>
      </c>
      <c r="Z15" s="442"/>
      <c r="AA15" s="454">
        <f t="shared" ref="AA15:AL15" si="25">AA668-AA681</f>
        <v>2439.3333333333358</v>
      </c>
      <c r="AB15" s="455">
        <f t="shared" si="25"/>
        <v>2439.3333333333358</v>
      </c>
      <c r="AC15" s="455">
        <f t="shared" si="25"/>
        <v>2439.3333333333358</v>
      </c>
      <c r="AD15" s="455">
        <f t="shared" si="25"/>
        <v>2439.3333333333358</v>
      </c>
      <c r="AE15" s="455">
        <f t="shared" si="25"/>
        <v>2439.3333333333358</v>
      </c>
      <c r="AF15" s="455">
        <f t="shared" si="25"/>
        <v>2439.3333333333358</v>
      </c>
      <c r="AG15" s="455">
        <f t="shared" si="25"/>
        <v>2439.3333333333358</v>
      </c>
      <c r="AH15" s="455">
        <f t="shared" si="25"/>
        <v>2439.3333333333358</v>
      </c>
      <c r="AI15" s="455">
        <f t="shared" si="25"/>
        <v>2439.3333333333358</v>
      </c>
      <c r="AJ15" s="455">
        <f t="shared" si="25"/>
        <v>2439.3333333333358</v>
      </c>
      <c r="AK15" s="455">
        <f t="shared" si="25"/>
        <v>2439.3333333333358</v>
      </c>
      <c r="AL15" s="457">
        <f t="shared" si="25"/>
        <v>2439.3333333333358</v>
      </c>
      <c r="AM15" s="442"/>
      <c r="AN15" s="454">
        <f>AN668-AN681</f>
        <v>34239.22</v>
      </c>
      <c r="AO15" s="455">
        <f>AO668-AO681</f>
        <v>37151.399341365468</v>
      </c>
      <c r="AP15" s="459">
        <f>IFERROR(AO15-AN15,0)</f>
        <v>2912.1793413654668</v>
      </c>
      <c r="AQ15" s="460">
        <f>IFERROR(AP15/ABS(AN15),"-")</f>
        <v>8.505390430522268E-2</v>
      </c>
      <c r="AR15" s="455">
        <f>AR668-AR681</f>
        <v>37151.399341365468</v>
      </c>
      <c r="AS15" s="459">
        <f>IFERROR(AO15-AR15,0)</f>
        <v>0</v>
      </c>
      <c r="AT15" s="434">
        <f>IFERROR(AS15/ABS(AR15),0)</f>
        <v>0</v>
      </c>
      <c r="AU15" s="442"/>
      <c r="AV15" s="454">
        <f t="shared" ref="AV15:BG15" si="26">AV668-AV681</f>
        <v>3095.9499451137872</v>
      </c>
      <c r="AW15" s="455">
        <f t="shared" si="26"/>
        <v>3095.9499451137872</v>
      </c>
      <c r="AX15" s="455">
        <f t="shared" si="26"/>
        <v>3095.9499451137872</v>
      </c>
      <c r="AY15" s="455">
        <f t="shared" si="26"/>
        <v>3095.9499451137872</v>
      </c>
      <c r="AZ15" s="455">
        <f t="shared" si="26"/>
        <v>3095.9499451137872</v>
      </c>
      <c r="BA15" s="455">
        <f t="shared" si="26"/>
        <v>3095.9499451137872</v>
      </c>
      <c r="BB15" s="455">
        <f t="shared" si="26"/>
        <v>3095.9499451137872</v>
      </c>
      <c r="BC15" s="455">
        <f t="shared" si="26"/>
        <v>3095.9499451137872</v>
      </c>
      <c r="BD15" s="455">
        <f t="shared" si="26"/>
        <v>3095.9499451137872</v>
      </c>
      <c r="BE15" s="455">
        <f t="shared" si="26"/>
        <v>3095.9499451137872</v>
      </c>
      <c r="BF15" s="455">
        <f t="shared" si="26"/>
        <v>3095.9499451137872</v>
      </c>
      <c r="BG15" s="457">
        <f t="shared" si="26"/>
        <v>3095.9499451137872</v>
      </c>
      <c r="BH15" s="442"/>
      <c r="BI15" s="454">
        <f>BI668-BI681</f>
        <v>3095.9499451137872</v>
      </c>
      <c r="BJ15" s="455">
        <f t="shared" ref="BJ15:BT15" si="27">BJ668-BJ681</f>
        <v>3095.9499451137872</v>
      </c>
      <c r="BK15" s="455">
        <f t="shared" si="27"/>
        <v>3095.9499451137872</v>
      </c>
      <c r="BL15" s="455">
        <f t="shared" si="27"/>
        <v>3095.9499451137872</v>
      </c>
      <c r="BM15" s="455">
        <f t="shared" si="27"/>
        <v>3095.9499451137872</v>
      </c>
      <c r="BN15" s="455">
        <f t="shared" si="27"/>
        <v>3095.9499451137872</v>
      </c>
      <c r="BO15" s="455">
        <f t="shared" si="27"/>
        <v>3095.9499451137872</v>
      </c>
      <c r="BP15" s="455">
        <f t="shared" si="27"/>
        <v>3095.9499451137872</v>
      </c>
      <c r="BQ15" s="455">
        <f t="shared" si="27"/>
        <v>3095.9499451137872</v>
      </c>
      <c r="BR15" s="455">
        <f t="shared" si="27"/>
        <v>3095.9499451137872</v>
      </c>
      <c r="BS15" s="455">
        <f t="shared" si="27"/>
        <v>3095.9499451137872</v>
      </c>
      <c r="BT15" s="457">
        <f t="shared" si="27"/>
        <v>3095.9499451137872</v>
      </c>
      <c r="BU15" s="438"/>
    </row>
    <row r="16" spans="1:73" s="588" customFormat="1" ht="15" hidden="1" customHeight="1" outlineLevel="1" x14ac:dyDescent="0.25">
      <c r="A16" s="610"/>
      <c r="B16" s="524"/>
      <c r="C16" s="538"/>
      <c r="D16" s="417"/>
      <c r="E16" s="437"/>
      <c r="F16" s="418"/>
      <c r="G16" s="421"/>
      <c r="H16" s="437"/>
      <c r="I16" s="418"/>
      <c r="J16" s="421"/>
      <c r="K16" s="438"/>
      <c r="L16" s="417"/>
      <c r="M16" s="417"/>
      <c r="N16" s="417"/>
      <c r="O16" s="417"/>
      <c r="P16" s="417"/>
      <c r="Q16" s="417"/>
      <c r="R16" s="417"/>
      <c r="S16" s="417"/>
      <c r="T16" s="417"/>
      <c r="U16" s="417"/>
      <c r="V16" s="417"/>
      <c r="W16" s="417"/>
      <c r="X16" s="417"/>
      <c r="Y16" s="417"/>
      <c r="Z16" s="438"/>
      <c r="AA16" s="417"/>
      <c r="AB16" s="417"/>
      <c r="AC16" s="417"/>
      <c r="AD16" s="417"/>
      <c r="AE16" s="417"/>
      <c r="AF16" s="417"/>
      <c r="AG16" s="417"/>
      <c r="AH16" s="417"/>
      <c r="AI16" s="417"/>
      <c r="AJ16" s="417"/>
      <c r="AK16" s="417"/>
      <c r="AL16" s="417"/>
      <c r="AM16" s="438"/>
      <c r="AN16" s="417"/>
      <c r="AO16" s="429"/>
      <c r="AP16" s="418"/>
      <c r="AQ16" s="419"/>
      <c r="AR16" s="429"/>
      <c r="AS16" s="418"/>
      <c r="AT16" s="421"/>
      <c r="AU16" s="438"/>
      <c r="AV16" s="437"/>
      <c r="AW16" s="437"/>
      <c r="AX16" s="437"/>
      <c r="AY16" s="437"/>
      <c r="AZ16" s="437"/>
      <c r="BA16" s="437"/>
      <c r="BB16" s="437"/>
      <c r="BC16" s="437"/>
      <c r="BD16" s="437"/>
      <c r="BE16" s="437"/>
      <c r="BF16" s="437"/>
      <c r="BG16" s="437"/>
      <c r="BH16" s="438"/>
      <c r="BI16" s="437"/>
      <c r="BJ16" s="437"/>
      <c r="BK16" s="437"/>
      <c r="BL16" s="437"/>
      <c r="BM16" s="437"/>
      <c r="BN16" s="437"/>
      <c r="BO16" s="437"/>
      <c r="BP16" s="437"/>
      <c r="BQ16" s="437"/>
      <c r="BR16" s="437"/>
      <c r="BS16" s="437"/>
      <c r="BT16" s="437"/>
      <c r="BU16" s="438"/>
    </row>
    <row r="17" spans="1:73" s="588" customFormat="1" ht="15" hidden="1" customHeight="1" outlineLevel="1" x14ac:dyDescent="0.25">
      <c r="A17" s="610"/>
      <c r="B17" s="524" t="s">
        <v>13</v>
      </c>
      <c r="C17" s="538"/>
      <c r="D17" s="410"/>
      <c r="E17" s="461"/>
      <c r="F17" s="412"/>
      <c r="G17" s="413"/>
      <c r="H17" s="461"/>
      <c r="I17" s="412"/>
      <c r="J17" s="415"/>
      <c r="K17" s="438"/>
      <c r="L17" s="410"/>
      <c r="M17" s="414"/>
      <c r="N17" s="414"/>
      <c r="O17" s="414"/>
      <c r="P17" s="414"/>
      <c r="Q17" s="414"/>
      <c r="R17" s="414"/>
      <c r="S17" s="414"/>
      <c r="T17" s="414"/>
      <c r="U17" s="414"/>
      <c r="V17" s="414"/>
      <c r="W17" s="462"/>
      <c r="X17" s="417"/>
      <c r="Y17" s="463"/>
      <c r="Z17" s="438"/>
      <c r="AA17" s="410"/>
      <c r="AB17" s="414"/>
      <c r="AC17" s="414"/>
      <c r="AD17" s="414"/>
      <c r="AE17" s="414"/>
      <c r="AF17" s="414"/>
      <c r="AG17" s="414"/>
      <c r="AH17" s="414"/>
      <c r="AI17" s="414"/>
      <c r="AJ17" s="414"/>
      <c r="AK17" s="414"/>
      <c r="AL17" s="462"/>
      <c r="AM17" s="438"/>
      <c r="AN17" s="410"/>
      <c r="AO17" s="464"/>
      <c r="AP17" s="412"/>
      <c r="AQ17" s="446"/>
      <c r="AR17" s="464"/>
      <c r="AS17" s="412"/>
      <c r="AT17" s="415"/>
      <c r="AU17" s="438"/>
      <c r="AV17" s="465"/>
      <c r="AW17" s="461"/>
      <c r="AX17" s="461"/>
      <c r="AY17" s="461"/>
      <c r="AZ17" s="461"/>
      <c r="BA17" s="461"/>
      <c r="BB17" s="461"/>
      <c r="BC17" s="461"/>
      <c r="BD17" s="461"/>
      <c r="BE17" s="461"/>
      <c r="BF17" s="461"/>
      <c r="BG17" s="466"/>
      <c r="BH17" s="438"/>
      <c r="BI17" s="465"/>
      <c r="BJ17" s="461"/>
      <c r="BK17" s="461"/>
      <c r="BL17" s="461"/>
      <c r="BM17" s="461"/>
      <c r="BN17" s="461"/>
      <c r="BO17" s="461"/>
      <c r="BP17" s="461"/>
      <c r="BQ17" s="461"/>
      <c r="BR17" s="461"/>
      <c r="BS17" s="461"/>
      <c r="BT17" s="466"/>
      <c r="BU17" s="438"/>
    </row>
    <row r="18" spans="1:73" s="588" customFormat="1" ht="15" hidden="1" customHeight="1" outlineLevel="1" x14ac:dyDescent="0.25">
      <c r="A18" s="610"/>
      <c r="B18" s="524" t="s">
        <v>14</v>
      </c>
      <c r="C18" s="538"/>
      <c r="D18" s="430"/>
      <c r="E18" s="431"/>
      <c r="F18" s="432"/>
      <c r="G18" s="433"/>
      <c r="H18" s="431"/>
      <c r="I18" s="432"/>
      <c r="J18" s="434"/>
      <c r="K18" s="438"/>
      <c r="L18" s="430"/>
      <c r="M18" s="467"/>
      <c r="N18" s="467"/>
      <c r="O18" s="467"/>
      <c r="P18" s="467"/>
      <c r="Q18" s="467"/>
      <c r="R18" s="467"/>
      <c r="S18" s="467"/>
      <c r="T18" s="467"/>
      <c r="U18" s="467"/>
      <c r="V18" s="467"/>
      <c r="W18" s="468"/>
      <c r="X18" s="417"/>
      <c r="Y18" s="469"/>
      <c r="Z18" s="438"/>
      <c r="AA18" s="430"/>
      <c r="AB18" s="467"/>
      <c r="AC18" s="467"/>
      <c r="AD18" s="467"/>
      <c r="AE18" s="467"/>
      <c r="AF18" s="467"/>
      <c r="AG18" s="467"/>
      <c r="AH18" s="467"/>
      <c r="AI18" s="467"/>
      <c r="AJ18" s="467"/>
      <c r="AK18" s="467"/>
      <c r="AL18" s="468"/>
      <c r="AM18" s="438"/>
      <c r="AN18" s="430"/>
      <c r="AO18" s="470"/>
      <c r="AP18" s="432"/>
      <c r="AQ18" s="460"/>
      <c r="AR18" s="470"/>
      <c r="AS18" s="432"/>
      <c r="AT18" s="434"/>
      <c r="AU18" s="438"/>
      <c r="AV18" s="435"/>
      <c r="AW18" s="431"/>
      <c r="AX18" s="431"/>
      <c r="AY18" s="431"/>
      <c r="AZ18" s="431"/>
      <c r="BA18" s="431"/>
      <c r="BB18" s="431"/>
      <c r="BC18" s="431"/>
      <c r="BD18" s="431"/>
      <c r="BE18" s="431"/>
      <c r="BF18" s="431"/>
      <c r="BG18" s="436"/>
      <c r="BH18" s="438"/>
      <c r="BI18" s="435"/>
      <c r="BJ18" s="431"/>
      <c r="BK18" s="431"/>
      <c r="BL18" s="431"/>
      <c r="BM18" s="431"/>
      <c r="BN18" s="431"/>
      <c r="BO18" s="431"/>
      <c r="BP18" s="431"/>
      <c r="BQ18" s="431"/>
      <c r="BR18" s="431"/>
      <c r="BS18" s="431"/>
      <c r="BT18" s="436"/>
      <c r="BU18" s="438"/>
    </row>
    <row r="19" spans="1:73" ht="15" customHeight="1" x14ac:dyDescent="0.25">
      <c r="E19" s="472"/>
      <c r="H19" s="472"/>
      <c r="K19" s="475"/>
      <c r="Z19" s="475"/>
      <c r="AM19" s="475"/>
      <c r="AU19" s="475"/>
      <c r="BH19" s="475"/>
      <c r="BU19" s="475"/>
    </row>
    <row r="20" spans="1:73" ht="15" customHeight="1" x14ac:dyDescent="0.25">
      <c r="A20" s="588"/>
      <c r="B20" s="526"/>
      <c r="C20" s="589"/>
      <c r="D20" s="478" t="s">
        <v>15</v>
      </c>
      <c r="E20" s="479" t="s">
        <v>15</v>
      </c>
      <c r="F20" s="805" t="s">
        <v>16</v>
      </c>
      <c r="G20" s="805"/>
      <c r="H20" s="480" t="s">
        <v>15</v>
      </c>
      <c r="I20" s="806" t="s">
        <v>17</v>
      </c>
      <c r="J20" s="807"/>
      <c r="K20" s="481"/>
      <c r="L20" s="482" t="s">
        <v>18</v>
      </c>
      <c r="M20" s="483" t="s">
        <v>18</v>
      </c>
      <c r="N20" s="483" t="s">
        <v>18</v>
      </c>
      <c r="O20" s="483" t="s">
        <v>18</v>
      </c>
      <c r="P20" s="483" t="s">
        <v>18</v>
      </c>
      <c r="Q20" s="484" t="s">
        <v>18</v>
      </c>
      <c r="R20" s="484" t="s">
        <v>19</v>
      </c>
      <c r="S20" s="484" t="s">
        <v>19</v>
      </c>
      <c r="T20" s="484" t="s">
        <v>19</v>
      </c>
      <c r="U20" s="484" t="s">
        <v>19</v>
      </c>
      <c r="V20" s="484" t="s">
        <v>19</v>
      </c>
      <c r="W20" s="484" t="s">
        <v>19</v>
      </c>
      <c r="X20" s="485"/>
      <c r="Y20" s="484" t="s">
        <v>20</v>
      </c>
      <c r="Z20" s="485"/>
      <c r="AA20" s="482" t="s">
        <v>21</v>
      </c>
      <c r="AB20" s="482" t="s">
        <v>21</v>
      </c>
      <c r="AC20" s="482" t="s">
        <v>21</v>
      </c>
      <c r="AD20" s="482" t="s">
        <v>21</v>
      </c>
      <c r="AE20" s="482" t="s">
        <v>21</v>
      </c>
      <c r="AF20" s="482" t="s">
        <v>21</v>
      </c>
      <c r="AG20" s="482" t="s">
        <v>21</v>
      </c>
      <c r="AH20" s="482" t="s">
        <v>21</v>
      </c>
      <c r="AI20" s="482" t="s">
        <v>21</v>
      </c>
      <c r="AJ20" s="482" t="s">
        <v>21</v>
      </c>
      <c r="AK20" s="482" t="s">
        <v>21</v>
      </c>
      <c r="AL20" s="482" t="s">
        <v>21</v>
      </c>
      <c r="AN20" s="628" t="s">
        <v>15</v>
      </c>
      <c r="AO20" s="628" t="s">
        <v>22</v>
      </c>
      <c r="AP20" s="808" t="s">
        <v>23</v>
      </c>
      <c r="AQ20" s="808"/>
      <c r="AR20" s="480" t="s">
        <v>22</v>
      </c>
      <c r="AS20" s="806" t="s">
        <v>24</v>
      </c>
      <c r="AT20" s="807"/>
      <c r="AU20" s="481"/>
      <c r="AV20" s="484" t="s">
        <v>19</v>
      </c>
      <c r="AW20" s="484" t="s">
        <v>19</v>
      </c>
      <c r="AX20" s="484" t="s">
        <v>19</v>
      </c>
      <c r="AY20" s="484" t="s">
        <v>19</v>
      </c>
      <c r="AZ20" s="484" t="s">
        <v>19</v>
      </c>
      <c r="BA20" s="484" t="s">
        <v>19</v>
      </c>
      <c r="BB20" s="484" t="s">
        <v>19</v>
      </c>
      <c r="BC20" s="484" t="s">
        <v>19</v>
      </c>
      <c r="BD20" s="484" t="s">
        <v>19</v>
      </c>
      <c r="BE20" s="484" t="s">
        <v>19</v>
      </c>
      <c r="BF20" s="484" t="s">
        <v>19</v>
      </c>
      <c r="BG20" s="484" t="s">
        <v>19</v>
      </c>
      <c r="BH20" s="485"/>
      <c r="BI20" s="482" t="s">
        <v>21</v>
      </c>
      <c r="BJ20" s="482" t="s">
        <v>21</v>
      </c>
      <c r="BK20" s="482" t="s">
        <v>21</v>
      </c>
      <c r="BL20" s="482" t="s">
        <v>21</v>
      </c>
      <c r="BM20" s="482" t="s">
        <v>21</v>
      </c>
      <c r="BN20" s="482" t="s">
        <v>21</v>
      </c>
      <c r="BO20" s="482" t="s">
        <v>21</v>
      </c>
      <c r="BP20" s="482" t="s">
        <v>21</v>
      </c>
      <c r="BQ20" s="482" t="s">
        <v>21</v>
      </c>
      <c r="BR20" s="482" t="s">
        <v>21</v>
      </c>
      <c r="BS20" s="482" t="s">
        <v>21</v>
      </c>
      <c r="BT20" s="482" t="s">
        <v>21</v>
      </c>
    </row>
    <row r="21" spans="1:73" ht="15" x14ac:dyDescent="0.25">
      <c r="A21" s="636" t="s">
        <v>25</v>
      </c>
      <c r="B21" s="636" t="s">
        <v>26</v>
      </c>
      <c r="C21" s="637"/>
      <c r="D21" s="638" t="s">
        <v>19</v>
      </c>
      <c r="E21" s="639" t="s">
        <v>27</v>
      </c>
      <c r="F21" s="627" t="s">
        <v>28</v>
      </c>
      <c r="G21" s="569" t="s">
        <v>29</v>
      </c>
      <c r="H21" s="626" t="s">
        <v>30</v>
      </c>
      <c r="I21" s="627" t="s">
        <v>28</v>
      </c>
      <c r="J21" s="570" t="s">
        <v>29</v>
      </c>
      <c r="K21" s="640"/>
      <c r="L21" s="641">
        <v>42947</v>
      </c>
      <c r="M21" s="642">
        <v>42978</v>
      </c>
      <c r="N21" s="642">
        <v>43008</v>
      </c>
      <c r="O21" s="642">
        <v>43039</v>
      </c>
      <c r="P21" s="642">
        <v>43069</v>
      </c>
      <c r="Q21" s="643">
        <v>43100</v>
      </c>
      <c r="R21" s="643">
        <v>43131</v>
      </c>
      <c r="S21" s="643">
        <v>43159</v>
      </c>
      <c r="T21" s="643">
        <v>43190</v>
      </c>
      <c r="U21" s="643">
        <v>43220</v>
      </c>
      <c r="V21" s="643">
        <v>43251</v>
      </c>
      <c r="W21" s="643">
        <v>43281</v>
      </c>
      <c r="X21" s="644"/>
      <c r="Y21" s="643">
        <v>43100</v>
      </c>
      <c r="Z21" s="644"/>
      <c r="AA21" s="641">
        <v>42947</v>
      </c>
      <c r="AB21" s="642">
        <v>42978</v>
      </c>
      <c r="AC21" s="642">
        <v>43008</v>
      </c>
      <c r="AD21" s="642">
        <v>43039</v>
      </c>
      <c r="AE21" s="642">
        <v>43069</v>
      </c>
      <c r="AF21" s="643">
        <v>43100</v>
      </c>
      <c r="AG21" s="643">
        <v>43131</v>
      </c>
      <c r="AH21" s="643">
        <v>43159</v>
      </c>
      <c r="AI21" s="643">
        <v>43190</v>
      </c>
      <c r="AJ21" s="643">
        <v>43220</v>
      </c>
      <c r="AK21" s="643">
        <v>43251</v>
      </c>
      <c r="AL21" s="643">
        <v>43281</v>
      </c>
      <c r="AM21" s="645"/>
      <c r="AN21" s="626" t="s">
        <v>19</v>
      </c>
      <c r="AO21" s="626" t="s">
        <v>21</v>
      </c>
      <c r="AP21" s="627" t="s">
        <v>28</v>
      </c>
      <c r="AQ21" s="640" t="s">
        <v>29</v>
      </c>
      <c r="AR21" s="626" t="s">
        <v>21</v>
      </c>
      <c r="AS21" s="627" t="s">
        <v>28</v>
      </c>
      <c r="AT21" s="570" t="s">
        <v>29</v>
      </c>
      <c r="AU21" s="640"/>
      <c r="AV21" s="641">
        <v>43312</v>
      </c>
      <c r="AW21" s="642">
        <v>43343</v>
      </c>
      <c r="AX21" s="641">
        <v>43373</v>
      </c>
      <c r="AY21" s="642">
        <v>43404</v>
      </c>
      <c r="AZ21" s="641">
        <v>43434</v>
      </c>
      <c r="BA21" s="642">
        <v>43465</v>
      </c>
      <c r="BB21" s="641">
        <v>43496</v>
      </c>
      <c r="BC21" s="642">
        <v>43524</v>
      </c>
      <c r="BD21" s="641">
        <v>43555</v>
      </c>
      <c r="BE21" s="642">
        <v>43585</v>
      </c>
      <c r="BF21" s="641">
        <v>43616</v>
      </c>
      <c r="BG21" s="642">
        <v>43646</v>
      </c>
      <c r="BH21" s="644"/>
      <c r="BI21" s="641">
        <v>43312</v>
      </c>
      <c r="BJ21" s="642">
        <v>43343</v>
      </c>
      <c r="BK21" s="641">
        <v>43373</v>
      </c>
      <c r="BL21" s="642">
        <v>43404</v>
      </c>
      <c r="BM21" s="641">
        <v>43434</v>
      </c>
      <c r="BN21" s="642">
        <v>43465</v>
      </c>
      <c r="BO21" s="641">
        <v>43496</v>
      </c>
      <c r="BP21" s="642">
        <v>43524</v>
      </c>
      <c r="BQ21" s="641">
        <v>43555</v>
      </c>
      <c r="BR21" s="642">
        <v>43585</v>
      </c>
      <c r="BS21" s="641">
        <v>43616</v>
      </c>
      <c r="BT21" s="642">
        <v>43646</v>
      </c>
    </row>
    <row r="22" spans="1:73" ht="15" x14ac:dyDescent="0.25">
      <c r="A22" s="526"/>
      <c r="B22" s="526"/>
      <c r="C22" s="535"/>
      <c r="D22" s="486"/>
      <c r="E22" s="487"/>
      <c r="F22" s="488"/>
      <c r="G22" s="489"/>
      <c r="H22" s="490"/>
      <c r="I22" s="488"/>
      <c r="J22" s="491"/>
      <c r="K22" s="492"/>
      <c r="L22" s="493"/>
      <c r="M22" s="494"/>
      <c r="N22" s="494"/>
      <c r="O22" s="494"/>
      <c r="P22" s="494"/>
      <c r="Q22" s="495"/>
      <c r="R22" s="495"/>
      <c r="S22" s="495"/>
      <c r="T22" s="495"/>
      <c r="U22" s="495"/>
      <c r="V22" s="495"/>
      <c r="W22" s="495"/>
      <c r="X22" s="496"/>
      <c r="Y22" s="495"/>
      <c r="Z22" s="496"/>
      <c r="AA22" s="493"/>
      <c r="AB22" s="494"/>
      <c r="AC22" s="494"/>
      <c r="AD22" s="494"/>
      <c r="AE22" s="494"/>
      <c r="AF22" s="495"/>
      <c r="AG22" s="495"/>
      <c r="AH22" s="495"/>
      <c r="AI22" s="495"/>
      <c r="AJ22" s="495"/>
      <c r="AK22" s="495"/>
      <c r="AL22" s="495"/>
      <c r="AN22" s="490"/>
      <c r="AO22" s="490"/>
      <c r="AP22" s="488"/>
      <c r="AQ22" s="492"/>
      <c r="AR22" s="490"/>
      <c r="AS22" s="488"/>
      <c r="AT22" s="491"/>
      <c r="AU22" s="492"/>
      <c r="AV22" s="493"/>
      <c r="AW22" s="494"/>
      <c r="AX22" s="493"/>
      <c r="AY22" s="494"/>
      <c r="AZ22" s="493"/>
      <c r="BA22" s="494"/>
      <c r="BB22" s="493"/>
      <c r="BC22" s="494"/>
      <c r="BD22" s="493"/>
      <c r="BE22" s="494"/>
      <c r="BF22" s="493"/>
      <c r="BG22" s="494"/>
      <c r="BH22" s="496"/>
      <c r="BI22" s="493"/>
      <c r="BJ22" s="494"/>
      <c r="BK22" s="493"/>
      <c r="BL22" s="494"/>
      <c r="BM22" s="493"/>
      <c r="BN22" s="494"/>
      <c r="BO22" s="493"/>
      <c r="BP22" s="494"/>
      <c r="BQ22" s="493"/>
      <c r="BR22" s="494"/>
      <c r="BS22" s="493"/>
      <c r="BT22" s="494"/>
    </row>
    <row r="23" spans="1:73" ht="15" x14ac:dyDescent="0.25">
      <c r="B23" s="590" t="s">
        <v>31</v>
      </c>
      <c r="C23" s="406"/>
      <c r="D23" s="497"/>
      <c r="E23" s="487"/>
      <c r="F23" s="487"/>
      <c r="G23" s="489"/>
      <c r="H23" s="498"/>
      <c r="I23" s="487"/>
      <c r="J23" s="491"/>
      <c r="K23" s="492"/>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N23" s="644"/>
      <c r="AO23" s="646"/>
      <c r="AP23" s="639"/>
      <c r="AQ23" s="647"/>
      <c r="AR23" s="498"/>
      <c r="AS23" s="487"/>
      <c r="AT23" s="491"/>
      <c r="AU23" s="492"/>
      <c r="AV23" s="496"/>
      <c r="AW23" s="496"/>
      <c r="AX23" s="496"/>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row>
    <row r="24" spans="1:73" ht="15" x14ac:dyDescent="0.25">
      <c r="A24" s="502" t="s">
        <v>32</v>
      </c>
      <c r="B24" s="502" t="s">
        <v>33</v>
      </c>
      <c r="C24" s="400"/>
      <c r="D24" s="500">
        <f>SUM(L24:W24)</f>
        <v>4019</v>
      </c>
      <c r="E24" s="449">
        <v>4018.75</v>
      </c>
      <c r="F24" s="449">
        <f t="shared" ref="F24:F34" si="28">IFERROR(D24-E24,0)</f>
        <v>0.25</v>
      </c>
      <c r="G24" s="421">
        <f>IFERROR(F24/ABS(E24),0)</f>
        <v>6.2208398133748054E-5</v>
      </c>
      <c r="H24" s="449">
        <v>4019</v>
      </c>
      <c r="I24" s="449">
        <f>IFERROR(D24-H24,0)</f>
        <v>0</v>
      </c>
      <c r="J24" s="426">
        <f>IFERROR(I24/ABS(H24),0)</f>
        <v>0</v>
      </c>
      <c r="K24" s="421"/>
      <c r="L24" s="449">
        <v>39.119999999999997</v>
      </c>
      <c r="M24" s="449">
        <v>39.610000000000007</v>
      </c>
      <c r="N24" s="449">
        <v>35.78</v>
      </c>
      <c r="O24" s="449">
        <v>41.179999999999993</v>
      </c>
      <c r="P24" s="449">
        <v>41.430000000000007</v>
      </c>
      <c r="Q24" s="449">
        <v>47.609999999999985</v>
      </c>
      <c r="R24" s="449">
        <f>($H24-SUM($L24:Q24))/R$694</f>
        <v>629.04499999999996</v>
      </c>
      <c r="S24" s="449">
        <f>($H24-SUM($L24:R24))/S$694</f>
        <v>629.04499999999996</v>
      </c>
      <c r="T24" s="449">
        <f>($H24-SUM($L24:S24))/T$694</f>
        <v>629.04500000000007</v>
      </c>
      <c r="U24" s="449">
        <f>($H24-SUM($L24:T24))/U$694</f>
        <v>629.04500000000007</v>
      </c>
      <c r="V24" s="449">
        <f>($H24-SUM($L24:U24))/V$694</f>
        <v>629.04500000000007</v>
      </c>
      <c r="W24" s="449">
        <f>($H24-SUM($L24:V24))/W$694</f>
        <v>629.04500000000007</v>
      </c>
      <c r="X24" s="449"/>
      <c r="Y24" s="449">
        <f>SUM(L24:W24)</f>
        <v>4019</v>
      </c>
      <c r="Z24" s="501"/>
      <c r="AA24" s="449">
        <f t="shared" ref="AA24:AL33" si="29">IFERROR($H24/12,0)</f>
        <v>334.91666666666669</v>
      </c>
      <c r="AB24" s="449">
        <f t="shared" si="29"/>
        <v>334.91666666666669</v>
      </c>
      <c r="AC24" s="449">
        <f t="shared" si="29"/>
        <v>334.91666666666669</v>
      </c>
      <c r="AD24" s="449">
        <f t="shared" si="29"/>
        <v>334.91666666666669</v>
      </c>
      <c r="AE24" s="449">
        <f t="shared" si="29"/>
        <v>334.91666666666669</v>
      </c>
      <c r="AF24" s="449">
        <f t="shared" si="29"/>
        <v>334.91666666666669</v>
      </c>
      <c r="AG24" s="449">
        <f t="shared" si="29"/>
        <v>334.91666666666669</v>
      </c>
      <c r="AH24" s="449">
        <f t="shared" si="29"/>
        <v>334.91666666666669</v>
      </c>
      <c r="AI24" s="449">
        <f t="shared" si="29"/>
        <v>334.91666666666669</v>
      </c>
      <c r="AJ24" s="449">
        <f t="shared" si="29"/>
        <v>334.91666666666669</v>
      </c>
      <c r="AK24" s="449">
        <f t="shared" si="29"/>
        <v>334.91666666666669</v>
      </c>
      <c r="AL24" s="449">
        <f t="shared" si="29"/>
        <v>334.91666666666669</v>
      </c>
      <c r="AN24" s="500">
        <f t="shared" ref="AN24:AN33" si="30">SUM(L24:W24)</f>
        <v>4019</v>
      </c>
      <c r="AO24" s="449">
        <f>SUM(BI24:BT24)</f>
        <v>4419.2859437751013</v>
      </c>
      <c r="AP24" s="449">
        <f t="shared" ref="AP24:AP34" si="31">IFERROR(AO24-AN24,0)</f>
        <v>400.28594377510126</v>
      </c>
      <c r="AQ24" s="453">
        <f t="shared" ref="AQ24:AQ34" si="32">IFERROR(AP24/ABS(AN24),"-")</f>
        <v>9.9598393574297409E-2</v>
      </c>
      <c r="AR24" s="449">
        <f>SUM(BI24:BT24)</f>
        <v>4419.2859437751013</v>
      </c>
      <c r="AS24" s="449">
        <f t="shared" ref="AS24:AS34" si="33">IFERROR(AO24-AR24,0)</f>
        <v>0</v>
      </c>
      <c r="AT24" s="426">
        <f>IFERROR(AS24/ABS(AR24),0)</f>
        <v>0</v>
      </c>
      <c r="AU24" s="421"/>
      <c r="AV24" s="449">
        <f>BI24</f>
        <v>368.27382864792503</v>
      </c>
      <c r="AW24" s="449">
        <f t="shared" ref="AW24:BG33" si="34">BJ24</f>
        <v>368.27382864792503</v>
      </c>
      <c r="AX24" s="449">
        <f t="shared" si="34"/>
        <v>368.27382864792503</v>
      </c>
      <c r="AY24" s="449">
        <f t="shared" si="34"/>
        <v>368.27382864792503</v>
      </c>
      <c r="AZ24" s="449">
        <f t="shared" si="34"/>
        <v>368.27382864792503</v>
      </c>
      <c r="BA24" s="449">
        <f t="shared" si="34"/>
        <v>368.27382864792503</v>
      </c>
      <c r="BB24" s="449">
        <f t="shared" si="34"/>
        <v>368.27382864792503</v>
      </c>
      <c r="BC24" s="449">
        <f t="shared" si="34"/>
        <v>368.27382864792503</v>
      </c>
      <c r="BD24" s="449">
        <f t="shared" si="34"/>
        <v>368.27382864792503</v>
      </c>
      <c r="BE24" s="449">
        <f t="shared" si="34"/>
        <v>368.27382864792503</v>
      </c>
      <c r="BF24" s="449">
        <f t="shared" si="34"/>
        <v>368.27382864792503</v>
      </c>
      <c r="BG24" s="449">
        <f t="shared" si="34"/>
        <v>368.27382864792503</v>
      </c>
      <c r="BH24" s="400"/>
      <c r="BI24" s="449">
        <f t="shared" ref="BI24:BT24" si="35">IFERROR((($H24/$H$5)*BI$5)/12,0)</f>
        <v>368.27382864792503</v>
      </c>
      <c r="BJ24" s="449">
        <f t="shared" si="35"/>
        <v>368.27382864792503</v>
      </c>
      <c r="BK24" s="449">
        <f t="shared" si="35"/>
        <v>368.27382864792503</v>
      </c>
      <c r="BL24" s="449">
        <f t="shared" si="35"/>
        <v>368.27382864792503</v>
      </c>
      <c r="BM24" s="449">
        <f t="shared" si="35"/>
        <v>368.27382864792503</v>
      </c>
      <c r="BN24" s="449">
        <f t="shared" si="35"/>
        <v>368.27382864792503</v>
      </c>
      <c r="BO24" s="449">
        <f t="shared" si="35"/>
        <v>368.27382864792503</v>
      </c>
      <c r="BP24" s="449">
        <f t="shared" si="35"/>
        <v>368.27382864792503</v>
      </c>
      <c r="BQ24" s="449">
        <f t="shared" si="35"/>
        <v>368.27382864792503</v>
      </c>
      <c r="BR24" s="449">
        <f t="shared" si="35"/>
        <v>368.27382864792503</v>
      </c>
      <c r="BS24" s="449">
        <f t="shared" si="35"/>
        <v>368.27382864792503</v>
      </c>
      <c r="BT24" s="449">
        <f t="shared" si="35"/>
        <v>368.27382864792503</v>
      </c>
    </row>
    <row r="25" spans="1:73" ht="15" x14ac:dyDescent="0.25">
      <c r="A25" s="502" t="s">
        <v>34</v>
      </c>
      <c r="B25" s="502" t="s">
        <v>35</v>
      </c>
      <c r="C25" s="400"/>
      <c r="D25" s="500">
        <f t="shared" ref="D25:D33" si="36">SUM(L25:W25)</f>
        <v>43686.23</v>
      </c>
      <c r="E25" s="449">
        <v>40187.5</v>
      </c>
      <c r="F25" s="449">
        <f t="shared" si="28"/>
        <v>3498.7300000000032</v>
      </c>
      <c r="G25" s="421">
        <f t="shared" ref="G25:G34" si="37">IFERROR(F25/ABS(E25),0)</f>
        <v>8.7060155520995414E-2</v>
      </c>
      <c r="H25" s="449">
        <v>40188</v>
      </c>
      <c r="I25" s="449">
        <f t="shared" ref="I25:I34" si="38">IFERROR(D25-H25,0)</f>
        <v>3498.2300000000032</v>
      </c>
      <c r="J25" s="426">
        <f t="shared" ref="J25:J34" si="39">IFERROR(I25/ABS(H25),0)</f>
        <v>8.7046630835075231E-2</v>
      </c>
      <c r="K25" s="421"/>
      <c r="L25" s="449">
        <v>0</v>
      </c>
      <c r="M25" s="449">
        <v>24546</v>
      </c>
      <c r="N25" s="449">
        <v>1560</v>
      </c>
      <c r="O25" s="449">
        <v>1470</v>
      </c>
      <c r="P25" s="449">
        <v>11598</v>
      </c>
      <c r="Q25" s="449">
        <v>4512.2300000000032</v>
      </c>
      <c r="R25" s="449">
        <v>0</v>
      </c>
      <c r="S25" s="449">
        <v>0</v>
      </c>
      <c r="T25" s="449">
        <v>0</v>
      </c>
      <c r="U25" s="449">
        <v>0</v>
      </c>
      <c r="V25" s="449">
        <v>0</v>
      </c>
      <c r="W25" s="449">
        <v>0</v>
      </c>
      <c r="X25" s="449"/>
      <c r="Y25" s="449">
        <f t="shared" ref="Y25:Y55" si="40">SUM(L25:W25)</f>
        <v>43686.23</v>
      </c>
      <c r="Z25" s="501"/>
      <c r="AA25" s="449">
        <f t="shared" si="29"/>
        <v>3349</v>
      </c>
      <c r="AB25" s="449">
        <f t="shared" si="29"/>
        <v>3349</v>
      </c>
      <c r="AC25" s="449">
        <f t="shared" si="29"/>
        <v>3349</v>
      </c>
      <c r="AD25" s="449">
        <f t="shared" si="29"/>
        <v>3349</v>
      </c>
      <c r="AE25" s="449">
        <f t="shared" si="29"/>
        <v>3349</v>
      </c>
      <c r="AF25" s="449">
        <f t="shared" si="29"/>
        <v>3349</v>
      </c>
      <c r="AG25" s="449">
        <f t="shared" si="29"/>
        <v>3349</v>
      </c>
      <c r="AH25" s="449">
        <f t="shared" si="29"/>
        <v>3349</v>
      </c>
      <c r="AI25" s="449">
        <f t="shared" si="29"/>
        <v>3349</v>
      </c>
      <c r="AJ25" s="449">
        <f t="shared" si="29"/>
        <v>3349</v>
      </c>
      <c r="AK25" s="449">
        <f t="shared" si="29"/>
        <v>3349</v>
      </c>
      <c r="AL25" s="449">
        <f t="shared" si="29"/>
        <v>3349</v>
      </c>
      <c r="AN25" s="500">
        <f t="shared" si="30"/>
        <v>43686.23</v>
      </c>
      <c r="AO25" s="449">
        <f t="shared" ref="AO25:AO33" si="41">SUM(BI25:BT25)</f>
        <v>48037.308329317253</v>
      </c>
      <c r="AP25" s="449">
        <f t="shared" si="31"/>
        <v>4351.0783293172499</v>
      </c>
      <c r="AQ25" s="453">
        <f t="shared" si="32"/>
        <v>9.9598393574296742E-2</v>
      </c>
      <c r="AR25" s="449">
        <f t="shared" ref="AR25:AR33" si="42">SUM(BI25:BT25)</f>
        <v>48037.308329317253</v>
      </c>
      <c r="AS25" s="449">
        <f t="shared" si="33"/>
        <v>0</v>
      </c>
      <c r="AT25" s="426">
        <f t="shared" ref="AT25:AT34" si="43">IFERROR(AS25/ABS(AR25),0)</f>
        <v>0</v>
      </c>
      <c r="AU25" s="421"/>
      <c r="AV25" s="449">
        <f t="shared" ref="AV25:AV33" si="44">BI25</f>
        <v>0</v>
      </c>
      <c r="AW25" s="449">
        <f t="shared" si="34"/>
        <v>25000</v>
      </c>
      <c r="AX25" s="449">
        <f t="shared" si="34"/>
        <v>2303.7308329317266</v>
      </c>
      <c r="AY25" s="449">
        <f t="shared" si="34"/>
        <v>2303.7308329317266</v>
      </c>
      <c r="AZ25" s="449">
        <f t="shared" si="34"/>
        <v>2303.7308329317266</v>
      </c>
      <c r="BA25" s="449">
        <f t="shared" si="34"/>
        <v>2303.7308329317266</v>
      </c>
      <c r="BB25" s="449">
        <f t="shared" si="34"/>
        <v>2303.7308329317266</v>
      </c>
      <c r="BC25" s="449">
        <f t="shared" si="34"/>
        <v>2303.7308329317266</v>
      </c>
      <c r="BD25" s="449">
        <f t="shared" si="34"/>
        <v>2303.7308329317266</v>
      </c>
      <c r="BE25" s="449">
        <f t="shared" si="34"/>
        <v>2303.7308329317266</v>
      </c>
      <c r="BF25" s="449">
        <f t="shared" si="34"/>
        <v>2303.7308329317266</v>
      </c>
      <c r="BG25" s="449">
        <f t="shared" si="34"/>
        <v>2303.7308329317266</v>
      </c>
      <c r="BH25" s="400"/>
      <c r="BI25" s="449">
        <v>0</v>
      </c>
      <c r="BJ25" s="449">
        <v>25000</v>
      </c>
      <c r="BK25" s="449">
        <f t="shared" ref="BK25:BT25" si="45">IFERROR(((($D25/$H$5)*BK$5)-25000)/10,0)</f>
        <v>2303.7308329317266</v>
      </c>
      <c r="BL25" s="449">
        <f t="shared" si="45"/>
        <v>2303.7308329317266</v>
      </c>
      <c r="BM25" s="449">
        <f t="shared" si="45"/>
        <v>2303.7308329317266</v>
      </c>
      <c r="BN25" s="449">
        <f t="shared" si="45"/>
        <v>2303.7308329317266</v>
      </c>
      <c r="BO25" s="449">
        <f t="shared" si="45"/>
        <v>2303.7308329317266</v>
      </c>
      <c r="BP25" s="449">
        <f t="shared" si="45"/>
        <v>2303.7308329317266</v>
      </c>
      <c r="BQ25" s="449">
        <f t="shared" si="45"/>
        <v>2303.7308329317266</v>
      </c>
      <c r="BR25" s="449">
        <f t="shared" si="45"/>
        <v>2303.7308329317266</v>
      </c>
      <c r="BS25" s="449">
        <f t="shared" si="45"/>
        <v>2303.7308329317266</v>
      </c>
      <c r="BT25" s="449">
        <f t="shared" si="45"/>
        <v>2303.7308329317266</v>
      </c>
    </row>
    <row r="26" spans="1:73" ht="15" x14ac:dyDescent="0.25">
      <c r="A26" s="502" t="s">
        <v>36</v>
      </c>
      <c r="B26" s="502" t="s">
        <v>37</v>
      </c>
      <c r="C26" s="400"/>
      <c r="D26" s="500">
        <f t="shared" si="36"/>
        <v>30000</v>
      </c>
      <c r="E26" s="449">
        <v>24112.5</v>
      </c>
      <c r="F26" s="449">
        <f t="shared" si="28"/>
        <v>5887.5</v>
      </c>
      <c r="G26" s="421">
        <f t="shared" si="37"/>
        <v>0.24416796267496113</v>
      </c>
      <c r="H26" s="449">
        <v>30000</v>
      </c>
      <c r="I26" s="449">
        <f t="shared" si="38"/>
        <v>0</v>
      </c>
      <c r="J26" s="426">
        <f t="shared" si="39"/>
        <v>0</v>
      </c>
      <c r="K26" s="421"/>
      <c r="L26" s="449">
        <v>0</v>
      </c>
      <c r="M26" s="449">
        <v>530</v>
      </c>
      <c r="N26" s="449">
        <v>12800</v>
      </c>
      <c r="O26" s="449">
        <v>7185.5</v>
      </c>
      <c r="P26" s="449">
        <v>1095</v>
      </c>
      <c r="Q26" s="449">
        <v>4725.5499999999993</v>
      </c>
      <c r="R26" s="449">
        <f>($H26-SUM($L26:Q26))/R$694</f>
        <v>610.65833333333342</v>
      </c>
      <c r="S26" s="449">
        <f>($H26-SUM($L26:R26))/S$694</f>
        <v>610.65833333333353</v>
      </c>
      <c r="T26" s="449">
        <f>($H26-SUM($L26:S26))/T$694</f>
        <v>610.65833333333376</v>
      </c>
      <c r="U26" s="449">
        <f>($H26-SUM($L26:T26))/U$694</f>
        <v>610.6583333333341</v>
      </c>
      <c r="V26" s="449">
        <f>($H26-SUM($L26:U26))/V$694</f>
        <v>610.65833333333467</v>
      </c>
      <c r="W26" s="449">
        <f>($H26-SUM($L26:V26))/W$694</f>
        <v>610.65833333333285</v>
      </c>
      <c r="X26" s="449"/>
      <c r="Y26" s="449">
        <f t="shared" si="40"/>
        <v>30000</v>
      </c>
      <c r="Z26" s="501"/>
      <c r="AA26" s="449">
        <f t="shared" si="29"/>
        <v>2500</v>
      </c>
      <c r="AB26" s="449">
        <f t="shared" si="29"/>
        <v>2500</v>
      </c>
      <c r="AC26" s="449">
        <f t="shared" si="29"/>
        <v>2500</v>
      </c>
      <c r="AD26" s="449">
        <f t="shared" si="29"/>
        <v>2500</v>
      </c>
      <c r="AE26" s="449">
        <f t="shared" si="29"/>
        <v>2500</v>
      </c>
      <c r="AF26" s="449">
        <f t="shared" si="29"/>
        <v>2500</v>
      </c>
      <c r="AG26" s="449">
        <f t="shared" si="29"/>
        <v>2500</v>
      </c>
      <c r="AH26" s="449">
        <f t="shared" si="29"/>
        <v>2500</v>
      </c>
      <c r="AI26" s="449">
        <f t="shared" si="29"/>
        <v>2500</v>
      </c>
      <c r="AJ26" s="449">
        <f t="shared" si="29"/>
        <v>2500</v>
      </c>
      <c r="AK26" s="449">
        <f t="shared" si="29"/>
        <v>2500</v>
      </c>
      <c r="AL26" s="449">
        <f t="shared" si="29"/>
        <v>2500</v>
      </c>
      <c r="AN26" s="500">
        <f t="shared" si="30"/>
        <v>30000</v>
      </c>
      <c r="AO26" s="449">
        <f t="shared" si="41"/>
        <v>44999.951807228907</v>
      </c>
      <c r="AP26" s="449">
        <f t="shared" si="31"/>
        <v>14999.951807228907</v>
      </c>
      <c r="AQ26" s="453">
        <f t="shared" si="32"/>
        <v>0.49999839357429687</v>
      </c>
      <c r="AR26" s="449">
        <f t="shared" si="42"/>
        <v>44999.951807228907</v>
      </c>
      <c r="AS26" s="449">
        <f t="shared" si="33"/>
        <v>0</v>
      </c>
      <c r="AT26" s="426">
        <f t="shared" si="43"/>
        <v>0</v>
      </c>
      <c r="AU26" s="421"/>
      <c r="AV26" s="449">
        <f t="shared" si="44"/>
        <v>0</v>
      </c>
      <c r="AW26" s="449">
        <f t="shared" si="34"/>
        <v>7002.9047097480834</v>
      </c>
      <c r="AX26" s="449">
        <f t="shared" si="34"/>
        <v>2998.904709748083</v>
      </c>
      <c r="AY26" s="449">
        <f t="shared" si="34"/>
        <v>2998.904709748083</v>
      </c>
      <c r="AZ26" s="449">
        <f t="shared" si="34"/>
        <v>7002.9047097480834</v>
      </c>
      <c r="BA26" s="449">
        <f t="shared" si="34"/>
        <v>2998.904709748083</v>
      </c>
      <c r="BB26" s="449">
        <f t="shared" si="34"/>
        <v>2998.904709748083</v>
      </c>
      <c r="BC26" s="449">
        <f t="shared" si="34"/>
        <v>7002.9047097480834</v>
      </c>
      <c r="BD26" s="449">
        <f t="shared" si="34"/>
        <v>2998.904709748083</v>
      </c>
      <c r="BE26" s="449">
        <f t="shared" si="34"/>
        <v>2998.904709748083</v>
      </c>
      <c r="BF26" s="449">
        <f t="shared" si="34"/>
        <v>2998.904709748083</v>
      </c>
      <c r="BG26" s="449">
        <f t="shared" si="34"/>
        <v>2998.904709748083</v>
      </c>
      <c r="BH26" s="400"/>
      <c r="BI26" s="449">
        <v>0</v>
      </c>
      <c r="BJ26" s="449">
        <f>IFERROR((($H26/$H$5)*BJ$5)/11,0)+4004</f>
        <v>7002.9047097480834</v>
      </c>
      <c r="BK26" s="449">
        <f>IFERROR((($H26/$H$5)*BK$5)/11,0)</f>
        <v>2998.904709748083</v>
      </c>
      <c r="BL26" s="449">
        <f>IFERROR((($H26/$H$5)*BL$5)/11,0)</f>
        <v>2998.904709748083</v>
      </c>
      <c r="BM26" s="449">
        <f>IFERROR((($H26/$H$5)*BM$5)/11,0)+4004</f>
        <v>7002.9047097480834</v>
      </c>
      <c r="BN26" s="449">
        <f>IFERROR((($H26/$H$5)*BN$5)/11,0)</f>
        <v>2998.904709748083</v>
      </c>
      <c r="BO26" s="449">
        <f>IFERROR((($H26/$H$5)*BO$5)/11,0)</f>
        <v>2998.904709748083</v>
      </c>
      <c r="BP26" s="449">
        <f>IFERROR((($H26/$H$5)*BP$5)/11,0)+4004</f>
        <v>7002.9047097480834</v>
      </c>
      <c r="BQ26" s="449">
        <f t="shared" ref="BQ26:BT27" si="46">IFERROR((($H26/$H$5)*BQ$5)/11,0)</f>
        <v>2998.904709748083</v>
      </c>
      <c r="BR26" s="449">
        <f t="shared" si="46"/>
        <v>2998.904709748083</v>
      </c>
      <c r="BS26" s="449">
        <f t="shared" si="46"/>
        <v>2998.904709748083</v>
      </c>
      <c r="BT26" s="449">
        <f t="shared" si="46"/>
        <v>2998.904709748083</v>
      </c>
    </row>
    <row r="27" spans="1:73" ht="15" x14ac:dyDescent="0.25">
      <c r="A27" s="502" t="s">
        <v>38</v>
      </c>
      <c r="B27" s="502" t="s">
        <v>39</v>
      </c>
      <c r="C27" s="400"/>
      <c r="D27" s="500">
        <f t="shared" si="36"/>
        <v>24113</v>
      </c>
      <c r="E27" s="449">
        <v>24112.5</v>
      </c>
      <c r="F27" s="449">
        <f t="shared" si="28"/>
        <v>0.5</v>
      </c>
      <c r="G27" s="421">
        <f t="shared" si="37"/>
        <v>2.0736132711249351E-5</v>
      </c>
      <c r="H27" s="449">
        <v>24113</v>
      </c>
      <c r="I27" s="449">
        <f t="shared" si="38"/>
        <v>0</v>
      </c>
      <c r="J27" s="426">
        <f t="shared" si="39"/>
        <v>0</v>
      </c>
      <c r="K27" s="421"/>
      <c r="L27" s="449">
        <v>0</v>
      </c>
      <c r="M27" s="449">
        <v>0</v>
      </c>
      <c r="N27" s="449">
        <v>0</v>
      </c>
      <c r="O27" s="449">
        <v>4636.3</v>
      </c>
      <c r="P27" s="449">
        <v>0</v>
      </c>
      <c r="Q27" s="449">
        <v>0</v>
      </c>
      <c r="R27" s="449">
        <f>($H27-SUM($L27:Q27))/R$694</f>
        <v>3246.1166666666668</v>
      </c>
      <c r="S27" s="449">
        <f>($H27-SUM($L27:R27))/S$694</f>
        <v>3246.1166666666663</v>
      </c>
      <c r="T27" s="449">
        <f>($H27-SUM($L27:S27))/T$694</f>
        <v>3246.1166666666668</v>
      </c>
      <c r="U27" s="449">
        <f>($H27-SUM($L27:T27))/U$694</f>
        <v>3246.1166666666668</v>
      </c>
      <c r="V27" s="449">
        <f>($H27-SUM($L27:U27))/V$694</f>
        <v>3246.1166666666668</v>
      </c>
      <c r="W27" s="449">
        <f>($H27-SUM($L27:V27))/W$694</f>
        <v>3246.1166666666686</v>
      </c>
      <c r="X27" s="449"/>
      <c r="Y27" s="449">
        <f t="shared" si="40"/>
        <v>24113</v>
      </c>
      <c r="Z27" s="501"/>
      <c r="AA27" s="449">
        <f t="shared" si="29"/>
        <v>2009.4166666666667</v>
      </c>
      <c r="AB27" s="449">
        <f t="shared" si="29"/>
        <v>2009.4166666666667</v>
      </c>
      <c r="AC27" s="449">
        <f t="shared" si="29"/>
        <v>2009.4166666666667</v>
      </c>
      <c r="AD27" s="449">
        <f t="shared" si="29"/>
        <v>2009.4166666666667</v>
      </c>
      <c r="AE27" s="449">
        <f t="shared" si="29"/>
        <v>2009.4166666666667</v>
      </c>
      <c r="AF27" s="449">
        <f t="shared" si="29"/>
        <v>2009.4166666666667</v>
      </c>
      <c r="AG27" s="449">
        <f t="shared" si="29"/>
        <v>2009.4166666666667</v>
      </c>
      <c r="AH27" s="449">
        <f t="shared" si="29"/>
        <v>2009.4166666666667</v>
      </c>
      <c r="AI27" s="449">
        <f t="shared" si="29"/>
        <v>2009.4166666666667</v>
      </c>
      <c r="AJ27" s="449">
        <f t="shared" si="29"/>
        <v>2009.4166666666667</v>
      </c>
      <c r="AK27" s="449">
        <f t="shared" si="29"/>
        <v>2009.4166666666667</v>
      </c>
      <c r="AL27" s="449">
        <f t="shared" si="29"/>
        <v>2009.4166666666667</v>
      </c>
      <c r="AN27" s="500">
        <f t="shared" si="30"/>
        <v>24113</v>
      </c>
      <c r="AO27" s="449">
        <f t="shared" si="41"/>
        <v>26514.616064257025</v>
      </c>
      <c r="AP27" s="449">
        <f t="shared" si="31"/>
        <v>2401.6160642570248</v>
      </c>
      <c r="AQ27" s="453">
        <f t="shared" si="32"/>
        <v>9.9598393574297048E-2</v>
      </c>
      <c r="AR27" s="449">
        <f t="shared" si="42"/>
        <v>26514.616064257025</v>
      </c>
      <c r="AS27" s="449">
        <f t="shared" si="33"/>
        <v>0</v>
      </c>
      <c r="AT27" s="426">
        <f t="shared" si="43"/>
        <v>0</v>
      </c>
      <c r="AU27" s="421"/>
      <c r="AV27" s="449">
        <f t="shared" si="44"/>
        <v>0</v>
      </c>
      <c r="AW27" s="449">
        <f t="shared" si="34"/>
        <v>2410.4196422051846</v>
      </c>
      <c r="AX27" s="449">
        <f t="shared" si="34"/>
        <v>2410.4196422051846</v>
      </c>
      <c r="AY27" s="449">
        <f t="shared" si="34"/>
        <v>2410.4196422051846</v>
      </c>
      <c r="AZ27" s="449">
        <f t="shared" si="34"/>
        <v>2410.4196422051846</v>
      </c>
      <c r="BA27" s="449">
        <f t="shared" si="34"/>
        <v>2410.4196422051846</v>
      </c>
      <c r="BB27" s="449">
        <f t="shared" si="34"/>
        <v>2410.4196422051846</v>
      </c>
      <c r="BC27" s="449">
        <f t="shared" si="34"/>
        <v>2410.4196422051846</v>
      </c>
      <c r="BD27" s="449">
        <f t="shared" si="34"/>
        <v>2410.4196422051846</v>
      </c>
      <c r="BE27" s="449">
        <f t="shared" si="34"/>
        <v>2410.4196422051846</v>
      </c>
      <c r="BF27" s="449">
        <f t="shared" si="34"/>
        <v>2410.4196422051846</v>
      </c>
      <c r="BG27" s="449">
        <f t="shared" si="34"/>
        <v>2410.4196422051846</v>
      </c>
      <c r="BH27" s="400"/>
      <c r="BI27" s="449">
        <v>0</v>
      </c>
      <c r="BJ27" s="449">
        <f>IFERROR((($H27/$H$5)*BJ$5)/11,0)</f>
        <v>2410.4196422051846</v>
      </c>
      <c r="BK27" s="449">
        <f>IFERROR((($H27/$H$5)*BK$5)/11,0)</f>
        <v>2410.4196422051846</v>
      </c>
      <c r="BL27" s="449">
        <f>IFERROR((($H27/$H$5)*BL$5)/11,0)</f>
        <v>2410.4196422051846</v>
      </c>
      <c r="BM27" s="449">
        <f>IFERROR((($H27/$H$5)*BM$5)/11,0)</f>
        <v>2410.4196422051846</v>
      </c>
      <c r="BN27" s="449">
        <f>IFERROR((($H27/$H$5)*BN$5)/11,0)</f>
        <v>2410.4196422051846</v>
      </c>
      <c r="BO27" s="449">
        <f>IFERROR((($H27/$H$5)*BO$5)/11,0)</f>
        <v>2410.4196422051846</v>
      </c>
      <c r="BP27" s="449">
        <f>IFERROR((($H27/$H$5)*BP$5)/11,0)</f>
        <v>2410.4196422051846</v>
      </c>
      <c r="BQ27" s="449">
        <f t="shared" si="46"/>
        <v>2410.4196422051846</v>
      </c>
      <c r="BR27" s="449">
        <f t="shared" si="46"/>
        <v>2410.4196422051846</v>
      </c>
      <c r="BS27" s="449">
        <f t="shared" si="46"/>
        <v>2410.4196422051846</v>
      </c>
      <c r="BT27" s="449">
        <f t="shared" si="46"/>
        <v>2410.4196422051846</v>
      </c>
    </row>
    <row r="28" spans="1:73" ht="15" x14ac:dyDescent="0.25">
      <c r="A28" s="502" t="s">
        <v>40</v>
      </c>
      <c r="B28" s="502" t="s">
        <v>41</v>
      </c>
      <c r="C28" s="400"/>
      <c r="D28" s="500">
        <f t="shared" si="36"/>
        <v>129650</v>
      </c>
      <c r="E28" s="449">
        <v>222150</v>
      </c>
      <c r="F28" s="449">
        <f t="shared" si="28"/>
        <v>-92500</v>
      </c>
      <c r="G28" s="421">
        <f t="shared" si="37"/>
        <v>-0.41638532523069999</v>
      </c>
      <c r="H28" s="449">
        <v>129650</v>
      </c>
      <c r="I28" s="449">
        <f t="shared" si="38"/>
        <v>0</v>
      </c>
      <c r="J28" s="426">
        <f t="shared" si="39"/>
        <v>0</v>
      </c>
      <c r="K28" s="421"/>
      <c r="L28" s="449">
        <v>1950</v>
      </c>
      <c r="M28" s="449">
        <v>10948.26</v>
      </c>
      <c r="N28" s="449">
        <v>25021.93</v>
      </c>
      <c r="O28" s="449">
        <v>2610</v>
      </c>
      <c r="P28" s="449">
        <v>12793.259999999995</v>
      </c>
      <c r="Q28" s="449">
        <v>11303.260000000002</v>
      </c>
      <c r="R28" s="449">
        <f>($H28-SUM($L28:Q28))/R$694</f>
        <v>10837.215</v>
      </c>
      <c r="S28" s="449">
        <f>($H28-SUM($L28:R28))/S$694</f>
        <v>10837.215</v>
      </c>
      <c r="T28" s="449">
        <f>($H28-SUM($L28:S28))/T$694</f>
        <v>10837.215</v>
      </c>
      <c r="U28" s="449">
        <f>($H28-SUM($L28:T28))/U$694</f>
        <v>10837.215000000002</v>
      </c>
      <c r="V28" s="449">
        <f>($H28-SUM($L28:U28))/V$694</f>
        <v>10837.215000000004</v>
      </c>
      <c r="W28" s="449">
        <f>($H28-SUM($L28:V28))/W$694</f>
        <v>10837.214999999997</v>
      </c>
      <c r="X28" s="449"/>
      <c r="Y28" s="449">
        <f t="shared" si="40"/>
        <v>129650</v>
      </c>
      <c r="Z28" s="501"/>
      <c r="AA28" s="449">
        <f t="shared" si="29"/>
        <v>10804.166666666666</v>
      </c>
      <c r="AB28" s="449">
        <f t="shared" si="29"/>
        <v>10804.166666666666</v>
      </c>
      <c r="AC28" s="449">
        <f t="shared" si="29"/>
        <v>10804.166666666666</v>
      </c>
      <c r="AD28" s="449">
        <f t="shared" si="29"/>
        <v>10804.166666666666</v>
      </c>
      <c r="AE28" s="449">
        <f t="shared" si="29"/>
        <v>10804.166666666666</v>
      </c>
      <c r="AF28" s="449">
        <f t="shared" si="29"/>
        <v>10804.166666666666</v>
      </c>
      <c r="AG28" s="449">
        <f t="shared" si="29"/>
        <v>10804.166666666666</v>
      </c>
      <c r="AH28" s="449">
        <f t="shared" si="29"/>
        <v>10804.166666666666</v>
      </c>
      <c r="AI28" s="449">
        <f t="shared" si="29"/>
        <v>10804.166666666666</v>
      </c>
      <c r="AJ28" s="449">
        <f t="shared" si="29"/>
        <v>10804.166666666666</v>
      </c>
      <c r="AK28" s="449">
        <f t="shared" si="29"/>
        <v>10804.166666666666</v>
      </c>
      <c r="AL28" s="449">
        <f t="shared" si="29"/>
        <v>10804.166666666666</v>
      </c>
      <c r="AN28" s="500">
        <f t="shared" si="30"/>
        <v>129650</v>
      </c>
      <c r="AO28" s="449">
        <f t="shared" si="41"/>
        <v>136132.5</v>
      </c>
      <c r="AP28" s="449">
        <f t="shared" si="31"/>
        <v>6482.5</v>
      </c>
      <c r="AQ28" s="453">
        <f t="shared" si="32"/>
        <v>0.05</v>
      </c>
      <c r="AR28" s="449">
        <f t="shared" si="42"/>
        <v>136132.5</v>
      </c>
      <c r="AS28" s="449">
        <f t="shared" si="33"/>
        <v>0</v>
      </c>
      <c r="AT28" s="426">
        <f t="shared" si="43"/>
        <v>0</v>
      </c>
      <c r="AU28" s="421"/>
      <c r="AV28" s="449">
        <f t="shared" si="44"/>
        <v>11344.375</v>
      </c>
      <c r="AW28" s="449">
        <f t="shared" si="34"/>
        <v>11344.375</v>
      </c>
      <c r="AX28" s="449">
        <f t="shared" si="34"/>
        <v>11344.375</v>
      </c>
      <c r="AY28" s="449">
        <f t="shared" si="34"/>
        <v>11344.375</v>
      </c>
      <c r="AZ28" s="449">
        <f t="shared" si="34"/>
        <v>11344.375</v>
      </c>
      <c r="BA28" s="449">
        <f t="shared" si="34"/>
        <v>11344.375</v>
      </c>
      <c r="BB28" s="449">
        <f t="shared" si="34"/>
        <v>11344.375</v>
      </c>
      <c r="BC28" s="449">
        <f t="shared" si="34"/>
        <v>11344.375</v>
      </c>
      <c r="BD28" s="449">
        <f t="shared" si="34"/>
        <v>11344.375</v>
      </c>
      <c r="BE28" s="449">
        <f t="shared" si="34"/>
        <v>11344.375</v>
      </c>
      <c r="BF28" s="449">
        <f t="shared" si="34"/>
        <v>11344.375</v>
      </c>
      <c r="BG28" s="449">
        <f t="shared" si="34"/>
        <v>11344.375</v>
      </c>
      <c r="BH28" s="400"/>
      <c r="BI28" s="449">
        <f>IFERROR($H28/12,0)*1.05</f>
        <v>11344.375</v>
      </c>
      <c r="BJ28" s="449">
        <f t="shared" ref="BJ28:BT28" si="47">IFERROR($H28/12,0)*1.05</f>
        <v>11344.375</v>
      </c>
      <c r="BK28" s="449">
        <f t="shared" si="47"/>
        <v>11344.375</v>
      </c>
      <c r="BL28" s="449">
        <f t="shared" si="47"/>
        <v>11344.375</v>
      </c>
      <c r="BM28" s="449">
        <f t="shared" si="47"/>
        <v>11344.375</v>
      </c>
      <c r="BN28" s="449">
        <f t="shared" si="47"/>
        <v>11344.375</v>
      </c>
      <c r="BO28" s="449">
        <f t="shared" si="47"/>
        <v>11344.375</v>
      </c>
      <c r="BP28" s="449">
        <f t="shared" si="47"/>
        <v>11344.375</v>
      </c>
      <c r="BQ28" s="449">
        <f t="shared" si="47"/>
        <v>11344.375</v>
      </c>
      <c r="BR28" s="449">
        <f t="shared" si="47"/>
        <v>11344.375</v>
      </c>
      <c r="BS28" s="449">
        <f t="shared" si="47"/>
        <v>11344.375</v>
      </c>
      <c r="BT28" s="449">
        <f t="shared" si="47"/>
        <v>11344.375</v>
      </c>
    </row>
    <row r="29" spans="1:73" ht="15" x14ac:dyDescent="0.25">
      <c r="A29" s="502" t="s">
        <v>42</v>
      </c>
      <c r="B29" s="502" t="s">
        <v>43</v>
      </c>
      <c r="C29" s="400"/>
      <c r="D29" s="500">
        <f t="shared" si="36"/>
        <v>239290.05</v>
      </c>
      <c r="E29" s="449">
        <v>45000</v>
      </c>
      <c r="F29" s="449">
        <f t="shared" si="28"/>
        <v>194290.05</v>
      </c>
      <c r="G29" s="421">
        <f t="shared" si="37"/>
        <v>4.3175566666666665</v>
      </c>
      <c r="H29" s="449">
        <v>202000</v>
      </c>
      <c r="I29" s="449">
        <f t="shared" si="38"/>
        <v>37290.049999999988</v>
      </c>
      <c r="J29" s="426">
        <f t="shared" si="39"/>
        <v>0.18460420792079202</v>
      </c>
      <c r="K29" s="421"/>
      <c r="L29" s="449">
        <v>0</v>
      </c>
      <c r="M29" s="449">
        <v>0</v>
      </c>
      <c r="N29" s="449">
        <v>167313.9</v>
      </c>
      <c r="O29" s="449">
        <v>67750</v>
      </c>
      <c r="P29" s="449">
        <v>170</v>
      </c>
      <c r="Q29" s="449">
        <v>4056.1499999999942</v>
      </c>
      <c r="R29" s="449">
        <v>0</v>
      </c>
      <c r="S29" s="449">
        <v>0</v>
      </c>
      <c r="T29" s="449">
        <v>0</v>
      </c>
      <c r="U29" s="449">
        <v>0</v>
      </c>
      <c r="V29" s="449">
        <v>0</v>
      </c>
      <c r="W29" s="449">
        <v>0</v>
      </c>
      <c r="X29" s="449"/>
      <c r="Y29" s="449">
        <f t="shared" si="40"/>
        <v>239290.05</v>
      </c>
      <c r="Z29" s="501"/>
      <c r="AA29" s="449">
        <f t="shared" si="29"/>
        <v>16833.333333333332</v>
      </c>
      <c r="AB29" s="449">
        <f t="shared" si="29"/>
        <v>16833.333333333332</v>
      </c>
      <c r="AC29" s="449">
        <f t="shared" si="29"/>
        <v>16833.333333333332</v>
      </c>
      <c r="AD29" s="449">
        <f t="shared" si="29"/>
        <v>16833.333333333332</v>
      </c>
      <c r="AE29" s="449">
        <f t="shared" si="29"/>
        <v>16833.333333333332</v>
      </c>
      <c r="AF29" s="449">
        <f t="shared" si="29"/>
        <v>16833.333333333332</v>
      </c>
      <c r="AG29" s="449">
        <f t="shared" si="29"/>
        <v>16833.333333333332</v>
      </c>
      <c r="AH29" s="449">
        <f t="shared" si="29"/>
        <v>16833.333333333332</v>
      </c>
      <c r="AI29" s="449">
        <f t="shared" si="29"/>
        <v>16833.333333333332</v>
      </c>
      <c r="AJ29" s="449">
        <f t="shared" si="29"/>
        <v>16833.333333333332</v>
      </c>
      <c r="AK29" s="449">
        <f t="shared" si="29"/>
        <v>16833.333333333332</v>
      </c>
      <c r="AL29" s="449">
        <f t="shared" si="29"/>
        <v>16833.333333333332</v>
      </c>
      <c r="AN29" s="500">
        <f t="shared" si="30"/>
        <v>239290.05</v>
      </c>
      <c r="AO29" s="449">
        <f t="shared" si="41"/>
        <v>152200</v>
      </c>
      <c r="AP29" s="449">
        <f t="shared" si="31"/>
        <v>-87090.049999999988</v>
      </c>
      <c r="AQ29" s="453">
        <f t="shared" si="32"/>
        <v>-0.36395182332069381</v>
      </c>
      <c r="AR29" s="449">
        <f t="shared" si="42"/>
        <v>152200</v>
      </c>
      <c r="AS29" s="449">
        <f t="shared" si="33"/>
        <v>0</v>
      </c>
      <c r="AT29" s="426">
        <f t="shared" si="43"/>
        <v>0</v>
      </c>
      <c r="AU29" s="421"/>
      <c r="AV29" s="449">
        <f t="shared" si="44"/>
        <v>27200</v>
      </c>
      <c r="AW29" s="449">
        <f t="shared" si="34"/>
        <v>60000</v>
      </c>
      <c r="AX29" s="449">
        <f t="shared" si="34"/>
        <v>0</v>
      </c>
      <c r="AY29" s="449">
        <f t="shared" si="34"/>
        <v>20000</v>
      </c>
      <c r="AZ29" s="449">
        <f t="shared" si="34"/>
        <v>0</v>
      </c>
      <c r="BA29" s="449">
        <f t="shared" si="34"/>
        <v>0</v>
      </c>
      <c r="BB29" s="449">
        <f t="shared" si="34"/>
        <v>0</v>
      </c>
      <c r="BC29" s="449">
        <f t="shared" si="34"/>
        <v>0</v>
      </c>
      <c r="BD29" s="449">
        <f t="shared" si="34"/>
        <v>45000</v>
      </c>
      <c r="BE29" s="449">
        <f t="shared" si="34"/>
        <v>0</v>
      </c>
      <c r="BF29" s="449">
        <f t="shared" si="34"/>
        <v>0</v>
      </c>
      <c r="BG29" s="449">
        <f t="shared" si="34"/>
        <v>0</v>
      </c>
      <c r="BH29" s="400"/>
      <c r="BI29" s="449">
        <v>27200</v>
      </c>
      <c r="BJ29" s="449">
        <v>60000</v>
      </c>
      <c r="BK29" s="449"/>
      <c r="BL29" s="449">
        <v>20000</v>
      </c>
      <c r="BM29" s="449"/>
      <c r="BN29" s="449"/>
      <c r="BO29" s="449"/>
      <c r="BP29" s="449"/>
      <c r="BQ29" s="449">
        <v>45000</v>
      </c>
      <c r="BR29" s="449"/>
      <c r="BS29" s="449"/>
      <c r="BT29" s="449"/>
    </row>
    <row r="30" spans="1:73" ht="15" x14ac:dyDescent="0.25">
      <c r="A30" s="502" t="s">
        <v>44</v>
      </c>
      <c r="B30" s="502" t="s">
        <v>45</v>
      </c>
      <c r="C30" s="400"/>
      <c r="D30" s="500">
        <f t="shared" si="36"/>
        <v>8758313</v>
      </c>
      <c r="E30" s="449">
        <v>8774789.7599999998</v>
      </c>
      <c r="F30" s="449">
        <f t="shared" si="28"/>
        <v>-16476.759999999776</v>
      </c>
      <c r="G30" s="421">
        <f t="shared" si="37"/>
        <v>-1.8777384359804623E-3</v>
      </c>
      <c r="H30" s="449">
        <v>8758313</v>
      </c>
      <c r="I30" s="449">
        <f t="shared" si="38"/>
        <v>0</v>
      </c>
      <c r="J30" s="426">
        <f t="shared" si="39"/>
        <v>0</v>
      </c>
      <c r="K30" s="421"/>
      <c r="L30" s="449">
        <v>728323.63</v>
      </c>
      <c r="M30" s="449">
        <v>729833.29999999993</v>
      </c>
      <c r="N30" s="449">
        <v>729078.4600000002</v>
      </c>
      <c r="O30" s="449">
        <v>729078.46</v>
      </c>
      <c r="P30" s="449">
        <v>729078.46999999974</v>
      </c>
      <c r="Q30" s="449">
        <v>742558.43000000017</v>
      </c>
      <c r="R30" s="449">
        <f>($H30-SUM($L30:Q30))/R$694</f>
        <v>728393.70833333337</v>
      </c>
      <c r="S30" s="449">
        <f>($H30-SUM($L30:R30))/S$694</f>
        <v>728393.70833333337</v>
      </c>
      <c r="T30" s="449">
        <f>($H30-SUM($L30:S30))/T$694</f>
        <v>728393.70833333349</v>
      </c>
      <c r="U30" s="449">
        <f>($H30-SUM($L30:T30))/U$694</f>
        <v>728393.70833333337</v>
      </c>
      <c r="V30" s="449">
        <f>($H30-SUM($L30:U30))/V$694</f>
        <v>728393.70833333349</v>
      </c>
      <c r="W30" s="449">
        <f>($H30-SUM($L30:V30))/W$694</f>
        <v>728393.70833333395</v>
      </c>
      <c r="X30" s="449"/>
      <c r="Y30" s="449">
        <f t="shared" si="40"/>
        <v>8758313</v>
      </c>
      <c r="Z30" s="501"/>
      <c r="AA30" s="449">
        <f t="shared" si="29"/>
        <v>729859.41666666663</v>
      </c>
      <c r="AB30" s="449">
        <f t="shared" si="29"/>
        <v>729859.41666666663</v>
      </c>
      <c r="AC30" s="449">
        <f t="shared" si="29"/>
        <v>729859.41666666663</v>
      </c>
      <c r="AD30" s="449">
        <f t="shared" si="29"/>
        <v>729859.41666666663</v>
      </c>
      <c r="AE30" s="449">
        <f t="shared" si="29"/>
        <v>729859.41666666663</v>
      </c>
      <c r="AF30" s="449">
        <f t="shared" si="29"/>
        <v>729859.41666666663</v>
      </c>
      <c r="AG30" s="449">
        <f t="shared" si="29"/>
        <v>729859.41666666663</v>
      </c>
      <c r="AH30" s="449">
        <f t="shared" si="29"/>
        <v>729859.41666666663</v>
      </c>
      <c r="AI30" s="449">
        <f t="shared" si="29"/>
        <v>729859.41666666663</v>
      </c>
      <c r="AJ30" s="449">
        <f t="shared" si="29"/>
        <v>729859.41666666663</v>
      </c>
      <c r="AK30" s="449">
        <f t="shared" si="29"/>
        <v>729859.41666666663</v>
      </c>
      <c r="AL30" s="449">
        <f t="shared" si="29"/>
        <v>729859.41666666663</v>
      </c>
      <c r="AN30" s="500">
        <f t="shared" si="30"/>
        <v>8758313</v>
      </c>
      <c r="AO30" s="449">
        <f t="shared" si="41"/>
        <v>9904740.5600000005</v>
      </c>
      <c r="AP30" s="449">
        <f t="shared" si="31"/>
        <v>1146427.5600000005</v>
      </c>
      <c r="AQ30" s="453">
        <f t="shared" si="32"/>
        <v>0.1308959339544043</v>
      </c>
      <c r="AR30" s="449">
        <f t="shared" si="42"/>
        <v>9904740.5600000005</v>
      </c>
      <c r="AS30" s="449">
        <f t="shared" si="33"/>
        <v>0</v>
      </c>
      <c r="AT30" s="426">
        <f t="shared" si="43"/>
        <v>0</v>
      </c>
      <c r="AU30" s="421"/>
      <c r="AV30" s="449">
        <f t="shared" si="44"/>
        <v>825395.04666666675</v>
      </c>
      <c r="AW30" s="449">
        <f t="shared" si="34"/>
        <v>825395.04666666675</v>
      </c>
      <c r="AX30" s="449">
        <f t="shared" si="34"/>
        <v>825395.04666666675</v>
      </c>
      <c r="AY30" s="449">
        <f t="shared" si="34"/>
        <v>825395.04666666675</v>
      </c>
      <c r="AZ30" s="449">
        <f t="shared" si="34"/>
        <v>825395.04666666675</v>
      </c>
      <c r="BA30" s="449">
        <f t="shared" si="34"/>
        <v>825395.04666666675</v>
      </c>
      <c r="BB30" s="449">
        <f t="shared" si="34"/>
        <v>825395.04666666675</v>
      </c>
      <c r="BC30" s="449">
        <f t="shared" si="34"/>
        <v>825395.04666666675</v>
      </c>
      <c r="BD30" s="449">
        <f t="shared" si="34"/>
        <v>825395.04666666675</v>
      </c>
      <c r="BE30" s="449">
        <f t="shared" si="34"/>
        <v>825395.04666666675</v>
      </c>
      <c r="BF30" s="449">
        <f t="shared" si="34"/>
        <v>825395.04666666675</v>
      </c>
      <c r="BG30" s="449">
        <f t="shared" si="34"/>
        <v>825395.04666666675</v>
      </c>
      <c r="BH30" s="400"/>
      <c r="BI30" s="449">
        <f t="shared" ref="BI30:BT30" si="48">(BI$6*BI$8)/12</f>
        <v>825395.04666666675</v>
      </c>
      <c r="BJ30" s="449">
        <f t="shared" si="48"/>
        <v>825395.04666666675</v>
      </c>
      <c r="BK30" s="449">
        <f t="shared" si="48"/>
        <v>825395.04666666675</v>
      </c>
      <c r="BL30" s="449">
        <f t="shared" si="48"/>
        <v>825395.04666666675</v>
      </c>
      <c r="BM30" s="449">
        <f t="shared" si="48"/>
        <v>825395.04666666675</v>
      </c>
      <c r="BN30" s="449">
        <f t="shared" si="48"/>
        <v>825395.04666666675</v>
      </c>
      <c r="BO30" s="449">
        <f t="shared" si="48"/>
        <v>825395.04666666675</v>
      </c>
      <c r="BP30" s="449">
        <f t="shared" si="48"/>
        <v>825395.04666666675</v>
      </c>
      <c r="BQ30" s="449">
        <f t="shared" si="48"/>
        <v>825395.04666666675</v>
      </c>
      <c r="BR30" s="449">
        <f t="shared" si="48"/>
        <v>825395.04666666675</v>
      </c>
      <c r="BS30" s="449">
        <f t="shared" si="48"/>
        <v>825395.04666666675</v>
      </c>
      <c r="BT30" s="449">
        <f t="shared" si="48"/>
        <v>825395.04666666675</v>
      </c>
    </row>
    <row r="31" spans="1:73" ht="15" x14ac:dyDescent="0.25">
      <c r="A31" s="502" t="s">
        <v>46</v>
      </c>
      <c r="B31" s="502" t="s">
        <v>47</v>
      </c>
      <c r="C31" s="400"/>
      <c r="D31" s="500">
        <f t="shared" si="36"/>
        <v>700684</v>
      </c>
      <c r="E31" s="449">
        <v>604000</v>
      </c>
      <c r="F31" s="449">
        <f t="shared" si="28"/>
        <v>96684</v>
      </c>
      <c r="G31" s="421">
        <f t="shared" si="37"/>
        <v>0.16007284768211921</v>
      </c>
      <c r="H31" s="449">
        <v>700684</v>
      </c>
      <c r="I31" s="449">
        <f t="shared" si="38"/>
        <v>0</v>
      </c>
      <c r="J31" s="426">
        <f t="shared" si="39"/>
        <v>0</v>
      </c>
      <c r="K31" s="421"/>
      <c r="L31" s="449">
        <v>0</v>
      </c>
      <c r="M31" s="449">
        <v>0</v>
      </c>
      <c r="N31" s="449">
        <v>0</v>
      </c>
      <c r="O31" s="449">
        <v>0</v>
      </c>
      <c r="P31" s="449">
        <v>0</v>
      </c>
      <c r="Q31" s="449">
        <v>128610.41</v>
      </c>
      <c r="R31" s="449">
        <f>($H31-SUM($L31:Q31))/R$694</f>
        <v>95345.598333333328</v>
      </c>
      <c r="S31" s="449">
        <f>($H31-SUM($L31:R31))/S$694</f>
        <v>95345.598333333342</v>
      </c>
      <c r="T31" s="449">
        <f>($H31-SUM($L31:S31))/T$694</f>
        <v>95345.598333333328</v>
      </c>
      <c r="U31" s="449">
        <f>($H31-SUM($L31:T31))/U$694</f>
        <v>95345.598333333328</v>
      </c>
      <c r="V31" s="449">
        <f>($H31-SUM($L31:U31))/V$694</f>
        <v>95345.598333333328</v>
      </c>
      <c r="W31" s="449">
        <f>($H31-SUM($L31:V31))/W$694</f>
        <v>95345.598333333386</v>
      </c>
      <c r="X31" s="449"/>
      <c r="Y31" s="449">
        <f t="shared" si="40"/>
        <v>700684</v>
      </c>
      <c r="Z31" s="501"/>
      <c r="AA31" s="449">
        <f t="shared" si="29"/>
        <v>58390.333333333336</v>
      </c>
      <c r="AB31" s="449">
        <f t="shared" si="29"/>
        <v>58390.333333333336</v>
      </c>
      <c r="AC31" s="449">
        <f t="shared" si="29"/>
        <v>58390.333333333336</v>
      </c>
      <c r="AD31" s="449">
        <f t="shared" si="29"/>
        <v>58390.333333333336</v>
      </c>
      <c r="AE31" s="449">
        <f t="shared" si="29"/>
        <v>58390.333333333336</v>
      </c>
      <c r="AF31" s="449">
        <f t="shared" si="29"/>
        <v>58390.333333333336</v>
      </c>
      <c r="AG31" s="449">
        <f t="shared" si="29"/>
        <v>58390.333333333336</v>
      </c>
      <c r="AH31" s="449">
        <f t="shared" si="29"/>
        <v>58390.333333333336</v>
      </c>
      <c r="AI31" s="449">
        <f t="shared" si="29"/>
        <v>58390.333333333336</v>
      </c>
      <c r="AJ31" s="449">
        <f t="shared" si="29"/>
        <v>58390.333333333336</v>
      </c>
      <c r="AK31" s="449">
        <f t="shared" si="29"/>
        <v>58390.333333333336</v>
      </c>
      <c r="AL31" s="449">
        <f t="shared" si="29"/>
        <v>58390.333333333336</v>
      </c>
      <c r="AN31" s="500">
        <f t="shared" si="30"/>
        <v>700684</v>
      </c>
      <c r="AO31" s="449">
        <f>SUM(BI31:BT31)</f>
        <v>0</v>
      </c>
      <c r="AP31" s="449">
        <f t="shared" si="31"/>
        <v>-700684</v>
      </c>
      <c r="AQ31" s="453">
        <f t="shared" si="32"/>
        <v>-1</v>
      </c>
      <c r="AR31" s="449">
        <f t="shared" si="42"/>
        <v>0</v>
      </c>
      <c r="AS31" s="449">
        <f t="shared" si="33"/>
        <v>0</v>
      </c>
      <c r="AT31" s="426">
        <f t="shared" si="43"/>
        <v>0</v>
      </c>
      <c r="AU31" s="421"/>
      <c r="AV31" s="449">
        <f t="shared" si="44"/>
        <v>0</v>
      </c>
      <c r="AW31" s="449">
        <f t="shared" si="34"/>
        <v>0</v>
      </c>
      <c r="AX31" s="449">
        <f t="shared" si="34"/>
        <v>0</v>
      </c>
      <c r="AY31" s="449">
        <f t="shared" si="34"/>
        <v>0</v>
      </c>
      <c r="AZ31" s="449">
        <f t="shared" si="34"/>
        <v>0</v>
      </c>
      <c r="BA31" s="449">
        <f t="shared" si="34"/>
        <v>0</v>
      </c>
      <c r="BB31" s="449">
        <f t="shared" si="34"/>
        <v>0</v>
      </c>
      <c r="BC31" s="449">
        <f t="shared" si="34"/>
        <v>0</v>
      </c>
      <c r="BD31" s="449">
        <f t="shared" si="34"/>
        <v>0</v>
      </c>
      <c r="BE31" s="449">
        <f t="shared" si="34"/>
        <v>0</v>
      </c>
      <c r="BF31" s="449">
        <f t="shared" si="34"/>
        <v>0</v>
      </c>
      <c r="BG31" s="449">
        <f t="shared" si="34"/>
        <v>0</v>
      </c>
      <c r="BH31" s="400"/>
      <c r="BI31" s="449">
        <f>IFERROR((#REF!)/12,0)</f>
        <v>0</v>
      </c>
      <c r="BJ31" s="449">
        <f>IFERROR((#REF!)/12,0)</f>
        <v>0</v>
      </c>
      <c r="BK31" s="449">
        <f>IFERROR((#REF!)/12,0)</f>
        <v>0</v>
      </c>
      <c r="BL31" s="449">
        <f>IFERROR((#REF!)/12,0)</f>
        <v>0</v>
      </c>
      <c r="BM31" s="449">
        <f>IFERROR((#REF!)/12,0)</f>
        <v>0</v>
      </c>
      <c r="BN31" s="449">
        <f>IFERROR((#REF!)/12,0)</f>
        <v>0</v>
      </c>
      <c r="BO31" s="449">
        <f>IFERROR((#REF!)/12,0)</f>
        <v>0</v>
      </c>
      <c r="BP31" s="449">
        <f>IFERROR((#REF!)/12,0)</f>
        <v>0</v>
      </c>
      <c r="BQ31" s="449">
        <f>IFERROR((#REF!)/12,0)</f>
        <v>0</v>
      </c>
      <c r="BR31" s="449">
        <f>IFERROR((#REF!)/12,0)</f>
        <v>0</v>
      </c>
      <c r="BS31" s="449">
        <f>IFERROR((#REF!)/12,0)</f>
        <v>0</v>
      </c>
      <c r="BT31" s="449">
        <f>IFERROR((#REF!)/12,0)</f>
        <v>0</v>
      </c>
    </row>
    <row r="32" spans="1:73" ht="15" x14ac:dyDescent="0.25">
      <c r="A32" s="502" t="s">
        <v>48</v>
      </c>
      <c r="B32" s="502" t="s">
        <v>49</v>
      </c>
      <c r="C32" s="400"/>
      <c r="D32" s="500">
        <f t="shared" si="36"/>
        <v>26350.44</v>
      </c>
      <c r="E32" s="449">
        <v>0</v>
      </c>
      <c r="F32" s="449">
        <f t="shared" si="28"/>
        <v>26350.44</v>
      </c>
      <c r="G32" s="421">
        <f t="shared" si="37"/>
        <v>0</v>
      </c>
      <c r="H32" s="449">
        <v>0</v>
      </c>
      <c r="I32" s="449">
        <f t="shared" si="38"/>
        <v>26350.44</v>
      </c>
      <c r="J32" s="426">
        <f t="shared" si="39"/>
        <v>0</v>
      </c>
      <c r="K32" s="421"/>
      <c r="L32" s="449">
        <v>0</v>
      </c>
      <c r="M32" s="449">
        <v>26350.44</v>
      </c>
      <c r="N32" s="449">
        <v>0</v>
      </c>
      <c r="O32" s="449">
        <v>0</v>
      </c>
      <c r="P32" s="449">
        <v>0</v>
      </c>
      <c r="Q32" s="449">
        <v>0</v>
      </c>
      <c r="R32" s="449">
        <v>0</v>
      </c>
      <c r="S32" s="449">
        <v>0</v>
      </c>
      <c r="T32" s="449">
        <v>0</v>
      </c>
      <c r="U32" s="449">
        <v>0</v>
      </c>
      <c r="V32" s="449">
        <v>0</v>
      </c>
      <c r="W32" s="449">
        <v>0</v>
      </c>
      <c r="X32" s="449"/>
      <c r="Y32" s="449">
        <f t="shared" si="40"/>
        <v>26350.44</v>
      </c>
      <c r="Z32" s="501"/>
      <c r="AA32" s="449">
        <f t="shared" si="29"/>
        <v>0</v>
      </c>
      <c r="AB32" s="449">
        <f t="shared" si="29"/>
        <v>0</v>
      </c>
      <c r="AC32" s="449">
        <f t="shared" si="29"/>
        <v>0</v>
      </c>
      <c r="AD32" s="449">
        <f t="shared" si="29"/>
        <v>0</v>
      </c>
      <c r="AE32" s="449">
        <f t="shared" si="29"/>
        <v>0</v>
      </c>
      <c r="AF32" s="449">
        <f t="shared" si="29"/>
        <v>0</v>
      </c>
      <c r="AG32" s="449">
        <f t="shared" si="29"/>
        <v>0</v>
      </c>
      <c r="AH32" s="449">
        <f t="shared" si="29"/>
        <v>0</v>
      </c>
      <c r="AI32" s="449">
        <f t="shared" si="29"/>
        <v>0</v>
      </c>
      <c r="AJ32" s="449">
        <f t="shared" si="29"/>
        <v>0</v>
      </c>
      <c r="AK32" s="449">
        <f t="shared" si="29"/>
        <v>0</v>
      </c>
      <c r="AL32" s="449">
        <f t="shared" si="29"/>
        <v>0</v>
      </c>
      <c r="AN32" s="500">
        <f t="shared" si="30"/>
        <v>26350.44</v>
      </c>
      <c r="AO32" s="449">
        <f t="shared" si="41"/>
        <v>0</v>
      </c>
      <c r="AP32" s="449">
        <f t="shared" si="31"/>
        <v>-26350.44</v>
      </c>
      <c r="AQ32" s="453">
        <f t="shared" si="32"/>
        <v>-1</v>
      </c>
      <c r="AR32" s="449">
        <f t="shared" si="42"/>
        <v>0</v>
      </c>
      <c r="AS32" s="449">
        <f t="shared" si="33"/>
        <v>0</v>
      </c>
      <c r="AT32" s="426">
        <f t="shared" si="43"/>
        <v>0</v>
      </c>
      <c r="AU32" s="421"/>
      <c r="AV32" s="449">
        <f t="shared" si="44"/>
        <v>0</v>
      </c>
      <c r="AW32" s="449">
        <f t="shared" si="34"/>
        <v>0</v>
      </c>
      <c r="AX32" s="449">
        <f t="shared" si="34"/>
        <v>0</v>
      </c>
      <c r="AY32" s="449">
        <f t="shared" si="34"/>
        <v>0</v>
      </c>
      <c r="AZ32" s="449">
        <f t="shared" si="34"/>
        <v>0</v>
      </c>
      <c r="BA32" s="449">
        <f t="shared" si="34"/>
        <v>0</v>
      </c>
      <c r="BB32" s="449">
        <f t="shared" si="34"/>
        <v>0</v>
      </c>
      <c r="BC32" s="449">
        <f t="shared" si="34"/>
        <v>0</v>
      </c>
      <c r="BD32" s="449">
        <f t="shared" si="34"/>
        <v>0</v>
      </c>
      <c r="BE32" s="449">
        <f t="shared" si="34"/>
        <v>0</v>
      </c>
      <c r="BF32" s="449">
        <f t="shared" si="34"/>
        <v>0</v>
      </c>
      <c r="BG32" s="449">
        <f t="shared" si="34"/>
        <v>0</v>
      </c>
      <c r="BH32" s="400"/>
      <c r="BI32" s="449">
        <v>0</v>
      </c>
      <c r="BJ32" s="449">
        <v>0</v>
      </c>
      <c r="BK32" s="449">
        <v>0</v>
      </c>
      <c r="BL32" s="449">
        <v>0</v>
      </c>
      <c r="BM32" s="449">
        <v>0</v>
      </c>
      <c r="BN32" s="449">
        <v>0</v>
      </c>
      <c r="BO32" s="449">
        <v>0</v>
      </c>
      <c r="BP32" s="449">
        <v>0</v>
      </c>
      <c r="BQ32" s="449">
        <v>0</v>
      </c>
      <c r="BR32" s="449">
        <v>0</v>
      </c>
      <c r="BS32" s="449">
        <v>0</v>
      </c>
      <c r="BT32" s="449">
        <v>0</v>
      </c>
    </row>
    <row r="33" spans="1:72" ht="15" x14ac:dyDescent="0.25">
      <c r="A33" s="502" t="s">
        <v>50</v>
      </c>
      <c r="B33" s="502" t="s">
        <v>51</v>
      </c>
      <c r="C33" s="400"/>
      <c r="D33" s="500">
        <f t="shared" si="36"/>
        <v>7370.9</v>
      </c>
      <c r="E33" s="449">
        <v>7200</v>
      </c>
      <c r="F33" s="449">
        <f t="shared" si="28"/>
        <v>170.89999999999964</v>
      </c>
      <c r="G33" s="421">
        <f t="shared" si="37"/>
        <v>2.3736111111111062E-2</v>
      </c>
      <c r="H33" s="449">
        <v>7200</v>
      </c>
      <c r="I33" s="449">
        <f t="shared" si="38"/>
        <v>170.89999999999964</v>
      </c>
      <c r="J33" s="426">
        <f t="shared" si="39"/>
        <v>2.3736111111111062E-2</v>
      </c>
      <c r="K33" s="421"/>
      <c r="L33" s="449">
        <v>0</v>
      </c>
      <c r="M33" s="449">
        <v>130</v>
      </c>
      <c r="N33" s="449">
        <v>3521.2000000000007</v>
      </c>
      <c r="O33" s="449">
        <v>423.19999999999936</v>
      </c>
      <c r="P33" s="449">
        <v>185.99999999999955</v>
      </c>
      <c r="Q33" s="449">
        <v>3110.5</v>
      </c>
      <c r="R33" s="449">
        <v>0</v>
      </c>
      <c r="S33" s="449">
        <v>0</v>
      </c>
      <c r="T33" s="449">
        <v>0</v>
      </c>
      <c r="U33" s="449">
        <v>0</v>
      </c>
      <c r="V33" s="449">
        <v>0</v>
      </c>
      <c r="W33" s="449">
        <v>0</v>
      </c>
      <c r="X33" s="449"/>
      <c r="Y33" s="449">
        <f t="shared" si="40"/>
        <v>7370.9</v>
      </c>
      <c r="Z33" s="501"/>
      <c r="AA33" s="449">
        <f t="shared" si="29"/>
        <v>600</v>
      </c>
      <c r="AB33" s="449">
        <f t="shared" si="29"/>
        <v>600</v>
      </c>
      <c r="AC33" s="449">
        <f t="shared" si="29"/>
        <v>600</v>
      </c>
      <c r="AD33" s="449">
        <f t="shared" si="29"/>
        <v>600</v>
      </c>
      <c r="AE33" s="449">
        <f t="shared" si="29"/>
        <v>600</v>
      </c>
      <c r="AF33" s="449">
        <f t="shared" si="29"/>
        <v>600</v>
      </c>
      <c r="AG33" s="449">
        <f t="shared" si="29"/>
        <v>600</v>
      </c>
      <c r="AH33" s="449">
        <f t="shared" si="29"/>
        <v>600</v>
      </c>
      <c r="AI33" s="449">
        <f t="shared" si="29"/>
        <v>600</v>
      </c>
      <c r="AJ33" s="449">
        <f t="shared" si="29"/>
        <v>600</v>
      </c>
      <c r="AK33" s="449">
        <f t="shared" si="29"/>
        <v>600</v>
      </c>
      <c r="AL33" s="449">
        <f t="shared" si="29"/>
        <v>600</v>
      </c>
      <c r="AN33" s="500">
        <f t="shared" si="30"/>
        <v>7370.9</v>
      </c>
      <c r="AO33" s="449">
        <f t="shared" si="41"/>
        <v>7370.9000000000005</v>
      </c>
      <c r="AP33" s="449">
        <f t="shared" si="31"/>
        <v>9.0949470177292824E-13</v>
      </c>
      <c r="AQ33" s="453">
        <f t="shared" si="32"/>
        <v>1.2338991192024424E-16</v>
      </c>
      <c r="AR33" s="449">
        <f t="shared" si="42"/>
        <v>7370.9000000000005</v>
      </c>
      <c r="AS33" s="449">
        <f t="shared" si="33"/>
        <v>0</v>
      </c>
      <c r="AT33" s="426">
        <f t="shared" si="43"/>
        <v>0</v>
      </c>
      <c r="AU33" s="421"/>
      <c r="AV33" s="449">
        <f t="shared" si="44"/>
        <v>614.24166666666667</v>
      </c>
      <c r="AW33" s="449">
        <f t="shared" si="34"/>
        <v>614.24166666666667</v>
      </c>
      <c r="AX33" s="449">
        <f t="shared" si="34"/>
        <v>614.24166666666667</v>
      </c>
      <c r="AY33" s="449">
        <f t="shared" si="34"/>
        <v>614.24166666666667</v>
      </c>
      <c r="AZ33" s="449">
        <f t="shared" si="34"/>
        <v>614.24166666666667</v>
      </c>
      <c r="BA33" s="449">
        <f t="shared" si="34"/>
        <v>614.24166666666667</v>
      </c>
      <c r="BB33" s="449">
        <f t="shared" si="34"/>
        <v>614.24166666666667</v>
      </c>
      <c r="BC33" s="449">
        <f t="shared" si="34"/>
        <v>614.24166666666667</v>
      </c>
      <c r="BD33" s="449">
        <f t="shared" si="34"/>
        <v>614.24166666666667</v>
      </c>
      <c r="BE33" s="449">
        <f t="shared" si="34"/>
        <v>614.24166666666667</v>
      </c>
      <c r="BF33" s="449">
        <f t="shared" si="34"/>
        <v>614.24166666666667</v>
      </c>
      <c r="BG33" s="449">
        <f t="shared" si="34"/>
        <v>614.24166666666667</v>
      </c>
      <c r="BH33" s="400"/>
      <c r="BI33" s="449">
        <f t="shared" ref="BI33:BT33" si="49">IFERROR($D33/12,0)</f>
        <v>614.24166666666667</v>
      </c>
      <c r="BJ33" s="449">
        <f t="shared" si="49"/>
        <v>614.24166666666667</v>
      </c>
      <c r="BK33" s="449">
        <f t="shared" si="49"/>
        <v>614.24166666666667</v>
      </c>
      <c r="BL33" s="449">
        <f t="shared" si="49"/>
        <v>614.24166666666667</v>
      </c>
      <c r="BM33" s="449">
        <f t="shared" si="49"/>
        <v>614.24166666666667</v>
      </c>
      <c r="BN33" s="449">
        <f t="shared" si="49"/>
        <v>614.24166666666667</v>
      </c>
      <c r="BO33" s="449">
        <f t="shared" si="49"/>
        <v>614.24166666666667</v>
      </c>
      <c r="BP33" s="449">
        <f t="shared" si="49"/>
        <v>614.24166666666667</v>
      </c>
      <c r="BQ33" s="449">
        <f t="shared" si="49"/>
        <v>614.24166666666667</v>
      </c>
      <c r="BR33" s="449">
        <f t="shared" si="49"/>
        <v>614.24166666666667</v>
      </c>
      <c r="BS33" s="449">
        <f t="shared" si="49"/>
        <v>614.24166666666667</v>
      </c>
      <c r="BT33" s="449">
        <f t="shared" si="49"/>
        <v>614.24166666666667</v>
      </c>
    </row>
    <row r="34" spans="1:72" ht="15" x14ac:dyDescent="0.25">
      <c r="A34" s="591"/>
      <c r="B34" s="592" t="s">
        <v>52</v>
      </c>
      <c r="C34" s="400"/>
      <c r="D34" s="503">
        <f>SUM(D24:D33)</f>
        <v>9963476.6199999992</v>
      </c>
      <c r="E34" s="504">
        <f>SUM(E24:E33)</f>
        <v>9745571.0099999998</v>
      </c>
      <c r="F34" s="504">
        <f t="shared" si="28"/>
        <v>217905.6099999994</v>
      </c>
      <c r="G34" s="505">
        <f t="shared" si="37"/>
        <v>2.2359450233999108E-2</v>
      </c>
      <c r="H34" s="504">
        <f>SUM(H24:H33)</f>
        <v>9896167</v>
      </c>
      <c r="I34" s="504">
        <f t="shared" si="38"/>
        <v>67309.61999999918</v>
      </c>
      <c r="J34" s="506">
        <f t="shared" si="39"/>
        <v>6.8015848964552818E-3</v>
      </c>
      <c r="K34" s="507"/>
      <c r="L34" s="504">
        <f t="shared" ref="L34:W34" si="50">SUM(L24:L33)</f>
        <v>730312.75</v>
      </c>
      <c r="M34" s="504">
        <f t="shared" si="50"/>
        <v>792377.60999999987</v>
      </c>
      <c r="N34" s="504">
        <f t="shared" si="50"/>
        <v>939331.27000000014</v>
      </c>
      <c r="O34" s="504">
        <f t="shared" si="50"/>
        <v>813194.6399999999</v>
      </c>
      <c r="P34" s="504">
        <f t="shared" si="50"/>
        <v>754962.15999999968</v>
      </c>
      <c r="Q34" s="504">
        <f t="shared" si="50"/>
        <v>898924.14000000025</v>
      </c>
      <c r="R34" s="504">
        <f t="shared" si="50"/>
        <v>839062.34166666679</v>
      </c>
      <c r="S34" s="504">
        <f t="shared" si="50"/>
        <v>839062.34166666679</v>
      </c>
      <c r="T34" s="504">
        <f t="shared" si="50"/>
        <v>839062.34166666679</v>
      </c>
      <c r="U34" s="504">
        <f t="shared" si="50"/>
        <v>839062.34166666679</v>
      </c>
      <c r="V34" s="504">
        <f t="shared" si="50"/>
        <v>839062.34166666679</v>
      </c>
      <c r="W34" s="504">
        <f t="shared" si="50"/>
        <v>839062.34166666737</v>
      </c>
      <c r="X34" s="504"/>
      <c r="Y34" s="504">
        <f t="shared" si="40"/>
        <v>9963476.6199999992</v>
      </c>
      <c r="Z34" s="508"/>
      <c r="AA34" s="504">
        <f t="shared" ref="AA34:AL34" si="51">SUM(AA24:AA33)</f>
        <v>824680.58333333337</v>
      </c>
      <c r="AB34" s="504">
        <f t="shared" si="51"/>
        <v>824680.58333333337</v>
      </c>
      <c r="AC34" s="504">
        <f t="shared" si="51"/>
        <v>824680.58333333337</v>
      </c>
      <c r="AD34" s="504">
        <f t="shared" si="51"/>
        <v>824680.58333333337</v>
      </c>
      <c r="AE34" s="504">
        <f t="shared" si="51"/>
        <v>824680.58333333337</v>
      </c>
      <c r="AF34" s="504">
        <f t="shared" si="51"/>
        <v>824680.58333333337</v>
      </c>
      <c r="AG34" s="504">
        <f t="shared" si="51"/>
        <v>824680.58333333337</v>
      </c>
      <c r="AH34" s="504">
        <f t="shared" si="51"/>
        <v>824680.58333333337</v>
      </c>
      <c r="AI34" s="504">
        <f t="shared" si="51"/>
        <v>824680.58333333337</v>
      </c>
      <c r="AJ34" s="504">
        <f t="shared" si="51"/>
        <v>824680.58333333337</v>
      </c>
      <c r="AK34" s="504">
        <f t="shared" si="51"/>
        <v>824680.58333333337</v>
      </c>
      <c r="AL34" s="504">
        <f t="shared" si="51"/>
        <v>824680.58333333337</v>
      </c>
      <c r="AN34" s="503">
        <f>SUM(AN24:AN33)</f>
        <v>9963476.6199999992</v>
      </c>
      <c r="AO34" s="504">
        <f>SUM(AO24:AO33)</f>
        <v>10324415.12214458</v>
      </c>
      <c r="AP34" s="504">
        <f t="shared" si="31"/>
        <v>360938.50214458071</v>
      </c>
      <c r="AQ34" s="509">
        <f t="shared" si="32"/>
        <v>3.622616039666892E-2</v>
      </c>
      <c r="AR34" s="504">
        <f>SUM(AR24:AR33)</f>
        <v>10324415.12214458</v>
      </c>
      <c r="AS34" s="504">
        <f t="shared" si="33"/>
        <v>0</v>
      </c>
      <c r="AT34" s="506">
        <f t="shared" si="43"/>
        <v>0</v>
      </c>
      <c r="AU34" s="507"/>
      <c r="AV34" s="504">
        <f t="shared" ref="AV34:BG34" si="52">SUM(AV24:AV33)</f>
        <v>864921.93716198136</v>
      </c>
      <c r="AW34" s="504">
        <f t="shared" si="52"/>
        <v>932135.2615139347</v>
      </c>
      <c r="AX34" s="504">
        <f t="shared" si="52"/>
        <v>845434.99234686641</v>
      </c>
      <c r="AY34" s="504">
        <f t="shared" si="52"/>
        <v>865434.99234686641</v>
      </c>
      <c r="AZ34" s="504">
        <f t="shared" si="52"/>
        <v>849438.99234686641</v>
      </c>
      <c r="BA34" s="504">
        <f t="shared" si="52"/>
        <v>845434.99234686641</v>
      </c>
      <c r="BB34" s="504">
        <f t="shared" si="52"/>
        <v>845434.99234686641</v>
      </c>
      <c r="BC34" s="504">
        <f t="shared" si="52"/>
        <v>849438.99234686641</v>
      </c>
      <c r="BD34" s="504">
        <f t="shared" si="52"/>
        <v>890434.99234686641</v>
      </c>
      <c r="BE34" s="504">
        <f t="shared" si="52"/>
        <v>845434.99234686641</v>
      </c>
      <c r="BF34" s="504">
        <f t="shared" si="52"/>
        <v>845434.99234686641</v>
      </c>
      <c r="BG34" s="504">
        <f t="shared" si="52"/>
        <v>845434.99234686641</v>
      </c>
      <c r="BH34" s="508"/>
      <c r="BI34" s="504">
        <f t="shared" ref="BI34:BT34" si="53">SUM(BI24:BI33)</f>
        <v>864921.93716198136</v>
      </c>
      <c r="BJ34" s="504">
        <f t="shared" si="53"/>
        <v>932135.2615139347</v>
      </c>
      <c r="BK34" s="504">
        <f t="shared" si="53"/>
        <v>845434.99234686641</v>
      </c>
      <c r="BL34" s="504">
        <f t="shared" si="53"/>
        <v>865434.99234686641</v>
      </c>
      <c r="BM34" s="504">
        <f t="shared" si="53"/>
        <v>849438.99234686641</v>
      </c>
      <c r="BN34" s="504">
        <f t="shared" si="53"/>
        <v>845434.99234686641</v>
      </c>
      <c r="BO34" s="504">
        <f t="shared" si="53"/>
        <v>845434.99234686641</v>
      </c>
      <c r="BP34" s="504">
        <f t="shared" si="53"/>
        <v>849438.99234686641</v>
      </c>
      <c r="BQ34" s="504">
        <f t="shared" si="53"/>
        <v>890434.99234686641</v>
      </c>
      <c r="BR34" s="504">
        <f t="shared" si="53"/>
        <v>845434.99234686641</v>
      </c>
      <c r="BS34" s="504">
        <f t="shared" si="53"/>
        <v>845434.99234686641</v>
      </c>
      <c r="BT34" s="504">
        <f t="shared" si="53"/>
        <v>845434.99234686641</v>
      </c>
    </row>
    <row r="35" spans="1:72" ht="15" x14ac:dyDescent="0.25">
      <c r="A35" s="587"/>
      <c r="B35" s="502"/>
      <c r="C35" s="400"/>
      <c r="D35" s="510"/>
      <c r="E35" s="418"/>
      <c r="F35" s="418"/>
      <c r="G35" s="421"/>
      <c r="H35" s="418"/>
      <c r="I35" s="418"/>
      <c r="J35" s="426"/>
      <c r="K35" s="421"/>
      <c r="L35" s="418"/>
      <c r="M35" s="418"/>
      <c r="N35" s="418"/>
      <c r="O35" s="418"/>
      <c r="P35" s="418"/>
      <c r="Q35" s="418"/>
      <c r="R35" s="418"/>
      <c r="S35" s="418"/>
      <c r="T35" s="418"/>
      <c r="U35" s="418"/>
      <c r="V35" s="418"/>
      <c r="W35" s="418"/>
      <c r="X35" s="418"/>
      <c r="Y35" s="418"/>
      <c r="Z35" s="511"/>
      <c r="AA35" s="418"/>
      <c r="AB35" s="418"/>
      <c r="AC35" s="418"/>
      <c r="AD35" s="418"/>
      <c r="AE35" s="418"/>
      <c r="AF35" s="418"/>
      <c r="AG35" s="418"/>
      <c r="AH35" s="418"/>
      <c r="AI35" s="418"/>
      <c r="AJ35" s="418"/>
      <c r="AK35" s="418"/>
      <c r="AL35" s="418"/>
      <c r="AN35" s="510"/>
      <c r="AO35" s="418"/>
      <c r="AP35" s="418"/>
      <c r="AQ35" s="453"/>
      <c r="AR35" s="418"/>
      <c r="AS35" s="418"/>
      <c r="AT35" s="426"/>
      <c r="AU35" s="421"/>
      <c r="AV35" s="418"/>
      <c r="AW35" s="418"/>
      <c r="AX35" s="418"/>
      <c r="AY35" s="418"/>
      <c r="AZ35" s="418"/>
      <c r="BA35" s="418"/>
      <c r="BB35" s="418"/>
      <c r="BC35" s="418"/>
      <c r="BD35" s="418"/>
      <c r="BE35" s="418"/>
      <c r="BF35" s="418"/>
      <c r="BG35" s="418"/>
      <c r="BH35" s="511"/>
      <c r="BI35" s="418"/>
      <c r="BJ35" s="418"/>
      <c r="BK35" s="418"/>
      <c r="BL35" s="418"/>
      <c r="BM35" s="418"/>
      <c r="BN35" s="418"/>
      <c r="BO35" s="418"/>
      <c r="BP35" s="418"/>
      <c r="BQ35" s="418"/>
      <c r="BR35" s="418"/>
      <c r="BS35" s="418"/>
      <c r="BT35" s="418"/>
    </row>
    <row r="36" spans="1:72" ht="15" x14ac:dyDescent="0.25">
      <c r="A36" s="502" t="s">
        <v>53</v>
      </c>
      <c r="B36" s="502" t="s">
        <v>54</v>
      </c>
      <c r="C36" s="400"/>
      <c r="D36" s="500">
        <f>SUM(L36:W36)</f>
        <v>331370</v>
      </c>
      <c r="E36" s="449">
        <v>308453.90399999998</v>
      </c>
      <c r="F36" s="449">
        <f t="shared" ref="F36:F41" si="54">IFERROR(D36-E36,0)</f>
        <v>22916.09600000002</v>
      </c>
      <c r="G36" s="421">
        <f t="shared" ref="G36:G41" si="55">IFERROR(F36/ABS(E36),0)</f>
        <v>7.4293421813847502E-2</v>
      </c>
      <c r="H36" s="449">
        <v>331370</v>
      </c>
      <c r="I36" s="449">
        <f t="shared" ref="I36:I41" si="56">IFERROR(D36-H36,0)</f>
        <v>0</v>
      </c>
      <c r="J36" s="426">
        <f t="shared" ref="J36:J41" si="57">IFERROR(I36/ABS(H36),0)</f>
        <v>0</v>
      </c>
      <c r="K36" s="421"/>
      <c r="L36" s="449">
        <v>0</v>
      </c>
      <c r="M36" s="449">
        <v>52942.559999999998</v>
      </c>
      <c r="N36" s="449">
        <v>26471.279999999999</v>
      </c>
      <c r="O36" s="449">
        <v>26471.279999999999</v>
      </c>
      <c r="P36" s="449">
        <v>-2904</v>
      </c>
      <c r="Q36" s="449">
        <v>52942.540000000008</v>
      </c>
      <c r="R36" s="449">
        <f>($H36-SUM($L36:Q36))/R$694</f>
        <v>29241.056666666667</v>
      </c>
      <c r="S36" s="449">
        <f>($H36-SUM($L36:R36))/S$694</f>
        <v>29241.056666666664</v>
      </c>
      <c r="T36" s="449">
        <f>($H36-SUM($L36:S36))/T$694</f>
        <v>29241.056666666664</v>
      </c>
      <c r="U36" s="449">
        <f>($H36-SUM($L36:T36))/U$694</f>
        <v>29241.05666666666</v>
      </c>
      <c r="V36" s="449">
        <f>($H36-SUM($L36:U36))/V$694</f>
        <v>29241.056666666671</v>
      </c>
      <c r="W36" s="449">
        <f>($H36-SUM($L36:V36))/W$694</f>
        <v>29241.056666666642</v>
      </c>
      <c r="X36" s="449"/>
      <c r="Y36" s="449">
        <f t="shared" si="40"/>
        <v>331370</v>
      </c>
      <c r="Z36" s="501"/>
      <c r="AA36" s="449">
        <f t="shared" ref="AA36:AL40" si="58">IFERROR($H36/12,0)</f>
        <v>27614.166666666668</v>
      </c>
      <c r="AB36" s="449">
        <f t="shared" si="58"/>
        <v>27614.166666666668</v>
      </c>
      <c r="AC36" s="449">
        <f t="shared" si="58"/>
        <v>27614.166666666668</v>
      </c>
      <c r="AD36" s="449">
        <f t="shared" si="58"/>
        <v>27614.166666666668</v>
      </c>
      <c r="AE36" s="449">
        <f t="shared" si="58"/>
        <v>27614.166666666668</v>
      </c>
      <c r="AF36" s="449">
        <f t="shared" si="58"/>
        <v>27614.166666666668</v>
      </c>
      <c r="AG36" s="449">
        <f t="shared" si="58"/>
        <v>27614.166666666668</v>
      </c>
      <c r="AH36" s="449">
        <f t="shared" si="58"/>
        <v>27614.166666666668</v>
      </c>
      <c r="AI36" s="449">
        <f t="shared" si="58"/>
        <v>27614.166666666668</v>
      </c>
      <c r="AJ36" s="449">
        <f t="shared" si="58"/>
        <v>27614.166666666668</v>
      </c>
      <c r="AK36" s="449">
        <f t="shared" si="58"/>
        <v>27614.166666666668</v>
      </c>
      <c r="AL36" s="449">
        <f t="shared" si="58"/>
        <v>27614.166666666668</v>
      </c>
      <c r="AN36" s="500">
        <f>SUM(L36:W36)</f>
        <v>331370</v>
      </c>
      <c r="AO36" s="449">
        <f>SUM(BI36:BT36)</f>
        <v>365717.55999999988</v>
      </c>
      <c r="AP36" s="449">
        <f t="shared" ref="AP36:AP41" si="59">IFERROR(AO36-AN36,0)</f>
        <v>34347.559999999881</v>
      </c>
      <c r="AQ36" s="453">
        <f t="shared" ref="AQ36:AQ41" si="60">IFERROR(AP36/ABS(AN36),"-")</f>
        <v>0.10365319733228681</v>
      </c>
      <c r="AR36" s="449">
        <f>SUM(BI36:BT36)</f>
        <v>365717.55999999988</v>
      </c>
      <c r="AS36" s="449">
        <f t="shared" ref="AS36:AS41" si="61">IFERROR(AO36-AR36,0)</f>
        <v>0</v>
      </c>
      <c r="AT36" s="426">
        <f t="shared" ref="AT36:AT41" si="62">IFERROR(AS36/ABS(AR36),0)</f>
        <v>0</v>
      </c>
      <c r="AU36" s="421"/>
      <c r="AV36" s="449">
        <f t="shared" ref="AV36:BG40" si="63">BI36</f>
        <v>30476.463333333333</v>
      </c>
      <c r="AW36" s="449">
        <f t="shared" si="63"/>
        <v>30476.463333333333</v>
      </c>
      <c r="AX36" s="449">
        <f t="shared" si="63"/>
        <v>30476.463333333333</v>
      </c>
      <c r="AY36" s="449">
        <f t="shared" si="63"/>
        <v>30476.463333333333</v>
      </c>
      <c r="AZ36" s="449">
        <f t="shared" si="63"/>
        <v>30476.463333333333</v>
      </c>
      <c r="BA36" s="449">
        <f t="shared" si="63"/>
        <v>30476.463333333333</v>
      </c>
      <c r="BB36" s="449">
        <f t="shared" si="63"/>
        <v>30476.463333333333</v>
      </c>
      <c r="BC36" s="449">
        <f t="shared" si="63"/>
        <v>30476.463333333333</v>
      </c>
      <c r="BD36" s="449">
        <f t="shared" si="63"/>
        <v>30476.463333333333</v>
      </c>
      <c r="BE36" s="449">
        <f t="shared" si="63"/>
        <v>30476.463333333333</v>
      </c>
      <c r="BF36" s="449">
        <f t="shared" si="63"/>
        <v>30476.463333333333</v>
      </c>
      <c r="BG36" s="449">
        <f t="shared" si="63"/>
        <v>30476.463333333333</v>
      </c>
      <c r="BH36" s="400"/>
      <c r="BI36" s="449">
        <f>BI510</f>
        <v>30476.463333333333</v>
      </c>
      <c r="BJ36" s="449">
        <f t="shared" ref="BJ36:BS36" si="64">BJ510</f>
        <v>30476.463333333333</v>
      </c>
      <c r="BK36" s="449">
        <f t="shared" si="64"/>
        <v>30476.463333333333</v>
      </c>
      <c r="BL36" s="449">
        <f t="shared" si="64"/>
        <v>30476.463333333333</v>
      </c>
      <c r="BM36" s="449">
        <f t="shared" si="64"/>
        <v>30476.463333333333</v>
      </c>
      <c r="BN36" s="449">
        <f t="shared" si="64"/>
        <v>30476.463333333333</v>
      </c>
      <c r="BO36" s="449">
        <f t="shared" si="64"/>
        <v>30476.463333333333</v>
      </c>
      <c r="BP36" s="449">
        <f t="shared" si="64"/>
        <v>30476.463333333333</v>
      </c>
      <c r="BQ36" s="449">
        <f t="shared" si="64"/>
        <v>30476.463333333333</v>
      </c>
      <c r="BR36" s="449">
        <f t="shared" si="64"/>
        <v>30476.463333333333</v>
      </c>
      <c r="BS36" s="449">
        <f t="shared" si="64"/>
        <v>30476.463333333333</v>
      </c>
      <c r="BT36" s="449">
        <f>BT510</f>
        <v>30476.463333333333</v>
      </c>
    </row>
    <row r="37" spans="1:72" ht="15" x14ac:dyDescent="0.25">
      <c r="A37" s="502" t="s">
        <v>55</v>
      </c>
      <c r="B37" s="502" t="s">
        <v>56</v>
      </c>
      <c r="C37" s="400"/>
      <c r="D37" s="500">
        <f>SUM(L37:W37)</f>
        <v>0</v>
      </c>
      <c r="E37" s="449">
        <v>0</v>
      </c>
      <c r="F37" s="449">
        <f t="shared" si="54"/>
        <v>0</v>
      </c>
      <c r="G37" s="421">
        <f t="shared" si="55"/>
        <v>0</v>
      </c>
      <c r="H37" s="449">
        <v>0</v>
      </c>
      <c r="I37" s="449">
        <f t="shared" si="56"/>
        <v>0</v>
      </c>
      <c r="J37" s="426">
        <f t="shared" si="57"/>
        <v>0</v>
      </c>
      <c r="K37" s="421"/>
      <c r="L37" s="449">
        <v>0</v>
      </c>
      <c r="M37" s="449">
        <v>0</v>
      </c>
      <c r="N37" s="449">
        <v>0</v>
      </c>
      <c r="O37" s="449">
        <v>0</v>
      </c>
      <c r="P37" s="449">
        <v>0</v>
      </c>
      <c r="Q37" s="449">
        <v>0</v>
      </c>
      <c r="R37" s="449">
        <f>($H37-SUM($L37:Q37))/R$694</f>
        <v>0</v>
      </c>
      <c r="S37" s="449">
        <f>($H37-SUM($L37:R37))/S$694</f>
        <v>0</v>
      </c>
      <c r="T37" s="449">
        <f>($H37-SUM($L37:S37))/T$694</f>
        <v>0</v>
      </c>
      <c r="U37" s="449">
        <f>($H37-SUM($L37:T37))/U$694</f>
        <v>0</v>
      </c>
      <c r="V37" s="449">
        <f>($H37-SUM($L37:U37))/V$694</f>
        <v>0</v>
      </c>
      <c r="W37" s="449">
        <f>($H37-SUM($L37:V37))/W$694</f>
        <v>0</v>
      </c>
      <c r="X37" s="449"/>
      <c r="Y37" s="449">
        <f t="shared" si="40"/>
        <v>0</v>
      </c>
      <c r="Z37" s="501"/>
      <c r="AA37" s="449">
        <f t="shared" si="58"/>
        <v>0</v>
      </c>
      <c r="AB37" s="449">
        <f t="shared" si="58"/>
        <v>0</v>
      </c>
      <c r="AC37" s="449">
        <f t="shared" si="58"/>
        <v>0</v>
      </c>
      <c r="AD37" s="449">
        <f t="shared" si="58"/>
        <v>0</v>
      </c>
      <c r="AE37" s="449">
        <f t="shared" si="58"/>
        <v>0</v>
      </c>
      <c r="AF37" s="449">
        <f t="shared" si="58"/>
        <v>0</v>
      </c>
      <c r="AG37" s="449">
        <f t="shared" si="58"/>
        <v>0</v>
      </c>
      <c r="AH37" s="449">
        <f t="shared" si="58"/>
        <v>0</v>
      </c>
      <c r="AI37" s="449">
        <f t="shared" si="58"/>
        <v>0</v>
      </c>
      <c r="AJ37" s="449">
        <f t="shared" si="58"/>
        <v>0</v>
      </c>
      <c r="AK37" s="449">
        <f t="shared" si="58"/>
        <v>0</v>
      </c>
      <c r="AL37" s="449">
        <f t="shared" si="58"/>
        <v>0</v>
      </c>
      <c r="AN37" s="500">
        <f>SUM(L37:W37)</f>
        <v>0</v>
      </c>
      <c r="AO37" s="449">
        <f>SUM(BI37:BT37)</f>
        <v>0</v>
      </c>
      <c r="AP37" s="449">
        <f t="shared" si="59"/>
        <v>0</v>
      </c>
      <c r="AQ37" s="453" t="str">
        <f t="shared" si="60"/>
        <v>-</v>
      </c>
      <c r="AR37" s="449">
        <f>SUM(BI37:BT37)</f>
        <v>0</v>
      </c>
      <c r="AS37" s="449">
        <f t="shared" si="61"/>
        <v>0</v>
      </c>
      <c r="AT37" s="426">
        <f t="shared" si="62"/>
        <v>0</v>
      </c>
      <c r="AU37" s="421"/>
      <c r="AV37" s="449">
        <f t="shared" si="63"/>
        <v>0</v>
      </c>
      <c r="AW37" s="449">
        <f t="shared" si="63"/>
        <v>0</v>
      </c>
      <c r="AX37" s="449">
        <f t="shared" si="63"/>
        <v>0</v>
      </c>
      <c r="AY37" s="449">
        <f t="shared" si="63"/>
        <v>0</v>
      </c>
      <c r="AZ37" s="449">
        <f t="shared" si="63"/>
        <v>0</v>
      </c>
      <c r="BA37" s="449">
        <f t="shared" si="63"/>
        <v>0</v>
      </c>
      <c r="BB37" s="449">
        <f t="shared" si="63"/>
        <v>0</v>
      </c>
      <c r="BC37" s="449">
        <f t="shared" si="63"/>
        <v>0</v>
      </c>
      <c r="BD37" s="449">
        <f t="shared" si="63"/>
        <v>0</v>
      </c>
      <c r="BE37" s="449">
        <f t="shared" si="63"/>
        <v>0</v>
      </c>
      <c r="BF37" s="449">
        <f t="shared" si="63"/>
        <v>0</v>
      </c>
      <c r="BG37" s="449">
        <f t="shared" si="63"/>
        <v>0</v>
      </c>
      <c r="BH37" s="400"/>
      <c r="BI37" s="449">
        <f t="shared" ref="BI37:BT38" si="65">IFERROR((($H37/$H$5)*BI$5)/12,0)</f>
        <v>0</v>
      </c>
      <c r="BJ37" s="449">
        <f t="shared" si="65"/>
        <v>0</v>
      </c>
      <c r="BK37" s="449">
        <f t="shared" si="65"/>
        <v>0</v>
      </c>
      <c r="BL37" s="449">
        <f t="shared" si="65"/>
        <v>0</v>
      </c>
      <c r="BM37" s="449">
        <f t="shared" si="65"/>
        <v>0</v>
      </c>
      <c r="BN37" s="449">
        <f t="shared" si="65"/>
        <v>0</v>
      </c>
      <c r="BO37" s="449">
        <f t="shared" si="65"/>
        <v>0</v>
      </c>
      <c r="BP37" s="449">
        <f t="shared" si="65"/>
        <v>0</v>
      </c>
      <c r="BQ37" s="449">
        <f t="shared" si="65"/>
        <v>0</v>
      </c>
      <c r="BR37" s="449">
        <f t="shared" si="65"/>
        <v>0</v>
      </c>
      <c r="BS37" s="449">
        <f t="shared" si="65"/>
        <v>0</v>
      </c>
      <c r="BT37" s="449">
        <f t="shared" si="65"/>
        <v>0</v>
      </c>
    </row>
    <row r="38" spans="1:72" ht="15" x14ac:dyDescent="0.25">
      <c r="A38" s="502" t="s">
        <v>57</v>
      </c>
      <c r="B38" s="502" t="s">
        <v>58</v>
      </c>
      <c r="C38" s="400"/>
      <c r="D38" s="500">
        <f>SUM(L38:W38)</f>
        <v>0</v>
      </c>
      <c r="E38" s="449">
        <v>0</v>
      </c>
      <c r="F38" s="449">
        <f t="shared" si="54"/>
        <v>0</v>
      </c>
      <c r="G38" s="421">
        <f t="shared" si="55"/>
        <v>0</v>
      </c>
      <c r="H38" s="449">
        <v>0</v>
      </c>
      <c r="I38" s="449">
        <f t="shared" si="56"/>
        <v>0</v>
      </c>
      <c r="J38" s="426">
        <f t="shared" si="57"/>
        <v>0</v>
      </c>
      <c r="K38" s="421"/>
      <c r="L38" s="449">
        <v>0</v>
      </c>
      <c r="M38" s="449">
        <v>0</v>
      </c>
      <c r="N38" s="449">
        <v>0</v>
      </c>
      <c r="O38" s="449">
        <v>0</v>
      </c>
      <c r="P38" s="449">
        <v>0</v>
      </c>
      <c r="Q38" s="449">
        <v>0</v>
      </c>
      <c r="R38" s="449">
        <f>($H38-SUM($L38:Q38))/R$694</f>
        <v>0</v>
      </c>
      <c r="S38" s="449">
        <f>($H38-SUM($L38:R38))/S$694</f>
        <v>0</v>
      </c>
      <c r="T38" s="449">
        <f>($H38-SUM($L38:S38))/T$694</f>
        <v>0</v>
      </c>
      <c r="U38" s="449">
        <f>($H38-SUM($L38:T38))/U$694</f>
        <v>0</v>
      </c>
      <c r="V38" s="449">
        <f>($H38-SUM($L38:U38))/V$694</f>
        <v>0</v>
      </c>
      <c r="W38" s="449">
        <f>($H38-SUM($L38:V38))/W$694</f>
        <v>0</v>
      </c>
      <c r="X38" s="449"/>
      <c r="Y38" s="449">
        <f t="shared" si="40"/>
        <v>0</v>
      </c>
      <c r="Z38" s="501"/>
      <c r="AA38" s="449">
        <f t="shared" si="58"/>
        <v>0</v>
      </c>
      <c r="AB38" s="449">
        <f t="shared" si="58"/>
        <v>0</v>
      </c>
      <c r="AC38" s="449">
        <f t="shared" si="58"/>
        <v>0</v>
      </c>
      <c r="AD38" s="449">
        <f t="shared" si="58"/>
        <v>0</v>
      </c>
      <c r="AE38" s="449">
        <f t="shared" si="58"/>
        <v>0</v>
      </c>
      <c r="AF38" s="449">
        <f t="shared" si="58"/>
        <v>0</v>
      </c>
      <c r="AG38" s="449">
        <f t="shared" si="58"/>
        <v>0</v>
      </c>
      <c r="AH38" s="449">
        <f t="shared" si="58"/>
        <v>0</v>
      </c>
      <c r="AI38" s="449">
        <f t="shared" si="58"/>
        <v>0</v>
      </c>
      <c r="AJ38" s="449">
        <f t="shared" si="58"/>
        <v>0</v>
      </c>
      <c r="AK38" s="449">
        <f t="shared" si="58"/>
        <v>0</v>
      </c>
      <c r="AL38" s="449">
        <f t="shared" si="58"/>
        <v>0</v>
      </c>
      <c r="AN38" s="500">
        <f>SUM(L38:W38)</f>
        <v>0</v>
      </c>
      <c r="AO38" s="449">
        <f>SUM(BI38:BT38)</f>
        <v>0</v>
      </c>
      <c r="AP38" s="449">
        <f t="shared" si="59"/>
        <v>0</v>
      </c>
      <c r="AQ38" s="453" t="str">
        <f t="shared" si="60"/>
        <v>-</v>
      </c>
      <c r="AR38" s="449">
        <f>SUM(BI38:BT38)</f>
        <v>0</v>
      </c>
      <c r="AS38" s="449">
        <f t="shared" si="61"/>
        <v>0</v>
      </c>
      <c r="AT38" s="426">
        <f t="shared" si="62"/>
        <v>0</v>
      </c>
      <c r="AU38" s="421"/>
      <c r="AV38" s="449">
        <f t="shared" si="63"/>
        <v>0</v>
      </c>
      <c r="AW38" s="449">
        <f t="shared" si="63"/>
        <v>0</v>
      </c>
      <c r="AX38" s="449">
        <f t="shared" si="63"/>
        <v>0</v>
      </c>
      <c r="AY38" s="449">
        <f t="shared" si="63"/>
        <v>0</v>
      </c>
      <c r="AZ38" s="449">
        <f t="shared" si="63"/>
        <v>0</v>
      </c>
      <c r="BA38" s="449">
        <f t="shared" si="63"/>
        <v>0</v>
      </c>
      <c r="BB38" s="449">
        <f t="shared" si="63"/>
        <v>0</v>
      </c>
      <c r="BC38" s="449">
        <f t="shared" si="63"/>
        <v>0</v>
      </c>
      <c r="BD38" s="449">
        <f t="shared" si="63"/>
        <v>0</v>
      </c>
      <c r="BE38" s="449">
        <f t="shared" si="63"/>
        <v>0</v>
      </c>
      <c r="BF38" s="449">
        <f t="shared" si="63"/>
        <v>0</v>
      </c>
      <c r="BG38" s="449">
        <f t="shared" si="63"/>
        <v>0</v>
      </c>
      <c r="BH38" s="400"/>
      <c r="BI38" s="449">
        <f t="shared" si="65"/>
        <v>0</v>
      </c>
      <c r="BJ38" s="449">
        <f t="shared" si="65"/>
        <v>0</v>
      </c>
      <c r="BK38" s="449">
        <f t="shared" si="65"/>
        <v>0</v>
      </c>
      <c r="BL38" s="449">
        <f t="shared" si="65"/>
        <v>0</v>
      </c>
      <c r="BM38" s="449">
        <f t="shared" si="65"/>
        <v>0</v>
      </c>
      <c r="BN38" s="449">
        <f t="shared" si="65"/>
        <v>0</v>
      </c>
      <c r="BO38" s="449">
        <f t="shared" si="65"/>
        <v>0</v>
      </c>
      <c r="BP38" s="449">
        <f t="shared" si="65"/>
        <v>0</v>
      </c>
      <c r="BQ38" s="449">
        <f t="shared" si="65"/>
        <v>0</v>
      </c>
      <c r="BR38" s="449">
        <f t="shared" si="65"/>
        <v>0</v>
      </c>
      <c r="BS38" s="449">
        <f t="shared" si="65"/>
        <v>0</v>
      </c>
      <c r="BT38" s="449">
        <f t="shared" si="65"/>
        <v>0</v>
      </c>
    </row>
    <row r="39" spans="1:72" ht="15" x14ac:dyDescent="0.25">
      <c r="A39" s="502" t="s">
        <v>59</v>
      </c>
      <c r="B39" s="502" t="s">
        <v>60</v>
      </c>
      <c r="C39" s="400"/>
      <c r="D39" s="500">
        <f>SUM(L39:W39)</f>
        <v>15968</v>
      </c>
      <c r="E39" s="449">
        <v>8152.83</v>
      </c>
      <c r="F39" s="449">
        <f t="shared" si="54"/>
        <v>7815.17</v>
      </c>
      <c r="G39" s="421">
        <f t="shared" si="55"/>
        <v>0.95858370651663294</v>
      </c>
      <c r="H39" s="449">
        <v>15968</v>
      </c>
      <c r="I39" s="449">
        <f t="shared" si="56"/>
        <v>0</v>
      </c>
      <c r="J39" s="426">
        <f t="shared" si="57"/>
        <v>0</v>
      </c>
      <c r="K39" s="421"/>
      <c r="L39" s="449">
        <v>0</v>
      </c>
      <c r="M39" s="449">
        <v>0</v>
      </c>
      <c r="N39" s="449">
        <v>0</v>
      </c>
      <c r="O39" s="449">
        <v>2662.2</v>
      </c>
      <c r="P39" s="449">
        <v>9552.5999999999985</v>
      </c>
      <c r="Q39" s="449">
        <v>0</v>
      </c>
      <c r="R39" s="449">
        <f>($H39-SUM($L39:Q39))/R$694</f>
        <v>625.53333333333342</v>
      </c>
      <c r="S39" s="449">
        <f>($H39-SUM($L39:R39))/S$694</f>
        <v>625.53333333333353</v>
      </c>
      <c r="T39" s="449">
        <f>($H39-SUM($L39:S39))/T$694</f>
        <v>625.53333333333376</v>
      </c>
      <c r="U39" s="449">
        <f>($H39-SUM($L39:T39))/U$694</f>
        <v>625.5333333333341</v>
      </c>
      <c r="V39" s="449">
        <f>($H39-SUM($L39:U39))/V$694</f>
        <v>625.53333333333376</v>
      </c>
      <c r="W39" s="449">
        <f>($H39-SUM($L39:V39))/W$694</f>
        <v>625.53333333333285</v>
      </c>
      <c r="X39" s="449"/>
      <c r="Y39" s="449">
        <f t="shared" si="40"/>
        <v>15968</v>
      </c>
      <c r="Z39" s="501"/>
      <c r="AA39" s="449">
        <f t="shared" si="58"/>
        <v>1330.6666666666667</v>
      </c>
      <c r="AB39" s="449">
        <f t="shared" si="58"/>
        <v>1330.6666666666667</v>
      </c>
      <c r="AC39" s="449">
        <f t="shared" si="58"/>
        <v>1330.6666666666667</v>
      </c>
      <c r="AD39" s="449">
        <f t="shared" si="58"/>
        <v>1330.6666666666667</v>
      </c>
      <c r="AE39" s="449">
        <f t="shared" si="58"/>
        <v>1330.6666666666667</v>
      </c>
      <c r="AF39" s="449">
        <f t="shared" si="58"/>
        <v>1330.6666666666667</v>
      </c>
      <c r="AG39" s="449">
        <f t="shared" si="58"/>
        <v>1330.6666666666667</v>
      </c>
      <c r="AH39" s="449">
        <f t="shared" si="58"/>
        <v>1330.6666666666667</v>
      </c>
      <c r="AI39" s="449">
        <f t="shared" si="58"/>
        <v>1330.6666666666667</v>
      </c>
      <c r="AJ39" s="449">
        <f t="shared" si="58"/>
        <v>1330.6666666666667</v>
      </c>
      <c r="AK39" s="449">
        <f t="shared" si="58"/>
        <v>1330.6666666666667</v>
      </c>
      <c r="AL39" s="449">
        <f t="shared" si="58"/>
        <v>1330.6666666666667</v>
      </c>
      <c r="AN39" s="500">
        <f>SUM(L39:W39)</f>
        <v>15968</v>
      </c>
      <c r="AO39" s="449">
        <f>SUM(BI39:BT39)</f>
        <v>25674.039215686284</v>
      </c>
      <c r="AP39" s="449">
        <f t="shared" si="59"/>
        <v>9706.0392156862836</v>
      </c>
      <c r="AQ39" s="453">
        <f t="shared" si="60"/>
        <v>0.60784313725490258</v>
      </c>
      <c r="AR39" s="449">
        <f>SUM(BI39:BT39)</f>
        <v>25674.039215686284</v>
      </c>
      <c r="AS39" s="449">
        <f t="shared" si="61"/>
        <v>0</v>
      </c>
      <c r="AT39" s="426">
        <f t="shared" si="62"/>
        <v>0</v>
      </c>
      <c r="AU39" s="421"/>
      <c r="AV39" s="449">
        <f t="shared" si="63"/>
        <v>2139.5032679738565</v>
      </c>
      <c r="AW39" s="449">
        <f t="shared" si="63"/>
        <v>2139.5032679738565</v>
      </c>
      <c r="AX39" s="449">
        <f t="shared" si="63"/>
        <v>2139.5032679738565</v>
      </c>
      <c r="AY39" s="449">
        <f t="shared" si="63"/>
        <v>2139.5032679738565</v>
      </c>
      <c r="AZ39" s="449">
        <f t="shared" si="63"/>
        <v>2139.5032679738565</v>
      </c>
      <c r="BA39" s="449">
        <f t="shared" si="63"/>
        <v>2139.5032679738565</v>
      </c>
      <c r="BB39" s="449">
        <f t="shared" si="63"/>
        <v>2139.5032679738565</v>
      </c>
      <c r="BC39" s="449">
        <f t="shared" si="63"/>
        <v>2139.5032679738565</v>
      </c>
      <c r="BD39" s="449">
        <f t="shared" si="63"/>
        <v>2139.5032679738565</v>
      </c>
      <c r="BE39" s="449">
        <f t="shared" si="63"/>
        <v>2139.5032679738565</v>
      </c>
      <c r="BF39" s="449">
        <f t="shared" si="63"/>
        <v>2139.5032679738565</v>
      </c>
      <c r="BG39" s="449">
        <f t="shared" si="63"/>
        <v>2139.5032679738565</v>
      </c>
      <c r="BH39" s="400"/>
      <c r="BI39" s="449">
        <f>IFERROR(($H39*(82/51))/12,0)</f>
        <v>2139.5032679738565</v>
      </c>
      <c r="BJ39" s="449">
        <f t="shared" ref="BJ39:BT39" si="66">IFERROR(($H39*(82/51))/12,0)</f>
        <v>2139.5032679738565</v>
      </c>
      <c r="BK39" s="449">
        <f t="shared" si="66"/>
        <v>2139.5032679738565</v>
      </c>
      <c r="BL39" s="449">
        <f t="shared" si="66"/>
        <v>2139.5032679738565</v>
      </c>
      <c r="BM39" s="449">
        <f t="shared" si="66"/>
        <v>2139.5032679738565</v>
      </c>
      <c r="BN39" s="449">
        <f t="shared" si="66"/>
        <v>2139.5032679738565</v>
      </c>
      <c r="BO39" s="449">
        <f t="shared" si="66"/>
        <v>2139.5032679738565</v>
      </c>
      <c r="BP39" s="449">
        <f t="shared" si="66"/>
        <v>2139.5032679738565</v>
      </c>
      <c r="BQ39" s="449">
        <f t="shared" si="66"/>
        <v>2139.5032679738565</v>
      </c>
      <c r="BR39" s="449">
        <f t="shared" si="66"/>
        <v>2139.5032679738565</v>
      </c>
      <c r="BS39" s="449">
        <f t="shared" si="66"/>
        <v>2139.5032679738565</v>
      </c>
      <c r="BT39" s="449">
        <f t="shared" si="66"/>
        <v>2139.5032679738565</v>
      </c>
    </row>
    <row r="40" spans="1:72" ht="15" x14ac:dyDescent="0.25">
      <c r="A40" s="502" t="s">
        <v>61</v>
      </c>
      <c r="B40" s="502" t="s">
        <v>62</v>
      </c>
      <c r="C40" s="400"/>
      <c r="D40" s="500">
        <f>SUM(L40:W40)</f>
        <v>0</v>
      </c>
      <c r="E40" s="449">
        <v>0</v>
      </c>
      <c r="F40" s="449">
        <f t="shared" si="54"/>
        <v>0</v>
      </c>
      <c r="G40" s="421">
        <f t="shared" si="55"/>
        <v>0</v>
      </c>
      <c r="H40" s="449">
        <v>0</v>
      </c>
      <c r="I40" s="449">
        <f t="shared" si="56"/>
        <v>0</v>
      </c>
      <c r="J40" s="426">
        <f t="shared" si="57"/>
        <v>0</v>
      </c>
      <c r="K40" s="421"/>
      <c r="L40" s="449">
        <v>0</v>
      </c>
      <c r="M40" s="449">
        <v>0</v>
      </c>
      <c r="N40" s="449">
        <v>0</v>
      </c>
      <c r="O40" s="449">
        <v>0</v>
      </c>
      <c r="P40" s="449">
        <v>0</v>
      </c>
      <c r="Q40" s="449">
        <v>0</v>
      </c>
      <c r="R40" s="449">
        <f>($H40-SUM($L40:Q40))/R$694</f>
        <v>0</v>
      </c>
      <c r="S40" s="449">
        <f>($H40-SUM($L40:R40))/S$694</f>
        <v>0</v>
      </c>
      <c r="T40" s="449">
        <f>($H40-SUM($L40:S40))/T$694</f>
        <v>0</v>
      </c>
      <c r="U40" s="449">
        <f>($H40-SUM($L40:T40))/U$694</f>
        <v>0</v>
      </c>
      <c r="V40" s="449">
        <f>($H40-SUM($L40:U40))/V$694</f>
        <v>0</v>
      </c>
      <c r="W40" s="449">
        <f>($H40-SUM($L40:V40))/W$694</f>
        <v>0</v>
      </c>
      <c r="X40" s="449"/>
      <c r="Y40" s="449">
        <f t="shared" si="40"/>
        <v>0</v>
      </c>
      <c r="Z40" s="501"/>
      <c r="AA40" s="449">
        <f t="shared" si="58"/>
        <v>0</v>
      </c>
      <c r="AB40" s="449">
        <f t="shared" si="58"/>
        <v>0</v>
      </c>
      <c r="AC40" s="449">
        <f t="shared" si="58"/>
        <v>0</v>
      </c>
      <c r="AD40" s="449">
        <f t="shared" si="58"/>
        <v>0</v>
      </c>
      <c r="AE40" s="449">
        <f t="shared" si="58"/>
        <v>0</v>
      </c>
      <c r="AF40" s="449">
        <f t="shared" si="58"/>
        <v>0</v>
      </c>
      <c r="AG40" s="449">
        <f t="shared" si="58"/>
        <v>0</v>
      </c>
      <c r="AH40" s="449">
        <f t="shared" si="58"/>
        <v>0</v>
      </c>
      <c r="AI40" s="449">
        <f t="shared" si="58"/>
        <v>0</v>
      </c>
      <c r="AJ40" s="449">
        <f t="shared" si="58"/>
        <v>0</v>
      </c>
      <c r="AK40" s="449">
        <f t="shared" si="58"/>
        <v>0</v>
      </c>
      <c r="AL40" s="449">
        <f t="shared" si="58"/>
        <v>0</v>
      </c>
      <c r="AN40" s="500">
        <f>SUM(L40:W40)</f>
        <v>0</v>
      </c>
      <c r="AO40" s="449">
        <f>SUM(BI40:BT40)</f>
        <v>0</v>
      </c>
      <c r="AP40" s="449">
        <f t="shared" si="59"/>
        <v>0</v>
      </c>
      <c r="AQ40" s="453" t="str">
        <f t="shared" si="60"/>
        <v>-</v>
      </c>
      <c r="AR40" s="449">
        <f>SUM(BI40:BT40)</f>
        <v>0</v>
      </c>
      <c r="AS40" s="449">
        <f t="shared" si="61"/>
        <v>0</v>
      </c>
      <c r="AT40" s="426">
        <f t="shared" si="62"/>
        <v>0</v>
      </c>
      <c r="AU40" s="421"/>
      <c r="AV40" s="449">
        <f t="shared" si="63"/>
        <v>0</v>
      </c>
      <c r="AW40" s="449">
        <f t="shared" si="63"/>
        <v>0</v>
      </c>
      <c r="AX40" s="449">
        <f t="shared" si="63"/>
        <v>0</v>
      </c>
      <c r="AY40" s="449">
        <f t="shared" si="63"/>
        <v>0</v>
      </c>
      <c r="AZ40" s="449">
        <f t="shared" si="63"/>
        <v>0</v>
      </c>
      <c r="BA40" s="449">
        <f t="shared" si="63"/>
        <v>0</v>
      </c>
      <c r="BB40" s="449">
        <f t="shared" si="63"/>
        <v>0</v>
      </c>
      <c r="BC40" s="449">
        <f t="shared" si="63"/>
        <v>0</v>
      </c>
      <c r="BD40" s="449">
        <f t="shared" si="63"/>
        <v>0</v>
      </c>
      <c r="BE40" s="449">
        <f t="shared" si="63"/>
        <v>0</v>
      </c>
      <c r="BF40" s="449">
        <f t="shared" si="63"/>
        <v>0</v>
      </c>
      <c r="BG40" s="449">
        <f t="shared" si="63"/>
        <v>0</v>
      </c>
      <c r="BH40" s="400"/>
      <c r="BI40" s="449">
        <f t="shared" ref="BI40:BT40" si="67">IFERROR((($H40/$H$5)*BI$5)/12,0)</f>
        <v>0</v>
      </c>
      <c r="BJ40" s="449">
        <f t="shared" si="67"/>
        <v>0</v>
      </c>
      <c r="BK40" s="449">
        <f t="shared" si="67"/>
        <v>0</v>
      </c>
      <c r="BL40" s="449">
        <f t="shared" si="67"/>
        <v>0</v>
      </c>
      <c r="BM40" s="449">
        <f t="shared" si="67"/>
        <v>0</v>
      </c>
      <c r="BN40" s="449">
        <f t="shared" si="67"/>
        <v>0</v>
      </c>
      <c r="BO40" s="449">
        <f t="shared" si="67"/>
        <v>0</v>
      </c>
      <c r="BP40" s="449">
        <f t="shared" si="67"/>
        <v>0</v>
      </c>
      <c r="BQ40" s="449">
        <f t="shared" si="67"/>
        <v>0</v>
      </c>
      <c r="BR40" s="449">
        <f t="shared" si="67"/>
        <v>0</v>
      </c>
      <c r="BS40" s="449">
        <f t="shared" si="67"/>
        <v>0</v>
      </c>
      <c r="BT40" s="449">
        <f t="shared" si="67"/>
        <v>0</v>
      </c>
    </row>
    <row r="41" spans="1:72" ht="15" x14ac:dyDescent="0.25">
      <c r="A41" s="591"/>
      <c r="B41" s="592" t="s">
        <v>63</v>
      </c>
      <c r="C41" s="400"/>
      <c r="D41" s="503">
        <f>SUM(D36:D40)</f>
        <v>347338</v>
      </c>
      <c r="E41" s="504">
        <f>SUM(E36:E40)</f>
        <v>316606.734</v>
      </c>
      <c r="F41" s="504">
        <f t="shared" si="54"/>
        <v>30731.266000000003</v>
      </c>
      <c r="G41" s="505">
        <f t="shared" si="55"/>
        <v>9.7064473682357003E-2</v>
      </c>
      <c r="H41" s="504">
        <f>SUM(H36:H40)</f>
        <v>347338</v>
      </c>
      <c r="I41" s="504">
        <f t="shared" si="56"/>
        <v>0</v>
      </c>
      <c r="J41" s="506">
        <f t="shared" si="57"/>
        <v>0</v>
      </c>
      <c r="K41" s="507"/>
      <c r="L41" s="504">
        <f t="shared" ref="L41:W41" si="68">SUM(L36:L40)</f>
        <v>0</v>
      </c>
      <c r="M41" s="504">
        <f t="shared" si="68"/>
        <v>52942.559999999998</v>
      </c>
      <c r="N41" s="504">
        <f t="shared" si="68"/>
        <v>26471.279999999999</v>
      </c>
      <c r="O41" s="504">
        <f t="shared" si="68"/>
        <v>29133.48</v>
      </c>
      <c r="P41" s="504">
        <f t="shared" si="68"/>
        <v>6648.5999999999985</v>
      </c>
      <c r="Q41" s="504">
        <f t="shared" si="68"/>
        <v>52942.540000000008</v>
      </c>
      <c r="R41" s="504">
        <f t="shared" si="68"/>
        <v>29866.59</v>
      </c>
      <c r="S41" s="504">
        <f t="shared" si="68"/>
        <v>29866.589999999997</v>
      </c>
      <c r="T41" s="504">
        <f t="shared" si="68"/>
        <v>29866.589999999997</v>
      </c>
      <c r="U41" s="504">
        <f t="shared" si="68"/>
        <v>29866.589999999993</v>
      </c>
      <c r="V41" s="504">
        <f t="shared" si="68"/>
        <v>29866.590000000004</v>
      </c>
      <c r="W41" s="504">
        <f t="shared" si="68"/>
        <v>29866.589999999975</v>
      </c>
      <c r="X41" s="504"/>
      <c r="Y41" s="504">
        <f t="shared" si="40"/>
        <v>347337.99999999994</v>
      </c>
      <c r="Z41" s="508"/>
      <c r="AA41" s="504">
        <f t="shared" ref="AA41:AL41" si="69">SUM(AA36:AA40)</f>
        <v>28944.833333333336</v>
      </c>
      <c r="AB41" s="504">
        <f t="shared" si="69"/>
        <v>28944.833333333336</v>
      </c>
      <c r="AC41" s="504">
        <f t="shared" si="69"/>
        <v>28944.833333333336</v>
      </c>
      <c r="AD41" s="504">
        <f t="shared" si="69"/>
        <v>28944.833333333336</v>
      </c>
      <c r="AE41" s="504">
        <f t="shared" si="69"/>
        <v>28944.833333333336</v>
      </c>
      <c r="AF41" s="504">
        <f t="shared" si="69"/>
        <v>28944.833333333336</v>
      </c>
      <c r="AG41" s="504">
        <f t="shared" si="69"/>
        <v>28944.833333333336</v>
      </c>
      <c r="AH41" s="504">
        <f t="shared" si="69"/>
        <v>28944.833333333336</v>
      </c>
      <c r="AI41" s="504">
        <f t="shared" si="69"/>
        <v>28944.833333333336</v>
      </c>
      <c r="AJ41" s="504">
        <f t="shared" si="69"/>
        <v>28944.833333333336</v>
      </c>
      <c r="AK41" s="504">
        <f t="shared" si="69"/>
        <v>28944.833333333336</v>
      </c>
      <c r="AL41" s="504">
        <f t="shared" si="69"/>
        <v>28944.833333333336</v>
      </c>
      <c r="AN41" s="503">
        <f>SUM(AN36:AN40)</f>
        <v>347338</v>
      </c>
      <c r="AO41" s="504">
        <f>SUM(AO36:AO40)</f>
        <v>391391.59921568615</v>
      </c>
      <c r="AP41" s="504">
        <f t="shared" si="59"/>
        <v>44053.599215686147</v>
      </c>
      <c r="AQ41" s="509">
        <f t="shared" si="60"/>
        <v>0.12683207485413675</v>
      </c>
      <c r="AR41" s="504">
        <f>SUM(AR36:AR40)</f>
        <v>391391.59921568615</v>
      </c>
      <c r="AS41" s="504">
        <f t="shared" si="61"/>
        <v>0</v>
      </c>
      <c r="AT41" s="506">
        <f t="shared" si="62"/>
        <v>0</v>
      </c>
      <c r="AU41" s="507"/>
      <c r="AV41" s="504">
        <f t="shared" ref="AV41:BG41" si="70">SUM(AV36:AV40)</f>
        <v>32615.966601307191</v>
      </c>
      <c r="AW41" s="504">
        <f t="shared" si="70"/>
        <v>32615.966601307191</v>
      </c>
      <c r="AX41" s="504">
        <f t="shared" si="70"/>
        <v>32615.966601307191</v>
      </c>
      <c r="AY41" s="504">
        <f t="shared" si="70"/>
        <v>32615.966601307191</v>
      </c>
      <c r="AZ41" s="504">
        <f t="shared" si="70"/>
        <v>32615.966601307191</v>
      </c>
      <c r="BA41" s="504">
        <f t="shared" si="70"/>
        <v>32615.966601307191</v>
      </c>
      <c r="BB41" s="504">
        <f t="shared" si="70"/>
        <v>32615.966601307191</v>
      </c>
      <c r="BC41" s="504">
        <f t="shared" si="70"/>
        <v>32615.966601307191</v>
      </c>
      <c r="BD41" s="504">
        <f t="shared" si="70"/>
        <v>32615.966601307191</v>
      </c>
      <c r="BE41" s="504">
        <f t="shared" si="70"/>
        <v>32615.966601307191</v>
      </c>
      <c r="BF41" s="504">
        <f t="shared" si="70"/>
        <v>32615.966601307191</v>
      </c>
      <c r="BG41" s="504">
        <f t="shared" si="70"/>
        <v>32615.966601307191</v>
      </c>
      <c r="BH41" s="508"/>
      <c r="BI41" s="504">
        <f t="shared" ref="BI41:BT41" si="71">SUM(BI36:BI40)</f>
        <v>32615.966601307191</v>
      </c>
      <c r="BJ41" s="504">
        <f t="shared" si="71"/>
        <v>32615.966601307191</v>
      </c>
      <c r="BK41" s="504">
        <f t="shared" si="71"/>
        <v>32615.966601307191</v>
      </c>
      <c r="BL41" s="504">
        <f t="shared" si="71"/>
        <v>32615.966601307191</v>
      </c>
      <c r="BM41" s="504">
        <f t="shared" si="71"/>
        <v>32615.966601307191</v>
      </c>
      <c r="BN41" s="504">
        <f t="shared" si="71"/>
        <v>32615.966601307191</v>
      </c>
      <c r="BO41" s="504">
        <f t="shared" si="71"/>
        <v>32615.966601307191</v>
      </c>
      <c r="BP41" s="504">
        <f t="shared" si="71"/>
        <v>32615.966601307191</v>
      </c>
      <c r="BQ41" s="504">
        <f t="shared" si="71"/>
        <v>32615.966601307191</v>
      </c>
      <c r="BR41" s="504">
        <f t="shared" si="71"/>
        <v>32615.966601307191</v>
      </c>
      <c r="BS41" s="504">
        <f t="shared" si="71"/>
        <v>32615.966601307191</v>
      </c>
      <c r="BT41" s="504">
        <f t="shared" si="71"/>
        <v>32615.966601307191</v>
      </c>
    </row>
    <row r="42" spans="1:72" ht="15" x14ac:dyDescent="0.25">
      <c r="A42" s="587"/>
      <c r="B42" s="502"/>
      <c r="C42" s="400"/>
      <c r="D42" s="510"/>
      <c r="E42" s="418"/>
      <c r="F42" s="418"/>
      <c r="G42" s="421"/>
      <c r="H42" s="418"/>
      <c r="I42" s="418"/>
      <c r="J42" s="426"/>
      <c r="K42" s="421"/>
      <c r="L42" s="418"/>
      <c r="M42" s="418"/>
      <c r="N42" s="418"/>
      <c r="O42" s="418"/>
      <c r="P42" s="418"/>
      <c r="Q42" s="418"/>
      <c r="R42" s="418"/>
      <c r="S42" s="418"/>
      <c r="T42" s="418"/>
      <c r="U42" s="418"/>
      <c r="V42" s="418"/>
      <c r="W42" s="418"/>
      <c r="X42" s="418"/>
      <c r="Y42" s="418"/>
      <c r="Z42" s="511"/>
      <c r="AA42" s="418"/>
      <c r="AB42" s="418"/>
      <c r="AC42" s="418"/>
      <c r="AD42" s="418"/>
      <c r="AE42" s="418"/>
      <c r="AF42" s="418"/>
      <c r="AG42" s="418"/>
      <c r="AH42" s="418"/>
      <c r="AI42" s="418"/>
      <c r="AJ42" s="418"/>
      <c r="AK42" s="418"/>
      <c r="AL42" s="418"/>
      <c r="AN42" s="510"/>
      <c r="AO42" s="418"/>
      <c r="AP42" s="418"/>
      <c r="AQ42" s="453"/>
      <c r="AR42" s="418"/>
      <c r="AS42" s="418"/>
      <c r="AT42" s="426"/>
      <c r="AU42" s="421"/>
      <c r="AV42" s="418"/>
      <c r="AW42" s="418"/>
      <c r="AX42" s="418"/>
      <c r="AY42" s="418"/>
      <c r="AZ42" s="418"/>
      <c r="BA42" s="418"/>
      <c r="BB42" s="418"/>
      <c r="BC42" s="418"/>
      <c r="BD42" s="418"/>
      <c r="BE42" s="418"/>
      <c r="BF42" s="418"/>
      <c r="BG42" s="418"/>
      <c r="BH42" s="511"/>
      <c r="BI42" s="418"/>
      <c r="BJ42" s="418"/>
      <c r="BK42" s="418"/>
      <c r="BL42" s="418"/>
      <c r="BM42" s="418"/>
      <c r="BN42" s="418"/>
      <c r="BO42" s="418"/>
      <c r="BP42" s="418"/>
      <c r="BQ42" s="418"/>
      <c r="BR42" s="418"/>
      <c r="BS42" s="418"/>
      <c r="BT42" s="418"/>
    </row>
    <row r="43" spans="1:72" ht="15" x14ac:dyDescent="0.25">
      <c r="A43" s="502" t="s">
        <v>64</v>
      </c>
      <c r="B43" s="502" t="s">
        <v>65</v>
      </c>
      <c r="C43" s="400"/>
      <c r="D43" s="500">
        <f t="shared" ref="D43:D49" si="72">SUM(L43:W43)</f>
        <v>0</v>
      </c>
      <c r="E43" s="449">
        <v>0</v>
      </c>
      <c r="F43" s="449">
        <f t="shared" ref="F43:F50" si="73">IFERROR(D43-E43,0)</f>
        <v>0</v>
      </c>
      <c r="G43" s="421">
        <f t="shared" ref="G43:G50" si="74">IFERROR(F43/ABS(E43),0)</f>
        <v>0</v>
      </c>
      <c r="H43" s="449">
        <v>0</v>
      </c>
      <c r="I43" s="449">
        <f t="shared" ref="I43:I50" si="75">IFERROR(D43-H43,0)</f>
        <v>0</v>
      </c>
      <c r="J43" s="426">
        <f t="shared" ref="J43:J50" si="76">IFERROR(I43/ABS(H43),0)</f>
        <v>0</v>
      </c>
      <c r="K43" s="421"/>
      <c r="L43" s="449">
        <v>0</v>
      </c>
      <c r="M43" s="449">
        <v>0</v>
      </c>
      <c r="N43" s="449">
        <v>0</v>
      </c>
      <c r="O43" s="449">
        <v>0</v>
      </c>
      <c r="P43" s="449">
        <v>0</v>
      </c>
      <c r="Q43" s="449">
        <v>0</v>
      </c>
      <c r="R43" s="449">
        <f>($H43-SUM($L43:Q43))/R$694</f>
        <v>0</v>
      </c>
      <c r="S43" s="449">
        <f>($H43-SUM($L43:R43))/S$694</f>
        <v>0</v>
      </c>
      <c r="T43" s="449">
        <f>($H43-SUM($L43:S43))/T$694</f>
        <v>0</v>
      </c>
      <c r="U43" s="449">
        <f>($H43-SUM($L43:T43))/U$694</f>
        <v>0</v>
      </c>
      <c r="V43" s="449">
        <f>($H43-SUM($L43:U43))/V$694</f>
        <v>0</v>
      </c>
      <c r="W43" s="449">
        <f>($H43-SUM($L43:V43))/W$694</f>
        <v>0</v>
      </c>
      <c r="X43" s="449"/>
      <c r="Y43" s="449">
        <f t="shared" si="40"/>
        <v>0</v>
      </c>
      <c r="Z43" s="501"/>
      <c r="AA43" s="449">
        <f t="shared" ref="AA43:AL49" si="77">IFERROR($H43/12,0)</f>
        <v>0</v>
      </c>
      <c r="AB43" s="449">
        <f t="shared" si="77"/>
        <v>0</v>
      </c>
      <c r="AC43" s="449">
        <f t="shared" si="77"/>
        <v>0</v>
      </c>
      <c r="AD43" s="449">
        <f t="shared" si="77"/>
        <v>0</v>
      </c>
      <c r="AE43" s="449">
        <f t="shared" si="77"/>
        <v>0</v>
      </c>
      <c r="AF43" s="449">
        <f t="shared" si="77"/>
        <v>0</v>
      </c>
      <c r="AG43" s="449">
        <f t="shared" si="77"/>
        <v>0</v>
      </c>
      <c r="AH43" s="449">
        <f t="shared" si="77"/>
        <v>0</v>
      </c>
      <c r="AI43" s="449">
        <f t="shared" si="77"/>
        <v>0</v>
      </c>
      <c r="AJ43" s="449">
        <f t="shared" si="77"/>
        <v>0</v>
      </c>
      <c r="AK43" s="449">
        <f t="shared" si="77"/>
        <v>0</v>
      </c>
      <c r="AL43" s="449">
        <f t="shared" si="77"/>
        <v>0</v>
      </c>
      <c r="AN43" s="500">
        <f t="shared" ref="AN43:AN49" si="78">SUM(L43:W43)</f>
        <v>0</v>
      </c>
      <c r="AO43" s="449">
        <f t="shared" ref="AO43:AO49" si="79">SUM(BI43:BT43)</f>
        <v>0</v>
      </c>
      <c r="AP43" s="449">
        <f t="shared" ref="AP43:AP50" si="80">IFERROR(AO43-AN43,0)</f>
        <v>0</v>
      </c>
      <c r="AQ43" s="453" t="str">
        <f t="shared" ref="AQ43:AQ50" si="81">IFERROR(AP43/ABS(AN43),"-")</f>
        <v>-</v>
      </c>
      <c r="AR43" s="449">
        <f t="shared" ref="AR43:AR49" si="82">SUM(BI43:BT43)</f>
        <v>0</v>
      </c>
      <c r="AS43" s="449">
        <f t="shared" ref="AS43:AS50" si="83">IFERROR(AO43-AR43,0)</f>
        <v>0</v>
      </c>
      <c r="AT43" s="426">
        <f t="shared" ref="AT43:AT50" si="84">IFERROR(AS43/ABS(AR43),0)</f>
        <v>0</v>
      </c>
      <c r="AU43" s="421"/>
      <c r="AV43" s="449">
        <f t="shared" ref="AV43:BG49" si="85">BI43</f>
        <v>0</v>
      </c>
      <c r="AW43" s="449">
        <f t="shared" si="85"/>
        <v>0</v>
      </c>
      <c r="AX43" s="449">
        <f t="shared" si="85"/>
        <v>0</v>
      </c>
      <c r="AY43" s="449">
        <f t="shared" si="85"/>
        <v>0</v>
      </c>
      <c r="AZ43" s="449">
        <f t="shared" si="85"/>
        <v>0</v>
      </c>
      <c r="BA43" s="449">
        <f t="shared" si="85"/>
        <v>0</v>
      </c>
      <c r="BB43" s="449">
        <f t="shared" si="85"/>
        <v>0</v>
      </c>
      <c r="BC43" s="449">
        <f t="shared" si="85"/>
        <v>0</v>
      </c>
      <c r="BD43" s="449">
        <f t="shared" si="85"/>
        <v>0</v>
      </c>
      <c r="BE43" s="449">
        <f t="shared" si="85"/>
        <v>0</v>
      </c>
      <c r="BF43" s="449">
        <f t="shared" si="85"/>
        <v>0</v>
      </c>
      <c r="BG43" s="449">
        <f t="shared" si="85"/>
        <v>0</v>
      </c>
      <c r="BH43" s="400"/>
      <c r="BI43" s="449">
        <f t="shared" ref="BI43:BT49" si="86">IFERROR((($H43/$H$5)*BI$5)/12,0)</f>
        <v>0</v>
      </c>
      <c r="BJ43" s="449">
        <f t="shared" si="86"/>
        <v>0</v>
      </c>
      <c r="BK43" s="449">
        <f t="shared" si="86"/>
        <v>0</v>
      </c>
      <c r="BL43" s="449">
        <f t="shared" si="86"/>
        <v>0</v>
      </c>
      <c r="BM43" s="449">
        <f t="shared" si="86"/>
        <v>0</v>
      </c>
      <c r="BN43" s="449">
        <f t="shared" si="86"/>
        <v>0</v>
      </c>
      <c r="BO43" s="449">
        <f t="shared" si="86"/>
        <v>0</v>
      </c>
      <c r="BP43" s="449">
        <f t="shared" si="86"/>
        <v>0</v>
      </c>
      <c r="BQ43" s="449">
        <f t="shared" si="86"/>
        <v>0</v>
      </c>
      <c r="BR43" s="449">
        <f t="shared" si="86"/>
        <v>0</v>
      </c>
      <c r="BS43" s="449">
        <f t="shared" si="86"/>
        <v>0</v>
      </c>
      <c r="BT43" s="449">
        <f t="shared" si="86"/>
        <v>0</v>
      </c>
    </row>
    <row r="44" spans="1:72" ht="15" x14ac:dyDescent="0.25">
      <c r="A44" s="502" t="s">
        <v>66</v>
      </c>
      <c r="B44" s="502" t="s">
        <v>67</v>
      </c>
      <c r="C44" s="400"/>
      <c r="D44" s="500">
        <f t="shared" si="72"/>
        <v>0</v>
      </c>
      <c r="E44" s="449">
        <v>0</v>
      </c>
      <c r="F44" s="449">
        <f t="shared" si="73"/>
        <v>0</v>
      </c>
      <c r="G44" s="421">
        <f t="shared" si="74"/>
        <v>0</v>
      </c>
      <c r="H44" s="449">
        <v>0</v>
      </c>
      <c r="I44" s="449">
        <f t="shared" si="75"/>
        <v>0</v>
      </c>
      <c r="J44" s="426">
        <f t="shared" si="76"/>
        <v>0</v>
      </c>
      <c r="K44" s="421"/>
      <c r="L44" s="449">
        <v>0</v>
      </c>
      <c r="M44" s="449">
        <v>0</v>
      </c>
      <c r="N44" s="449">
        <v>0</v>
      </c>
      <c r="O44" s="449">
        <v>0</v>
      </c>
      <c r="P44" s="449">
        <v>0</v>
      </c>
      <c r="Q44" s="449">
        <v>0</v>
      </c>
      <c r="R44" s="449">
        <f>($H44-SUM($L44:Q44))/R$694</f>
        <v>0</v>
      </c>
      <c r="S44" s="449">
        <f>($H44-SUM($L44:R44))/S$694</f>
        <v>0</v>
      </c>
      <c r="T44" s="449">
        <f>($H44-SUM($L44:S44))/T$694</f>
        <v>0</v>
      </c>
      <c r="U44" s="449">
        <f>($H44-SUM($L44:T44))/U$694</f>
        <v>0</v>
      </c>
      <c r="V44" s="449">
        <f>($H44-SUM($L44:U44))/V$694</f>
        <v>0</v>
      </c>
      <c r="W44" s="449">
        <f>($H44-SUM($L44:V44))/W$694</f>
        <v>0</v>
      </c>
      <c r="X44" s="449"/>
      <c r="Y44" s="449">
        <f t="shared" si="40"/>
        <v>0</v>
      </c>
      <c r="Z44" s="501"/>
      <c r="AA44" s="449">
        <f t="shared" si="77"/>
        <v>0</v>
      </c>
      <c r="AB44" s="449">
        <f t="shared" si="77"/>
        <v>0</v>
      </c>
      <c r="AC44" s="449">
        <f t="shared" si="77"/>
        <v>0</v>
      </c>
      <c r="AD44" s="449">
        <f t="shared" si="77"/>
        <v>0</v>
      </c>
      <c r="AE44" s="449">
        <f t="shared" si="77"/>
        <v>0</v>
      </c>
      <c r="AF44" s="449">
        <f t="shared" si="77"/>
        <v>0</v>
      </c>
      <c r="AG44" s="449">
        <f t="shared" si="77"/>
        <v>0</v>
      </c>
      <c r="AH44" s="449">
        <f t="shared" si="77"/>
        <v>0</v>
      </c>
      <c r="AI44" s="449">
        <f t="shared" si="77"/>
        <v>0</v>
      </c>
      <c r="AJ44" s="449">
        <f t="shared" si="77"/>
        <v>0</v>
      </c>
      <c r="AK44" s="449">
        <f t="shared" si="77"/>
        <v>0</v>
      </c>
      <c r="AL44" s="449">
        <f t="shared" si="77"/>
        <v>0</v>
      </c>
      <c r="AN44" s="500">
        <f t="shared" si="78"/>
        <v>0</v>
      </c>
      <c r="AO44" s="449">
        <f t="shared" si="79"/>
        <v>0</v>
      </c>
      <c r="AP44" s="449">
        <f t="shared" si="80"/>
        <v>0</v>
      </c>
      <c r="AQ44" s="453" t="str">
        <f t="shared" si="81"/>
        <v>-</v>
      </c>
      <c r="AR44" s="449">
        <f t="shared" si="82"/>
        <v>0</v>
      </c>
      <c r="AS44" s="449">
        <f t="shared" si="83"/>
        <v>0</v>
      </c>
      <c r="AT44" s="426">
        <f t="shared" si="84"/>
        <v>0</v>
      </c>
      <c r="AU44" s="421"/>
      <c r="AV44" s="449">
        <f t="shared" si="85"/>
        <v>0</v>
      </c>
      <c r="AW44" s="449">
        <f t="shared" si="85"/>
        <v>0</v>
      </c>
      <c r="AX44" s="449">
        <f t="shared" si="85"/>
        <v>0</v>
      </c>
      <c r="AY44" s="449">
        <f t="shared" si="85"/>
        <v>0</v>
      </c>
      <c r="AZ44" s="449">
        <f t="shared" si="85"/>
        <v>0</v>
      </c>
      <c r="BA44" s="449">
        <f t="shared" si="85"/>
        <v>0</v>
      </c>
      <c r="BB44" s="449">
        <f t="shared" si="85"/>
        <v>0</v>
      </c>
      <c r="BC44" s="449">
        <f t="shared" si="85"/>
        <v>0</v>
      </c>
      <c r="BD44" s="449">
        <f t="shared" si="85"/>
        <v>0</v>
      </c>
      <c r="BE44" s="449">
        <f t="shared" si="85"/>
        <v>0</v>
      </c>
      <c r="BF44" s="449">
        <f t="shared" si="85"/>
        <v>0</v>
      </c>
      <c r="BG44" s="449">
        <f t="shared" si="85"/>
        <v>0</v>
      </c>
      <c r="BH44" s="400"/>
      <c r="BI44" s="449">
        <f t="shared" si="86"/>
        <v>0</v>
      </c>
      <c r="BJ44" s="449">
        <f t="shared" si="86"/>
        <v>0</v>
      </c>
      <c r="BK44" s="449">
        <f t="shared" si="86"/>
        <v>0</v>
      </c>
      <c r="BL44" s="449">
        <f t="shared" si="86"/>
        <v>0</v>
      </c>
      <c r="BM44" s="449">
        <f t="shared" si="86"/>
        <v>0</v>
      </c>
      <c r="BN44" s="449">
        <f t="shared" si="86"/>
        <v>0</v>
      </c>
      <c r="BO44" s="449">
        <f t="shared" si="86"/>
        <v>0</v>
      </c>
      <c r="BP44" s="449">
        <f t="shared" si="86"/>
        <v>0</v>
      </c>
      <c r="BQ44" s="449">
        <f t="shared" si="86"/>
        <v>0</v>
      </c>
      <c r="BR44" s="449">
        <f t="shared" si="86"/>
        <v>0</v>
      </c>
      <c r="BS44" s="449">
        <f t="shared" si="86"/>
        <v>0</v>
      </c>
      <c r="BT44" s="449">
        <f t="shared" si="86"/>
        <v>0</v>
      </c>
    </row>
    <row r="45" spans="1:72" ht="15" x14ac:dyDescent="0.25">
      <c r="A45" s="502" t="s">
        <v>68</v>
      </c>
      <c r="B45" s="502" t="s">
        <v>69</v>
      </c>
      <c r="C45" s="400"/>
      <c r="D45" s="500">
        <f t="shared" si="72"/>
        <v>0</v>
      </c>
      <c r="E45" s="449">
        <v>0</v>
      </c>
      <c r="F45" s="449">
        <f t="shared" si="73"/>
        <v>0</v>
      </c>
      <c r="G45" s="421">
        <f t="shared" si="74"/>
        <v>0</v>
      </c>
      <c r="H45" s="449">
        <v>0</v>
      </c>
      <c r="I45" s="449">
        <f t="shared" si="75"/>
        <v>0</v>
      </c>
      <c r="J45" s="426">
        <f t="shared" si="76"/>
        <v>0</v>
      </c>
      <c r="K45" s="421"/>
      <c r="L45" s="449">
        <v>0</v>
      </c>
      <c r="M45" s="449">
        <v>0</v>
      </c>
      <c r="N45" s="449">
        <v>0</v>
      </c>
      <c r="O45" s="449">
        <v>0</v>
      </c>
      <c r="P45" s="449">
        <v>0</v>
      </c>
      <c r="Q45" s="449">
        <v>0</v>
      </c>
      <c r="R45" s="449">
        <f>($H45-SUM($L45:Q45))/R$694</f>
        <v>0</v>
      </c>
      <c r="S45" s="449">
        <f>($H45-SUM($L45:R45))/S$694</f>
        <v>0</v>
      </c>
      <c r="T45" s="449">
        <f>($H45-SUM($L45:S45))/T$694</f>
        <v>0</v>
      </c>
      <c r="U45" s="449">
        <f>($H45-SUM($L45:T45))/U$694</f>
        <v>0</v>
      </c>
      <c r="V45" s="449">
        <f>($H45-SUM($L45:U45))/V$694</f>
        <v>0</v>
      </c>
      <c r="W45" s="449">
        <f>($H45-SUM($L45:V45))/W$694</f>
        <v>0</v>
      </c>
      <c r="X45" s="449"/>
      <c r="Y45" s="449">
        <f t="shared" si="40"/>
        <v>0</v>
      </c>
      <c r="Z45" s="501"/>
      <c r="AA45" s="449">
        <f t="shared" si="77"/>
        <v>0</v>
      </c>
      <c r="AB45" s="449">
        <f t="shared" si="77"/>
        <v>0</v>
      </c>
      <c r="AC45" s="449">
        <f t="shared" si="77"/>
        <v>0</v>
      </c>
      <c r="AD45" s="449">
        <f t="shared" si="77"/>
        <v>0</v>
      </c>
      <c r="AE45" s="449">
        <f t="shared" si="77"/>
        <v>0</v>
      </c>
      <c r="AF45" s="449">
        <f t="shared" si="77"/>
        <v>0</v>
      </c>
      <c r="AG45" s="449">
        <f t="shared" si="77"/>
        <v>0</v>
      </c>
      <c r="AH45" s="449">
        <f t="shared" si="77"/>
        <v>0</v>
      </c>
      <c r="AI45" s="449">
        <f t="shared" si="77"/>
        <v>0</v>
      </c>
      <c r="AJ45" s="449">
        <f t="shared" si="77"/>
        <v>0</v>
      </c>
      <c r="AK45" s="449">
        <f t="shared" si="77"/>
        <v>0</v>
      </c>
      <c r="AL45" s="449">
        <f t="shared" si="77"/>
        <v>0</v>
      </c>
      <c r="AN45" s="500">
        <f t="shared" si="78"/>
        <v>0</v>
      </c>
      <c r="AO45" s="449">
        <f t="shared" si="79"/>
        <v>0</v>
      </c>
      <c r="AP45" s="449">
        <f t="shared" si="80"/>
        <v>0</v>
      </c>
      <c r="AQ45" s="453" t="str">
        <f t="shared" si="81"/>
        <v>-</v>
      </c>
      <c r="AR45" s="449">
        <f t="shared" si="82"/>
        <v>0</v>
      </c>
      <c r="AS45" s="449">
        <f t="shared" si="83"/>
        <v>0</v>
      </c>
      <c r="AT45" s="426">
        <f t="shared" si="84"/>
        <v>0</v>
      </c>
      <c r="AU45" s="421"/>
      <c r="AV45" s="449">
        <f t="shared" si="85"/>
        <v>0</v>
      </c>
      <c r="AW45" s="449">
        <f t="shared" si="85"/>
        <v>0</v>
      </c>
      <c r="AX45" s="449">
        <f t="shared" si="85"/>
        <v>0</v>
      </c>
      <c r="AY45" s="449">
        <f t="shared" si="85"/>
        <v>0</v>
      </c>
      <c r="AZ45" s="449">
        <f t="shared" si="85"/>
        <v>0</v>
      </c>
      <c r="BA45" s="449">
        <f t="shared" si="85"/>
        <v>0</v>
      </c>
      <c r="BB45" s="449">
        <f t="shared" si="85"/>
        <v>0</v>
      </c>
      <c r="BC45" s="449">
        <f t="shared" si="85"/>
        <v>0</v>
      </c>
      <c r="BD45" s="449">
        <f t="shared" si="85"/>
        <v>0</v>
      </c>
      <c r="BE45" s="449">
        <f t="shared" si="85"/>
        <v>0</v>
      </c>
      <c r="BF45" s="449">
        <f t="shared" si="85"/>
        <v>0</v>
      </c>
      <c r="BG45" s="449">
        <f t="shared" si="85"/>
        <v>0</v>
      </c>
      <c r="BH45" s="400"/>
      <c r="BI45" s="449">
        <f t="shared" si="86"/>
        <v>0</v>
      </c>
      <c r="BJ45" s="449">
        <f t="shared" si="86"/>
        <v>0</v>
      </c>
      <c r="BK45" s="449">
        <f t="shared" si="86"/>
        <v>0</v>
      </c>
      <c r="BL45" s="449">
        <f t="shared" si="86"/>
        <v>0</v>
      </c>
      <c r="BM45" s="449">
        <f t="shared" si="86"/>
        <v>0</v>
      </c>
      <c r="BN45" s="449">
        <f t="shared" si="86"/>
        <v>0</v>
      </c>
      <c r="BO45" s="449">
        <f t="shared" si="86"/>
        <v>0</v>
      </c>
      <c r="BP45" s="449">
        <f t="shared" si="86"/>
        <v>0</v>
      </c>
      <c r="BQ45" s="449">
        <f t="shared" si="86"/>
        <v>0</v>
      </c>
      <c r="BR45" s="449">
        <f t="shared" si="86"/>
        <v>0</v>
      </c>
      <c r="BS45" s="449">
        <f t="shared" si="86"/>
        <v>0</v>
      </c>
      <c r="BT45" s="449">
        <f t="shared" si="86"/>
        <v>0</v>
      </c>
    </row>
    <row r="46" spans="1:72" ht="15" x14ac:dyDescent="0.25">
      <c r="A46" s="502" t="s">
        <v>70</v>
      </c>
      <c r="B46" s="502" t="s">
        <v>71</v>
      </c>
      <c r="C46" s="400"/>
      <c r="D46" s="500">
        <f t="shared" si="72"/>
        <v>0</v>
      </c>
      <c r="E46" s="449">
        <v>0</v>
      </c>
      <c r="F46" s="449">
        <f t="shared" si="73"/>
        <v>0</v>
      </c>
      <c r="G46" s="421">
        <f t="shared" si="74"/>
        <v>0</v>
      </c>
      <c r="H46" s="449">
        <v>0</v>
      </c>
      <c r="I46" s="449">
        <f t="shared" si="75"/>
        <v>0</v>
      </c>
      <c r="J46" s="426">
        <f t="shared" si="76"/>
        <v>0</v>
      </c>
      <c r="K46" s="421"/>
      <c r="L46" s="449">
        <v>0</v>
      </c>
      <c r="M46" s="449">
        <v>0</v>
      </c>
      <c r="N46" s="449">
        <v>0</v>
      </c>
      <c r="O46" s="449">
        <v>0</v>
      </c>
      <c r="P46" s="449">
        <v>0</v>
      </c>
      <c r="Q46" s="449">
        <v>0</v>
      </c>
      <c r="R46" s="449">
        <f>($H46-SUM($L46:Q46))/R$694</f>
        <v>0</v>
      </c>
      <c r="S46" s="449">
        <f>($H46-SUM($L46:R46))/S$694</f>
        <v>0</v>
      </c>
      <c r="T46" s="449">
        <f>($H46-SUM($L46:S46))/T$694</f>
        <v>0</v>
      </c>
      <c r="U46" s="449">
        <f>($H46-SUM($L46:T46))/U$694</f>
        <v>0</v>
      </c>
      <c r="V46" s="449">
        <f>($H46-SUM($L46:U46))/V$694</f>
        <v>0</v>
      </c>
      <c r="W46" s="449">
        <f>($H46-SUM($L46:V46))/W$694</f>
        <v>0</v>
      </c>
      <c r="X46" s="449"/>
      <c r="Y46" s="449">
        <f t="shared" si="40"/>
        <v>0</v>
      </c>
      <c r="Z46" s="501"/>
      <c r="AA46" s="449">
        <f t="shared" si="77"/>
        <v>0</v>
      </c>
      <c r="AB46" s="449">
        <f t="shared" si="77"/>
        <v>0</v>
      </c>
      <c r="AC46" s="449">
        <f t="shared" si="77"/>
        <v>0</v>
      </c>
      <c r="AD46" s="449">
        <f t="shared" si="77"/>
        <v>0</v>
      </c>
      <c r="AE46" s="449">
        <f t="shared" si="77"/>
        <v>0</v>
      </c>
      <c r="AF46" s="449">
        <f t="shared" si="77"/>
        <v>0</v>
      </c>
      <c r="AG46" s="449">
        <f t="shared" si="77"/>
        <v>0</v>
      </c>
      <c r="AH46" s="449">
        <f t="shared" si="77"/>
        <v>0</v>
      </c>
      <c r="AI46" s="449">
        <f t="shared" si="77"/>
        <v>0</v>
      </c>
      <c r="AJ46" s="449">
        <f t="shared" si="77"/>
        <v>0</v>
      </c>
      <c r="AK46" s="449">
        <f t="shared" si="77"/>
        <v>0</v>
      </c>
      <c r="AL46" s="449">
        <f t="shared" si="77"/>
        <v>0</v>
      </c>
      <c r="AN46" s="500">
        <f t="shared" si="78"/>
        <v>0</v>
      </c>
      <c r="AO46" s="449">
        <f t="shared" si="79"/>
        <v>0</v>
      </c>
      <c r="AP46" s="449">
        <f t="shared" si="80"/>
        <v>0</v>
      </c>
      <c r="AQ46" s="453" t="str">
        <f t="shared" si="81"/>
        <v>-</v>
      </c>
      <c r="AR46" s="449">
        <f t="shared" si="82"/>
        <v>0</v>
      </c>
      <c r="AS46" s="449">
        <f t="shared" si="83"/>
        <v>0</v>
      </c>
      <c r="AT46" s="426">
        <f t="shared" si="84"/>
        <v>0</v>
      </c>
      <c r="AU46" s="421"/>
      <c r="AV46" s="449">
        <f t="shared" si="85"/>
        <v>0</v>
      </c>
      <c r="AW46" s="449">
        <f t="shared" si="85"/>
        <v>0</v>
      </c>
      <c r="AX46" s="449">
        <f t="shared" si="85"/>
        <v>0</v>
      </c>
      <c r="AY46" s="449">
        <f t="shared" si="85"/>
        <v>0</v>
      </c>
      <c r="AZ46" s="449">
        <f t="shared" si="85"/>
        <v>0</v>
      </c>
      <c r="BA46" s="449">
        <f t="shared" si="85"/>
        <v>0</v>
      </c>
      <c r="BB46" s="449">
        <f t="shared" si="85"/>
        <v>0</v>
      </c>
      <c r="BC46" s="449">
        <f t="shared" si="85"/>
        <v>0</v>
      </c>
      <c r="BD46" s="449">
        <f t="shared" si="85"/>
        <v>0</v>
      </c>
      <c r="BE46" s="449">
        <f t="shared" si="85"/>
        <v>0</v>
      </c>
      <c r="BF46" s="449">
        <f t="shared" si="85"/>
        <v>0</v>
      </c>
      <c r="BG46" s="449">
        <f t="shared" si="85"/>
        <v>0</v>
      </c>
      <c r="BH46" s="400"/>
      <c r="BI46" s="449">
        <f t="shared" si="86"/>
        <v>0</v>
      </c>
      <c r="BJ46" s="449">
        <f t="shared" si="86"/>
        <v>0</v>
      </c>
      <c r="BK46" s="449">
        <f t="shared" si="86"/>
        <v>0</v>
      </c>
      <c r="BL46" s="449">
        <f t="shared" si="86"/>
        <v>0</v>
      </c>
      <c r="BM46" s="449">
        <f t="shared" si="86"/>
        <v>0</v>
      </c>
      <c r="BN46" s="449">
        <f t="shared" si="86"/>
        <v>0</v>
      </c>
      <c r="BO46" s="449">
        <f t="shared" si="86"/>
        <v>0</v>
      </c>
      <c r="BP46" s="449">
        <f t="shared" si="86"/>
        <v>0</v>
      </c>
      <c r="BQ46" s="449">
        <f t="shared" si="86"/>
        <v>0</v>
      </c>
      <c r="BR46" s="449">
        <f t="shared" si="86"/>
        <v>0</v>
      </c>
      <c r="BS46" s="449">
        <f t="shared" si="86"/>
        <v>0</v>
      </c>
      <c r="BT46" s="449">
        <f t="shared" si="86"/>
        <v>0</v>
      </c>
    </row>
    <row r="47" spans="1:72" ht="15" x14ac:dyDescent="0.25">
      <c r="A47" s="502" t="s">
        <v>72</v>
      </c>
      <c r="B47" s="502" t="s">
        <v>73</v>
      </c>
      <c r="C47" s="400"/>
      <c r="D47" s="500">
        <f t="shared" si="72"/>
        <v>24000</v>
      </c>
      <c r="E47" s="449">
        <v>54000</v>
      </c>
      <c r="F47" s="449">
        <f t="shared" si="73"/>
        <v>-30000</v>
      </c>
      <c r="G47" s="421">
        <f t="shared" si="74"/>
        <v>-0.55555555555555558</v>
      </c>
      <c r="H47" s="449">
        <v>24000</v>
      </c>
      <c r="I47" s="449">
        <f t="shared" si="75"/>
        <v>0</v>
      </c>
      <c r="J47" s="426">
        <f t="shared" si="76"/>
        <v>0</v>
      </c>
      <c r="K47" s="421"/>
      <c r="L47" s="449">
        <v>0</v>
      </c>
      <c r="M47" s="449">
        <v>2755.63</v>
      </c>
      <c r="N47" s="449">
        <v>0</v>
      </c>
      <c r="O47" s="449">
        <v>0</v>
      </c>
      <c r="P47" s="449">
        <v>0</v>
      </c>
      <c r="Q47" s="449">
        <v>0</v>
      </c>
      <c r="R47" s="449">
        <f>($H47-SUM($L47:Q47))/R$694</f>
        <v>3540.728333333333</v>
      </c>
      <c r="S47" s="449">
        <f>($H47-SUM($L47:R47))/S$694</f>
        <v>3540.7283333333335</v>
      </c>
      <c r="T47" s="449">
        <f>($H47-SUM($L47:S47))/T$694</f>
        <v>3540.7283333333335</v>
      </c>
      <c r="U47" s="449">
        <f>($H47-SUM($L47:T47))/U$694</f>
        <v>3540.7283333333339</v>
      </c>
      <c r="V47" s="449">
        <f>($H47-SUM($L47:U47))/V$694</f>
        <v>3540.7283333333344</v>
      </c>
      <c r="W47" s="449">
        <f>($H47-SUM($L47:V47))/W$694</f>
        <v>3540.7283333333326</v>
      </c>
      <c r="X47" s="449"/>
      <c r="Y47" s="449">
        <f t="shared" si="40"/>
        <v>24000</v>
      </c>
      <c r="Z47" s="501"/>
      <c r="AA47" s="449">
        <f t="shared" si="77"/>
        <v>2000</v>
      </c>
      <c r="AB47" s="449">
        <f t="shared" si="77"/>
        <v>2000</v>
      </c>
      <c r="AC47" s="449">
        <f t="shared" si="77"/>
        <v>2000</v>
      </c>
      <c r="AD47" s="449">
        <f t="shared" si="77"/>
        <v>2000</v>
      </c>
      <c r="AE47" s="449">
        <f t="shared" si="77"/>
        <v>2000</v>
      </c>
      <c r="AF47" s="449">
        <f t="shared" si="77"/>
        <v>2000</v>
      </c>
      <c r="AG47" s="449">
        <f t="shared" si="77"/>
        <v>2000</v>
      </c>
      <c r="AH47" s="449">
        <f t="shared" si="77"/>
        <v>2000</v>
      </c>
      <c r="AI47" s="449">
        <f t="shared" si="77"/>
        <v>2000</v>
      </c>
      <c r="AJ47" s="449">
        <f t="shared" si="77"/>
        <v>2000</v>
      </c>
      <c r="AK47" s="449">
        <f t="shared" si="77"/>
        <v>2000</v>
      </c>
      <c r="AL47" s="449">
        <f t="shared" si="77"/>
        <v>2000</v>
      </c>
      <c r="AN47" s="500">
        <f t="shared" si="78"/>
        <v>24000</v>
      </c>
      <c r="AO47" s="449">
        <f t="shared" si="79"/>
        <v>26390.361445783132</v>
      </c>
      <c r="AP47" s="449">
        <f t="shared" si="80"/>
        <v>2390.3614457831318</v>
      </c>
      <c r="AQ47" s="453">
        <f t="shared" si="81"/>
        <v>9.9598393574297159E-2</v>
      </c>
      <c r="AR47" s="449">
        <f t="shared" si="82"/>
        <v>26390.361445783132</v>
      </c>
      <c r="AS47" s="449">
        <f t="shared" si="83"/>
        <v>0</v>
      </c>
      <c r="AT47" s="426">
        <f t="shared" si="84"/>
        <v>0</v>
      </c>
      <c r="AU47" s="421"/>
      <c r="AV47" s="449">
        <f t="shared" si="85"/>
        <v>2199.1967871485945</v>
      </c>
      <c r="AW47" s="449">
        <f t="shared" si="85"/>
        <v>2199.1967871485945</v>
      </c>
      <c r="AX47" s="449">
        <f t="shared" si="85"/>
        <v>2199.1967871485945</v>
      </c>
      <c r="AY47" s="449">
        <f t="shared" si="85"/>
        <v>2199.1967871485945</v>
      </c>
      <c r="AZ47" s="449">
        <f t="shared" si="85"/>
        <v>2199.1967871485945</v>
      </c>
      <c r="BA47" s="449">
        <f t="shared" si="85"/>
        <v>2199.1967871485945</v>
      </c>
      <c r="BB47" s="449">
        <f t="shared" si="85"/>
        <v>2199.1967871485945</v>
      </c>
      <c r="BC47" s="449">
        <f t="shared" si="85"/>
        <v>2199.1967871485945</v>
      </c>
      <c r="BD47" s="449">
        <f t="shared" si="85"/>
        <v>2199.1967871485945</v>
      </c>
      <c r="BE47" s="449">
        <f t="shared" si="85"/>
        <v>2199.1967871485945</v>
      </c>
      <c r="BF47" s="449">
        <f t="shared" si="85"/>
        <v>2199.1967871485945</v>
      </c>
      <c r="BG47" s="449">
        <f t="shared" si="85"/>
        <v>2199.1967871485945</v>
      </c>
      <c r="BH47" s="400"/>
      <c r="BI47" s="449">
        <f t="shared" si="86"/>
        <v>2199.1967871485945</v>
      </c>
      <c r="BJ47" s="449">
        <f t="shared" si="86"/>
        <v>2199.1967871485945</v>
      </c>
      <c r="BK47" s="449">
        <f t="shared" si="86"/>
        <v>2199.1967871485945</v>
      </c>
      <c r="BL47" s="449">
        <f t="shared" si="86"/>
        <v>2199.1967871485945</v>
      </c>
      <c r="BM47" s="449">
        <f t="shared" si="86"/>
        <v>2199.1967871485945</v>
      </c>
      <c r="BN47" s="449">
        <f t="shared" si="86"/>
        <v>2199.1967871485945</v>
      </c>
      <c r="BO47" s="449">
        <f t="shared" si="86"/>
        <v>2199.1967871485945</v>
      </c>
      <c r="BP47" s="449">
        <f t="shared" si="86"/>
        <v>2199.1967871485945</v>
      </c>
      <c r="BQ47" s="449">
        <f t="shared" si="86"/>
        <v>2199.1967871485945</v>
      </c>
      <c r="BR47" s="449">
        <f t="shared" si="86"/>
        <v>2199.1967871485945</v>
      </c>
      <c r="BS47" s="449">
        <f t="shared" si="86"/>
        <v>2199.1967871485945</v>
      </c>
      <c r="BT47" s="449">
        <f t="shared" si="86"/>
        <v>2199.1967871485945</v>
      </c>
    </row>
    <row r="48" spans="1:72" ht="15" x14ac:dyDescent="0.25">
      <c r="A48" s="502" t="s">
        <v>74</v>
      </c>
      <c r="B48" s="502" t="s">
        <v>75</v>
      </c>
      <c r="C48" s="400"/>
      <c r="D48" s="500">
        <f t="shared" si="72"/>
        <v>0</v>
      </c>
      <c r="E48" s="449">
        <v>0</v>
      </c>
      <c r="F48" s="449">
        <f t="shared" si="73"/>
        <v>0</v>
      </c>
      <c r="G48" s="421">
        <f t="shared" si="74"/>
        <v>0</v>
      </c>
      <c r="H48" s="449">
        <v>0</v>
      </c>
      <c r="I48" s="449">
        <f t="shared" si="75"/>
        <v>0</v>
      </c>
      <c r="J48" s="426">
        <f t="shared" si="76"/>
        <v>0</v>
      </c>
      <c r="K48" s="421"/>
      <c r="L48" s="449">
        <v>0</v>
      </c>
      <c r="M48" s="449">
        <v>0</v>
      </c>
      <c r="N48" s="449">
        <v>0</v>
      </c>
      <c r="O48" s="449">
        <v>0</v>
      </c>
      <c r="P48" s="449">
        <v>0</v>
      </c>
      <c r="Q48" s="449">
        <v>0</v>
      </c>
      <c r="R48" s="449">
        <f>($H48-SUM($L48:Q48))/R$694</f>
        <v>0</v>
      </c>
      <c r="S48" s="449">
        <f>($H48-SUM($L48:R48))/S$694</f>
        <v>0</v>
      </c>
      <c r="T48" s="449">
        <f>($H48-SUM($L48:S48))/T$694</f>
        <v>0</v>
      </c>
      <c r="U48" s="449">
        <f>($H48-SUM($L48:T48))/U$694</f>
        <v>0</v>
      </c>
      <c r="V48" s="449">
        <f>($H48-SUM($L48:U48))/V$694</f>
        <v>0</v>
      </c>
      <c r="W48" s="449">
        <f>($H48-SUM($L48:V48))/W$694</f>
        <v>0</v>
      </c>
      <c r="X48" s="449"/>
      <c r="Y48" s="449">
        <f t="shared" si="40"/>
        <v>0</v>
      </c>
      <c r="Z48" s="501"/>
      <c r="AA48" s="449">
        <f t="shared" si="77"/>
        <v>0</v>
      </c>
      <c r="AB48" s="449">
        <f t="shared" si="77"/>
        <v>0</v>
      </c>
      <c r="AC48" s="449">
        <f t="shared" si="77"/>
        <v>0</v>
      </c>
      <c r="AD48" s="449">
        <f t="shared" si="77"/>
        <v>0</v>
      </c>
      <c r="AE48" s="449">
        <f t="shared" si="77"/>
        <v>0</v>
      </c>
      <c r="AF48" s="449">
        <f t="shared" si="77"/>
        <v>0</v>
      </c>
      <c r="AG48" s="449">
        <f t="shared" si="77"/>
        <v>0</v>
      </c>
      <c r="AH48" s="449">
        <f t="shared" si="77"/>
        <v>0</v>
      </c>
      <c r="AI48" s="449">
        <f t="shared" si="77"/>
        <v>0</v>
      </c>
      <c r="AJ48" s="449">
        <f t="shared" si="77"/>
        <v>0</v>
      </c>
      <c r="AK48" s="449">
        <f t="shared" si="77"/>
        <v>0</v>
      </c>
      <c r="AL48" s="449">
        <f t="shared" si="77"/>
        <v>0</v>
      </c>
      <c r="AN48" s="500">
        <f t="shared" si="78"/>
        <v>0</v>
      </c>
      <c r="AO48" s="449">
        <f t="shared" si="79"/>
        <v>0</v>
      </c>
      <c r="AP48" s="449">
        <f t="shared" si="80"/>
        <v>0</v>
      </c>
      <c r="AQ48" s="453" t="str">
        <f t="shared" si="81"/>
        <v>-</v>
      </c>
      <c r="AR48" s="449">
        <f t="shared" si="82"/>
        <v>0</v>
      </c>
      <c r="AS48" s="449">
        <f t="shared" si="83"/>
        <v>0</v>
      </c>
      <c r="AT48" s="426">
        <f t="shared" si="84"/>
        <v>0</v>
      </c>
      <c r="AU48" s="421"/>
      <c r="AV48" s="449">
        <f t="shared" si="85"/>
        <v>0</v>
      </c>
      <c r="AW48" s="449">
        <f t="shared" si="85"/>
        <v>0</v>
      </c>
      <c r="AX48" s="449">
        <f t="shared" si="85"/>
        <v>0</v>
      </c>
      <c r="AY48" s="449">
        <f t="shared" si="85"/>
        <v>0</v>
      </c>
      <c r="AZ48" s="449">
        <f t="shared" si="85"/>
        <v>0</v>
      </c>
      <c r="BA48" s="449">
        <f t="shared" si="85"/>
        <v>0</v>
      </c>
      <c r="BB48" s="449">
        <f t="shared" si="85"/>
        <v>0</v>
      </c>
      <c r="BC48" s="449">
        <f t="shared" si="85"/>
        <v>0</v>
      </c>
      <c r="BD48" s="449">
        <f t="shared" si="85"/>
        <v>0</v>
      </c>
      <c r="BE48" s="449">
        <f t="shared" si="85"/>
        <v>0</v>
      </c>
      <c r="BF48" s="449">
        <f t="shared" si="85"/>
        <v>0</v>
      </c>
      <c r="BG48" s="449">
        <f t="shared" si="85"/>
        <v>0</v>
      </c>
      <c r="BH48" s="400"/>
      <c r="BI48" s="449">
        <f t="shared" si="86"/>
        <v>0</v>
      </c>
      <c r="BJ48" s="449">
        <f t="shared" si="86"/>
        <v>0</v>
      </c>
      <c r="BK48" s="449">
        <f t="shared" si="86"/>
        <v>0</v>
      </c>
      <c r="BL48" s="449">
        <f t="shared" si="86"/>
        <v>0</v>
      </c>
      <c r="BM48" s="449">
        <f t="shared" si="86"/>
        <v>0</v>
      </c>
      <c r="BN48" s="449">
        <f t="shared" si="86"/>
        <v>0</v>
      </c>
      <c r="BO48" s="449">
        <f t="shared" si="86"/>
        <v>0</v>
      </c>
      <c r="BP48" s="449">
        <f t="shared" si="86"/>
        <v>0</v>
      </c>
      <c r="BQ48" s="449">
        <f t="shared" si="86"/>
        <v>0</v>
      </c>
      <c r="BR48" s="449">
        <f t="shared" si="86"/>
        <v>0</v>
      </c>
      <c r="BS48" s="449">
        <f t="shared" si="86"/>
        <v>0</v>
      </c>
      <c r="BT48" s="449">
        <f t="shared" si="86"/>
        <v>0</v>
      </c>
    </row>
    <row r="49" spans="1:72" ht="15" x14ac:dyDescent="0.25">
      <c r="A49" s="502" t="s">
        <v>76</v>
      </c>
      <c r="B49" s="502" t="s">
        <v>77</v>
      </c>
      <c r="C49" s="400"/>
      <c r="D49" s="500">
        <f t="shared" si="72"/>
        <v>0</v>
      </c>
      <c r="E49" s="449">
        <v>0</v>
      </c>
      <c r="F49" s="449">
        <f t="shared" si="73"/>
        <v>0</v>
      </c>
      <c r="G49" s="421">
        <f t="shared" si="74"/>
        <v>0</v>
      </c>
      <c r="H49" s="449">
        <v>0</v>
      </c>
      <c r="I49" s="449">
        <f t="shared" si="75"/>
        <v>0</v>
      </c>
      <c r="J49" s="426">
        <f t="shared" si="76"/>
        <v>0</v>
      </c>
      <c r="K49" s="421"/>
      <c r="L49" s="449">
        <v>0</v>
      </c>
      <c r="M49" s="449">
        <v>0</v>
      </c>
      <c r="N49" s="449">
        <v>0</v>
      </c>
      <c r="O49" s="449">
        <v>0</v>
      </c>
      <c r="P49" s="449">
        <v>0</v>
      </c>
      <c r="Q49" s="449">
        <v>0</v>
      </c>
      <c r="R49" s="449">
        <f>($H49-SUM($L49:Q49))/R$694</f>
        <v>0</v>
      </c>
      <c r="S49" s="449">
        <f>($H49-SUM($L49:R49))/S$694</f>
        <v>0</v>
      </c>
      <c r="T49" s="449">
        <f>($H49-SUM($L49:S49))/T$694</f>
        <v>0</v>
      </c>
      <c r="U49" s="449">
        <f>($H49-SUM($L49:T49))/U$694</f>
        <v>0</v>
      </c>
      <c r="V49" s="449">
        <f>($H49-SUM($L49:U49))/V$694</f>
        <v>0</v>
      </c>
      <c r="W49" s="449">
        <f>($H49-SUM($L49:V49))/W$694</f>
        <v>0</v>
      </c>
      <c r="X49" s="449"/>
      <c r="Y49" s="449">
        <f t="shared" si="40"/>
        <v>0</v>
      </c>
      <c r="Z49" s="501"/>
      <c r="AA49" s="449">
        <f t="shared" si="77"/>
        <v>0</v>
      </c>
      <c r="AB49" s="449">
        <f t="shared" si="77"/>
        <v>0</v>
      </c>
      <c r="AC49" s="449">
        <f t="shared" si="77"/>
        <v>0</v>
      </c>
      <c r="AD49" s="449">
        <f t="shared" si="77"/>
        <v>0</v>
      </c>
      <c r="AE49" s="449">
        <f t="shared" si="77"/>
        <v>0</v>
      </c>
      <c r="AF49" s="449">
        <f t="shared" si="77"/>
        <v>0</v>
      </c>
      <c r="AG49" s="449">
        <f t="shared" si="77"/>
        <v>0</v>
      </c>
      <c r="AH49" s="449">
        <f t="shared" si="77"/>
        <v>0</v>
      </c>
      <c r="AI49" s="449">
        <f t="shared" si="77"/>
        <v>0</v>
      </c>
      <c r="AJ49" s="449">
        <f t="shared" si="77"/>
        <v>0</v>
      </c>
      <c r="AK49" s="449">
        <f t="shared" si="77"/>
        <v>0</v>
      </c>
      <c r="AL49" s="449">
        <f t="shared" si="77"/>
        <v>0</v>
      </c>
      <c r="AN49" s="500">
        <f t="shared" si="78"/>
        <v>0</v>
      </c>
      <c r="AO49" s="449">
        <f t="shared" si="79"/>
        <v>0</v>
      </c>
      <c r="AP49" s="449">
        <f t="shared" si="80"/>
        <v>0</v>
      </c>
      <c r="AQ49" s="453" t="str">
        <f t="shared" si="81"/>
        <v>-</v>
      </c>
      <c r="AR49" s="449">
        <f t="shared" si="82"/>
        <v>0</v>
      </c>
      <c r="AS49" s="449">
        <f t="shared" si="83"/>
        <v>0</v>
      </c>
      <c r="AT49" s="426">
        <f t="shared" si="84"/>
        <v>0</v>
      </c>
      <c r="AU49" s="421"/>
      <c r="AV49" s="449">
        <f t="shared" si="85"/>
        <v>0</v>
      </c>
      <c r="AW49" s="449">
        <f t="shared" si="85"/>
        <v>0</v>
      </c>
      <c r="AX49" s="449">
        <f t="shared" si="85"/>
        <v>0</v>
      </c>
      <c r="AY49" s="449">
        <f t="shared" si="85"/>
        <v>0</v>
      </c>
      <c r="AZ49" s="449">
        <f t="shared" si="85"/>
        <v>0</v>
      </c>
      <c r="BA49" s="449">
        <f t="shared" si="85"/>
        <v>0</v>
      </c>
      <c r="BB49" s="449">
        <f t="shared" si="85"/>
        <v>0</v>
      </c>
      <c r="BC49" s="449">
        <f t="shared" si="85"/>
        <v>0</v>
      </c>
      <c r="BD49" s="449">
        <f t="shared" si="85"/>
        <v>0</v>
      </c>
      <c r="BE49" s="449">
        <f t="shared" si="85"/>
        <v>0</v>
      </c>
      <c r="BF49" s="449">
        <f t="shared" si="85"/>
        <v>0</v>
      </c>
      <c r="BG49" s="449">
        <f t="shared" si="85"/>
        <v>0</v>
      </c>
      <c r="BH49" s="400"/>
      <c r="BI49" s="449">
        <f t="shared" si="86"/>
        <v>0</v>
      </c>
      <c r="BJ49" s="449">
        <f t="shared" si="86"/>
        <v>0</v>
      </c>
      <c r="BK49" s="449">
        <f t="shared" si="86"/>
        <v>0</v>
      </c>
      <c r="BL49" s="449">
        <f t="shared" si="86"/>
        <v>0</v>
      </c>
      <c r="BM49" s="449">
        <f t="shared" si="86"/>
        <v>0</v>
      </c>
      <c r="BN49" s="449">
        <f t="shared" si="86"/>
        <v>0</v>
      </c>
      <c r="BO49" s="449">
        <f t="shared" si="86"/>
        <v>0</v>
      </c>
      <c r="BP49" s="449">
        <f t="shared" si="86"/>
        <v>0</v>
      </c>
      <c r="BQ49" s="449">
        <f t="shared" si="86"/>
        <v>0</v>
      </c>
      <c r="BR49" s="449">
        <f t="shared" si="86"/>
        <v>0</v>
      </c>
      <c r="BS49" s="449">
        <f t="shared" si="86"/>
        <v>0</v>
      </c>
      <c r="BT49" s="449">
        <f t="shared" si="86"/>
        <v>0</v>
      </c>
    </row>
    <row r="50" spans="1:72" ht="15" x14ac:dyDescent="0.25">
      <c r="A50" s="591"/>
      <c r="B50" s="592" t="s">
        <v>78</v>
      </c>
      <c r="C50" s="400"/>
      <c r="D50" s="503">
        <f>SUM(D43:D49)</f>
        <v>24000</v>
      </c>
      <c r="E50" s="504">
        <f>SUM(E43:E49)</f>
        <v>54000</v>
      </c>
      <c r="F50" s="504">
        <f t="shared" si="73"/>
        <v>-30000</v>
      </c>
      <c r="G50" s="505">
        <f t="shared" si="74"/>
        <v>-0.55555555555555558</v>
      </c>
      <c r="H50" s="504">
        <f>SUM(H43:H49)</f>
        <v>24000</v>
      </c>
      <c r="I50" s="504">
        <f t="shared" si="75"/>
        <v>0</v>
      </c>
      <c r="J50" s="506">
        <f t="shared" si="76"/>
        <v>0</v>
      </c>
      <c r="K50" s="507"/>
      <c r="L50" s="504">
        <f t="shared" ref="L50:W50" si="87">SUM(L43:L49)</f>
        <v>0</v>
      </c>
      <c r="M50" s="504">
        <f t="shared" si="87"/>
        <v>2755.63</v>
      </c>
      <c r="N50" s="504">
        <f t="shared" si="87"/>
        <v>0</v>
      </c>
      <c r="O50" s="504">
        <f t="shared" si="87"/>
        <v>0</v>
      </c>
      <c r="P50" s="504">
        <f t="shared" si="87"/>
        <v>0</v>
      </c>
      <c r="Q50" s="504">
        <f t="shared" si="87"/>
        <v>0</v>
      </c>
      <c r="R50" s="504">
        <f t="shared" si="87"/>
        <v>3540.728333333333</v>
      </c>
      <c r="S50" s="504">
        <f t="shared" si="87"/>
        <v>3540.7283333333335</v>
      </c>
      <c r="T50" s="504">
        <f t="shared" si="87"/>
        <v>3540.7283333333335</v>
      </c>
      <c r="U50" s="504">
        <f t="shared" si="87"/>
        <v>3540.7283333333339</v>
      </c>
      <c r="V50" s="504">
        <f t="shared" si="87"/>
        <v>3540.7283333333344</v>
      </c>
      <c r="W50" s="504">
        <f t="shared" si="87"/>
        <v>3540.7283333333326</v>
      </c>
      <c r="X50" s="504"/>
      <c r="Y50" s="504">
        <f t="shared" si="40"/>
        <v>24000</v>
      </c>
      <c r="Z50" s="508"/>
      <c r="AA50" s="504">
        <f t="shared" ref="AA50:AL50" si="88">SUM(AA43:AA49)</f>
        <v>2000</v>
      </c>
      <c r="AB50" s="504">
        <f t="shared" si="88"/>
        <v>2000</v>
      </c>
      <c r="AC50" s="504">
        <f t="shared" si="88"/>
        <v>2000</v>
      </c>
      <c r="AD50" s="504">
        <f t="shared" si="88"/>
        <v>2000</v>
      </c>
      <c r="AE50" s="504">
        <f t="shared" si="88"/>
        <v>2000</v>
      </c>
      <c r="AF50" s="504">
        <f t="shared" si="88"/>
        <v>2000</v>
      </c>
      <c r="AG50" s="504">
        <f t="shared" si="88"/>
        <v>2000</v>
      </c>
      <c r="AH50" s="504">
        <f t="shared" si="88"/>
        <v>2000</v>
      </c>
      <c r="AI50" s="504">
        <f t="shared" si="88"/>
        <v>2000</v>
      </c>
      <c r="AJ50" s="504">
        <f t="shared" si="88"/>
        <v>2000</v>
      </c>
      <c r="AK50" s="504">
        <f t="shared" si="88"/>
        <v>2000</v>
      </c>
      <c r="AL50" s="504">
        <f t="shared" si="88"/>
        <v>2000</v>
      </c>
      <c r="AN50" s="503">
        <f>SUM(AN43:AN49)</f>
        <v>24000</v>
      </c>
      <c r="AO50" s="504">
        <f>SUM(AO43:AO49)</f>
        <v>26390.361445783132</v>
      </c>
      <c r="AP50" s="504">
        <f t="shared" si="80"/>
        <v>2390.3614457831318</v>
      </c>
      <c r="AQ50" s="509">
        <f t="shared" si="81"/>
        <v>9.9598393574297159E-2</v>
      </c>
      <c r="AR50" s="504">
        <f>SUM(AR43:AR49)</f>
        <v>26390.361445783132</v>
      </c>
      <c r="AS50" s="504">
        <f t="shared" si="83"/>
        <v>0</v>
      </c>
      <c r="AT50" s="506">
        <f t="shared" si="84"/>
        <v>0</v>
      </c>
      <c r="AU50" s="507"/>
      <c r="AV50" s="504">
        <f t="shared" ref="AV50:BG50" si="89">SUM(AV43:AV49)</f>
        <v>2199.1967871485945</v>
      </c>
      <c r="AW50" s="504">
        <f t="shared" si="89"/>
        <v>2199.1967871485945</v>
      </c>
      <c r="AX50" s="504">
        <f t="shared" si="89"/>
        <v>2199.1967871485945</v>
      </c>
      <c r="AY50" s="504">
        <f t="shared" si="89"/>
        <v>2199.1967871485945</v>
      </c>
      <c r="AZ50" s="504">
        <f t="shared" si="89"/>
        <v>2199.1967871485945</v>
      </c>
      <c r="BA50" s="504">
        <f t="shared" si="89"/>
        <v>2199.1967871485945</v>
      </c>
      <c r="BB50" s="504">
        <f t="shared" si="89"/>
        <v>2199.1967871485945</v>
      </c>
      <c r="BC50" s="504">
        <f t="shared" si="89"/>
        <v>2199.1967871485945</v>
      </c>
      <c r="BD50" s="504">
        <f t="shared" si="89"/>
        <v>2199.1967871485945</v>
      </c>
      <c r="BE50" s="504">
        <f t="shared" si="89"/>
        <v>2199.1967871485945</v>
      </c>
      <c r="BF50" s="504">
        <f t="shared" si="89"/>
        <v>2199.1967871485945</v>
      </c>
      <c r="BG50" s="504">
        <f t="shared" si="89"/>
        <v>2199.1967871485945</v>
      </c>
      <c r="BH50" s="508"/>
      <c r="BI50" s="504">
        <f t="shared" ref="BI50:BT50" si="90">SUM(BI43:BI49)</f>
        <v>2199.1967871485945</v>
      </c>
      <c r="BJ50" s="504">
        <f t="shared" si="90"/>
        <v>2199.1967871485945</v>
      </c>
      <c r="BK50" s="504">
        <f t="shared" si="90"/>
        <v>2199.1967871485945</v>
      </c>
      <c r="BL50" s="504">
        <f t="shared" si="90"/>
        <v>2199.1967871485945</v>
      </c>
      <c r="BM50" s="504">
        <f t="shared" si="90"/>
        <v>2199.1967871485945</v>
      </c>
      <c r="BN50" s="504">
        <f t="shared" si="90"/>
        <v>2199.1967871485945</v>
      </c>
      <c r="BO50" s="504">
        <f t="shared" si="90"/>
        <v>2199.1967871485945</v>
      </c>
      <c r="BP50" s="504">
        <f t="shared" si="90"/>
        <v>2199.1967871485945</v>
      </c>
      <c r="BQ50" s="504">
        <f t="shared" si="90"/>
        <v>2199.1967871485945</v>
      </c>
      <c r="BR50" s="504">
        <f t="shared" si="90"/>
        <v>2199.1967871485945</v>
      </c>
      <c r="BS50" s="504">
        <f t="shared" si="90"/>
        <v>2199.1967871485945</v>
      </c>
      <c r="BT50" s="504">
        <f t="shared" si="90"/>
        <v>2199.1967871485945</v>
      </c>
    </row>
    <row r="51" spans="1:72" ht="15" x14ac:dyDescent="0.25">
      <c r="A51" s="587"/>
      <c r="B51" s="502"/>
      <c r="C51" s="400"/>
      <c r="D51" s="512"/>
      <c r="E51" s="418"/>
      <c r="F51" s="513"/>
      <c r="G51" s="514"/>
      <c r="H51" s="418"/>
      <c r="I51" s="513"/>
      <c r="J51" s="515"/>
      <c r="K51" s="514"/>
      <c r="L51" s="513"/>
      <c r="M51" s="513"/>
      <c r="N51" s="513"/>
      <c r="O51" s="513"/>
      <c r="P51" s="513"/>
      <c r="Q51" s="513"/>
      <c r="R51" s="513"/>
      <c r="S51" s="513"/>
      <c r="T51" s="513"/>
      <c r="U51" s="513"/>
      <c r="V51" s="513"/>
      <c r="W51" s="513"/>
      <c r="X51" s="513"/>
      <c r="Y51" s="513"/>
      <c r="Z51" s="516"/>
      <c r="AA51" s="513"/>
      <c r="AB51" s="513"/>
      <c r="AC51" s="513"/>
      <c r="AD51" s="513"/>
      <c r="AE51" s="513"/>
      <c r="AF51" s="513"/>
      <c r="AG51" s="513"/>
      <c r="AH51" s="513"/>
      <c r="AI51" s="513"/>
      <c r="AJ51" s="513"/>
      <c r="AK51" s="513"/>
      <c r="AL51" s="513"/>
      <c r="AN51" s="512"/>
      <c r="AO51" s="418"/>
      <c r="AP51" s="513"/>
      <c r="AQ51" s="517"/>
      <c r="AR51" s="418"/>
      <c r="AS51" s="513"/>
      <c r="AT51" s="515"/>
      <c r="AU51" s="514"/>
      <c r="AV51" s="513"/>
      <c r="AW51" s="513"/>
      <c r="AX51" s="513"/>
      <c r="AY51" s="513"/>
      <c r="AZ51" s="513"/>
      <c r="BA51" s="513"/>
      <c r="BB51" s="513"/>
      <c r="BC51" s="513"/>
      <c r="BD51" s="513"/>
      <c r="BE51" s="513"/>
      <c r="BF51" s="513"/>
      <c r="BG51" s="513"/>
      <c r="BH51" s="516"/>
      <c r="BI51" s="513"/>
      <c r="BJ51" s="513"/>
      <c r="BK51" s="513"/>
      <c r="BL51" s="513"/>
      <c r="BM51" s="513"/>
      <c r="BN51" s="513"/>
      <c r="BO51" s="513"/>
      <c r="BP51" s="513"/>
      <c r="BQ51" s="513"/>
      <c r="BR51" s="513"/>
      <c r="BS51" s="513"/>
      <c r="BT51" s="513"/>
    </row>
    <row r="52" spans="1:72" ht="15" x14ac:dyDescent="0.25">
      <c r="A52" s="502" t="s">
        <v>79</v>
      </c>
      <c r="B52" s="502" t="s">
        <v>80</v>
      </c>
      <c r="C52" s="400"/>
      <c r="D52" s="500">
        <f>SUM(L52:W52)</f>
        <v>0</v>
      </c>
      <c r="E52" s="418">
        <v>0</v>
      </c>
      <c r="F52" s="449">
        <f>IFERROR(D52-E52,0)</f>
        <v>0</v>
      </c>
      <c r="G52" s="421">
        <f>IFERROR(F52/ABS(E52),0)</f>
        <v>0</v>
      </c>
      <c r="H52" s="418">
        <v>0</v>
      </c>
      <c r="I52" s="449">
        <f>IFERROR(D52-H52,0)</f>
        <v>0</v>
      </c>
      <c r="J52" s="426">
        <f>IFERROR(I52/ABS(H52),0)</f>
        <v>0</v>
      </c>
      <c r="K52" s="421"/>
      <c r="L52" s="449">
        <v>0</v>
      </c>
      <c r="M52" s="449">
        <v>0</v>
      </c>
      <c r="N52" s="449">
        <v>0</v>
      </c>
      <c r="O52" s="449">
        <v>0</v>
      </c>
      <c r="P52" s="449">
        <v>0</v>
      </c>
      <c r="Q52" s="449">
        <v>0</v>
      </c>
      <c r="R52" s="449">
        <f>($H52-SUM($L52:Q52))/R$694</f>
        <v>0</v>
      </c>
      <c r="S52" s="449">
        <f>($H52-SUM($L52:R52))/S$694</f>
        <v>0</v>
      </c>
      <c r="T52" s="449">
        <f>($H52-SUM($L52:S52))/T$694</f>
        <v>0</v>
      </c>
      <c r="U52" s="449">
        <f>($H52-SUM($L52:T52))/U$694</f>
        <v>0</v>
      </c>
      <c r="V52" s="449">
        <f>($H52-SUM($L52:U52))/V$694</f>
        <v>0</v>
      </c>
      <c r="W52" s="449">
        <f>($H52-SUM($L52:V52))/W$694</f>
        <v>0</v>
      </c>
      <c r="X52" s="449"/>
      <c r="Y52" s="418">
        <f t="shared" si="40"/>
        <v>0</v>
      </c>
      <c r="Z52" s="511"/>
      <c r="AA52" s="449">
        <f t="shared" ref="AA52:AL52" si="91">IFERROR($H52/12,0)</f>
        <v>0</v>
      </c>
      <c r="AB52" s="449">
        <f t="shared" si="91"/>
        <v>0</v>
      </c>
      <c r="AC52" s="449">
        <f t="shared" si="91"/>
        <v>0</v>
      </c>
      <c r="AD52" s="449">
        <f t="shared" si="91"/>
        <v>0</v>
      </c>
      <c r="AE52" s="449">
        <f t="shared" si="91"/>
        <v>0</v>
      </c>
      <c r="AF52" s="449">
        <f t="shared" si="91"/>
        <v>0</v>
      </c>
      <c r="AG52" s="449">
        <f t="shared" si="91"/>
        <v>0</v>
      </c>
      <c r="AH52" s="449">
        <f t="shared" si="91"/>
        <v>0</v>
      </c>
      <c r="AI52" s="449">
        <f t="shared" si="91"/>
        <v>0</v>
      </c>
      <c r="AJ52" s="449">
        <f t="shared" si="91"/>
        <v>0</v>
      </c>
      <c r="AK52" s="449">
        <f t="shared" si="91"/>
        <v>0</v>
      </c>
      <c r="AL52" s="449">
        <f t="shared" si="91"/>
        <v>0</v>
      </c>
      <c r="AN52" s="500">
        <f>SUM(L52:W52)</f>
        <v>0</v>
      </c>
      <c r="AO52" s="418">
        <f>SUM(BI52:BT52)</f>
        <v>0</v>
      </c>
      <c r="AP52" s="449">
        <f>IFERROR(AO52-AN52,0)</f>
        <v>0</v>
      </c>
      <c r="AQ52" s="453" t="str">
        <f>IFERROR(AP52/ABS(AN52),"-")</f>
        <v>-</v>
      </c>
      <c r="AR52" s="418">
        <f>SUM(BI52:BT52)</f>
        <v>0</v>
      </c>
      <c r="AS52" s="449">
        <f>IFERROR(AO52-AR52,0)</f>
        <v>0</v>
      </c>
      <c r="AT52" s="426">
        <f>IFERROR(AS52/ABS(AR52),0)</f>
        <v>0</v>
      </c>
      <c r="AU52" s="421"/>
      <c r="AV52" s="449">
        <f>BI52</f>
        <v>0</v>
      </c>
      <c r="AW52" s="449">
        <f t="shared" ref="AW52:BG52" si="92">BJ52</f>
        <v>0</v>
      </c>
      <c r="AX52" s="449">
        <f t="shared" si="92"/>
        <v>0</v>
      </c>
      <c r="AY52" s="449">
        <f t="shared" si="92"/>
        <v>0</v>
      </c>
      <c r="AZ52" s="449">
        <f t="shared" si="92"/>
        <v>0</v>
      </c>
      <c r="BA52" s="449">
        <f t="shared" si="92"/>
        <v>0</v>
      </c>
      <c r="BB52" s="449">
        <f t="shared" si="92"/>
        <v>0</v>
      </c>
      <c r="BC52" s="449">
        <f t="shared" si="92"/>
        <v>0</v>
      </c>
      <c r="BD52" s="449">
        <f t="shared" si="92"/>
        <v>0</v>
      </c>
      <c r="BE52" s="449">
        <f t="shared" si="92"/>
        <v>0</v>
      </c>
      <c r="BF52" s="449">
        <f t="shared" si="92"/>
        <v>0</v>
      </c>
      <c r="BG52" s="449">
        <f t="shared" si="92"/>
        <v>0</v>
      </c>
      <c r="BH52" s="400"/>
      <c r="BI52" s="449">
        <f t="shared" ref="BI52:BT52" si="93">IFERROR((($H52/$H$5)*BI$5)/12,0)</f>
        <v>0</v>
      </c>
      <c r="BJ52" s="449">
        <f t="shared" si="93"/>
        <v>0</v>
      </c>
      <c r="BK52" s="449">
        <f t="shared" si="93"/>
        <v>0</v>
      </c>
      <c r="BL52" s="449">
        <f t="shared" si="93"/>
        <v>0</v>
      </c>
      <c r="BM52" s="449">
        <f t="shared" si="93"/>
        <v>0</v>
      </c>
      <c r="BN52" s="449">
        <f t="shared" si="93"/>
        <v>0</v>
      </c>
      <c r="BO52" s="449">
        <f t="shared" si="93"/>
        <v>0</v>
      </c>
      <c r="BP52" s="449">
        <f t="shared" si="93"/>
        <v>0</v>
      </c>
      <c r="BQ52" s="449">
        <f t="shared" si="93"/>
        <v>0</v>
      </c>
      <c r="BR52" s="449">
        <f t="shared" si="93"/>
        <v>0</v>
      </c>
      <c r="BS52" s="449">
        <f t="shared" si="93"/>
        <v>0</v>
      </c>
      <c r="BT52" s="449">
        <f t="shared" si="93"/>
        <v>0</v>
      </c>
    </row>
    <row r="53" spans="1:72" ht="15" x14ac:dyDescent="0.25">
      <c r="A53" s="591"/>
      <c r="B53" s="592" t="s">
        <v>81</v>
      </c>
      <c r="C53" s="400"/>
      <c r="D53" s="503">
        <f>SUM(D52)</f>
        <v>0</v>
      </c>
      <c r="E53" s="504">
        <f>SUM(E52)</f>
        <v>0</v>
      </c>
      <c r="F53" s="504">
        <f>IFERROR(D53-E53,0)</f>
        <v>0</v>
      </c>
      <c r="G53" s="505">
        <f>IFERROR(F53/ABS(E53),0)</f>
        <v>0</v>
      </c>
      <c r="H53" s="504">
        <v>0</v>
      </c>
      <c r="I53" s="504">
        <f>IFERROR(D53-H53,0)</f>
        <v>0</v>
      </c>
      <c r="J53" s="506">
        <f>IFERROR(I53/ABS(H53),0)</f>
        <v>0</v>
      </c>
      <c r="K53" s="507"/>
      <c r="L53" s="504">
        <f t="shared" ref="L53:W53" si="94">SUM(L52)</f>
        <v>0</v>
      </c>
      <c r="M53" s="504">
        <f t="shared" si="94"/>
        <v>0</v>
      </c>
      <c r="N53" s="504">
        <f t="shared" si="94"/>
        <v>0</v>
      </c>
      <c r="O53" s="504">
        <f t="shared" si="94"/>
        <v>0</v>
      </c>
      <c r="P53" s="504">
        <f t="shared" si="94"/>
        <v>0</v>
      </c>
      <c r="Q53" s="504">
        <f t="shared" si="94"/>
        <v>0</v>
      </c>
      <c r="R53" s="504">
        <f t="shared" si="94"/>
        <v>0</v>
      </c>
      <c r="S53" s="504">
        <f t="shared" si="94"/>
        <v>0</v>
      </c>
      <c r="T53" s="504">
        <f t="shared" si="94"/>
        <v>0</v>
      </c>
      <c r="U53" s="504">
        <f t="shared" si="94"/>
        <v>0</v>
      </c>
      <c r="V53" s="504">
        <f t="shared" si="94"/>
        <v>0</v>
      </c>
      <c r="W53" s="504">
        <f t="shared" si="94"/>
        <v>0</v>
      </c>
      <c r="X53" s="504"/>
      <c r="Y53" s="504">
        <f t="shared" si="40"/>
        <v>0</v>
      </c>
      <c r="Z53" s="508"/>
      <c r="AA53" s="504">
        <f t="shared" ref="AA53:AL53" si="95">SUM(AA52)</f>
        <v>0</v>
      </c>
      <c r="AB53" s="504">
        <f t="shared" si="95"/>
        <v>0</v>
      </c>
      <c r="AC53" s="504">
        <f t="shared" si="95"/>
        <v>0</v>
      </c>
      <c r="AD53" s="504">
        <f t="shared" si="95"/>
        <v>0</v>
      </c>
      <c r="AE53" s="504">
        <f t="shared" si="95"/>
        <v>0</v>
      </c>
      <c r="AF53" s="504">
        <f t="shared" si="95"/>
        <v>0</v>
      </c>
      <c r="AG53" s="504">
        <f t="shared" si="95"/>
        <v>0</v>
      </c>
      <c r="AH53" s="504">
        <f t="shared" si="95"/>
        <v>0</v>
      </c>
      <c r="AI53" s="504">
        <f t="shared" si="95"/>
        <v>0</v>
      </c>
      <c r="AJ53" s="504">
        <f t="shared" si="95"/>
        <v>0</v>
      </c>
      <c r="AK53" s="504">
        <f t="shared" si="95"/>
        <v>0</v>
      </c>
      <c r="AL53" s="504">
        <f t="shared" si="95"/>
        <v>0</v>
      </c>
      <c r="AN53" s="503">
        <f>SUM(AN52)</f>
        <v>0</v>
      </c>
      <c r="AO53" s="504">
        <f>SUM(AO52)</f>
        <v>0</v>
      </c>
      <c r="AP53" s="504">
        <f>IFERROR(AO53-AN53,0)</f>
        <v>0</v>
      </c>
      <c r="AQ53" s="509" t="str">
        <f>IFERROR(AP53/ABS(AN53),"-")</f>
        <v>-</v>
      </c>
      <c r="AR53" s="504">
        <v>0</v>
      </c>
      <c r="AS53" s="504">
        <f>IFERROR(AO53-AR53,0)</f>
        <v>0</v>
      </c>
      <c r="AT53" s="506">
        <f>IFERROR(AS53/ABS(AR53),0)</f>
        <v>0</v>
      </c>
      <c r="AU53" s="507"/>
      <c r="AV53" s="504">
        <f t="shared" ref="AV53:BG53" si="96">SUM(AV52)</f>
        <v>0</v>
      </c>
      <c r="AW53" s="504">
        <f t="shared" si="96"/>
        <v>0</v>
      </c>
      <c r="AX53" s="504">
        <f t="shared" si="96"/>
        <v>0</v>
      </c>
      <c r="AY53" s="504">
        <f t="shared" si="96"/>
        <v>0</v>
      </c>
      <c r="AZ53" s="504">
        <f t="shared" si="96"/>
        <v>0</v>
      </c>
      <c r="BA53" s="504">
        <f t="shared" si="96"/>
        <v>0</v>
      </c>
      <c r="BB53" s="504">
        <f t="shared" si="96"/>
        <v>0</v>
      </c>
      <c r="BC53" s="504">
        <f t="shared" si="96"/>
        <v>0</v>
      </c>
      <c r="BD53" s="504">
        <f t="shared" si="96"/>
        <v>0</v>
      </c>
      <c r="BE53" s="504">
        <f t="shared" si="96"/>
        <v>0</v>
      </c>
      <c r="BF53" s="504">
        <f t="shared" si="96"/>
        <v>0</v>
      </c>
      <c r="BG53" s="504">
        <f t="shared" si="96"/>
        <v>0</v>
      </c>
      <c r="BH53" s="508"/>
      <c r="BI53" s="504">
        <f t="shared" ref="BI53:BT53" si="97">SUM(BI52)</f>
        <v>0</v>
      </c>
      <c r="BJ53" s="504">
        <f t="shared" si="97"/>
        <v>0</v>
      </c>
      <c r="BK53" s="504">
        <f t="shared" si="97"/>
        <v>0</v>
      </c>
      <c r="BL53" s="504">
        <f t="shared" si="97"/>
        <v>0</v>
      </c>
      <c r="BM53" s="504">
        <f t="shared" si="97"/>
        <v>0</v>
      </c>
      <c r="BN53" s="504">
        <f t="shared" si="97"/>
        <v>0</v>
      </c>
      <c r="BO53" s="504">
        <f t="shared" si="97"/>
        <v>0</v>
      </c>
      <c r="BP53" s="504">
        <f t="shared" si="97"/>
        <v>0</v>
      </c>
      <c r="BQ53" s="504">
        <f t="shared" si="97"/>
        <v>0</v>
      </c>
      <c r="BR53" s="504">
        <f t="shared" si="97"/>
        <v>0</v>
      </c>
      <c r="BS53" s="504">
        <f t="shared" si="97"/>
        <v>0</v>
      </c>
      <c r="BT53" s="504">
        <f t="shared" si="97"/>
        <v>0</v>
      </c>
    </row>
    <row r="54" spans="1:72" ht="15" x14ac:dyDescent="0.25">
      <c r="A54" s="406"/>
      <c r="B54" s="524"/>
      <c r="C54" s="400"/>
      <c r="D54" s="510"/>
      <c r="E54" s="418"/>
      <c r="F54" s="418"/>
      <c r="G54" s="421"/>
      <c r="H54" s="418"/>
      <c r="I54" s="418"/>
      <c r="J54" s="426"/>
      <c r="K54" s="421"/>
      <c r="L54" s="418"/>
      <c r="M54" s="418"/>
      <c r="N54" s="418"/>
      <c r="O54" s="418"/>
      <c r="P54" s="418"/>
      <c r="Q54" s="418"/>
      <c r="R54" s="418"/>
      <c r="S54" s="418"/>
      <c r="T54" s="418"/>
      <c r="U54" s="418"/>
      <c r="V54" s="418"/>
      <c r="W54" s="418"/>
      <c r="X54" s="418"/>
      <c r="Y54" s="418"/>
      <c r="Z54" s="511"/>
      <c r="AA54" s="418"/>
      <c r="AB54" s="418"/>
      <c r="AC54" s="418"/>
      <c r="AD54" s="418"/>
      <c r="AE54" s="418"/>
      <c r="AF54" s="418"/>
      <c r="AG54" s="418"/>
      <c r="AH54" s="418"/>
      <c r="AI54" s="418"/>
      <c r="AJ54" s="418"/>
      <c r="AK54" s="418"/>
      <c r="AL54" s="418"/>
      <c r="AN54" s="510"/>
      <c r="AO54" s="418"/>
      <c r="AP54" s="418"/>
      <c r="AQ54" s="453"/>
      <c r="AR54" s="418"/>
      <c r="AS54" s="418"/>
      <c r="AT54" s="426"/>
      <c r="AU54" s="421"/>
      <c r="AV54" s="418"/>
      <c r="AW54" s="418"/>
      <c r="AX54" s="418"/>
      <c r="AY54" s="418"/>
      <c r="AZ54" s="418"/>
      <c r="BA54" s="418"/>
      <c r="BB54" s="418"/>
      <c r="BC54" s="418"/>
      <c r="BD54" s="418"/>
      <c r="BE54" s="418"/>
      <c r="BF54" s="418"/>
      <c r="BG54" s="418"/>
      <c r="BH54" s="511"/>
      <c r="BI54" s="418"/>
      <c r="BJ54" s="418"/>
      <c r="BK54" s="418"/>
      <c r="BL54" s="418"/>
      <c r="BM54" s="418"/>
      <c r="BN54" s="418"/>
      <c r="BO54" s="418"/>
      <c r="BP54" s="418"/>
      <c r="BQ54" s="418"/>
      <c r="BR54" s="418"/>
      <c r="BS54" s="418"/>
      <c r="BT54" s="418"/>
    </row>
    <row r="55" spans="1:72" ht="15.75" thickBot="1" x14ac:dyDescent="0.3">
      <c r="A55" s="593"/>
      <c r="B55" s="594" t="s">
        <v>82</v>
      </c>
      <c r="C55" s="400"/>
      <c r="D55" s="518">
        <f>+D34+D41+D50+D53</f>
        <v>10334814.619999999</v>
      </c>
      <c r="E55" s="519">
        <f>+E34+E41+E50+E53</f>
        <v>10116177.743999999</v>
      </c>
      <c r="F55" s="519">
        <f>IFERROR(D55-E55,0)</f>
        <v>218636.87600000016</v>
      </c>
      <c r="G55" s="520">
        <f>IFERROR(F55/ABS(E55),0)</f>
        <v>2.1612597320136626E-2</v>
      </c>
      <c r="H55" s="519">
        <f>+H34+H41+H50+H53</f>
        <v>10267505</v>
      </c>
      <c r="I55" s="519">
        <f>IFERROR(D55-H55,0)</f>
        <v>67309.61999999918</v>
      </c>
      <c r="J55" s="521">
        <f>IFERROR(I55/ABS(H55),0)</f>
        <v>6.555596515414327E-3</v>
      </c>
      <c r="K55" s="507"/>
      <c r="L55" s="519">
        <f t="shared" ref="L55:W55" si="98">+L34+L41+L50+L53</f>
        <v>730312.75</v>
      </c>
      <c r="M55" s="519">
        <f t="shared" si="98"/>
        <v>848075.79999999993</v>
      </c>
      <c r="N55" s="519">
        <f t="shared" si="98"/>
        <v>965802.55000000016</v>
      </c>
      <c r="O55" s="519">
        <f t="shared" si="98"/>
        <v>842328.11999999988</v>
      </c>
      <c r="P55" s="519">
        <f t="shared" si="98"/>
        <v>761610.75999999966</v>
      </c>
      <c r="Q55" s="519">
        <f t="shared" si="98"/>
        <v>951866.68000000028</v>
      </c>
      <c r="R55" s="519">
        <f t="shared" si="98"/>
        <v>872469.66000000015</v>
      </c>
      <c r="S55" s="519">
        <f t="shared" si="98"/>
        <v>872469.66000000015</v>
      </c>
      <c r="T55" s="519">
        <f t="shared" si="98"/>
        <v>872469.66000000015</v>
      </c>
      <c r="U55" s="519">
        <f t="shared" si="98"/>
        <v>872469.66000000015</v>
      </c>
      <c r="V55" s="519">
        <f t="shared" si="98"/>
        <v>872469.66000000015</v>
      </c>
      <c r="W55" s="519">
        <f t="shared" si="98"/>
        <v>872469.66000000061</v>
      </c>
      <c r="X55" s="519"/>
      <c r="Y55" s="519">
        <f t="shared" si="40"/>
        <v>10334814.620000001</v>
      </c>
      <c r="Z55" s="522"/>
      <c r="AA55" s="519">
        <f t="shared" ref="AA55:AL55" si="99">+AA34+AA41+AA50+AA53</f>
        <v>855625.41666666674</v>
      </c>
      <c r="AB55" s="519">
        <f t="shared" si="99"/>
        <v>855625.41666666674</v>
      </c>
      <c r="AC55" s="519">
        <f t="shared" si="99"/>
        <v>855625.41666666674</v>
      </c>
      <c r="AD55" s="519">
        <f t="shared" si="99"/>
        <v>855625.41666666674</v>
      </c>
      <c r="AE55" s="519">
        <f t="shared" si="99"/>
        <v>855625.41666666674</v>
      </c>
      <c r="AF55" s="519">
        <f t="shared" si="99"/>
        <v>855625.41666666674</v>
      </c>
      <c r="AG55" s="519">
        <f t="shared" si="99"/>
        <v>855625.41666666674</v>
      </c>
      <c r="AH55" s="519">
        <f t="shared" si="99"/>
        <v>855625.41666666674</v>
      </c>
      <c r="AI55" s="519">
        <f t="shared" si="99"/>
        <v>855625.41666666674</v>
      </c>
      <c r="AJ55" s="519">
        <f t="shared" si="99"/>
        <v>855625.41666666674</v>
      </c>
      <c r="AK55" s="519">
        <f t="shared" si="99"/>
        <v>855625.41666666674</v>
      </c>
      <c r="AL55" s="519">
        <f t="shared" si="99"/>
        <v>855625.41666666674</v>
      </c>
      <c r="AN55" s="518">
        <f>+AN34+AN41+AN50+AN53</f>
        <v>10334814.619999999</v>
      </c>
      <c r="AO55" s="519">
        <f>+AO34+AO41+AO50+AO53</f>
        <v>10742197.082806049</v>
      </c>
      <c r="AP55" s="519">
        <f>IFERROR(AO55-AN55,0)</f>
        <v>407382.46280604973</v>
      </c>
      <c r="AQ55" s="523">
        <f>IFERROR(AP55/ABS(AN55),"-")</f>
        <v>3.9418458655047436E-2</v>
      </c>
      <c r="AR55" s="519">
        <f>+AR34+AR41+AR50+AR53</f>
        <v>10742197.082806049</v>
      </c>
      <c r="AS55" s="519">
        <f>IFERROR(AO55-AR55,0)</f>
        <v>0</v>
      </c>
      <c r="AT55" s="521">
        <f>IFERROR(AS55/ABS(AR55),0)</f>
        <v>0</v>
      </c>
      <c r="AU55" s="507"/>
      <c r="AV55" s="519">
        <f t="shared" ref="AV55:BG55" si="100">+AV34+AV41+AV50+AV53</f>
        <v>899737.10055043711</v>
      </c>
      <c r="AW55" s="519">
        <f t="shared" si="100"/>
        <v>966950.42490239046</v>
      </c>
      <c r="AX55" s="519">
        <f t="shared" si="100"/>
        <v>880250.15573532216</v>
      </c>
      <c r="AY55" s="519">
        <f t="shared" si="100"/>
        <v>900250.15573532216</v>
      </c>
      <c r="AZ55" s="519">
        <f t="shared" si="100"/>
        <v>884254.15573532216</v>
      </c>
      <c r="BA55" s="519">
        <f t="shared" si="100"/>
        <v>880250.15573532216</v>
      </c>
      <c r="BB55" s="519">
        <f t="shared" si="100"/>
        <v>880250.15573532216</v>
      </c>
      <c r="BC55" s="519">
        <f t="shared" si="100"/>
        <v>884254.15573532216</v>
      </c>
      <c r="BD55" s="519">
        <f t="shared" si="100"/>
        <v>925250.15573532216</v>
      </c>
      <c r="BE55" s="519">
        <f t="shared" si="100"/>
        <v>880250.15573532216</v>
      </c>
      <c r="BF55" s="519">
        <f t="shared" si="100"/>
        <v>880250.15573532216</v>
      </c>
      <c r="BG55" s="519">
        <f t="shared" si="100"/>
        <v>880250.15573532216</v>
      </c>
      <c r="BH55" s="522"/>
      <c r="BI55" s="519">
        <f t="shared" ref="BI55:BT55" si="101">+BI34+BI41+BI50+BI53</f>
        <v>899737.10055043711</v>
      </c>
      <c r="BJ55" s="519">
        <f t="shared" si="101"/>
        <v>966950.42490239046</v>
      </c>
      <c r="BK55" s="519">
        <f t="shared" si="101"/>
        <v>880250.15573532216</v>
      </c>
      <c r="BL55" s="519">
        <f t="shared" si="101"/>
        <v>900250.15573532216</v>
      </c>
      <c r="BM55" s="519">
        <f t="shared" si="101"/>
        <v>884254.15573532216</v>
      </c>
      <c r="BN55" s="519">
        <f t="shared" si="101"/>
        <v>880250.15573532216</v>
      </c>
      <c r="BO55" s="519">
        <f t="shared" si="101"/>
        <v>880250.15573532216</v>
      </c>
      <c r="BP55" s="519">
        <f t="shared" si="101"/>
        <v>884254.15573532216</v>
      </c>
      <c r="BQ55" s="519">
        <f t="shared" si="101"/>
        <v>925250.15573532216</v>
      </c>
      <c r="BR55" s="519">
        <f t="shared" si="101"/>
        <v>880250.15573532216</v>
      </c>
      <c r="BS55" s="519">
        <f t="shared" si="101"/>
        <v>880250.15573532216</v>
      </c>
      <c r="BT55" s="519">
        <f t="shared" si="101"/>
        <v>880250.15573532216</v>
      </c>
    </row>
    <row r="56" spans="1:72" ht="15.75" thickTop="1" x14ac:dyDescent="0.25">
      <c r="A56" s="526"/>
      <c r="B56" s="526"/>
      <c r="C56" s="535"/>
      <c r="D56" s="497"/>
      <c r="E56" s="418"/>
      <c r="F56" s="487"/>
      <c r="G56" s="492"/>
      <c r="H56" s="418"/>
      <c r="I56" s="487"/>
      <c r="J56" s="491"/>
      <c r="K56" s="492"/>
      <c r="L56" s="487"/>
      <c r="M56" s="487"/>
      <c r="N56" s="487"/>
      <c r="O56" s="487"/>
      <c r="P56" s="487"/>
      <c r="Q56" s="487"/>
      <c r="R56" s="487"/>
      <c r="S56" s="487"/>
      <c r="T56" s="487"/>
      <c r="U56" s="487"/>
      <c r="V56" s="487"/>
      <c r="W56" s="487"/>
      <c r="X56" s="487"/>
      <c r="Y56" s="487"/>
      <c r="Z56" s="496"/>
      <c r="AA56" s="487"/>
      <c r="AB56" s="487"/>
      <c r="AC56" s="487"/>
      <c r="AD56" s="487"/>
      <c r="AE56" s="487"/>
      <c r="AF56" s="487"/>
      <c r="AG56" s="487"/>
      <c r="AH56" s="487"/>
      <c r="AI56" s="487"/>
      <c r="AJ56" s="487"/>
      <c r="AK56" s="487"/>
      <c r="AL56" s="487"/>
      <c r="AN56" s="497"/>
      <c r="AO56" s="418"/>
      <c r="AP56" s="487"/>
      <c r="AQ56" s="499"/>
      <c r="AR56" s="418"/>
      <c r="AS56" s="487"/>
      <c r="AT56" s="491"/>
      <c r="AU56" s="492"/>
      <c r="AV56" s="487"/>
      <c r="AW56" s="487"/>
      <c r="AX56" s="487"/>
      <c r="AY56" s="487"/>
      <c r="AZ56" s="487"/>
      <c r="BA56" s="487"/>
      <c r="BB56" s="487"/>
      <c r="BC56" s="487"/>
      <c r="BD56" s="487"/>
      <c r="BE56" s="487"/>
      <c r="BF56" s="487"/>
      <c r="BG56" s="487"/>
      <c r="BH56" s="496"/>
      <c r="BI56" s="487"/>
      <c r="BJ56" s="487"/>
      <c r="BK56" s="487"/>
      <c r="BL56" s="487"/>
      <c r="BM56" s="487"/>
      <c r="BN56" s="487"/>
      <c r="BO56" s="487"/>
      <c r="BP56" s="487"/>
      <c r="BQ56" s="487"/>
      <c r="BR56" s="487"/>
      <c r="BS56" s="487"/>
      <c r="BT56" s="487"/>
    </row>
    <row r="57" spans="1:72" ht="15" x14ac:dyDescent="0.25">
      <c r="A57" s="524" t="s">
        <v>83</v>
      </c>
      <c r="C57" s="400"/>
      <c r="D57" s="512"/>
      <c r="E57" s="418"/>
      <c r="F57" s="513"/>
      <c r="G57" s="514"/>
      <c r="H57" s="418"/>
      <c r="I57" s="513"/>
      <c r="J57" s="515"/>
      <c r="K57" s="514"/>
      <c r="L57" s="513"/>
      <c r="M57" s="513"/>
      <c r="N57" s="513"/>
      <c r="O57" s="513"/>
      <c r="P57" s="513"/>
      <c r="Q57" s="513"/>
      <c r="R57" s="513"/>
      <c r="S57" s="513"/>
      <c r="T57" s="513"/>
      <c r="U57" s="513"/>
      <c r="V57" s="513"/>
      <c r="W57" s="513"/>
      <c r="X57" s="513"/>
      <c r="Y57" s="513"/>
      <c r="Z57" s="516"/>
      <c r="AA57" s="513"/>
      <c r="AB57" s="513"/>
      <c r="AC57" s="513"/>
      <c r="AD57" s="513"/>
      <c r="AE57" s="513"/>
      <c r="AF57" s="513"/>
      <c r="AG57" s="513"/>
      <c r="AH57" s="513"/>
      <c r="AI57" s="513"/>
      <c r="AJ57" s="513"/>
      <c r="AK57" s="513"/>
      <c r="AL57" s="513"/>
      <c r="AN57" s="512"/>
      <c r="AO57" s="418"/>
      <c r="AP57" s="513"/>
      <c r="AQ57" s="517"/>
      <c r="AR57" s="418"/>
      <c r="AS57" s="513"/>
      <c r="AT57" s="515"/>
      <c r="AU57" s="514"/>
      <c r="AV57" s="513"/>
      <c r="AW57" s="513"/>
      <c r="AX57" s="513"/>
      <c r="AY57" s="513"/>
      <c r="AZ57" s="513"/>
      <c r="BA57" s="513"/>
      <c r="BB57" s="513"/>
      <c r="BC57" s="513"/>
      <c r="BD57" s="513"/>
      <c r="BE57" s="513"/>
      <c r="BF57" s="513"/>
      <c r="BG57" s="513"/>
      <c r="BH57" s="516"/>
      <c r="BI57" s="513"/>
      <c r="BJ57" s="513"/>
      <c r="BK57" s="513"/>
      <c r="BL57" s="513"/>
      <c r="BM57" s="513"/>
      <c r="BN57" s="513"/>
      <c r="BO57" s="513"/>
      <c r="BP57" s="513"/>
      <c r="BQ57" s="513"/>
      <c r="BR57" s="513"/>
      <c r="BS57" s="513"/>
      <c r="BT57" s="513"/>
    </row>
    <row r="58" spans="1:72" ht="7.5" customHeight="1" x14ac:dyDescent="0.25">
      <c r="A58" s="524"/>
      <c r="C58" s="400"/>
      <c r="D58" s="512"/>
      <c r="E58" s="418"/>
      <c r="F58" s="513"/>
      <c r="G58" s="514"/>
      <c r="H58" s="418"/>
      <c r="I58" s="513"/>
      <c r="J58" s="515"/>
      <c r="K58" s="514"/>
      <c r="L58" s="513"/>
      <c r="M58" s="513"/>
      <c r="N58" s="513"/>
      <c r="O58" s="513"/>
      <c r="P58" s="513"/>
      <c r="Q58" s="513"/>
      <c r="R58" s="513"/>
      <c r="S58" s="513"/>
      <c r="T58" s="513"/>
      <c r="U58" s="513"/>
      <c r="V58" s="513"/>
      <c r="W58" s="513"/>
      <c r="X58" s="513"/>
      <c r="Y58" s="513"/>
      <c r="Z58" s="516"/>
      <c r="AA58" s="513"/>
      <c r="AB58" s="513"/>
      <c r="AC58" s="513"/>
      <c r="AD58" s="513"/>
      <c r="AE58" s="513"/>
      <c r="AF58" s="513"/>
      <c r="AG58" s="513"/>
      <c r="AH58" s="513"/>
      <c r="AI58" s="513"/>
      <c r="AJ58" s="513"/>
      <c r="AK58" s="513"/>
      <c r="AL58" s="513"/>
      <c r="AN58" s="512"/>
      <c r="AO58" s="418"/>
      <c r="AP58" s="513"/>
      <c r="AQ58" s="517"/>
      <c r="AR58" s="418"/>
      <c r="AS58" s="513"/>
      <c r="AT58" s="515"/>
      <c r="AU58" s="514"/>
      <c r="AV58" s="513"/>
      <c r="AW58" s="513"/>
      <c r="AX58" s="513"/>
      <c r="AY58" s="513"/>
      <c r="AZ58" s="513"/>
      <c r="BA58" s="513"/>
      <c r="BB58" s="513"/>
      <c r="BC58" s="513"/>
      <c r="BD58" s="513"/>
      <c r="BE58" s="513"/>
      <c r="BF58" s="513"/>
      <c r="BG58" s="513"/>
      <c r="BH58" s="516"/>
      <c r="BI58" s="513"/>
      <c r="BJ58" s="513"/>
      <c r="BK58" s="513"/>
      <c r="BL58" s="513"/>
      <c r="BM58" s="513"/>
      <c r="BN58" s="513"/>
      <c r="BO58" s="513"/>
      <c r="BP58" s="513"/>
      <c r="BQ58" s="513"/>
      <c r="BR58" s="513"/>
      <c r="BS58" s="513"/>
      <c r="BT58" s="513"/>
    </row>
    <row r="59" spans="1:72" ht="15.75" x14ac:dyDescent="0.25">
      <c r="A59" s="587"/>
      <c r="B59" s="525" t="s">
        <v>84</v>
      </c>
      <c r="C59" s="400"/>
      <c r="D59" s="512"/>
      <c r="E59" s="418"/>
      <c r="F59" s="513"/>
      <c r="G59" s="514"/>
      <c r="H59" s="418"/>
      <c r="I59" s="513"/>
      <c r="J59" s="515"/>
      <c r="K59" s="514"/>
      <c r="L59" s="513"/>
      <c r="M59" s="513"/>
      <c r="N59" s="513"/>
      <c r="O59" s="513"/>
      <c r="P59" s="513"/>
      <c r="Q59" s="513"/>
      <c r="R59" s="513"/>
      <c r="S59" s="513"/>
      <c r="T59" s="513"/>
      <c r="U59" s="513"/>
      <c r="V59" s="513"/>
      <c r="W59" s="513"/>
      <c r="X59" s="513"/>
      <c r="Y59" s="513"/>
      <c r="Z59" s="516"/>
      <c r="AA59" s="513"/>
      <c r="AB59" s="513"/>
      <c r="AC59" s="513"/>
      <c r="AD59" s="513"/>
      <c r="AE59" s="513"/>
      <c r="AF59" s="513"/>
      <c r="AG59" s="513"/>
      <c r="AH59" s="513"/>
      <c r="AI59" s="513"/>
      <c r="AJ59" s="513"/>
      <c r="AK59" s="513"/>
      <c r="AL59" s="513"/>
      <c r="AN59" s="512"/>
      <c r="AO59" s="418"/>
      <c r="AP59" s="513"/>
      <c r="AQ59" s="517"/>
      <c r="AR59" s="418"/>
      <c r="AS59" s="513"/>
      <c r="AT59" s="515"/>
      <c r="AU59" s="514"/>
      <c r="AV59" s="513"/>
      <c r="AW59" s="513"/>
      <c r="AX59" s="513"/>
      <c r="AY59" s="513"/>
      <c r="AZ59" s="513"/>
      <c r="BA59" s="513"/>
      <c r="BB59" s="513"/>
      <c r="BC59" s="513"/>
      <c r="BD59" s="513"/>
      <c r="BE59" s="513"/>
      <c r="BF59" s="513"/>
      <c r="BG59" s="513"/>
      <c r="BH59" s="516"/>
      <c r="BI59" s="513"/>
      <c r="BJ59" s="513"/>
      <c r="BK59" s="513"/>
      <c r="BL59" s="513"/>
      <c r="BM59" s="513"/>
      <c r="BN59" s="513"/>
      <c r="BO59" s="513"/>
      <c r="BP59" s="513"/>
      <c r="BQ59" s="513"/>
      <c r="BR59" s="513"/>
      <c r="BS59" s="513"/>
      <c r="BT59" s="513"/>
    </row>
    <row r="60" spans="1:72" ht="7.5" customHeight="1" x14ac:dyDescent="0.25">
      <c r="A60" s="587"/>
      <c r="B60" s="526"/>
      <c r="C60" s="400"/>
      <c r="D60" s="512"/>
      <c r="E60" s="418"/>
      <c r="F60" s="513"/>
      <c r="G60" s="514"/>
      <c r="H60" s="418"/>
      <c r="I60" s="513"/>
      <c r="J60" s="515"/>
      <c r="K60" s="514"/>
      <c r="L60" s="513"/>
      <c r="M60" s="513"/>
      <c r="N60" s="513"/>
      <c r="O60" s="513"/>
      <c r="P60" s="513"/>
      <c r="Q60" s="513"/>
      <c r="R60" s="513"/>
      <c r="S60" s="513"/>
      <c r="T60" s="513"/>
      <c r="U60" s="513"/>
      <c r="V60" s="513"/>
      <c r="W60" s="513"/>
      <c r="X60" s="513"/>
      <c r="Y60" s="513"/>
      <c r="Z60" s="516"/>
      <c r="AA60" s="513"/>
      <c r="AB60" s="513"/>
      <c r="AC60" s="513"/>
      <c r="AD60" s="513"/>
      <c r="AE60" s="513"/>
      <c r="AF60" s="513"/>
      <c r="AG60" s="513"/>
      <c r="AH60" s="513"/>
      <c r="AI60" s="513"/>
      <c r="AJ60" s="513"/>
      <c r="AK60" s="513"/>
      <c r="AL60" s="513"/>
      <c r="AN60" s="512"/>
      <c r="AO60" s="418"/>
      <c r="AP60" s="513"/>
      <c r="AQ60" s="517"/>
      <c r="AR60" s="418"/>
      <c r="AS60" s="513"/>
      <c r="AT60" s="515"/>
      <c r="AU60" s="514"/>
      <c r="AV60" s="513"/>
      <c r="AW60" s="513"/>
      <c r="AX60" s="513"/>
      <c r="AY60" s="513"/>
      <c r="AZ60" s="513"/>
      <c r="BA60" s="513"/>
      <c r="BB60" s="513"/>
      <c r="BC60" s="513"/>
      <c r="BD60" s="513"/>
      <c r="BE60" s="513"/>
      <c r="BF60" s="513"/>
      <c r="BG60" s="513"/>
      <c r="BH60" s="516"/>
      <c r="BI60" s="513"/>
      <c r="BJ60" s="513"/>
      <c r="BK60" s="513"/>
      <c r="BL60" s="513"/>
      <c r="BM60" s="513"/>
      <c r="BN60" s="513"/>
      <c r="BO60" s="513"/>
      <c r="BP60" s="513"/>
      <c r="BQ60" s="513"/>
      <c r="BR60" s="513"/>
      <c r="BS60" s="513"/>
      <c r="BT60" s="513"/>
    </row>
    <row r="61" spans="1:72" ht="15" x14ac:dyDescent="0.25">
      <c r="A61" s="502" t="s">
        <v>85</v>
      </c>
      <c r="B61" s="502" t="s">
        <v>86</v>
      </c>
      <c r="C61" s="630"/>
      <c r="D61" s="500">
        <f t="shared" ref="D61:D88" si="102">SUM(L61:W61)</f>
        <v>1106434</v>
      </c>
      <c r="E61" s="449">
        <v>1117310</v>
      </c>
      <c r="F61" s="449">
        <f t="shared" ref="F61:F88" si="103">IFERROR(D61-E61,0)</f>
        <v>-10876</v>
      </c>
      <c r="G61" s="421">
        <f t="shared" ref="G61:G88" si="104">IFERROR(F61/ABS(E61),0)</f>
        <v>-9.734093492405867E-3</v>
      </c>
      <c r="H61" s="449">
        <v>1106434</v>
      </c>
      <c r="I61" s="449">
        <f t="shared" ref="I61:I88" si="105">IFERROR(D61-H61,0)</f>
        <v>0</v>
      </c>
      <c r="J61" s="426">
        <f t="shared" ref="J61:J88" si="106">IFERROR(I61/ABS(H61),0)</f>
        <v>0</v>
      </c>
      <c r="K61" s="421"/>
      <c r="L61" s="449">
        <v>2717.08</v>
      </c>
      <c r="M61" s="449">
        <v>99560.459999999992</v>
      </c>
      <c r="N61" s="449">
        <v>98389.10000000002</v>
      </c>
      <c r="O61" s="449">
        <v>91219.549999999988</v>
      </c>
      <c r="P61" s="449">
        <v>85714.359999999986</v>
      </c>
      <c r="Q61" s="449">
        <v>104537.93</v>
      </c>
      <c r="R61" s="449">
        <f>($H61-SUM($L61:Q61))/R$694</f>
        <v>104049.25333333334</v>
      </c>
      <c r="S61" s="449">
        <f>($H61-SUM($L61:R61))/S$694</f>
        <v>104049.25333333334</v>
      </c>
      <c r="T61" s="449">
        <f>($H61-SUM($L61:S61))/T$694</f>
        <v>104049.25333333336</v>
      </c>
      <c r="U61" s="449">
        <f>($H61-SUM($L61:T61))/U$694</f>
        <v>104049.25333333334</v>
      </c>
      <c r="V61" s="449">
        <f>($H61-SUM($L61:U61))/V$694</f>
        <v>104049.25333333336</v>
      </c>
      <c r="W61" s="449">
        <f>($H61-SUM($L61:V61))/W$694</f>
        <v>104049.25333333341</v>
      </c>
      <c r="X61" s="449"/>
      <c r="Y61" s="449">
        <f t="shared" ref="Y61:Y88" si="107">SUM(L61:W61)</f>
        <v>1106434</v>
      </c>
      <c r="Z61" s="531"/>
      <c r="AA61" s="449">
        <f t="shared" ref="AA61:AL76" si="108">IFERROR($H61/12,0)</f>
        <v>92202.833333333328</v>
      </c>
      <c r="AB61" s="449">
        <f t="shared" si="108"/>
        <v>92202.833333333328</v>
      </c>
      <c r="AC61" s="449">
        <f t="shared" si="108"/>
        <v>92202.833333333328</v>
      </c>
      <c r="AD61" s="449">
        <f t="shared" si="108"/>
        <v>92202.833333333328</v>
      </c>
      <c r="AE61" s="449">
        <f t="shared" si="108"/>
        <v>92202.833333333328</v>
      </c>
      <c r="AF61" s="449">
        <f t="shared" si="108"/>
        <v>92202.833333333328</v>
      </c>
      <c r="AG61" s="449">
        <f t="shared" si="108"/>
        <v>92202.833333333328</v>
      </c>
      <c r="AH61" s="449">
        <f t="shared" si="108"/>
        <v>92202.833333333328</v>
      </c>
      <c r="AI61" s="449">
        <f t="shared" si="108"/>
        <v>92202.833333333328</v>
      </c>
      <c r="AJ61" s="449">
        <f t="shared" si="108"/>
        <v>92202.833333333328</v>
      </c>
      <c r="AK61" s="449">
        <f t="shared" si="108"/>
        <v>92202.833333333328</v>
      </c>
      <c r="AL61" s="449">
        <f t="shared" si="108"/>
        <v>92202.833333333328</v>
      </c>
      <c r="AN61" s="500">
        <f t="shared" ref="AN61:AN88" si="109">SUM(L61:W61)</f>
        <v>1106434</v>
      </c>
      <c r="AO61" s="449">
        <f t="shared" ref="AO61:AO88" si="110">SUM(BI61:BT61)</f>
        <v>1105076.0613999998</v>
      </c>
      <c r="AP61" s="449">
        <f t="shared" ref="AP61:AP88" si="111">IFERROR(AO61-AN61,0)</f>
        <v>-1357.9386000002269</v>
      </c>
      <c r="AQ61" s="453">
        <f t="shared" ref="AQ61:AQ88" si="112">IFERROR(AP61/ABS(AN61),"-")</f>
        <v>-1.2273109828514189E-3</v>
      </c>
      <c r="AR61" s="449">
        <f t="shared" ref="AR61:AR88" si="113">SUM(BI61:BT61)</f>
        <v>1105076.0613999998</v>
      </c>
      <c r="AS61" s="449">
        <f t="shared" ref="AS61:AS88" si="114">IFERROR(AO61-AR61,0)</f>
        <v>0</v>
      </c>
      <c r="AT61" s="426">
        <f t="shared" ref="AT61:AT88" si="115">IFERROR(AS61/ABS(AR61),0)</f>
        <v>0</v>
      </c>
      <c r="AU61" s="421"/>
      <c r="AV61" s="449">
        <f t="shared" ref="AV61:BG82" si="116">BI61</f>
        <v>0</v>
      </c>
      <c r="AW61" s="449">
        <f t="shared" si="116"/>
        <v>92089.671783333339</v>
      </c>
      <c r="AX61" s="449">
        <f t="shared" si="116"/>
        <v>92089.671783333339</v>
      </c>
      <c r="AY61" s="449">
        <f t="shared" si="116"/>
        <v>92089.671783333339</v>
      </c>
      <c r="AZ61" s="449">
        <f t="shared" si="116"/>
        <v>92089.671783333339</v>
      </c>
      <c r="BA61" s="449">
        <f t="shared" si="116"/>
        <v>92089.671783333339</v>
      </c>
      <c r="BB61" s="449">
        <f t="shared" si="116"/>
        <v>92089.671783333339</v>
      </c>
      <c r="BC61" s="449">
        <f t="shared" si="116"/>
        <v>92089.671783333339</v>
      </c>
      <c r="BD61" s="449">
        <f t="shared" si="116"/>
        <v>92089.671783333339</v>
      </c>
      <c r="BE61" s="449">
        <f t="shared" si="116"/>
        <v>92089.671783333339</v>
      </c>
      <c r="BF61" s="449">
        <f t="shared" si="116"/>
        <v>92089.671783333339</v>
      </c>
      <c r="BG61" s="449">
        <f t="shared" si="116"/>
        <v>184179.34356666668</v>
      </c>
      <c r="BH61" s="400"/>
      <c r="BI61" s="449">
        <v>0</v>
      </c>
      <c r="BJ61" s="449">
        <f>SUM('FY19 Staffing V1-1 (3)'!$P$5:$P$36)/12</f>
        <v>92089.671783333339</v>
      </c>
      <c r="BK61" s="449">
        <f>SUM('FY19 Staffing V1-1 (3)'!$P$5:$P$36)/12</f>
        <v>92089.671783333339</v>
      </c>
      <c r="BL61" s="449">
        <f>SUM('FY19 Staffing V1-1 (3)'!$P$5:$P$36)/12</f>
        <v>92089.671783333339</v>
      </c>
      <c r="BM61" s="449">
        <f>SUM('FY19 Staffing V1-1 (3)'!$P$5:$P$36)/12</f>
        <v>92089.671783333339</v>
      </c>
      <c r="BN61" s="449">
        <f>SUM('FY19 Staffing V1-1 (3)'!$P$5:$P$36)/12</f>
        <v>92089.671783333339</v>
      </c>
      <c r="BO61" s="449">
        <f>SUM('FY19 Staffing V1-1 (3)'!$P$5:$P$36)/12</f>
        <v>92089.671783333339</v>
      </c>
      <c r="BP61" s="449">
        <f>SUM('FY19 Staffing V1-1 (3)'!$P$5:$P$36)/12</f>
        <v>92089.671783333339</v>
      </c>
      <c r="BQ61" s="449">
        <f>SUM('FY19 Staffing V1-1 (3)'!$P$5:$P$36)/12</f>
        <v>92089.671783333339</v>
      </c>
      <c r="BR61" s="449">
        <f>SUM('FY19 Staffing V1-1 (3)'!$P$5:$P$36)/12</f>
        <v>92089.671783333339</v>
      </c>
      <c r="BS61" s="449">
        <f>SUM('FY19 Staffing V1-1 (3)'!$P$5:$P$36)/12</f>
        <v>92089.671783333339</v>
      </c>
      <c r="BT61" s="449">
        <f>SUM('FY19 Staffing V1-1 (3)'!$P$5:$P$36)/12*2</f>
        <v>184179.34356666668</v>
      </c>
    </row>
    <row r="62" spans="1:72" ht="15" x14ac:dyDescent="0.25">
      <c r="A62" s="502" t="s">
        <v>87</v>
      </c>
      <c r="B62" s="502" t="s">
        <v>88</v>
      </c>
      <c r="C62" s="630"/>
      <c r="D62" s="500">
        <f t="shared" si="102"/>
        <v>111560</v>
      </c>
      <c r="E62" s="449">
        <v>111560</v>
      </c>
      <c r="F62" s="449">
        <f t="shared" si="103"/>
        <v>0</v>
      </c>
      <c r="G62" s="421">
        <f t="shared" si="104"/>
        <v>0</v>
      </c>
      <c r="H62" s="449">
        <v>111560</v>
      </c>
      <c r="I62" s="449">
        <f t="shared" si="105"/>
        <v>0</v>
      </c>
      <c r="J62" s="426">
        <f t="shared" si="106"/>
        <v>0</v>
      </c>
      <c r="K62" s="421"/>
      <c r="L62" s="449">
        <v>2263.8000000000002</v>
      </c>
      <c r="M62" s="449">
        <v>12999</v>
      </c>
      <c r="N62" s="449">
        <v>10590.400000000001</v>
      </c>
      <c r="O62" s="449">
        <v>9924.3999999999978</v>
      </c>
      <c r="P62" s="449">
        <v>9524.64</v>
      </c>
      <c r="Q62" s="449">
        <v>12373.510000000002</v>
      </c>
      <c r="R62" s="449">
        <f>($H62-SUM($L62:Q62))/R$694</f>
        <v>8980.7083333333339</v>
      </c>
      <c r="S62" s="449">
        <f>($H62-SUM($L62:R62))/S$694</f>
        <v>8980.7083333333339</v>
      </c>
      <c r="T62" s="449">
        <f>($H62-SUM($L62:S62))/T$694</f>
        <v>8980.7083333333358</v>
      </c>
      <c r="U62" s="449">
        <f>($H62-SUM($L62:T62))/U$694</f>
        <v>8980.7083333333339</v>
      </c>
      <c r="V62" s="449">
        <f>($H62-SUM($L62:U62))/V$694</f>
        <v>8980.7083333333358</v>
      </c>
      <c r="W62" s="449">
        <f>($H62-SUM($L62:V62))/W$694</f>
        <v>8980.708333333343</v>
      </c>
      <c r="X62" s="449"/>
      <c r="Y62" s="449">
        <f t="shared" si="107"/>
        <v>111560</v>
      </c>
      <c r="Z62" s="531"/>
      <c r="AA62" s="449">
        <f t="shared" si="108"/>
        <v>9296.6666666666661</v>
      </c>
      <c r="AB62" s="449">
        <f t="shared" si="108"/>
        <v>9296.6666666666661</v>
      </c>
      <c r="AC62" s="449">
        <f t="shared" si="108"/>
        <v>9296.6666666666661</v>
      </c>
      <c r="AD62" s="449">
        <f t="shared" si="108"/>
        <v>9296.6666666666661</v>
      </c>
      <c r="AE62" s="449">
        <f t="shared" si="108"/>
        <v>9296.6666666666661</v>
      </c>
      <c r="AF62" s="449">
        <f t="shared" si="108"/>
        <v>9296.6666666666661</v>
      </c>
      <c r="AG62" s="449">
        <f t="shared" si="108"/>
        <v>9296.6666666666661</v>
      </c>
      <c r="AH62" s="449">
        <f t="shared" si="108"/>
        <v>9296.6666666666661</v>
      </c>
      <c r="AI62" s="449">
        <f t="shared" si="108"/>
        <v>9296.6666666666661</v>
      </c>
      <c r="AJ62" s="449">
        <f t="shared" si="108"/>
        <v>9296.6666666666661</v>
      </c>
      <c r="AK62" s="449">
        <f t="shared" si="108"/>
        <v>9296.6666666666661</v>
      </c>
      <c r="AL62" s="449">
        <f t="shared" si="108"/>
        <v>9296.6666666666661</v>
      </c>
      <c r="AN62" s="500">
        <f t="shared" si="109"/>
        <v>111560</v>
      </c>
      <c r="AO62" s="449">
        <f t="shared" si="110"/>
        <v>65072.206999999995</v>
      </c>
      <c r="AP62" s="449">
        <f t="shared" si="111"/>
        <v>-46487.793000000005</v>
      </c>
      <c r="AQ62" s="453">
        <f t="shared" si="112"/>
        <v>-0.41670664216565084</v>
      </c>
      <c r="AR62" s="449">
        <f t="shared" si="113"/>
        <v>65072.206999999995</v>
      </c>
      <c r="AS62" s="449">
        <f t="shared" si="114"/>
        <v>0</v>
      </c>
      <c r="AT62" s="426">
        <f t="shared" si="115"/>
        <v>0</v>
      </c>
      <c r="AU62" s="421"/>
      <c r="AV62" s="449">
        <f t="shared" si="116"/>
        <v>0</v>
      </c>
      <c r="AW62" s="449">
        <f t="shared" si="116"/>
        <v>5422.6839166666659</v>
      </c>
      <c r="AX62" s="449">
        <f t="shared" si="116"/>
        <v>5422.6839166666659</v>
      </c>
      <c r="AY62" s="449">
        <f t="shared" si="116"/>
        <v>5422.6839166666659</v>
      </c>
      <c r="AZ62" s="449">
        <f t="shared" si="116"/>
        <v>5422.6839166666659</v>
      </c>
      <c r="BA62" s="449">
        <f t="shared" si="116"/>
        <v>5422.6839166666659</v>
      </c>
      <c r="BB62" s="449">
        <f t="shared" si="116"/>
        <v>5422.6839166666659</v>
      </c>
      <c r="BC62" s="449">
        <f t="shared" si="116"/>
        <v>5422.6839166666659</v>
      </c>
      <c r="BD62" s="449">
        <f t="shared" si="116"/>
        <v>5422.6839166666659</v>
      </c>
      <c r="BE62" s="449">
        <f t="shared" si="116"/>
        <v>5422.6839166666659</v>
      </c>
      <c r="BF62" s="449">
        <f t="shared" si="116"/>
        <v>5422.6839166666659</v>
      </c>
      <c r="BG62" s="449">
        <f t="shared" si="116"/>
        <v>10845.367833333332</v>
      </c>
      <c r="BH62" s="400"/>
      <c r="BI62" s="449">
        <v>0</v>
      </c>
      <c r="BJ62" s="449">
        <f>('FY19 Staffing V1-1 (3)'!$P179-'FY19 Staffing V1-1 (3)'!$P175)/12</f>
        <v>5422.6839166666659</v>
      </c>
      <c r="BK62" s="449">
        <f>('FY19 Staffing V1-1 (3)'!$P179-'FY19 Staffing V1-1 (3)'!$P175)/12</f>
        <v>5422.6839166666659</v>
      </c>
      <c r="BL62" s="449">
        <f>('FY19 Staffing V1-1 (3)'!$P179-'FY19 Staffing V1-1 (3)'!$P175)/12</f>
        <v>5422.6839166666659</v>
      </c>
      <c r="BM62" s="449">
        <f>('FY19 Staffing V1-1 (3)'!$P179-'FY19 Staffing V1-1 (3)'!$P175)/12</f>
        <v>5422.6839166666659</v>
      </c>
      <c r="BN62" s="449">
        <f>('FY19 Staffing V1-1 (3)'!$P179-'FY19 Staffing V1-1 (3)'!$P175)/12</f>
        <v>5422.6839166666659</v>
      </c>
      <c r="BO62" s="449">
        <f>('FY19 Staffing V1-1 (3)'!$P179-'FY19 Staffing V1-1 (3)'!$P175)/12</f>
        <v>5422.6839166666659</v>
      </c>
      <c r="BP62" s="449">
        <f>('FY19 Staffing V1-1 (3)'!$P179-'FY19 Staffing V1-1 (3)'!$P175)/12</f>
        <v>5422.6839166666659</v>
      </c>
      <c r="BQ62" s="449">
        <f>('FY19 Staffing V1-1 (3)'!$P179-'FY19 Staffing V1-1 (3)'!$P175)/12</f>
        <v>5422.6839166666659</v>
      </c>
      <c r="BR62" s="449">
        <f>('FY19 Staffing V1-1 (3)'!$P179-'FY19 Staffing V1-1 (3)'!$P175)/12</f>
        <v>5422.6839166666659</v>
      </c>
      <c r="BS62" s="449">
        <f>('FY19 Staffing V1-1 (3)'!$P179-'FY19 Staffing V1-1 (3)'!$P175)/12</f>
        <v>5422.6839166666659</v>
      </c>
      <c r="BT62" s="449">
        <f>('FY19 Staffing V1-1 (3)'!$P179-'FY19 Staffing V1-1 (3)'!$P175)/12*2</f>
        <v>10845.367833333332</v>
      </c>
    </row>
    <row r="63" spans="1:72" ht="15" x14ac:dyDescent="0.25">
      <c r="A63" s="502" t="s">
        <v>89</v>
      </c>
      <c r="B63" s="502" t="s">
        <v>90</v>
      </c>
      <c r="C63" s="538"/>
      <c r="D63" s="500">
        <f t="shared" si="102"/>
        <v>71775</v>
      </c>
      <c r="E63" s="449">
        <v>71775</v>
      </c>
      <c r="F63" s="449">
        <f t="shared" si="103"/>
        <v>0</v>
      </c>
      <c r="G63" s="421">
        <f t="shared" si="104"/>
        <v>0</v>
      </c>
      <c r="H63" s="449">
        <v>71775</v>
      </c>
      <c r="I63" s="449">
        <f t="shared" si="105"/>
        <v>0</v>
      </c>
      <c r="J63" s="426">
        <f t="shared" si="106"/>
        <v>0</v>
      </c>
      <c r="K63" s="421"/>
      <c r="L63" s="449">
        <v>0</v>
      </c>
      <c r="M63" s="449">
        <v>2565</v>
      </c>
      <c r="N63" s="449">
        <v>3147.4399999999996</v>
      </c>
      <c r="O63" s="449">
        <v>3007.1500000000005</v>
      </c>
      <c r="P63" s="449">
        <v>4495.8599999999988</v>
      </c>
      <c r="Q63" s="449">
        <v>5177.3099999999995</v>
      </c>
      <c r="R63" s="449">
        <f>($H63-SUM($L63:Q63))/R$694</f>
        <v>8897.0400000000009</v>
      </c>
      <c r="S63" s="449">
        <f>($H63-SUM($L63:R63))/S$694</f>
        <v>8897.0399999999991</v>
      </c>
      <c r="T63" s="449">
        <f>($H63-SUM($L63:S63))/T$694</f>
        <v>8897.0400000000009</v>
      </c>
      <c r="U63" s="449">
        <f>($H63-SUM($L63:T63))/U$694</f>
        <v>8897.0400000000009</v>
      </c>
      <c r="V63" s="449">
        <f>($H63-SUM($L63:U63))/V$694</f>
        <v>8897.0400000000009</v>
      </c>
      <c r="W63" s="449">
        <f>($H63-SUM($L63:V63))/W$694</f>
        <v>8897.0400000000009</v>
      </c>
      <c r="X63" s="449"/>
      <c r="Y63" s="449">
        <f t="shared" si="107"/>
        <v>71775</v>
      </c>
      <c r="Z63" s="531"/>
      <c r="AA63" s="449">
        <f t="shared" si="108"/>
        <v>5981.25</v>
      </c>
      <c r="AB63" s="449">
        <f t="shared" si="108"/>
        <v>5981.25</v>
      </c>
      <c r="AC63" s="449">
        <f t="shared" si="108"/>
        <v>5981.25</v>
      </c>
      <c r="AD63" s="449">
        <f t="shared" si="108"/>
        <v>5981.25</v>
      </c>
      <c r="AE63" s="449">
        <f t="shared" si="108"/>
        <v>5981.25</v>
      </c>
      <c r="AF63" s="449">
        <f t="shared" si="108"/>
        <v>5981.25</v>
      </c>
      <c r="AG63" s="449">
        <f t="shared" si="108"/>
        <v>5981.25</v>
      </c>
      <c r="AH63" s="449">
        <f t="shared" si="108"/>
        <v>5981.25</v>
      </c>
      <c r="AI63" s="449">
        <f t="shared" si="108"/>
        <v>5981.25</v>
      </c>
      <c r="AJ63" s="449">
        <f t="shared" si="108"/>
        <v>5981.25</v>
      </c>
      <c r="AK63" s="449">
        <f t="shared" si="108"/>
        <v>5981.25</v>
      </c>
      <c r="AL63" s="449">
        <f t="shared" si="108"/>
        <v>5981.25</v>
      </c>
      <c r="AN63" s="500">
        <f t="shared" si="109"/>
        <v>71775</v>
      </c>
      <c r="AO63" s="449">
        <f>SUM(BI63:BT63)</f>
        <v>93291.536879224237</v>
      </c>
      <c r="AP63" s="449">
        <f t="shared" si="111"/>
        <v>21516.536879224237</v>
      </c>
      <c r="AQ63" s="453">
        <f t="shared" si="112"/>
        <v>0.29977759497351775</v>
      </c>
      <c r="AR63" s="449">
        <f t="shared" si="113"/>
        <v>93291.536879224237</v>
      </c>
      <c r="AS63" s="449">
        <f t="shared" si="114"/>
        <v>0</v>
      </c>
      <c r="AT63" s="426">
        <f t="shared" si="115"/>
        <v>0</v>
      </c>
      <c r="AU63" s="421"/>
      <c r="AV63" s="449">
        <f t="shared" si="116"/>
        <v>0</v>
      </c>
      <c r="AW63" s="449">
        <f t="shared" si="116"/>
        <v>0</v>
      </c>
      <c r="AX63" s="449">
        <f t="shared" si="116"/>
        <v>9329.1536879224223</v>
      </c>
      <c r="AY63" s="449">
        <f t="shared" si="116"/>
        <v>9329.1536879224223</v>
      </c>
      <c r="AZ63" s="449">
        <f t="shared" si="116"/>
        <v>9329.1536879224223</v>
      </c>
      <c r="BA63" s="449">
        <f t="shared" si="116"/>
        <v>9329.1536879224223</v>
      </c>
      <c r="BB63" s="449">
        <f t="shared" si="116"/>
        <v>9329.1536879224223</v>
      </c>
      <c r="BC63" s="449">
        <f t="shared" si="116"/>
        <v>9329.1536879224223</v>
      </c>
      <c r="BD63" s="449">
        <f t="shared" si="116"/>
        <v>9329.1536879224223</v>
      </c>
      <c r="BE63" s="449">
        <f t="shared" si="116"/>
        <v>9329.1536879224223</v>
      </c>
      <c r="BF63" s="449">
        <f t="shared" si="116"/>
        <v>9329.1536879224223</v>
      </c>
      <c r="BG63" s="449">
        <f t="shared" si="116"/>
        <v>9329.1536879224223</v>
      </c>
      <c r="BH63" s="400"/>
      <c r="BI63" s="449">
        <v>0</v>
      </c>
      <c r="BJ63" s="449">
        <v>0</v>
      </c>
      <c r="BK63" s="449">
        <f>(SUM('FY19 Staffing V1-1 (3)'!$P$144)/10)*(30/41)</f>
        <v>9329.1536879224223</v>
      </c>
      <c r="BL63" s="449">
        <f>(SUM('FY19 Staffing V1-1 (3)'!$P$144)/10)*(30/41)</f>
        <v>9329.1536879224223</v>
      </c>
      <c r="BM63" s="449">
        <f>(SUM('FY19 Staffing V1-1 (3)'!$P$144)/10)*(30/41)</f>
        <v>9329.1536879224223</v>
      </c>
      <c r="BN63" s="449">
        <f>(SUM('FY19 Staffing V1-1 (3)'!$P$144)/10)*(30/41)</f>
        <v>9329.1536879224223</v>
      </c>
      <c r="BO63" s="449">
        <f>(SUM('FY19 Staffing V1-1 (3)'!$P$144)/10)*(30/41)</f>
        <v>9329.1536879224223</v>
      </c>
      <c r="BP63" s="449">
        <f>(SUM('FY19 Staffing V1-1 (3)'!$P$144)/10)*(30/41)</f>
        <v>9329.1536879224223</v>
      </c>
      <c r="BQ63" s="449">
        <f>(SUM('FY19 Staffing V1-1 (3)'!$P$144)/10)*(30/41)</f>
        <v>9329.1536879224223</v>
      </c>
      <c r="BR63" s="449">
        <f>(SUM('FY19 Staffing V1-1 (3)'!$P$144)/10)*(30/41)</f>
        <v>9329.1536879224223</v>
      </c>
      <c r="BS63" s="449">
        <f>(SUM('FY19 Staffing V1-1 (3)'!$P$144)/10)*(30/41)</f>
        <v>9329.1536879224223</v>
      </c>
      <c r="BT63" s="449">
        <f>(SUM('FY19 Staffing V1-1 (3)'!$P$144)/10)*(30/41)</f>
        <v>9329.1536879224223</v>
      </c>
    </row>
    <row r="64" spans="1:72" ht="15" x14ac:dyDescent="0.25">
      <c r="A64" s="502" t="s">
        <v>91</v>
      </c>
      <c r="B64" s="502" t="s">
        <v>92</v>
      </c>
      <c r="C64" s="538"/>
      <c r="D64" s="500">
        <f t="shared" si="102"/>
        <v>0</v>
      </c>
      <c r="E64" s="449">
        <v>0</v>
      </c>
      <c r="F64" s="449">
        <f t="shared" si="103"/>
        <v>0</v>
      </c>
      <c r="G64" s="421">
        <f t="shared" si="104"/>
        <v>0</v>
      </c>
      <c r="H64" s="449">
        <v>0</v>
      </c>
      <c r="I64" s="449">
        <f t="shared" si="105"/>
        <v>0</v>
      </c>
      <c r="J64" s="426">
        <f t="shared" si="106"/>
        <v>0</v>
      </c>
      <c r="K64" s="421"/>
      <c r="L64" s="449">
        <v>0</v>
      </c>
      <c r="M64" s="449">
        <v>0</v>
      </c>
      <c r="N64" s="449">
        <v>0</v>
      </c>
      <c r="O64" s="449">
        <v>0</v>
      </c>
      <c r="P64" s="449">
        <v>0</v>
      </c>
      <c r="Q64" s="449">
        <v>0</v>
      </c>
      <c r="R64" s="449">
        <f>($H64-SUM($L64:Q64))/R$694</f>
        <v>0</v>
      </c>
      <c r="S64" s="449">
        <f>($H64-SUM($L64:R64))/S$694</f>
        <v>0</v>
      </c>
      <c r="T64" s="449">
        <f>($H64-SUM($L64:S64))/T$694</f>
        <v>0</v>
      </c>
      <c r="U64" s="449">
        <f>($H64-SUM($L64:T64))/U$694</f>
        <v>0</v>
      </c>
      <c r="V64" s="449">
        <f>($H64-SUM($L64:U64))/V$694</f>
        <v>0</v>
      </c>
      <c r="W64" s="449">
        <f>($H64-SUM($L64:V64))/W$694</f>
        <v>0</v>
      </c>
      <c r="X64" s="449"/>
      <c r="Y64" s="449">
        <f t="shared" si="107"/>
        <v>0</v>
      </c>
      <c r="Z64" s="531"/>
      <c r="AA64" s="449">
        <f t="shared" si="108"/>
        <v>0</v>
      </c>
      <c r="AB64" s="449">
        <f t="shared" si="108"/>
        <v>0</v>
      </c>
      <c r="AC64" s="449">
        <f t="shared" si="108"/>
        <v>0</v>
      </c>
      <c r="AD64" s="449">
        <f t="shared" si="108"/>
        <v>0</v>
      </c>
      <c r="AE64" s="449">
        <f t="shared" si="108"/>
        <v>0</v>
      </c>
      <c r="AF64" s="449">
        <f t="shared" si="108"/>
        <v>0</v>
      </c>
      <c r="AG64" s="449">
        <f t="shared" si="108"/>
        <v>0</v>
      </c>
      <c r="AH64" s="449">
        <f t="shared" si="108"/>
        <v>0</v>
      </c>
      <c r="AI64" s="449">
        <f t="shared" si="108"/>
        <v>0</v>
      </c>
      <c r="AJ64" s="449">
        <f t="shared" si="108"/>
        <v>0</v>
      </c>
      <c r="AK64" s="449">
        <f t="shared" si="108"/>
        <v>0</v>
      </c>
      <c r="AL64" s="449">
        <f t="shared" si="108"/>
        <v>0</v>
      </c>
      <c r="AN64" s="500">
        <f t="shared" si="109"/>
        <v>0</v>
      </c>
      <c r="AO64" s="449">
        <f t="shared" si="110"/>
        <v>0</v>
      </c>
      <c r="AP64" s="449">
        <f t="shared" si="111"/>
        <v>0</v>
      </c>
      <c r="AQ64" s="453" t="str">
        <f t="shared" si="112"/>
        <v>-</v>
      </c>
      <c r="AR64" s="449">
        <f t="shared" si="113"/>
        <v>0</v>
      </c>
      <c r="AS64" s="449">
        <f t="shared" si="114"/>
        <v>0</v>
      </c>
      <c r="AT64" s="426">
        <f t="shared" si="115"/>
        <v>0</v>
      </c>
      <c r="AU64" s="421"/>
      <c r="AV64" s="449">
        <f t="shared" si="116"/>
        <v>0</v>
      </c>
      <c r="AW64" s="449">
        <f t="shared" si="116"/>
        <v>0</v>
      </c>
      <c r="AX64" s="449">
        <f t="shared" si="116"/>
        <v>0</v>
      </c>
      <c r="AY64" s="449">
        <f t="shared" si="116"/>
        <v>0</v>
      </c>
      <c r="AZ64" s="449">
        <f t="shared" si="116"/>
        <v>0</v>
      </c>
      <c r="BA64" s="449">
        <f t="shared" si="116"/>
        <v>0</v>
      </c>
      <c r="BB64" s="449">
        <f t="shared" si="116"/>
        <v>0</v>
      </c>
      <c r="BC64" s="449">
        <f t="shared" si="116"/>
        <v>0</v>
      </c>
      <c r="BD64" s="449">
        <f t="shared" si="116"/>
        <v>0</v>
      </c>
      <c r="BE64" s="449">
        <f t="shared" si="116"/>
        <v>0</v>
      </c>
      <c r="BF64" s="449">
        <f t="shared" si="116"/>
        <v>0</v>
      </c>
      <c r="BG64" s="449">
        <f t="shared" si="116"/>
        <v>0</v>
      </c>
      <c r="BH64" s="400"/>
      <c r="BI64" s="449">
        <v>0</v>
      </c>
      <c r="BJ64" s="449">
        <v>0</v>
      </c>
      <c r="BK64" s="449">
        <v>0</v>
      </c>
      <c r="BL64" s="449">
        <v>0</v>
      </c>
      <c r="BM64" s="449">
        <v>0</v>
      </c>
      <c r="BN64" s="449">
        <v>0</v>
      </c>
      <c r="BO64" s="449">
        <v>0</v>
      </c>
      <c r="BP64" s="449">
        <v>0</v>
      </c>
      <c r="BQ64" s="449">
        <v>0</v>
      </c>
      <c r="BR64" s="449">
        <v>0</v>
      </c>
      <c r="BS64" s="449">
        <v>0</v>
      </c>
      <c r="BT64" s="449">
        <v>0</v>
      </c>
    </row>
    <row r="65" spans="1:72" ht="15" x14ac:dyDescent="0.25">
      <c r="A65" s="502" t="s">
        <v>93</v>
      </c>
      <c r="B65" s="502" t="s">
        <v>94</v>
      </c>
      <c r="C65" s="630"/>
      <c r="D65" s="500">
        <f t="shared" si="102"/>
        <v>10000</v>
      </c>
      <c r="E65" s="449">
        <v>10000</v>
      </c>
      <c r="F65" s="449">
        <f t="shared" si="103"/>
        <v>0</v>
      </c>
      <c r="G65" s="421">
        <f t="shared" si="104"/>
        <v>0</v>
      </c>
      <c r="H65" s="449">
        <v>10000</v>
      </c>
      <c r="I65" s="449">
        <f t="shared" si="105"/>
        <v>0</v>
      </c>
      <c r="J65" s="426">
        <f t="shared" si="106"/>
        <v>0</v>
      </c>
      <c r="K65" s="421"/>
      <c r="L65" s="449">
        <v>0</v>
      </c>
      <c r="M65" s="449">
        <v>0</v>
      </c>
      <c r="N65" s="449">
        <v>0</v>
      </c>
      <c r="O65" s="449">
        <v>0</v>
      </c>
      <c r="P65" s="449">
        <v>0</v>
      </c>
      <c r="Q65" s="449">
        <v>0</v>
      </c>
      <c r="R65" s="449">
        <f>($H65-SUM($L65:Q65))/R$694</f>
        <v>1666.6666666666667</v>
      </c>
      <c r="S65" s="449">
        <f>($H65-SUM($L65:R65))/S$694</f>
        <v>1666.6666666666667</v>
      </c>
      <c r="T65" s="449">
        <f>($H65-SUM($L65:S65))/T$694</f>
        <v>1666.6666666666665</v>
      </c>
      <c r="U65" s="449">
        <f>($H65-SUM($L65:T65))/U$694</f>
        <v>1666.6666666666667</v>
      </c>
      <c r="V65" s="449">
        <f>($H65-SUM($L65:U65))/V$694</f>
        <v>1666.6666666666665</v>
      </c>
      <c r="W65" s="449">
        <f>($H65-SUM($L65:V65))/W$694</f>
        <v>1666.6666666666661</v>
      </c>
      <c r="X65" s="449"/>
      <c r="Y65" s="449">
        <f t="shared" si="107"/>
        <v>10000</v>
      </c>
      <c r="Z65" s="531"/>
      <c r="AA65" s="449">
        <f t="shared" si="108"/>
        <v>833.33333333333337</v>
      </c>
      <c r="AB65" s="449">
        <f t="shared" si="108"/>
        <v>833.33333333333337</v>
      </c>
      <c r="AC65" s="449">
        <f t="shared" si="108"/>
        <v>833.33333333333337</v>
      </c>
      <c r="AD65" s="449">
        <f t="shared" si="108"/>
        <v>833.33333333333337</v>
      </c>
      <c r="AE65" s="449">
        <f t="shared" si="108"/>
        <v>833.33333333333337</v>
      </c>
      <c r="AF65" s="449">
        <f t="shared" si="108"/>
        <v>833.33333333333337</v>
      </c>
      <c r="AG65" s="449">
        <f t="shared" si="108"/>
        <v>833.33333333333337</v>
      </c>
      <c r="AH65" s="449">
        <f t="shared" si="108"/>
        <v>833.33333333333337</v>
      </c>
      <c r="AI65" s="449">
        <f t="shared" si="108"/>
        <v>833.33333333333337</v>
      </c>
      <c r="AJ65" s="449">
        <f t="shared" si="108"/>
        <v>833.33333333333337</v>
      </c>
      <c r="AK65" s="449">
        <f t="shared" si="108"/>
        <v>833.33333333333337</v>
      </c>
      <c r="AL65" s="449">
        <f t="shared" si="108"/>
        <v>833.33333333333337</v>
      </c>
      <c r="AN65" s="500">
        <f t="shared" si="109"/>
        <v>10000</v>
      </c>
      <c r="AO65" s="449">
        <f t="shared" si="110"/>
        <v>17808.21</v>
      </c>
      <c r="AP65" s="449">
        <f t="shared" si="111"/>
        <v>7808.2099999999991</v>
      </c>
      <c r="AQ65" s="453">
        <f t="shared" si="112"/>
        <v>0.78082099999999988</v>
      </c>
      <c r="AR65" s="449">
        <f t="shared" si="113"/>
        <v>17808.21</v>
      </c>
      <c r="AS65" s="449">
        <f t="shared" si="114"/>
        <v>0</v>
      </c>
      <c r="AT65" s="426">
        <f t="shared" si="115"/>
        <v>0</v>
      </c>
      <c r="AU65" s="421"/>
      <c r="AV65" s="449">
        <f t="shared" si="116"/>
        <v>0</v>
      </c>
      <c r="AW65" s="449">
        <f t="shared" si="116"/>
        <v>1484.0174999999999</v>
      </c>
      <c r="AX65" s="449">
        <f t="shared" si="116"/>
        <v>1484.0174999999999</v>
      </c>
      <c r="AY65" s="449">
        <f t="shared" si="116"/>
        <v>1484.0174999999999</v>
      </c>
      <c r="AZ65" s="449">
        <f t="shared" si="116"/>
        <v>1484.0174999999999</v>
      </c>
      <c r="BA65" s="449">
        <f t="shared" si="116"/>
        <v>1484.0174999999999</v>
      </c>
      <c r="BB65" s="449">
        <f t="shared" si="116"/>
        <v>1484.0174999999999</v>
      </c>
      <c r="BC65" s="449">
        <f t="shared" si="116"/>
        <v>1484.0174999999999</v>
      </c>
      <c r="BD65" s="449">
        <f t="shared" si="116"/>
        <v>1484.0174999999999</v>
      </c>
      <c r="BE65" s="449">
        <f t="shared" si="116"/>
        <v>1484.0174999999999</v>
      </c>
      <c r="BF65" s="449">
        <f t="shared" si="116"/>
        <v>1484.0174999999999</v>
      </c>
      <c r="BG65" s="449">
        <f t="shared" si="116"/>
        <v>2968.0349999999999</v>
      </c>
      <c r="BH65" s="400"/>
      <c r="BI65" s="449">
        <v>0</v>
      </c>
      <c r="BJ65" s="449">
        <f>17808.21/12</f>
        <v>1484.0174999999999</v>
      </c>
      <c r="BK65" s="449">
        <f t="shared" ref="BK65:BS65" si="117">17808.21/12</f>
        <v>1484.0174999999999</v>
      </c>
      <c r="BL65" s="449">
        <f t="shared" si="117"/>
        <v>1484.0174999999999</v>
      </c>
      <c r="BM65" s="449">
        <f t="shared" si="117"/>
        <v>1484.0174999999999</v>
      </c>
      <c r="BN65" s="449">
        <f t="shared" si="117"/>
        <v>1484.0174999999999</v>
      </c>
      <c r="BO65" s="449">
        <f t="shared" si="117"/>
        <v>1484.0174999999999</v>
      </c>
      <c r="BP65" s="449">
        <f t="shared" si="117"/>
        <v>1484.0174999999999</v>
      </c>
      <c r="BQ65" s="449">
        <f t="shared" si="117"/>
        <v>1484.0174999999999</v>
      </c>
      <c r="BR65" s="449">
        <f t="shared" si="117"/>
        <v>1484.0174999999999</v>
      </c>
      <c r="BS65" s="449">
        <f t="shared" si="117"/>
        <v>1484.0174999999999</v>
      </c>
      <c r="BT65" s="449">
        <f>17808.21/12*2</f>
        <v>2968.0349999999999</v>
      </c>
    </row>
    <row r="66" spans="1:72" ht="15" x14ac:dyDescent="0.25">
      <c r="A66" s="612" t="s">
        <v>95</v>
      </c>
      <c r="B66" s="502" t="s">
        <v>96</v>
      </c>
      <c r="C66" s="538"/>
      <c r="D66" s="500">
        <f t="shared" si="102"/>
        <v>63000</v>
      </c>
      <c r="E66" s="449">
        <v>63000</v>
      </c>
      <c r="F66" s="449">
        <f t="shared" si="103"/>
        <v>0</v>
      </c>
      <c r="G66" s="421">
        <f t="shared" si="104"/>
        <v>0</v>
      </c>
      <c r="H66" s="449">
        <v>63000</v>
      </c>
      <c r="I66" s="449">
        <f t="shared" si="105"/>
        <v>0</v>
      </c>
      <c r="J66" s="426">
        <f t="shared" si="106"/>
        <v>0</v>
      </c>
      <c r="K66" s="421"/>
      <c r="L66" s="449">
        <v>0</v>
      </c>
      <c r="M66" s="449">
        <v>0</v>
      </c>
      <c r="N66" s="449">
        <v>0</v>
      </c>
      <c r="O66" s="449">
        <v>49500</v>
      </c>
      <c r="P66" s="449">
        <v>0</v>
      </c>
      <c r="Q66" s="449">
        <v>0</v>
      </c>
      <c r="R66" s="449">
        <f>($H66-SUM($L66:Q66))/R$694</f>
        <v>2250</v>
      </c>
      <c r="S66" s="449">
        <f>($H66-SUM($L66:R66))/S$694</f>
        <v>2250</v>
      </c>
      <c r="T66" s="449">
        <f>($H66-SUM($L66:S66))/T$694</f>
        <v>2250</v>
      </c>
      <c r="U66" s="449">
        <f>($H66-SUM($L66:T66))/U$694</f>
        <v>2250</v>
      </c>
      <c r="V66" s="449">
        <f>($H66-SUM($L66:U66))/V$694</f>
        <v>2250</v>
      </c>
      <c r="W66" s="449">
        <f>($H66-SUM($L66:V66))/W$694</f>
        <v>2250</v>
      </c>
      <c r="X66" s="449"/>
      <c r="Y66" s="449">
        <f t="shared" si="107"/>
        <v>63000</v>
      </c>
      <c r="Z66" s="531"/>
      <c r="AA66" s="449">
        <f t="shared" si="108"/>
        <v>5250</v>
      </c>
      <c r="AB66" s="449">
        <f t="shared" si="108"/>
        <v>5250</v>
      </c>
      <c r="AC66" s="449">
        <f t="shared" si="108"/>
        <v>5250</v>
      </c>
      <c r="AD66" s="449">
        <f t="shared" si="108"/>
        <v>5250</v>
      </c>
      <c r="AE66" s="449">
        <f t="shared" si="108"/>
        <v>5250</v>
      </c>
      <c r="AF66" s="449">
        <f t="shared" si="108"/>
        <v>5250</v>
      </c>
      <c r="AG66" s="449">
        <f t="shared" si="108"/>
        <v>5250</v>
      </c>
      <c r="AH66" s="449">
        <f t="shared" si="108"/>
        <v>5250</v>
      </c>
      <c r="AI66" s="449">
        <f t="shared" si="108"/>
        <v>5250</v>
      </c>
      <c r="AJ66" s="449">
        <f t="shared" si="108"/>
        <v>5250</v>
      </c>
      <c r="AK66" s="449">
        <f t="shared" si="108"/>
        <v>5250</v>
      </c>
      <c r="AL66" s="449">
        <f t="shared" si="108"/>
        <v>5250</v>
      </c>
      <c r="AN66" s="500">
        <f t="shared" si="109"/>
        <v>63000</v>
      </c>
      <c r="AO66" s="449">
        <f t="shared" si="110"/>
        <v>78000</v>
      </c>
      <c r="AP66" s="449">
        <f t="shared" si="111"/>
        <v>15000</v>
      </c>
      <c r="AQ66" s="453">
        <f t="shared" si="112"/>
        <v>0.23809523809523808</v>
      </c>
      <c r="AR66" s="449">
        <f t="shared" si="113"/>
        <v>78000</v>
      </c>
      <c r="AS66" s="449">
        <f t="shared" si="114"/>
        <v>0</v>
      </c>
      <c r="AT66" s="426">
        <f t="shared" si="115"/>
        <v>0</v>
      </c>
      <c r="AU66" s="421"/>
      <c r="AV66" s="449">
        <f t="shared" si="116"/>
        <v>0</v>
      </c>
      <c r="AW66" s="449">
        <f t="shared" si="116"/>
        <v>0</v>
      </c>
      <c r="AX66" s="449">
        <f t="shared" si="116"/>
        <v>0</v>
      </c>
      <c r="AY66" s="449">
        <f t="shared" si="116"/>
        <v>78000</v>
      </c>
      <c r="AZ66" s="449">
        <f t="shared" si="116"/>
        <v>0</v>
      </c>
      <c r="BA66" s="449">
        <f t="shared" si="116"/>
        <v>0</v>
      </c>
      <c r="BB66" s="449">
        <f t="shared" si="116"/>
        <v>0</v>
      </c>
      <c r="BC66" s="449">
        <f t="shared" si="116"/>
        <v>0</v>
      </c>
      <c r="BD66" s="449">
        <f t="shared" si="116"/>
        <v>0</v>
      </c>
      <c r="BE66" s="449">
        <f t="shared" si="116"/>
        <v>0</v>
      </c>
      <c r="BF66" s="449">
        <f t="shared" si="116"/>
        <v>0</v>
      </c>
      <c r="BG66" s="449">
        <f t="shared" si="116"/>
        <v>0</v>
      </c>
      <c r="BH66" s="400"/>
      <c r="BI66" s="449">
        <v>0</v>
      </c>
      <c r="BJ66" s="449">
        <v>0</v>
      </c>
      <c r="BK66" s="449">
        <v>0</v>
      </c>
      <c r="BL66" s="449">
        <f>SUM('FY19 Staffing V1-1 (3)'!$J$5:$J$36)</f>
        <v>78000</v>
      </c>
      <c r="BM66" s="449">
        <v>0</v>
      </c>
      <c r="BN66" s="449">
        <v>0</v>
      </c>
      <c r="BO66" s="449">
        <v>0</v>
      </c>
      <c r="BP66" s="449">
        <v>0</v>
      </c>
      <c r="BQ66" s="449">
        <v>0</v>
      </c>
      <c r="BR66" s="449">
        <v>0</v>
      </c>
      <c r="BS66" s="449">
        <v>0</v>
      </c>
      <c r="BT66" s="449">
        <v>0</v>
      </c>
    </row>
    <row r="67" spans="1:72" ht="15" x14ac:dyDescent="0.25">
      <c r="A67" s="612" t="s">
        <v>97</v>
      </c>
      <c r="B67" s="502" t="s">
        <v>98</v>
      </c>
      <c r="C67" s="538"/>
      <c r="D67" s="500">
        <f t="shared" si="102"/>
        <v>3000</v>
      </c>
      <c r="E67" s="449">
        <v>0</v>
      </c>
      <c r="F67" s="449">
        <f t="shared" si="103"/>
        <v>3000</v>
      </c>
      <c r="G67" s="421">
        <f t="shared" si="104"/>
        <v>0</v>
      </c>
      <c r="H67" s="449">
        <v>0</v>
      </c>
      <c r="I67" s="449">
        <f t="shared" si="105"/>
        <v>3000</v>
      </c>
      <c r="J67" s="426">
        <f t="shared" si="106"/>
        <v>0</v>
      </c>
      <c r="K67" s="421"/>
      <c r="L67" s="449">
        <v>0</v>
      </c>
      <c r="M67" s="449">
        <v>0</v>
      </c>
      <c r="N67" s="449">
        <v>0</v>
      </c>
      <c r="O67" s="449">
        <v>3000</v>
      </c>
      <c r="P67" s="449">
        <v>0</v>
      </c>
      <c r="Q67" s="449">
        <v>0</v>
      </c>
      <c r="R67" s="449">
        <v>0</v>
      </c>
      <c r="S67" s="449">
        <v>0</v>
      </c>
      <c r="T67" s="449">
        <v>0</v>
      </c>
      <c r="U67" s="449">
        <v>0</v>
      </c>
      <c r="V67" s="449">
        <v>0</v>
      </c>
      <c r="W67" s="449">
        <v>0</v>
      </c>
      <c r="X67" s="449"/>
      <c r="Y67" s="449">
        <f t="shared" si="107"/>
        <v>3000</v>
      </c>
      <c r="Z67" s="531"/>
      <c r="AA67" s="449">
        <f t="shared" si="108"/>
        <v>0</v>
      </c>
      <c r="AB67" s="449">
        <f t="shared" si="108"/>
        <v>0</v>
      </c>
      <c r="AC67" s="449">
        <f t="shared" si="108"/>
        <v>0</v>
      </c>
      <c r="AD67" s="449">
        <f t="shared" si="108"/>
        <v>0</v>
      </c>
      <c r="AE67" s="449">
        <f t="shared" si="108"/>
        <v>0</v>
      </c>
      <c r="AF67" s="449">
        <f t="shared" si="108"/>
        <v>0</v>
      </c>
      <c r="AG67" s="449">
        <f t="shared" si="108"/>
        <v>0</v>
      </c>
      <c r="AH67" s="449">
        <f t="shared" si="108"/>
        <v>0</v>
      </c>
      <c r="AI67" s="449">
        <f t="shared" si="108"/>
        <v>0</v>
      </c>
      <c r="AJ67" s="449">
        <f t="shared" si="108"/>
        <v>0</v>
      </c>
      <c r="AK67" s="449">
        <f t="shared" si="108"/>
        <v>0</v>
      </c>
      <c r="AL67" s="449">
        <f t="shared" si="108"/>
        <v>0</v>
      </c>
      <c r="AN67" s="500">
        <f t="shared" si="109"/>
        <v>3000</v>
      </c>
      <c r="AO67" s="449">
        <f t="shared" si="110"/>
        <v>0</v>
      </c>
      <c r="AP67" s="449">
        <f t="shared" si="111"/>
        <v>-3000</v>
      </c>
      <c r="AQ67" s="453">
        <f t="shared" si="112"/>
        <v>-1</v>
      </c>
      <c r="AR67" s="449">
        <f t="shared" si="113"/>
        <v>0</v>
      </c>
      <c r="AS67" s="449">
        <f t="shared" si="114"/>
        <v>0</v>
      </c>
      <c r="AT67" s="426">
        <f t="shared" si="115"/>
        <v>0</v>
      </c>
      <c r="AU67" s="421"/>
      <c r="AV67" s="449">
        <f t="shared" si="116"/>
        <v>0</v>
      </c>
      <c r="AW67" s="449">
        <f t="shared" si="116"/>
        <v>0</v>
      </c>
      <c r="AX67" s="449">
        <f t="shared" si="116"/>
        <v>0</v>
      </c>
      <c r="AY67" s="449">
        <f t="shared" si="116"/>
        <v>0</v>
      </c>
      <c r="AZ67" s="449">
        <f t="shared" si="116"/>
        <v>0</v>
      </c>
      <c r="BA67" s="449">
        <f t="shared" si="116"/>
        <v>0</v>
      </c>
      <c r="BB67" s="449">
        <f t="shared" si="116"/>
        <v>0</v>
      </c>
      <c r="BC67" s="449">
        <f t="shared" si="116"/>
        <v>0</v>
      </c>
      <c r="BD67" s="449">
        <f t="shared" si="116"/>
        <v>0</v>
      </c>
      <c r="BE67" s="449">
        <f t="shared" si="116"/>
        <v>0</v>
      </c>
      <c r="BF67" s="449">
        <f t="shared" si="116"/>
        <v>0</v>
      </c>
      <c r="BG67" s="449">
        <f t="shared" si="116"/>
        <v>0</v>
      </c>
      <c r="BH67" s="400"/>
      <c r="BI67" s="449">
        <v>0</v>
      </c>
      <c r="BJ67" s="449">
        <v>0</v>
      </c>
      <c r="BK67" s="449">
        <v>0</v>
      </c>
      <c r="BL67" s="449">
        <v>0</v>
      </c>
      <c r="BM67" s="449">
        <v>0</v>
      </c>
      <c r="BN67" s="449">
        <v>0</v>
      </c>
      <c r="BO67" s="449">
        <v>0</v>
      </c>
      <c r="BP67" s="449">
        <v>0</v>
      </c>
      <c r="BQ67" s="449">
        <v>0</v>
      </c>
      <c r="BR67" s="449">
        <v>0</v>
      </c>
      <c r="BS67" s="449">
        <v>0</v>
      </c>
      <c r="BT67" s="449">
        <v>0</v>
      </c>
    </row>
    <row r="68" spans="1:72" ht="15" hidden="1" x14ac:dyDescent="0.25">
      <c r="A68" s="502" t="s">
        <v>99</v>
      </c>
      <c r="B68" s="502" t="s">
        <v>100</v>
      </c>
      <c r="C68" s="541"/>
      <c r="D68" s="500">
        <f t="shared" si="102"/>
        <v>0</v>
      </c>
      <c r="E68" s="449">
        <v>0</v>
      </c>
      <c r="F68" s="449">
        <f t="shared" si="103"/>
        <v>0</v>
      </c>
      <c r="G68" s="421">
        <f t="shared" si="104"/>
        <v>0</v>
      </c>
      <c r="H68" s="449">
        <v>0</v>
      </c>
      <c r="I68" s="449">
        <f t="shared" si="105"/>
        <v>0</v>
      </c>
      <c r="J68" s="426">
        <f t="shared" si="106"/>
        <v>0</v>
      </c>
      <c r="K68" s="421"/>
      <c r="L68" s="449">
        <v>0</v>
      </c>
      <c r="M68" s="449">
        <v>0</v>
      </c>
      <c r="N68" s="449">
        <v>0</v>
      </c>
      <c r="O68" s="449">
        <v>0</v>
      </c>
      <c r="P68" s="449">
        <v>0</v>
      </c>
      <c r="Q68" s="449">
        <v>0</v>
      </c>
      <c r="R68" s="449">
        <f>($H68-SUM($L68:Q68))/R$694</f>
        <v>0</v>
      </c>
      <c r="S68" s="449">
        <f>($H68-SUM($L68:R68))/S$694</f>
        <v>0</v>
      </c>
      <c r="T68" s="449">
        <f>($H68-SUM($L68:S68))/T$694</f>
        <v>0</v>
      </c>
      <c r="U68" s="449">
        <f>($H68-SUM($L68:T68))/U$694</f>
        <v>0</v>
      </c>
      <c r="V68" s="449">
        <f>($H68-SUM($L68:U68))/V$694</f>
        <v>0</v>
      </c>
      <c r="W68" s="449">
        <f>($H68-SUM($L68:V68))/W$694</f>
        <v>0</v>
      </c>
      <c r="X68" s="449"/>
      <c r="Y68" s="449">
        <f t="shared" si="107"/>
        <v>0</v>
      </c>
      <c r="Z68" s="531"/>
      <c r="AA68" s="449">
        <f t="shared" si="108"/>
        <v>0</v>
      </c>
      <c r="AB68" s="449">
        <f t="shared" si="108"/>
        <v>0</v>
      </c>
      <c r="AC68" s="449">
        <f t="shared" si="108"/>
        <v>0</v>
      </c>
      <c r="AD68" s="449">
        <f t="shared" si="108"/>
        <v>0</v>
      </c>
      <c r="AE68" s="449">
        <f t="shared" si="108"/>
        <v>0</v>
      </c>
      <c r="AF68" s="449">
        <f t="shared" si="108"/>
        <v>0</v>
      </c>
      <c r="AG68" s="449">
        <f t="shared" si="108"/>
        <v>0</v>
      </c>
      <c r="AH68" s="449">
        <f t="shared" si="108"/>
        <v>0</v>
      </c>
      <c r="AI68" s="449">
        <f t="shared" si="108"/>
        <v>0</v>
      </c>
      <c r="AJ68" s="449">
        <f t="shared" si="108"/>
        <v>0</v>
      </c>
      <c r="AK68" s="449">
        <f t="shared" si="108"/>
        <v>0</v>
      </c>
      <c r="AL68" s="449">
        <f t="shared" si="108"/>
        <v>0</v>
      </c>
      <c r="AN68" s="500">
        <f t="shared" si="109"/>
        <v>0</v>
      </c>
      <c r="AO68" s="449">
        <f t="shared" si="110"/>
        <v>0</v>
      </c>
      <c r="AP68" s="449">
        <f t="shared" si="111"/>
        <v>0</v>
      </c>
      <c r="AQ68" s="453" t="str">
        <f t="shared" si="112"/>
        <v>-</v>
      </c>
      <c r="AR68" s="449">
        <f t="shared" si="113"/>
        <v>0</v>
      </c>
      <c r="AS68" s="449">
        <f t="shared" si="114"/>
        <v>0</v>
      </c>
      <c r="AT68" s="426">
        <f t="shared" si="115"/>
        <v>0</v>
      </c>
      <c r="AU68" s="421"/>
      <c r="AV68" s="449">
        <f t="shared" si="116"/>
        <v>0</v>
      </c>
      <c r="AW68" s="449">
        <f t="shared" si="116"/>
        <v>0</v>
      </c>
      <c r="AX68" s="449">
        <f t="shared" si="116"/>
        <v>0</v>
      </c>
      <c r="AY68" s="449">
        <f t="shared" si="116"/>
        <v>0</v>
      </c>
      <c r="AZ68" s="449">
        <f t="shared" si="116"/>
        <v>0</v>
      </c>
      <c r="BA68" s="449">
        <f t="shared" si="116"/>
        <v>0</v>
      </c>
      <c r="BB68" s="449">
        <f t="shared" si="116"/>
        <v>0</v>
      </c>
      <c r="BC68" s="449">
        <f t="shared" si="116"/>
        <v>0</v>
      </c>
      <c r="BD68" s="449">
        <f t="shared" si="116"/>
        <v>0</v>
      </c>
      <c r="BE68" s="449">
        <f t="shared" si="116"/>
        <v>0</v>
      </c>
      <c r="BF68" s="449">
        <f t="shared" si="116"/>
        <v>0</v>
      </c>
      <c r="BG68" s="449">
        <f t="shared" si="116"/>
        <v>0</v>
      </c>
      <c r="BH68" s="400"/>
      <c r="BI68" s="449">
        <v>0</v>
      </c>
      <c r="BJ68" s="449">
        <v>0</v>
      </c>
      <c r="BK68" s="449">
        <v>0</v>
      </c>
      <c r="BL68" s="449">
        <v>0</v>
      </c>
      <c r="BM68" s="449">
        <v>0</v>
      </c>
      <c r="BN68" s="449">
        <v>0</v>
      </c>
      <c r="BO68" s="449">
        <v>0</v>
      </c>
      <c r="BP68" s="449">
        <v>0</v>
      </c>
      <c r="BQ68" s="449">
        <v>0</v>
      </c>
      <c r="BR68" s="449">
        <v>0</v>
      </c>
      <c r="BS68" s="449">
        <v>0</v>
      </c>
      <c r="BT68" s="449">
        <v>0</v>
      </c>
    </row>
    <row r="69" spans="1:72" ht="15" hidden="1" x14ac:dyDescent="0.25">
      <c r="A69" s="502" t="s">
        <v>101</v>
      </c>
      <c r="B69" s="502" t="s">
        <v>102</v>
      </c>
      <c r="C69" s="541"/>
      <c r="D69" s="500">
        <f t="shared" si="102"/>
        <v>0</v>
      </c>
      <c r="E69" s="449">
        <v>0</v>
      </c>
      <c r="F69" s="449">
        <f t="shared" si="103"/>
        <v>0</v>
      </c>
      <c r="G69" s="421">
        <f t="shared" si="104"/>
        <v>0</v>
      </c>
      <c r="H69" s="449">
        <v>0</v>
      </c>
      <c r="I69" s="449">
        <f t="shared" si="105"/>
        <v>0</v>
      </c>
      <c r="J69" s="426">
        <f t="shared" si="106"/>
        <v>0</v>
      </c>
      <c r="K69" s="421"/>
      <c r="L69" s="449">
        <v>0</v>
      </c>
      <c r="M69" s="449">
        <v>0</v>
      </c>
      <c r="N69" s="449">
        <v>0</v>
      </c>
      <c r="O69" s="449">
        <v>0</v>
      </c>
      <c r="P69" s="449">
        <v>0</v>
      </c>
      <c r="Q69" s="449">
        <v>0</v>
      </c>
      <c r="R69" s="449">
        <f>($H69-SUM($L69:Q69))/R$694</f>
        <v>0</v>
      </c>
      <c r="S69" s="449">
        <f>($H69-SUM($L69:R69))/S$694</f>
        <v>0</v>
      </c>
      <c r="T69" s="449">
        <f>($H69-SUM($L69:S69))/T$694</f>
        <v>0</v>
      </c>
      <c r="U69" s="449">
        <f>($H69-SUM($L69:T69))/U$694</f>
        <v>0</v>
      </c>
      <c r="V69" s="449">
        <f>($H69-SUM($L69:U69))/V$694</f>
        <v>0</v>
      </c>
      <c r="W69" s="449">
        <f>($H69-SUM($L69:V69))/W$694</f>
        <v>0</v>
      </c>
      <c r="X69" s="449"/>
      <c r="Y69" s="449">
        <f t="shared" si="107"/>
        <v>0</v>
      </c>
      <c r="Z69" s="531"/>
      <c r="AA69" s="449">
        <f t="shared" si="108"/>
        <v>0</v>
      </c>
      <c r="AB69" s="449">
        <f t="shared" si="108"/>
        <v>0</v>
      </c>
      <c r="AC69" s="449">
        <f t="shared" si="108"/>
        <v>0</v>
      </c>
      <c r="AD69" s="449">
        <f t="shared" si="108"/>
        <v>0</v>
      </c>
      <c r="AE69" s="449">
        <f t="shared" si="108"/>
        <v>0</v>
      </c>
      <c r="AF69" s="449">
        <f t="shared" si="108"/>
        <v>0</v>
      </c>
      <c r="AG69" s="449">
        <f t="shared" si="108"/>
        <v>0</v>
      </c>
      <c r="AH69" s="449">
        <f t="shared" si="108"/>
        <v>0</v>
      </c>
      <c r="AI69" s="449">
        <f t="shared" si="108"/>
        <v>0</v>
      </c>
      <c r="AJ69" s="449">
        <f t="shared" si="108"/>
        <v>0</v>
      </c>
      <c r="AK69" s="449">
        <f t="shared" si="108"/>
        <v>0</v>
      </c>
      <c r="AL69" s="449">
        <f t="shared" si="108"/>
        <v>0</v>
      </c>
      <c r="AN69" s="500">
        <f t="shared" si="109"/>
        <v>0</v>
      </c>
      <c r="AO69" s="449">
        <f t="shared" si="110"/>
        <v>0</v>
      </c>
      <c r="AP69" s="449">
        <f t="shared" si="111"/>
        <v>0</v>
      </c>
      <c r="AQ69" s="453" t="str">
        <f t="shared" si="112"/>
        <v>-</v>
      </c>
      <c r="AR69" s="449">
        <f t="shared" si="113"/>
        <v>0</v>
      </c>
      <c r="AS69" s="449">
        <f t="shared" si="114"/>
        <v>0</v>
      </c>
      <c r="AT69" s="426">
        <f t="shared" si="115"/>
        <v>0</v>
      </c>
      <c r="AU69" s="421"/>
      <c r="AV69" s="449">
        <f t="shared" si="116"/>
        <v>0</v>
      </c>
      <c r="AW69" s="449">
        <f t="shared" si="116"/>
        <v>0</v>
      </c>
      <c r="AX69" s="449">
        <f t="shared" si="116"/>
        <v>0</v>
      </c>
      <c r="AY69" s="449">
        <f t="shared" si="116"/>
        <v>0</v>
      </c>
      <c r="AZ69" s="449">
        <f t="shared" si="116"/>
        <v>0</v>
      </c>
      <c r="BA69" s="449">
        <f t="shared" si="116"/>
        <v>0</v>
      </c>
      <c r="BB69" s="449">
        <f t="shared" si="116"/>
        <v>0</v>
      </c>
      <c r="BC69" s="449">
        <f t="shared" si="116"/>
        <v>0</v>
      </c>
      <c r="BD69" s="449">
        <f t="shared" si="116"/>
        <v>0</v>
      </c>
      <c r="BE69" s="449">
        <f t="shared" si="116"/>
        <v>0</v>
      </c>
      <c r="BF69" s="449">
        <f t="shared" si="116"/>
        <v>0</v>
      </c>
      <c r="BG69" s="449">
        <f t="shared" si="116"/>
        <v>0</v>
      </c>
      <c r="BH69" s="400"/>
      <c r="BI69" s="449">
        <v>0</v>
      </c>
      <c r="BJ69" s="449">
        <v>0</v>
      </c>
      <c r="BK69" s="449">
        <v>0</v>
      </c>
      <c r="BL69" s="449">
        <v>0</v>
      </c>
      <c r="BM69" s="449">
        <v>0</v>
      </c>
      <c r="BN69" s="449">
        <v>0</v>
      </c>
      <c r="BO69" s="449">
        <v>0</v>
      </c>
      <c r="BP69" s="449">
        <v>0</v>
      </c>
      <c r="BQ69" s="449">
        <v>0</v>
      </c>
      <c r="BR69" s="449">
        <v>0</v>
      </c>
      <c r="BS69" s="449">
        <v>0</v>
      </c>
      <c r="BT69" s="449">
        <v>0</v>
      </c>
    </row>
    <row r="70" spans="1:72" ht="15" x14ac:dyDescent="0.25">
      <c r="A70" s="502" t="s">
        <v>103</v>
      </c>
      <c r="B70" s="502" t="s">
        <v>104</v>
      </c>
      <c r="C70" s="541"/>
      <c r="D70" s="500">
        <f t="shared" si="102"/>
        <v>152980</v>
      </c>
      <c r="E70" s="449">
        <v>147530</v>
      </c>
      <c r="F70" s="449">
        <f t="shared" si="103"/>
        <v>5450</v>
      </c>
      <c r="G70" s="421">
        <f t="shared" si="104"/>
        <v>3.6941638988680268E-2</v>
      </c>
      <c r="H70" s="449">
        <v>152980</v>
      </c>
      <c r="I70" s="449">
        <f t="shared" si="105"/>
        <v>0</v>
      </c>
      <c r="J70" s="426">
        <f t="shared" si="106"/>
        <v>0</v>
      </c>
      <c r="K70" s="421"/>
      <c r="L70" s="449">
        <v>55.15</v>
      </c>
      <c r="M70" s="449">
        <v>16511.609999999997</v>
      </c>
      <c r="N70" s="449">
        <v>11936.460000000003</v>
      </c>
      <c r="O70" s="449">
        <v>17700.059999999998</v>
      </c>
      <c r="P70" s="449">
        <v>8983.89</v>
      </c>
      <c r="Q70" s="449">
        <v>9316.4900000000052</v>
      </c>
      <c r="R70" s="449">
        <f>($H70-SUM($L70:Q70))/R$694</f>
        <v>14746.056666666665</v>
      </c>
      <c r="S70" s="449">
        <f>($H70-SUM($L70:R70))/S$694</f>
        <v>14746.056666666665</v>
      </c>
      <c r="T70" s="449">
        <f>($H70-SUM($L70:S70))/T$694</f>
        <v>14746.056666666664</v>
      </c>
      <c r="U70" s="449">
        <f>($H70-SUM($L70:T70))/U$694</f>
        <v>14746.056666666662</v>
      </c>
      <c r="V70" s="449">
        <f>($H70-SUM($L70:U70))/V$694</f>
        <v>14746.056666666664</v>
      </c>
      <c r="W70" s="449">
        <f>($H70-SUM($L70:V70))/W$694</f>
        <v>14746.056666666671</v>
      </c>
      <c r="X70" s="449"/>
      <c r="Y70" s="449">
        <f t="shared" si="107"/>
        <v>152980</v>
      </c>
      <c r="Z70" s="531"/>
      <c r="AA70" s="449">
        <f t="shared" si="108"/>
        <v>12748.333333333334</v>
      </c>
      <c r="AB70" s="449">
        <f t="shared" si="108"/>
        <v>12748.333333333334</v>
      </c>
      <c r="AC70" s="449">
        <f t="shared" si="108"/>
        <v>12748.333333333334</v>
      </c>
      <c r="AD70" s="449">
        <f t="shared" si="108"/>
        <v>12748.333333333334</v>
      </c>
      <c r="AE70" s="449">
        <f t="shared" si="108"/>
        <v>12748.333333333334</v>
      </c>
      <c r="AF70" s="449">
        <f t="shared" si="108"/>
        <v>12748.333333333334</v>
      </c>
      <c r="AG70" s="449">
        <f t="shared" si="108"/>
        <v>12748.333333333334</v>
      </c>
      <c r="AH70" s="449">
        <f t="shared" si="108"/>
        <v>12748.333333333334</v>
      </c>
      <c r="AI70" s="449">
        <f t="shared" si="108"/>
        <v>12748.333333333334</v>
      </c>
      <c r="AJ70" s="449">
        <f t="shared" si="108"/>
        <v>12748.333333333334</v>
      </c>
      <c r="AK70" s="449">
        <f t="shared" si="108"/>
        <v>12748.333333333334</v>
      </c>
      <c r="AL70" s="449">
        <f t="shared" si="108"/>
        <v>12748.333333333334</v>
      </c>
      <c r="AN70" s="500">
        <f t="shared" si="109"/>
        <v>152980</v>
      </c>
      <c r="AO70" s="449">
        <f t="shared" si="110"/>
        <v>140462.87999999995</v>
      </c>
      <c r="AP70" s="449">
        <f t="shared" si="111"/>
        <v>-12517.120000000054</v>
      </c>
      <c r="AQ70" s="453">
        <f t="shared" si="112"/>
        <v>-8.182193750817135E-2</v>
      </c>
      <c r="AR70" s="449">
        <f t="shared" si="113"/>
        <v>140462.87999999995</v>
      </c>
      <c r="AS70" s="449">
        <f t="shared" si="114"/>
        <v>0</v>
      </c>
      <c r="AT70" s="426">
        <f t="shared" si="115"/>
        <v>0</v>
      </c>
      <c r="AU70" s="421"/>
      <c r="AV70" s="449">
        <f t="shared" si="116"/>
        <v>0</v>
      </c>
      <c r="AW70" s="449">
        <f t="shared" si="116"/>
        <v>11705.239999999998</v>
      </c>
      <c r="AX70" s="449">
        <f t="shared" si="116"/>
        <v>11705.239999999998</v>
      </c>
      <c r="AY70" s="449">
        <f t="shared" si="116"/>
        <v>11705.239999999998</v>
      </c>
      <c r="AZ70" s="449">
        <f t="shared" si="116"/>
        <v>11705.239999999998</v>
      </c>
      <c r="BA70" s="449">
        <f t="shared" si="116"/>
        <v>11705.239999999998</v>
      </c>
      <c r="BB70" s="449">
        <f t="shared" si="116"/>
        <v>11705.239999999998</v>
      </c>
      <c r="BC70" s="449">
        <f t="shared" si="116"/>
        <v>11705.239999999998</v>
      </c>
      <c r="BD70" s="449">
        <f t="shared" si="116"/>
        <v>11705.239999999998</v>
      </c>
      <c r="BE70" s="449">
        <f t="shared" si="116"/>
        <v>11705.239999999998</v>
      </c>
      <c r="BF70" s="449">
        <f t="shared" si="116"/>
        <v>11705.239999999998</v>
      </c>
      <c r="BG70" s="449">
        <f t="shared" si="116"/>
        <v>23410.479999999996</v>
      </c>
      <c r="BH70" s="400"/>
      <c r="BI70" s="449">
        <v>0</v>
      </c>
      <c r="BJ70" s="449">
        <f>SUM('FY19 Staffing V1-1 (3)'!$Q$5:$R$36,'FY19 Staffing V1-1 (3)'!$T$5:$U$36)/12</f>
        <v>11705.239999999998</v>
      </c>
      <c r="BK70" s="449">
        <f>SUM('FY19 Staffing V1-1 (3)'!$Q$5:$R$36,'FY19 Staffing V1-1 (3)'!$T$5:$U$36)/12</f>
        <v>11705.239999999998</v>
      </c>
      <c r="BL70" s="449">
        <f>SUM('FY19 Staffing V1-1 (3)'!$Q$5:$R$36,'FY19 Staffing V1-1 (3)'!$T$5:$U$36)/12</f>
        <v>11705.239999999998</v>
      </c>
      <c r="BM70" s="449">
        <f>SUM('FY19 Staffing V1-1 (3)'!$Q$5:$R$36,'FY19 Staffing V1-1 (3)'!$T$5:$U$36)/12</f>
        <v>11705.239999999998</v>
      </c>
      <c r="BN70" s="449">
        <f>SUM('FY19 Staffing V1-1 (3)'!$Q$5:$R$36,'FY19 Staffing V1-1 (3)'!$T$5:$U$36)/12</f>
        <v>11705.239999999998</v>
      </c>
      <c r="BO70" s="449">
        <f>SUM('FY19 Staffing V1-1 (3)'!$Q$5:$R$36,'FY19 Staffing V1-1 (3)'!$T$5:$U$36)/12</f>
        <v>11705.239999999998</v>
      </c>
      <c r="BP70" s="449">
        <f>SUM('FY19 Staffing V1-1 (3)'!$Q$5:$R$36,'FY19 Staffing V1-1 (3)'!$T$5:$U$36)/12</f>
        <v>11705.239999999998</v>
      </c>
      <c r="BQ70" s="449">
        <f>SUM('FY19 Staffing V1-1 (3)'!$Q$5:$R$36,'FY19 Staffing V1-1 (3)'!$T$5:$U$36)/12</f>
        <v>11705.239999999998</v>
      </c>
      <c r="BR70" s="449">
        <f>SUM('FY19 Staffing V1-1 (3)'!$Q$5:$R$36,'FY19 Staffing V1-1 (3)'!$T$5:$U$36)/12</f>
        <v>11705.239999999998</v>
      </c>
      <c r="BS70" s="449">
        <f>SUM('FY19 Staffing V1-1 (3)'!$Q$5:$R$36,'FY19 Staffing V1-1 (3)'!$T$5:$U$36)/12</f>
        <v>11705.239999999998</v>
      </c>
      <c r="BT70" s="449">
        <f>SUM('FY19 Staffing V1-1 (3)'!$Q$5:$R$36,'FY19 Staffing V1-1 (3)'!$T$5:$U$36)/12*2</f>
        <v>23410.479999999996</v>
      </c>
    </row>
    <row r="71" spans="1:72" ht="15" x14ac:dyDescent="0.25">
      <c r="A71" s="502" t="s">
        <v>105</v>
      </c>
      <c r="B71" s="502" t="s">
        <v>106</v>
      </c>
      <c r="C71" s="541"/>
      <c r="D71" s="500">
        <f t="shared" si="102"/>
        <v>8283</v>
      </c>
      <c r="E71" s="449">
        <v>8283</v>
      </c>
      <c r="F71" s="449">
        <f t="shared" si="103"/>
        <v>0</v>
      </c>
      <c r="G71" s="421">
        <f t="shared" si="104"/>
        <v>0</v>
      </c>
      <c r="H71" s="449">
        <v>8283</v>
      </c>
      <c r="I71" s="449">
        <f t="shared" si="105"/>
        <v>0</v>
      </c>
      <c r="J71" s="426">
        <f t="shared" si="106"/>
        <v>0</v>
      </c>
      <c r="K71" s="421"/>
      <c r="L71" s="449">
        <v>0</v>
      </c>
      <c r="M71" s="449">
        <v>716.68</v>
      </c>
      <c r="N71" s="449">
        <v>18.82000000000005</v>
      </c>
      <c r="O71" s="449">
        <v>334.08999999999992</v>
      </c>
      <c r="P71" s="449">
        <v>399.47</v>
      </c>
      <c r="Q71" s="449">
        <v>567.51</v>
      </c>
      <c r="R71" s="449">
        <f>($H71-SUM($L71:Q71))/R$694</f>
        <v>1041.0716666666667</v>
      </c>
      <c r="S71" s="449">
        <f>($H71-SUM($L71:R71))/S$694</f>
        <v>1041.0716666666667</v>
      </c>
      <c r="T71" s="449">
        <f>($H71-SUM($L71:S71))/T$694</f>
        <v>1041.0716666666667</v>
      </c>
      <c r="U71" s="449">
        <f>($H71-SUM($L71:T71))/U$694</f>
        <v>1041.0716666666667</v>
      </c>
      <c r="V71" s="449">
        <f>($H71-SUM($L71:U71))/V$694</f>
        <v>1041.0716666666667</v>
      </c>
      <c r="W71" s="449">
        <f>($H71-SUM($L71:V71))/W$694</f>
        <v>1041.0716666666667</v>
      </c>
      <c r="X71" s="449"/>
      <c r="Y71" s="449">
        <f t="shared" si="107"/>
        <v>8283</v>
      </c>
      <c r="Z71" s="531"/>
      <c r="AA71" s="449">
        <f t="shared" si="108"/>
        <v>690.25</v>
      </c>
      <c r="AB71" s="449">
        <f t="shared" si="108"/>
        <v>690.25</v>
      </c>
      <c r="AC71" s="449">
        <f t="shared" si="108"/>
        <v>690.25</v>
      </c>
      <c r="AD71" s="449">
        <f t="shared" si="108"/>
        <v>690.25</v>
      </c>
      <c r="AE71" s="449">
        <f t="shared" si="108"/>
        <v>690.25</v>
      </c>
      <c r="AF71" s="449">
        <f t="shared" si="108"/>
        <v>690.25</v>
      </c>
      <c r="AG71" s="449">
        <f t="shared" si="108"/>
        <v>690.25</v>
      </c>
      <c r="AH71" s="449">
        <f t="shared" si="108"/>
        <v>690.25</v>
      </c>
      <c r="AI71" s="449">
        <f t="shared" si="108"/>
        <v>690.25</v>
      </c>
      <c r="AJ71" s="449">
        <f t="shared" si="108"/>
        <v>690.25</v>
      </c>
      <c r="AK71" s="449">
        <f t="shared" si="108"/>
        <v>690.25</v>
      </c>
      <c r="AL71" s="449">
        <f t="shared" si="108"/>
        <v>690.25</v>
      </c>
      <c r="AN71" s="500">
        <f t="shared" si="109"/>
        <v>8283</v>
      </c>
      <c r="AO71" s="449">
        <f t="shared" si="110"/>
        <v>9426.9973170731701</v>
      </c>
      <c r="AP71" s="449">
        <f t="shared" si="111"/>
        <v>1143.9973170731701</v>
      </c>
      <c r="AQ71" s="453">
        <f t="shared" si="112"/>
        <v>0.13811388591973561</v>
      </c>
      <c r="AR71" s="449">
        <f t="shared" si="113"/>
        <v>9426.9973170731701</v>
      </c>
      <c r="AS71" s="449">
        <f t="shared" si="114"/>
        <v>0</v>
      </c>
      <c r="AT71" s="426">
        <f t="shared" si="115"/>
        <v>0</v>
      </c>
      <c r="AU71" s="421"/>
      <c r="AV71" s="449">
        <f t="shared" si="116"/>
        <v>0</v>
      </c>
      <c r="AW71" s="449">
        <f t="shared" si="116"/>
        <v>0</v>
      </c>
      <c r="AX71" s="449">
        <f t="shared" si="116"/>
        <v>856.99975609756086</v>
      </c>
      <c r="AY71" s="449">
        <f t="shared" si="116"/>
        <v>856.99975609756086</v>
      </c>
      <c r="AZ71" s="449">
        <f t="shared" si="116"/>
        <v>856.99975609756086</v>
      </c>
      <c r="BA71" s="449">
        <f t="shared" si="116"/>
        <v>856.99975609756086</v>
      </c>
      <c r="BB71" s="449">
        <f t="shared" si="116"/>
        <v>856.99975609756086</v>
      </c>
      <c r="BC71" s="449">
        <f t="shared" si="116"/>
        <v>856.99975609756086</v>
      </c>
      <c r="BD71" s="449">
        <f t="shared" si="116"/>
        <v>856.99975609756086</v>
      </c>
      <c r="BE71" s="449">
        <f t="shared" si="116"/>
        <v>856.99975609756086</v>
      </c>
      <c r="BF71" s="449">
        <f t="shared" si="116"/>
        <v>856.99975609756086</v>
      </c>
      <c r="BG71" s="449">
        <f t="shared" si="116"/>
        <v>1713.9995121951217</v>
      </c>
      <c r="BH71" s="400"/>
      <c r="BI71" s="449">
        <v>0</v>
      </c>
      <c r="BJ71" s="449">
        <v>0</v>
      </c>
      <c r="BK71" s="449">
        <f>(SUM('FY19 Staffing V1-1 (3)'!$Q$144:$R$144,'FY19 Staffing V1-1 (3)'!$T$144:$U$144)/10)*(30/41)</f>
        <v>856.99975609756086</v>
      </c>
      <c r="BL71" s="449">
        <f>(SUM('FY19 Staffing V1-1 (3)'!$Q$144:$R$144,'FY19 Staffing V1-1 (3)'!$T$144:$U$144)/10)*(30/41)</f>
        <v>856.99975609756086</v>
      </c>
      <c r="BM71" s="449">
        <f>(SUM('FY19 Staffing V1-1 (3)'!$Q$144:$R$144,'FY19 Staffing V1-1 (3)'!$T$144:$U$144)/10)*(30/41)</f>
        <v>856.99975609756086</v>
      </c>
      <c r="BN71" s="449">
        <f>(SUM('FY19 Staffing V1-1 (3)'!$Q$144:$R$144,'FY19 Staffing V1-1 (3)'!$T$144:$U$144)/10)*(30/41)</f>
        <v>856.99975609756086</v>
      </c>
      <c r="BO71" s="449">
        <f>(SUM('FY19 Staffing V1-1 (3)'!$Q$144:$R$144,'FY19 Staffing V1-1 (3)'!$T$144:$U$144)/10)*(30/41)</f>
        <v>856.99975609756086</v>
      </c>
      <c r="BP71" s="449">
        <f>(SUM('FY19 Staffing V1-1 (3)'!$Q$144:$R$144,'FY19 Staffing V1-1 (3)'!$T$144:$U$144)/10)*(30/41)</f>
        <v>856.99975609756086</v>
      </c>
      <c r="BQ71" s="449">
        <f>(SUM('FY19 Staffing V1-1 (3)'!$Q$144:$R$144,'FY19 Staffing V1-1 (3)'!$T$144:$U$144)/10)*(30/41)</f>
        <v>856.99975609756086</v>
      </c>
      <c r="BR71" s="449">
        <f>(SUM('FY19 Staffing V1-1 (3)'!$Q$144:$R$144,'FY19 Staffing V1-1 (3)'!$T$144:$U$144)/10)*(30/41)</f>
        <v>856.99975609756086</v>
      </c>
      <c r="BS71" s="449">
        <f>(SUM('FY19 Staffing V1-1 (3)'!$Q$144:$R$144,'FY19 Staffing V1-1 (3)'!$T$144:$U$144)/10)*(30/41)</f>
        <v>856.99975609756086</v>
      </c>
      <c r="BT71" s="449">
        <f>(SUM('FY19 Staffing V1-1 (3)'!$Q$144:$R$144,'FY19 Staffing V1-1 (3)'!$T$144:$U$144)/10)*(30/41)*2</f>
        <v>1713.9995121951217</v>
      </c>
    </row>
    <row r="72" spans="1:72" ht="15" x14ac:dyDescent="0.25">
      <c r="A72" s="502" t="s">
        <v>107</v>
      </c>
      <c r="B72" s="502" t="s">
        <v>108</v>
      </c>
      <c r="C72" s="541"/>
      <c r="D72" s="500">
        <f t="shared" si="102"/>
        <v>21772</v>
      </c>
      <c r="E72" s="449">
        <v>21772</v>
      </c>
      <c r="F72" s="449">
        <f t="shared" si="103"/>
        <v>0</v>
      </c>
      <c r="G72" s="421">
        <f t="shared" si="104"/>
        <v>0</v>
      </c>
      <c r="H72" s="449">
        <v>21772</v>
      </c>
      <c r="I72" s="449">
        <f t="shared" si="105"/>
        <v>0</v>
      </c>
      <c r="J72" s="426">
        <f t="shared" si="106"/>
        <v>0</v>
      </c>
      <c r="K72" s="421"/>
      <c r="L72" s="449">
        <v>406.69</v>
      </c>
      <c r="M72" s="449">
        <v>2438.08</v>
      </c>
      <c r="N72" s="449">
        <v>1166.8800000000001</v>
      </c>
      <c r="O72" s="449">
        <v>1703.6200000000003</v>
      </c>
      <c r="P72" s="449">
        <v>1256.0199999999995</v>
      </c>
      <c r="Q72" s="449">
        <v>1565.0899999999992</v>
      </c>
      <c r="R72" s="449">
        <f>($H72-SUM($L72:Q72))/R$694</f>
        <v>2205.936666666667</v>
      </c>
      <c r="S72" s="449">
        <f>($H72-SUM($L72:R72))/S$694</f>
        <v>2205.936666666667</v>
      </c>
      <c r="T72" s="449">
        <f>($H72-SUM($L72:S72))/T$694</f>
        <v>2205.936666666667</v>
      </c>
      <c r="U72" s="449">
        <f>($H72-SUM($L72:T72))/U$694</f>
        <v>2205.936666666667</v>
      </c>
      <c r="V72" s="449">
        <f>($H72-SUM($L72:U72))/V$694</f>
        <v>2205.9366666666665</v>
      </c>
      <c r="W72" s="449">
        <f>($H72-SUM($L72:V72))/W$694</f>
        <v>2205.9366666666683</v>
      </c>
      <c r="X72" s="449"/>
      <c r="Y72" s="449">
        <f t="shared" si="107"/>
        <v>21772</v>
      </c>
      <c r="Z72" s="531"/>
      <c r="AA72" s="449">
        <f t="shared" si="108"/>
        <v>1814.3333333333333</v>
      </c>
      <c r="AB72" s="449">
        <f t="shared" si="108"/>
        <v>1814.3333333333333</v>
      </c>
      <c r="AC72" s="449">
        <f t="shared" si="108"/>
        <v>1814.3333333333333</v>
      </c>
      <c r="AD72" s="449">
        <f t="shared" si="108"/>
        <v>1814.3333333333333</v>
      </c>
      <c r="AE72" s="449">
        <f t="shared" si="108"/>
        <v>1814.3333333333333</v>
      </c>
      <c r="AF72" s="449">
        <f t="shared" si="108"/>
        <v>1814.3333333333333</v>
      </c>
      <c r="AG72" s="449">
        <f t="shared" si="108"/>
        <v>1814.3333333333333</v>
      </c>
      <c r="AH72" s="449">
        <f t="shared" si="108"/>
        <v>1814.3333333333333</v>
      </c>
      <c r="AI72" s="449">
        <f t="shared" si="108"/>
        <v>1814.3333333333333</v>
      </c>
      <c r="AJ72" s="449">
        <f t="shared" si="108"/>
        <v>1814.3333333333333</v>
      </c>
      <c r="AK72" s="449">
        <f t="shared" si="108"/>
        <v>1814.3333333333333</v>
      </c>
      <c r="AL72" s="449">
        <f t="shared" si="108"/>
        <v>1814.3333333333333</v>
      </c>
      <c r="AN72" s="500">
        <f t="shared" si="109"/>
        <v>21772</v>
      </c>
      <c r="AO72" s="449">
        <f t="shared" si="110"/>
        <v>12140.733835500001</v>
      </c>
      <c r="AP72" s="449">
        <f t="shared" si="111"/>
        <v>-9631.2661644999989</v>
      </c>
      <c r="AQ72" s="453">
        <f t="shared" si="112"/>
        <v>-0.44236938106283297</v>
      </c>
      <c r="AR72" s="449">
        <f t="shared" si="113"/>
        <v>12140.733835500001</v>
      </c>
      <c r="AS72" s="449">
        <f t="shared" si="114"/>
        <v>0</v>
      </c>
      <c r="AT72" s="426">
        <f t="shared" si="115"/>
        <v>0</v>
      </c>
      <c r="AU72" s="421"/>
      <c r="AV72" s="449">
        <f t="shared" si="116"/>
        <v>0</v>
      </c>
      <c r="AW72" s="449">
        <f t="shared" si="116"/>
        <v>1011.7278196249999</v>
      </c>
      <c r="AX72" s="449">
        <f t="shared" si="116"/>
        <v>1011.7278196249999</v>
      </c>
      <c r="AY72" s="449">
        <f t="shared" si="116"/>
        <v>1011.7278196249999</v>
      </c>
      <c r="AZ72" s="449">
        <f t="shared" si="116"/>
        <v>1011.7278196249999</v>
      </c>
      <c r="BA72" s="449">
        <f t="shared" si="116"/>
        <v>1011.7278196249999</v>
      </c>
      <c r="BB72" s="449">
        <f t="shared" si="116"/>
        <v>1011.7278196249999</v>
      </c>
      <c r="BC72" s="449">
        <f t="shared" si="116"/>
        <v>1011.7278196249999</v>
      </c>
      <c r="BD72" s="449">
        <f t="shared" si="116"/>
        <v>1011.7278196249999</v>
      </c>
      <c r="BE72" s="449">
        <f t="shared" si="116"/>
        <v>1011.7278196249999</v>
      </c>
      <c r="BF72" s="449">
        <f t="shared" si="116"/>
        <v>1011.7278196249999</v>
      </c>
      <c r="BG72" s="449">
        <f t="shared" si="116"/>
        <v>2023.4556392499999</v>
      </c>
      <c r="BH72" s="400"/>
      <c r="BI72" s="449">
        <v>0</v>
      </c>
      <c r="BJ72" s="449">
        <f>(('FY19 Staffing V1-1 (3)'!$Q$179+'FY19 Staffing V1-1 (3)'!$R$179+'FY19 Staffing V1-1 (3)'!$T$179+'FY19 Staffing V1-1 (3)'!$U$179)-('FY19 Staffing V1-1 (3)'!$Q$175+'FY19 Staffing V1-1 (3)'!$R$175+'FY19 Staffing V1-1 (3)'!$T$175+'FY19 Staffing V1-1 (3)'!$U$175))/12</f>
        <v>1011.7278196249999</v>
      </c>
      <c r="BK72" s="449">
        <f>(('FY19 Staffing V1-1 (3)'!$Q$179+'FY19 Staffing V1-1 (3)'!$R$179+'FY19 Staffing V1-1 (3)'!$T$179+'FY19 Staffing V1-1 (3)'!$U$179)-('FY19 Staffing V1-1 (3)'!$Q$175+'FY19 Staffing V1-1 (3)'!$R$175+'FY19 Staffing V1-1 (3)'!$T$175+'FY19 Staffing V1-1 (3)'!$U$175))/12</f>
        <v>1011.7278196249999</v>
      </c>
      <c r="BL72" s="449">
        <f>(('FY19 Staffing V1-1 (3)'!$Q$179+'FY19 Staffing V1-1 (3)'!$R$179+'FY19 Staffing V1-1 (3)'!$T$179+'FY19 Staffing V1-1 (3)'!$U$179)-('FY19 Staffing V1-1 (3)'!$Q$175+'FY19 Staffing V1-1 (3)'!$R$175+'FY19 Staffing V1-1 (3)'!$T$175+'FY19 Staffing V1-1 (3)'!$U$175))/12</f>
        <v>1011.7278196249999</v>
      </c>
      <c r="BM72" s="449">
        <f>(('FY19 Staffing V1-1 (3)'!$Q$179+'FY19 Staffing V1-1 (3)'!$R$179+'FY19 Staffing V1-1 (3)'!$T$179+'FY19 Staffing V1-1 (3)'!$U$179)-('FY19 Staffing V1-1 (3)'!$Q$175+'FY19 Staffing V1-1 (3)'!$R$175+'FY19 Staffing V1-1 (3)'!$T$175+'FY19 Staffing V1-1 (3)'!$U$175))/12</f>
        <v>1011.7278196249999</v>
      </c>
      <c r="BN72" s="449">
        <f>(('FY19 Staffing V1-1 (3)'!$Q$179+'FY19 Staffing V1-1 (3)'!$R$179+'FY19 Staffing V1-1 (3)'!$T$179+'FY19 Staffing V1-1 (3)'!$U$179)-('FY19 Staffing V1-1 (3)'!$Q$175+'FY19 Staffing V1-1 (3)'!$R$175+'FY19 Staffing V1-1 (3)'!$T$175+'FY19 Staffing V1-1 (3)'!$U$175))/12</f>
        <v>1011.7278196249999</v>
      </c>
      <c r="BO72" s="449">
        <f>(('FY19 Staffing V1-1 (3)'!$Q$179+'FY19 Staffing V1-1 (3)'!$R$179+'FY19 Staffing V1-1 (3)'!$T$179+'FY19 Staffing V1-1 (3)'!$U$179)-('FY19 Staffing V1-1 (3)'!$Q$175+'FY19 Staffing V1-1 (3)'!$R$175+'FY19 Staffing V1-1 (3)'!$T$175+'FY19 Staffing V1-1 (3)'!$U$175))/12</f>
        <v>1011.7278196249999</v>
      </c>
      <c r="BP72" s="449">
        <f>(('FY19 Staffing V1-1 (3)'!$Q$179+'FY19 Staffing V1-1 (3)'!$R$179+'FY19 Staffing V1-1 (3)'!$T$179+'FY19 Staffing V1-1 (3)'!$U$179)-('FY19 Staffing V1-1 (3)'!$Q$175+'FY19 Staffing V1-1 (3)'!$R$175+'FY19 Staffing V1-1 (3)'!$T$175+'FY19 Staffing V1-1 (3)'!$U$175))/12</f>
        <v>1011.7278196249999</v>
      </c>
      <c r="BQ72" s="449">
        <f>(('FY19 Staffing V1-1 (3)'!$Q$179+'FY19 Staffing V1-1 (3)'!$R$179+'FY19 Staffing V1-1 (3)'!$T$179+'FY19 Staffing V1-1 (3)'!$U$179)-('FY19 Staffing V1-1 (3)'!$Q$175+'FY19 Staffing V1-1 (3)'!$R$175+'FY19 Staffing V1-1 (3)'!$T$175+'FY19 Staffing V1-1 (3)'!$U$175))/12</f>
        <v>1011.7278196249999</v>
      </c>
      <c r="BR72" s="449">
        <f>(('FY19 Staffing V1-1 (3)'!$Q$179+'FY19 Staffing V1-1 (3)'!$R$179+'FY19 Staffing V1-1 (3)'!$T$179+'FY19 Staffing V1-1 (3)'!$U$179)-('FY19 Staffing V1-1 (3)'!$Q$175+'FY19 Staffing V1-1 (3)'!$R$175+'FY19 Staffing V1-1 (3)'!$T$175+'FY19 Staffing V1-1 (3)'!$U$175))/12</f>
        <v>1011.7278196249999</v>
      </c>
      <c r="BS72" s="449">
        <f>(('FY19 Staffing V1-1 (3)'!$Q$179+'FY19 Staffing V1-1 (3)'!$R$179+'FY19 Staffing V1-1 (3)'!$T$179+'FY19 Staffing V1-1 (3)'!$U$179)-('FY19 Staffing V1-1 (3)'!$Q$175+'FY19 Staffing V1-1 (3)'!$R$175+'FY19 Staffing V1-1 (3)'!$T$175+'FY19 Staffing V1-1 (3)'!$U$175))/12</f>
        <v>1011.7278196249999</v>
      </c>
      <c r="BT72" s="449">
        <f>(('FY19 Staffing V1-1 (3)'!$Q$179+'FY19 Staffing V1-1 (3)'!$R$179+'FY19 Staffing V1-1 (3)'!$T$179+'FY19 Staffing V1-1 (3)'!$U$179)-('FY19 Staffing V1-1 (3)'!$Q$175+'FY19 Staffing V1-1 (3)'!$R$175+'FY19 Staffing V1-1 (3)'!$T$175+'FY19 Staffing V1-1 (3)'!$U$175))/12*2</f>
        <v>2023.4556392499999</v>
      </c>
    </row>
    <row r="73" spans="1:72" ht="15" x14ac:dyDescent="0.25">
      <c r="A73" s="502" t="s">
        <v>109</v>
      </c>
      <c r="B73" s="502" t="s">
        <v>110</v>
      </c>
      <c r="C73" s="541"/>
      <c r="D73" s="500">
        <f t="shared" si="102"/>
        <v>113413</v>
      </c>
      <c r="E73" s="449">
        <v>108236</v>
      </c>
      <c r="F73" s="449">
        <f t="shared" si="103"/>
        <v>5177</v>
      </c>
      <c r="G73" s="421">
        <f t="shared" si="104"/>
        <v>4.7830666321741377E-2</v>
      </c>
      <c r="H73" s="449">
        <v>113413</v>
      </c>
      <c r="I73" s="449">
        <f t="shared" si="105"/>
        <v>0</v>
      </c>
      <c r="J73" s="426">
        <f t="shared" si="106"/>
        <v>0</v>
      </c>
      <c r="K73" s="421"/>
      <c r="L73" s="449">
        <v>366.64</v>
      </c>
      <c r="M73" s="449">
        <v>7075.8899999999994</v>
      </c>
      <c r="N73" s="449">
        <v>11585.810000000001</v>
      </c>
      <c r="O73" s="449">
        <v>28565.7</v>
      </c>
      <c r="P73" s="449">
        <v>13473.379999999997</v>
      </c>
      <c r="Q73" s="449">
        <v>12214.220000000001</v>
      </c>
      <c r="R73" s="449">
        <f>($H73-SUM($L73:Q73))/R$694</f>
        <v>6688.56</v>
      </c>
      <c r="S73" s="449">
        <f>($H73-SUM($L73:R73))/S$694</f>
        <v>6688.56</v>
      </c>
      <c r="T73" s="449">
        <f>($H73-SUM($L73:S73))/T$694</f>
        <v>6688.5600000000013</v>
      </c>
      <c r="U73" s="449">
        <f>($H73-SUM($L73:T73))/U$694</f>
        <v>6688.5600000000022</v>
      </c>
      <c r="V73" s="449">
        <f>($H73-SUM($L73:U73))/V$694</f>
        <v>6688.5600000000049</v>
      </c>
      <c r="W73" s="449">
        <f>($H73-SUM($L73:V73))/W$694</f>
        <v>6688.5599999999977</v>
      </c>
      <c r="X73" s="449"/>
      <c r="Y73" s="449">
        <f t="shared" si="107"/>
        <v>113413</v>
      </c>
      <c r="Z73" s="531"/>
      <c r="AA73" s="449">
        <f t="shared" si="108"/>
        <v>9451.0833333333339</v>
      </c>
      <c r="AB73" s="449">
        <f t="shared" si="108"/>
        <v>9451.0833333333339</v>
      </c>
      <c r="AC73" s="449">
        <f t="shared" si="108"/>
        <v>9451.0833333333339</v>
      </c>
      <c r="AD73" s="449">
        <f t="shared" si="108"/>
        <v>9451.0833333333339</v>
      </c>
      <c r="AE73" s="449">
        <f t="shared" si="108"/>
        <v>9451.0833333333339</v>
      </c>
      <c r="AF73" s="449">
        <f t="shared" si="108"/>
        <v>9451.0833333333339</v>
      </c>
      <c r="AG73" s="449">
        <f t="shared" si="108"/>
        <v>9451.0833333333339</v>
      </c>
      <c r="AH73" s="449">
        <f t="shared" si="108"/>
        <v>9451.0833333333339</v>
      </c>
      <c r="AI73" s="449">
        <f t="shared" si="108"/>
        <v>9451.0833333333339</v>
      </c>
      <c r="AJ73" s="449">
        <f t="shared" si="108"/>
        <v>9451.0833333333339</v>
      </c>
      <c r="AK73" s="449">
        <f t="shared" si="108"/>
        <v>9451.0833333333339</v>
      </c>
      <c r="AL73" s="449">
        <f t="shared" si="108"/>
        <v>9451.0833333333339</v>
      </c>
      <c r="AN73" s="500">
        <f t="shared" si="109"/>
        <v>113413</v>
      </c>
      <c r="AO73" s="449">
        <f t="shared" si="110"/>
        <v>168634.6069696401</v>
      </c>
      <c r="AP73" s="449">
        <f t="shared" si="111"/>
        <v>55221.606969640095</v>
      </c>
      <c r="AQ73" s="453">
        <f t="shared" si="112"/>
        <v>0.48690720613721616</v>
      </c>
      <c r="AR73" s="449">
        <f t="shared" si="113"/>
        <v>168634.6069696401</v>
      </c>
      <c r="AS73" s="449">
        <f t="shared" si="114"/>
        <v>0</v>
      </c>
      <c r="AT73" s="426">
        <f t="shared" si="115"/>
        <v>0</v>
      </c>
      <c r="AU73" s="421"/>
      <c r="AV73" s="449">
        <f t="shared" si="116"/>
        <v>0</v>
      </c>
      <c r="AW73" s="449">
        <f t="shared" si="116"/>
        <v>14052.883914136672</v>
      </c>
      <c r="AX73" s="449">
        <f t="shared" si="116"/>
        <v>14052.883914136672</v>
      </c>
      <c r="AY73" s="449">
        <f t="shared" si="116"/>
        <v>14052.883914136672</v>
      </c>
      <c r="AZ73" s="449">
        <f t="shared" si="116"/>
        <v>14052.883914136672</v>
      </c>
      <c r="BA73" s="449">
        <f t="shared" si="116"/>
        <v>14052.883914136672</v>
      </c>
      <c r="BB73" s="449">
        <f t="shared" si="116"/>
        <v>14052.883914136672</v>
      </c>
      <c r="BC73" s="449">
        <f t="shared" si="116"/>
        <v>14052.883914136672</v>
      </c>
      <c r="BD73" s="449">
        <f t="shared" si="116"/>
        <v>14052.883914136672</v>
      </c>
      <c r="BE73" s="449">
        <f t="shared" si="116"/>
        <v>14052.883914136672</v>
      </c>
      <c r="BF73" s="449">
        <f t="shared" si="116"/>
        <v>14052.883914136672</v>
      </c>
      <c r="BG73" s="449">
        <f t="shared" si="116"/>
        <v>28105.767828273343</v>
      </c>
      <c r="BH73" s="400"/>
      <c r="BI73" s="449">
        <v>0</v>
      </c>
      <c r="BJ73" s="449">
        <f>SUM('FY19 Staffing V1-1 (3)'!$W$5:$W$36)/12</f>
        <v>14052.883914136672</v>
      </c>
      <c r="BK73" s="449">
        <f>SUM('FY19 Staffing V1-1 (3)'!$W$5:$W$36)/12</f>
        <v>14052.883914136672</v>
      </c>
      <c r="BL73" s="449">
        <f>SUM('FY19 Staffing V1-1 (3)'!$W$5:$W$36)/12</f>
        <v>14052.883914136672</v>
      </c>
      <c r="BM73" s="449">
        <f>SUM('FY19 Staffing V1-1 (3)'!$W$5:$W$36)/12</f>
        <v>14052.883914136672</v>
      </c>
      <c r="BN73" s="449">
        <f>SUM('FY19 Staffing V1-1 (3)'!$W$5:$W$36)/12</f>
        <v>14052.883914136672</v>
      </c>
      <c r="BO73" s="449">
        <f>SUM('FY19 Staffing V1-1 (3)'!$W$5:$W$36)/12</f>
        <v>14052.883914136672</v>
      </c>
      <c r="BP73" s="449">
        <f>SUM('FY19 Staffing V1-1 (3)'!$W$5:$W$36)/12</f>
        <v>14052.883914136672</v>
      </c>
      <c r="BQ73" s="449">
        <f>SUM('FY19 Staffing V1-1 (3)'!$W$5:$W$36)/12</f>
        <v>14052.883914136672</v>
      </c>
      <c r="BR73" s="449">
        <f>SUM('FY19 Staffing V1-1 (3)'!$W$5:$W$36)/12</f>
        <v>14052.883914136672</v>
      </c>
      <c r="BS73" s="449">
        <f>SUM('FY19 Staffing V1-1 (3)'!$W$5:$W$36)/12</f>
        <v>14052.883914136672</v>
      </c>
      <c r="BT73" s="449">
        <f>SUM('FY19 Staffing V1-1 (3)'!$W$5:$W$36)/12*2</f>
        <v>28105.767828273343</v>
      </c>
    </row>
    <row r="74" spans="1:72" ht="15" x14ac:dyDescent="0.25">
      <c r="A74" s="502" t="s">
        <v>111</v>
      </c>
      <c r="B74" s="502" t="s">
        <v>112</v>
      </c>
      <c r="C74" s="541"/>
      <c r="D74" s="500">
        <f t="shared" si="102"/>
        <v>10042.629999999999</v>
      </c>
      <c r="E74" s="449">
        <v>6244</v>
      </c>
      <c r="F74" s="449">
        <f t="shared" si="103"/>
        <v>3798.6299999999992</v>
      </c>
      <c r="G74" s="421">
        <f t="shared" si="104"/>
        <v>0.60836483023702737</v>
      </c>
      <c r="H74" s="449">
        <v>6244</v>
      </c>
      <c r="I74" s="449">
        <f t="shared" si="105"/>
        <v>3798.6299999999992</v>
      </c>
      <c r="J74" s="426">
        <f t="shared" si="106"/>
        <v>0.60836483023702737</v>
      </c>
      <c r="K74" s="421"/>
      <c r="L74" s="449">
        <v>12.55</v>
      </c>
      <c r="M74" s="449">
        <v>12.55</v>
      </c>
      <c r="N74" s="449">
        <v>20.549999999999997</v>
      </c>
      <c r="O74" s="449">
        <v>5754.3600000000006</v>
      </c>
      <c r="P74" s="449">
        <v>3675.0300000000007</v>
      </c>
      <c r="Q74" s="449">
        <v>567.58999999999833</v>
      </c>
      <c r="R74" s="449">
        <v>0</v>
      </c>
      <c r="S74" s="449">
        <v>0</v>
      </c>
      <c r="T74" s="449">
        <v>0</v>
      </c>
      <c r="U74" s="449">
        <v>0</v>
      </c>
      <c r="V74" s="449">
        <v>0</v>
      </c>
      <c r="W74" s="449">
        <v>0</v>
      </c>
      <c r="X74" s="449"/>
      <c r="Y74" s="449">
        <f t="shared" si="107"/>
        <v>10042.629999999999</v>
      </c>
      <c r="Z74" s="531"/>
      <c r="AA74" s="449">
        <f t="shared" si="108"/>
        <v>520.33333333333337</v>
      </c>
      <c r="AB74" s="449">
        <f t="shared" si="108"/>
        <v>520.33333333333337</v>
      </c>
      <c r="AC74" s="449">
        <f t="shared" si="108"/>
        <v>520.33333333333337</v>
      </c>
      <c r="AD74" s="449">
        <f t="shared" si="108"/>
        <v>520.33333333333337</v>
      </c>
      <c r="AE74" s="449">
        <f t="shared" si="108"/>
        <v>520.33333333333337</v>
      </c>
      <c r="AF74" s="449">
        <f t="shared" si="108"/>
        <v>520.33333333333337</v>
      </c>
      <c r="AG74" s="449">
        <f t="shared" si="108"/>
        <v>520.33333333333337</v>
      </c>
      <c r="AH74" s="449">
        <f t="shared" si="108"/>
        <v>520.33333333333337</v>
      </c>
      <c r="AI74" s="449">
        <f t="shared" si="108"/>
        <v>520.33333333333337</v>
      </c>
      <c r="AJ74" s="449">
        <f t="shared" si="108"/>
        <v>520.33333333333337</v>
      </c>
      <c r="AK74" s="449">
        <f t="shared" si="108"/>
        <v>520.33333333333337</v>
      </c>
      <c r="AL74" s="449">
        <f t="shared" si="108"/>
        <v>520.33333333333337</v>
      </c>
      <c r="AN74" s="500">
        <f t="shared" si="109"/>
        <v>10042.629999999999</v>
      </c>
      <c r="AO74" s="449">
        <f t="shared" si="110"/>
        <v>7032.2348832400021</v>
      </c>
      <c r="AP74" s="449">
        <f t="shared" si="111"/>
        <v>-3010.3951167599971</v>
      </c>
      <c r="AQ74" s="453">
        <f t="shared" si="112"/>
        <v>-0.29976162785644772</v>
      </c>
      <c r="AR74" s="449">
        <f t="shared" si="113"/>
        <v>7032.2348832400021</v>
      </c>
      <c r="AS74" s="449">
        <f t="shared" si="114"/>
        <v>0</v>
      </c>
      <c r="AT74" s="426">
        <f t="shared" si="115"/>
        <v>0</v>
      </c>
      <c r="AU74" s="421"/>
      <c r="AV74" s="449">
        <f t="shared" si="116"/>
        <v>0</v>
      </c>
      <c r="AW74" s="449">
        <f t="shared" si="116"/>
        <v>586.01957360333347</v>
      </c>
      <c r="AX74" s="449">
        <f t="shared" si="116"/>
        <v>586.01957360333347</v>
      </c>
      <c r="AY74" s="449">
        <f t="shared" si="116"/>
        <v>586.01957360333347</v>
      </c>
      <c r="AZ74" s="449">
        <f t="shared" si="116"/>
        <v>586.01957360333347</v>
      </c>
      <c r="BA74" s="449">
        <f t="shared" si="116"/>
        <v>586.01957360333347</v>
      </c>
      <c r="BB74" s="449">
        <f t="shared" si="116"/>
        <v>586.01957360333347</v>
      </c>
      <c r="BC74" s="449">
        <f t="shared" si="116"/>
        <v>586.01957360333347</v>
      </c>
      <c r="BD74" s="449">
        <f t="shared" si="116"/>
        <v>586.01957360333347</v>
      </c>
      <c r="BE74" s="449">
        <f t="shared" si="116"/>
        <v>586.01957360333347</v>
      </c>
      <c r="BF74" s="449">
        <f t="shared" si="116"/>
        <v>586.01957360333347</v>
      </c>
      <c r="BG74" s="449">
        <f t="shared" si="116"/>
        <v>1172.0391472066669</v>
      </c>
      <c r="BH74" s="400"/>
      <c r="BI74" s="449">
        <v>0</v>
      </c>
      <c r="BJ74" s="449">
        <f>(('FY19 Staffing V1-1 (3)'!$W$179-'FY19 Staffing V1-1 (3)'!$W$175))/12</f>
        <v>586.01957360333347</v>
      </c>
      <c r="BK74" s="449">
        <f>(('FY19 Staffing V1-1 (3)'!$W$179-'FY19 Staffing V1-1 (3)'!$W$175))/12</f>
        <v>586.01957360333347</v>
      </c>
      <c r="BL74" s="449">
        <f>(('FY19 Staffing V1-1 (3)'!$W$179-'FY19 Staffing V1-1 (3)'!$W$175))/12</f>
        <v>586.01957360333347</v>
      </c>
      <c r="BM74" s="449">
        <f>(('FY19 Staffing V1-1 (3)'!$W$179-'FY19 Staffing V1-1 (3)'!$W$175))/12</f>
        <v>586.01957360333347</v>
      </c>
      <c r="BN74" s="449">
        <f>(('FY19 Staffing V1-1 (3)'!$W$179-'FY19 Staffing V1-1 (3)'!$W$175))/12</f>
        <v>586.01957360333347</v>
      </c>
      <c r="BO74" s="449">
        <f>(('FY19 Staffing V1-1 (3)'!$W$179-'FY19 Staffing V1-1 (3)'!$W$175))/12</f>
        <v>586.01957360333347</v>
      </c>
      <c r="BP74" s="449">
        <f>(('FY19 Staffing V1-1 (3)'!$W$179-'FY19 Staffing V1-1 (3)'!$W$175))/12</f>
        <v>586.01957360333347</v>
      </c>
      <c r="BQ74" s="449">
        <f>(('FY19 Staffing V1-1 (3)'!$W$179-'FY19 Staffing V1-1 (3)'!$W$175))/12</f>
        <v>586.01957360333347</v>
      </c>
      <c r="BR74" s="449">
        <f>(('FY19 Staffing V1-1 (3)'!$W$179-'FY19 Staffing V1-1 (3)'!$W$175))/12</f>
        <v>586.01957360333347</v>
      </c>
      <c r="BS74" s="449">
        <f>(('FY19 Staffing V1-1 (3)'!$W$179-'FY19 Staffing V1-1 (3)'!$W$175))/12</f>
        <v>586.01957360333347</v>
      </c>
      <c r="BT74" s="449">
        <f>(('FY19 Staffing V1-1 (3)'!$W$179-'FY19 Staffing V1-1 (3)'!$W$175))/12*2</f>
        <v>1172.0391472066669</v>
      </c>
    </row>
    <row r="75" spans="1:72" ht="15.75" hidden="1" customHeight="1" x14ac:dyDescent="0.25">
      <c r="A75" s="502" t="s">
        <v>113</v>
      </c>
      <c r="B75" s="502" t="s">
        <v>114</v>
      </c>
      <c r="C75" s="541"/>
      <c r="D75" s="500">
        <f t="shared" si="102"/>
        <v>0</v>
      </c>
      <c r="E75" s="449">
        <v>0</v>
      </c>
      <c r="F75" s="449">
        <f t="shared" si="103"/>
        <v>0</v>
      </c>
      <c r="G75" s="421">
        <f t="shared" si="104"/>
        <v>0</v>
      </c>
      <c r="H75" s="449">
        <v>0</v>
      </c>
      <c r="I75" s="449">
        <f t="shared" si="105"/>
        <v>0</v>
      </c>
      <c r="J75" s="426">
        <f t="shared" si="106"/>
        <v>0</v>
      </c>
      <c r="K75" s="421"/>
      <c r="L75" s="449">
        <v>0</v>
      </c>
      <c r="M75" s="449">
        <v>0</v>
      </c>
      <c r="N75" s="449">
        <v>0</v>
      </c>
      <c r="O75" s="449">
        <v>0</v>
      </c>
      <c r="P75" s="449">
        <v>0</v>
      </c>
      <c r="Q75" s="449">
        <v>0</v>
      </c>
      <c r="R75" s="449">
        <f>($H75-SUM($L75:Q75))/R$694</f>
        <v>0</v>
      </c>
      <c r="S75" s="449">
        <f>($H75-SUM($L75:R75))/S$694</f>
        <v>0</v>
      </c>
      <c r="T75" s="449">
        <f>($H75-SUM($L75:S75))/T$694</f>
        <v>0</v>
      </c>
      <c r="U75" s="449">
        <f>($H75-SUM($L75:T75))/U$694</f>
        <v>0</v>
      </c>
      <c r="V75" s="449">
        <f>($H75-SUM($L75:U75))/V$694</f>
        <v>0</v>
      </c>
      <c r="W75" s="449">
        <f>($H75-SUM($L75:V75))/W$694</f>
        <v>0</v>
      </c>
      <c r="X75" s="449"/>
      <c r="Y75" s="449">
        <f t="shared" si="107"/>
        <v>0</v>
      </c>
      <c r="Z75" s="531"/>
      <c r="AA75" s="449">
        <f t="shared" si="108"/>
        <v>0</v>
      </c>
      <c r="AB75" s="449">
        <f t="shared" si="108"/>
        <v>0</v>
      </c>
      <c r="AC75" s="449">
        <f t="shared" si="108"/>
        <v>0</v>
      </c>
      <c r="AD75" s="449">
        <f t="shared" si="108"/>
        <v>0</v>
      </c>
      <c r="AE75" s="449">
        <f t="shared" si="108"/>
        <v>0</v>
      </c>
      <c r="AF75" s="449">
        <f t="shared" si="108"/>
        <v>0</v>
      </c>
      <c r="AG75" s="449">
        <f t="shared" si="108"/>
        <v>0</v>
      </c>
      <c r="AH75" s="449">
        <f t="shared" si="108"/>
        <v>0</v>
      </c>
      <c r="AI75" s="449">
        <f t="shared" si="108"/>
        <v>0</v>
      </c>
      <c r="AJ75" s="449">
        <f t="shared" si="108"/>
        <v>0</v>
      </c>
      <c r="AK75" s="449">
        <f t="shared" si="108"/>
        <v>0</v>
      </c>
      <c r="AL75" s="449">
        <f t="shared" si="108"/>
        <v>0</v>
      </c>
      <c r="AN75" s="500">
        <f t="shared" si="109"/>
        <v>0</v>
      </c>
      <c r="AO75" s="449">
        <f t="shared" si="110"/>
        <v>0</v>
      </c>
      <c r="AP75" s="449">
        <f t="shared" si="111"/>
        <v>0</v>
      </c>
      <c r="AQ75" s="453" t="str">
        <f t="shared" si="112"/>
        <v>-</v>
      </c>
      <c r="AR75" s="449">
        <f t="shared" si="113"/>
        <v>0</v>
      </c>
      <c r="AS75" s="449">
        <f t="shared" si="114"/>
        <v>0</v>
      </c>
      <c r="AT75" s="426">
        <f t="shared" si="115"/>
        <v>0</v>
      </c>
      <c r="AU75" s="421"/>
      <c r="AV75" s="449">
        <f t="shared" si="116"/>
        <v>0</v>
      </c>
      <c r="AW75" s="449">
        <f t="shared" si="116"/>
        <v>0</v>
      </c>
      <c r="AX75" s="449">
        <f t="shared" si="116"/>
        <v>0</v>
      </c>
      <c r="AY75" s="449">
        <f t="shared" si="116"/>
        <v>0</v>
      </c>
      <c r="AZ75" s="449">
        <f t="shared" si="116"/>
        <v>0</v>
      </c>
      <c r="BA75" s="449">
        <f t="shared" si="116"/>
        <v>0</v>
      </c>
      <c r="BB75" s="449">
        <f t="shared" si="116"/>
        <v>0</v>
      </c>
      <c r="BC75" s="449">
        <f t="shared" si="116"/>
        <v>0</v>
      </c>
      <c r="BD75" s="449">
        <f t="shared" si="116"/>
        <v>0</v>
      </c>
      <c r="BE75" s="449">
        <f t="shared" si="116"/>
        <v>0</v>
      </c>
      <c r="BF75" s="449">
        <f t="shared" si="116"/>
        <v>0</v>
      </c>
      <c r="BG75" s="449">
        <f t="shared" si="116"/>
        <v>0</v>
      </c>
      <c r="BH75" s="400"/>
      <c r="BI75" s="449">
        <v>0</v>
      </c>
      <c r="BJ75" s="449">
        <v>0</v>
      </c>
      <c r="BK75" s="449">
        <v>0</v>
      </c>
      <c r="BL75" s="449">
        <v>0</v>
      </c>
      <c r="BM75" s="449">
        <v>0</v>
      </c>
      <c r="BN75" s="449">
        <v>0</v>
      </c>
      <c r="BO75" s="449">
        <v>0</v>
      </c>
      <c r="BP75" s="449">
        <v>0</v>
      </c>
      <c r="BQ75" s="449">
        <v>0</v>
      </c>
      <c r="BR75" s="449">
        <v>0</v>
      </c>
      <c r="BS75" s="449">
        <v>0</v>
      </c>
      <c r="BT75" s="449">
        <v>0</v>
      </c>
    </row>
    <row r="76" spans="1:72" ht="15.75" hidden="1" customHeight="1" x14ac:dyDescent="0.25">
      <c r="A76" s="502" t="s">
        <v>115</v>
      </c>
      <c r="B76" s="502" t="s">
        <v>116</v>
      </c>
      <c r="C76" s="541"/>
      <c r="D76" s="500">
        <f t="shared" si="102"/>
        <v>0</v>
      </c>
      <c r="E76" s="449">
        <v>0</v>
      </c>
      <c r="F76" s="449">
        <f t="shared" si="103"/>
        <v>0</v>
      </c>
      <c r="G76" s="421">
        <f t="shared" si="104"/>
        <v>0</v>
      </c>
      <c r="H76" s="449">
        <v>0</v>
      </c>
      <c r="I76" s="449">
        <f t="shared" si="105"/>
        <v>0</v>
      </c>
      <c r="J76" s="426">
        <f t="shared" si="106"/>
        <v>0</v>
      </c>
      <c r="K76" s="421"/>
      <c r="L76" s="449">
        <v>0</v>
      </c>
      <c r="M76" s="449">
        <v>0</v>
      </c>
      <c r="N76" s="449">
        <v>0</v>
      </c>
      <c r="O76" s="449">
        <v>0</v>
      </c>
      <c r="P76" s="449">
        <v>0</v>
      </c>
      <c r="Q76" s="449">
        <v>0</v>
      </c>
      <c r="R76" s="449">
        <f>($H76-SUM($L76:Q76))/R$694</f>
        <v>0</v>
      </c>
      <c r="S76" s="449">
        <f>($H76-SUM($L76:R76))/S$694</f>
        <v>0</v>
      </c>
      <c r="T76" s="449">
        <f>($H76-SUM($L76:S76))/T$694</f>
        <v>0</v>
      </c>
      <c r="U76" s="449">
        <f>($H76-SUM($L76:T76))/U$694</f>
        <v>0</v>
      </c>
      <c r="V76" s="449">
        <f>($H76-SUM($L76:U76))/V$694</f>
        <v>0</v>
      </c>
      <c r="W76" s="449">
        <f>($H76-SUM($L76:V76))/W$694</f>
        <v>0</v>
      </c>
      <c r="X76" s="449"/>
      <c r="Y76" s="449">
        <f t="shared" si="107"/>
        <v>0</v>
      </c>
      <c r="Z76" s="531"/>
      <c r="AA76" s="449">
        <f t="shared" si="108"/>
        <v>0</v>
      </c>
      <c r="AB76" s="449">
        <f t="shared" si="108"/>
        <v>0</v>
      </c>
      <c r="AC76" s="449">
        <f t="shared" si="108"/>
        <v>0</v>
      </c>
      <c r="AD76" s="449">
        <f t="shared" si="108"/>
        <v>0</v>
      </c>
      <c r="AE76" s="449">
        <f t="shared" si="108"/>
        <v>0</v>
      </c>
      <c r="AF76" s="449">
        <f t="shared" si="108"/>
        <v>0</v>
      </c>
      <c r="AG76" s="449">
        <f t="shared" si="108"/>
        <v>0</v>
      </c>
      <c r="AH76" s="449">
        <f t="shared" si="108"/>
        <v>0</v>
      </c>
      <c r="AI76" s="449">
        <f t="shared" si="108"/>
        <v>0</v>
      </c>
      <c r="AJ76" s="449">
        <f t="shared" si="108"/>
        <v>0</v>
      </c>
      <c r="AK76" s="449">
        <f t="shared" si="108"/>
        <v>0</v>
      </c>
      <c r="AL76" s="449">
        <f t="shared" si="108"/>
        <v>0</v>
      </c>
      <c r="AN76" s="500">
        <f t="shared" si="109"/>
        <v>0</v>
      </c>
      <c r="AO76" s="449">
        <f t="shared" si="110"/>
        <v>0</v>
      </c>
      <c r="AP76" s="449">
        <f t="shared" si="111"/>
        <v>0</v>
      </c>
      <c r="AQ76" s="453" t="str">
        <f t="shared" si="112"/>
        <v>-</v>
      </c>
      <c r="AR76" s="449">
        <f t="shared" si="113"/>
        <v>0</v>
      </c>
      <c r="AS76" s="449">
        <f t="shared" si="114"/>
        <v>0</v>
      </c>
      <c r="AT76" s="426">
        <f t="shared" si="115"/>
        <v>0</v>
      </c>
      <c r="AU76" s="421"/>
      <c r="AV76" s="449">
        <f t="shared" si="116"/>
        <v>0</v>
      </c>
      <c r="AW76" s="449">
        <f t="shared" si="116"/>
        <v>0</v>
      </c>
      <c r="AX76" s="449">
        <f t="shared" si="116"/>
        <v>0</v>
      </c>
      <c r="AY76" s="449">
        <f t="shared" si="116"/>
        <v>0</v>
      </c>
      <c r="AZ76" s="449">
        <f t="shared" si="116"/>
        <v>0</v>
      </c>
      <c r="BA76" s="449">
        <f t="shared" si="116"/>
        <v>0</v>
      </c>
      <c r="BB76" s="449">
        <f t="shared" si="116"/>
        <v>0</v>
      </c>
      <c r="BC76" s="449">
        <f t="shared" si="116"/>
        <v>0</v>
      </c>
      <c r="BD76" s="449">
        <f t="shared" si="116"/>
        <v>0</v>
      </c>
      <c r="BE76" s="449">
        <f t="shared" si="116"/>
        <v>0</v>
      </c>
      <c r="BF76" s="449">
        <f t="shared" si="116"/>
        <v>0</v>
      </c>
      <c r="BG76" s="449">
        <f t="shared" si="116"/>
        <v>0</v>
      </c>
      <c r="BH76" s="400"/>
      <c r="BI76" s="449">
        <v>0</v>
      </c>
      <c r="BJ76" s="449">
        <v>0</v>
      </c>
      <c r="BK76" s="449">
        <v>0</v>
      </c>
      <c r="BL76" s="449">
        <v>0</v>
      </c>
      <c r="BM76" s="449">
        <v>0</v>
      </c>
      <c r="BN76" s="449">
        <v>0</v>
      </c>
      <c r="BO76" s="449">
        <v>0</v>
      </c>
      <c r="BP76" s="449">
        <v>0</v>
      </c>
      <c r="BQ76" s="449">
        <v>0</v>
      </c>
      <c r="BR76" s="449">
        <v>0</v>
      </c>
      <c r="BS76" s="449">
        <v>0</v>
      </c>
      <c r="BT76" s="449">
        <v>0</v>
      </c>
    </row>
    <row r="77" spans="1:72" ht="15.75" hidden="1" customHeight="1" x14ac:dyDescent="0.25">
      <c r="A77" s="502" t="s">
        <v>117</v>
      </c>
      <c r="B77" s="502" t="s">
        <v>118</v>
      </c>
      <c r="C77" s="541"/>
      <c r="D77" s="500">
        <f t="shared" si="102"/>
        <v>0</v>
      </c>
      <c r="E77" s="449">
        <v>0</v>
      </c>
      <c r="F77" s="449">
        <f t="shared" si="103"/>
        <v>0</v>
      </c>
      <c r="G77" s="421">
        <f t="shared" si="104"/>
        <v>0</v>
      </c>
      <c r="H77" s="449">
        <v>0</v>
      </c>
      <c r="I77" s="449">
        <f t="shared" si="105"/>
        <v>0</v>
      </c>
      <c r="J77" s="426">
        <f t="shared" si="106"/>
        <v>0</v>
      </c>
      <c r="K77" s="421"/>
      <c r="L77" s="449">
        <v>0</v>
      </c>
      <c r="M77" s="449">
        <v>0</v>
      </c>
      <c r="N77" s="449">
        <v>0</v>
      </c>
      <c r="O77" s="449">
        <v>0</v>
      </c>
      <c r="P77" s="449">
        <v>0</v>
      </c>
      <c r="Q77" s="449">
        <v>0</v>
      </c>
      <c r="R77" s="449">
        <f>($H77-SUM($L77:Q77))/R$694</f>
        <v>0</v>
      </c>
      <c r="S77" s="449">
        <f>($H77-SUM($L77:R77))/S$694</f>
        <v>0</v>
      </c>
      <c r="T77" s="449">
        <f>($H77-SUM($L77:S77))/T$694</f>
        <v>0</v>
      </c>
      <c r="U77" s="449">
        <f>($H77-SUM($L77:T77))/U$694</f>
        <v>0</v>
      </c>
      <c r="V77" s="449">
        <f>($H77-SUM($L77:U77))/V$694</f>
        <v>0</v>
      </c>
      <c r="W77" s="449">
        <f>($H77-SUM($L77:V77))/W$694</f>
        <v>0</v>
      </c>
      <c r="X77" s="449"/>
      <c r="Y77" s="449">
        <f t="shared" si="107"/>
        <v>0</v>
      </c>
      <c r="Z77" s="531"/>
      <c r="AA77" s="449">
        <f t="shared" ref="AA77:AL88" si="118">IFERROR($H77/12,0)</f>
        <v>0</v>
      </c>
      <c r="AB77" s="449">
        <f t="shared" si="118"/>
        <v>0</v>
      </c>
      <c r="AC77" s="449">
        <f t="shared" si="118"/>
        <v>0</v>
      </c>
      <c r="AD77" s="449">
        <f t="shared" si="118"/>
        <v>0</v>
      </c>
      <c r="AE77" s="449">
        <f t="shared" si="118"/>
        <v>0</v>
      </c>
      <c r="AF77" s="449">
        <f t="shared" si="118"/>
        <v>0</v>
      </c>
      <c r="AG77" s="449">
        <f t="shared" si="118"/>
        <v>0</v>
      </c>
      <c r="AH77" s="449">
        <f t="shared" si="118"/>
        <v>0</v>
      </c>
      <c r="AI77" s="449">
        <f t="shared" si="118"/>
        <v>0</v>
      </c>
      <c r="AJ77" s="449">
        <f t="shared" si="118"/>
        <v>0</v>
      </c>
      <c r="AK77" s="449">
        <f t="shared" si="118"/>
        <v>0</v>
      </c>
      <c r="AL77" s="449">
        <f t="shared" si="118"/>
        <v>0</v>
      </c>
      <c r="AN77" s="500">
        <f t="shared" si="109"/>
        <v>0</v>
      </c>
      <c r="AO77" s="449">
        <f t="shared" si="110"/>
        <v>0</v>
      </c>
      <c r="AP77" s="449">
        <f t="shared" si="111"/>
        <v>0</v>
      </c>
      <c r="AQ77" s="453" t="str">
        <f t="shared" si="112"/>
        <v>-</v>
      </c>
      <c r="AR77" s="449">
        <f t="shared" si="113"/>
        <v>0</v>
      </c>
      <c r="AS77" s="449">
        <f t="shared" si="114"/>
        <v>0</v>
      </c>
      <c r="AT77" s="426">
        <f t="shared" si="115"/>
        <v>0</v>
      </c>
      <c r="AU77" s="421"/>
      <c r="AV77" s="449">
        <f t="shared" si="116"/>
        <v>0</v>
      </c>
      <c r="AW77" s="449">
        <f t="shared" si="116"/>
        <v>0</v>
      </c>
      <c r="AX77" s="449">
        <f t="shared" si="116"/>
        <v>0</v>
      </c>
      <c r="AY77" s="449">
        <f t="shared" si="116"/>
        <v>0</v>
      </c>
      <c r="AZ77" s="449">
        <f t="shared" si="116"/>
        <v>0</v>
      </c>
      <c r="BA77" s="449">
        <f t="shared" si="116"/>
        <v>0</v>
      </c>
      <c r="BB77" s="449">
        <f t="shared" si="116"/>
        <v>0</v>
      </c>
      <c r="BC77" s="449">
        <f t="shared" si="116"/>
        <v>0</v>
      </c>
      <c r="BD77" s="449">
        <f t="shared" si="116"/>
        <v>0</v>
      </c>
      <c r="BE77" s="449">
        <f t="shared" si="116"/>
        <v>0</v>
      </c>
      <c r="BF77" s="449">
        <f t="shared" si="116"/>
        <v>0</v>
      </c>
      <c r="BG77" s="449">
        <f t="shared" si="116"/>
        <v>0</v>
      </c>
      <c r="BH77" s="400"/>
      <c r="BI77" s="449">
        <v>0</v>
      </c>
      <c r="BJ77" s="449">
        <v>0</v>
      </c>
      <c r="BK77" s="449">
        <v>0</v>
      </c>
      <c r="BL77" s="449">
        <v>0</v>
      </c>
      <c r="BM77" s="449">
        <v>0</v>
      </c>
      <c r="BN77" s="449">
        <v>0</v>
      </c>
      <c r="BO77" s="449">
        <v>0</v>
      </c>
      <c r="BP77" s="449">
        <v>0</v>
      </c>
      <c r="BQ77" s="449">
        <v>0</v>
      </c>
      <c r="BR77" s="449">
        <v>0</v>
      </c>
      <c r="BS77" s="449">
        <v>0</v>
      </c>
      <c r="BT77" s="449">
        <v>0</v>
      </c>
    </row>
    <row r="78" spans="1:72" ht="15.75" hidden="1" customHeight="1" x14ac:dyDescent="0.25">
      <c r="A78" s="502" t="s">
        <v>119</v>
      </c>
      <c r="B78" s="502" t="s">
        <v>120</v>
      </c>
      <c r="C78" s="541"/>
      <c r="D78" s="500">
        <f t="shared" si="102"/>
        <v>0</v>
      </c>
      <c r="E78" s="449">
        <v>0</v>
      </c>
      <c r="F78" s="449">
        <f t="shared" si="103"/>
        <v>0</v>
      </c>
      <c r="G78" s="421">
        <f t="shared" si="104"/>
        <v>0</v>
      </c>
      <c r="H78" s="449">
        <v>0</v>
      </c>
      <c r="I78" s="449">
        <f t="shared" si="105"/>
        <v>0</v>
      </c>
      <c r="J78" s="426">
        <f t="shared" si="106"/>
        <v>0</v>
      </c>
      <c r="K78" s="421"/>
      <c r="L78" s="449">
        <v>0</v>
      </c>
      <c r="M78" s="449">
        <v>0</v>
      </c>
      <c r="N78" s="449">
        <v>0</v>
      </c>
      <c r="O78" s="449">
        <v>0</v>
      </c>
      <c r="P78" s="449">
        <v>0</v>
      </c>
      <c r="Q78" s="449">
        <v>0</v>
      </c>
      <c r="R78" s="449">
        <f>($H78-SUM($L78:Q78))/R$694</f>
        <v>0</v>
      </c>
      <c r="S78" s="449">
        <f>($H78-SUM($L78:R78))/S$694</f>
        <v>0</v>
      </c>
      <c r="T78" s="449">
        <f>($H78-SUM($L78:S78))/T$694</f>
        <v>0</v>
      </c>
      <c r="U78" s="449">
        <f>($H78-SUM($L78:T78))/U$694</f>
        <v>0</v>
      </c>
      <c r="V78" s="449">
        <f>($H78-SUM($L78:U78))/V$694</f>
        <v>0</v>
      </c>
      <c r="W78" s="449">
        <f>($H78-SUM($L78:V78))/W$694</f>
        <v>0</v>
      </c>
      <c r="X78" s="449"/>
      <c r="Y78" s="449">
        <f t="shared" si="107"/>
        <v>0</v>
      </c>
      <c r="Z78" s="531"/>
      <c r="AA78" s="449">
        <f t="shared" si="118"/>
        <v>0</v>
      </c>
      <c r="AB78" s="449">
        <f t="shared" si="118"/>
        <v>0</v>
      </c>
      <c r="AC78" s="449">
        <f t="shared" si="118"/>
        <v>0</v>
      </c>
      <c r="AD78" s="449">
        <f t="shared" si="118"/>
        <v>0</v>
      </c>
      <c r="AE78" s="449">
        <f t="shared" si="118"/>
        <v>0</v>
      </c>
      <c r="AF78" s="449">
        <f t="shared" si="118"/>
        <v>0</v>
      </c>
      <c r="AG78" s="449">
        <f t="shared" si="118"/>
        <v>0</v>
      </c>
      <c r="AH78" s="449">
        <f t="shared" si="118"/>
        <v>0</v>
      </c>
      <c r="AI78" s="449">
        <f t="shared" si="118"/>
        <v>0</v>
      </c>
      <c r="AJ78" s="449">
        <f t="shared" si="118"/>
        <v>0</v>
      </c>
      <c r="AK78" s="449">
        <f t="shared" si="118"/>
        <v>0</v>
      </c>
      <c r="AL78" s="449">
        <f t="shared" si="118"/>
        <v>0</v>
      </c>
      <c r="AN78" s="500">
        <f t="shared" si="109"/>
        <v>0</v>
      </c>
      <c r="AO78" s="449">
        <f t="shared" si="110"/>
        <v>0</v>
      </c>
      <c r="AP78" s="449">
        <f t="shared" si="111"/>
        <v>0</v>
      </c>
      <c r="AQ78" s="453" t="str">
        <f t="shared" si="112"/>
        <v>-</v>
      </c>
      <c r="AR78" s="449">
        <f t="shared" si="113"/>
        <v>0</v>
      </c>
      <c r="AS78" s="449">
        <f t="shared" si="114"/>
        <v>0</v>
      </c>
      <c r="AT78" s="426">
        <f t="shared" si="115"/>
        <v>0</v>
      </c>
      <c r="AU78" s="421"/>
      <c r="AV78" s="449">
        <f t="shared" si="116"/>
        <v>0</v>
      </c>
      <c r="AW78" s="449">
        <f t="shared" si="116"/>
        <v>0</v>
      </c>
      <c r="AX78" s="449">
        <f t="shared" si="116"/>
        <v>0</v>
      </c>
      <c r="AY78" s="449">
        <f t="shared" si="116"/>
        <v>0</v>
      </c>
      <c r="AZ78" s="449">
        <f t="shared" si="116"/>
        <v>0</v>
      </c>
      <c r="BA78" s="449">
        <f t="shared" si="116"/>
        <v>0</v>
      </c>
      <c r="BB78" s="449">
        <f t="shared" si="116"/>
        <v>0</v>
      </c>
      <c r="BC78" s="449">
        <f t="shared" si="116"/>
        <v>0</v>
      </c>
      <c r="BD78" s="449">
        <f t="shared" si="116"/>
        <v>0</v>
      </c>
      <c r="BE78" s="449">
        <f t="shared" si="116"/>
        <v>0</v>
      </c>
      <c r="BF78" s="449">
        <f t="shared" si="116"/>
        <v>0</v>
      </c>
      <c r="BG78" s="449">
        <f t="shared" si="116"/>
        <v>0</v>
      </c>
      <c r="BH78" s="400"/>
      <c r="BI78" s="449">
        <v>0</v>
      </c>
      <c r="BJ78" s="449">
        <v>0</v>
      </c>
      <c r="BK78" s="449">
        <v>0</v>
      </c>
      <c r="BL78" s="449">
        <v>0</v>
      </c>
      <c r="BM78" s="449">
        <v>0</v>
      </c>
      <c r="BN78" s="449">
        <v>0</v>
      </c>
      <c r="BO78" s="449">
        <v>0</v>
      </c>
      <c r="BP78" s="449">
        <v>0</v>
      </c>
      <c r="BQ78" s="449">
        <v>0</v>
      </c>
      <c r="BR78" s="449">
        <v>0</v>
      </c>
      <c r="BS78" s="449">
        <v>0</v>
      </c>
      <c r="BT78" s="449">
        <v>0</v>
      </c>
    </row>
    <row r="79" spans="1:72" ht="15" x14ac:dyDescent="0.25">
      <c r="A79" s="502" t="s">
        <v>121</v>
      </c>
      <c r="B79" s="502" t="s">
        <v>122</v>
      </c>
      <c r="C79" s="541"/>
      <c r="D79" s="500">
        <f t="shared" si="102"/>
        <v>46777</v>
      </c>
      <c r="E79" s="449">
        <v>47212</v>
      </c>
      <c r="F79" s="449">
        <f t="shared" si="103"/>
        <v>-435</v>
      </c>
      <c r="G79" s="421">
        <f t="shared" si="104"/>
        <v>-9.2137592137592136E-3</v>
      </c>
      <c r="H79" s="449">
        <v>46777</v>
      </c>
      <c r="I79" s="449">
        <f t="shared" si="105"/>
        <v>0</v>
      </c>
      <c r="J79" s="426">
        <f t="shared" si="106"/>
        <v>0</v>
      </c>
      <c r="K79" s="421"/>
      <c r="L79" s="449">
        <v>108.67</v>
      </c>
      <c r="M79" s="449">
        <v>1767.85</v>
      </c>
      <c r="N79" s="449">
        <v>1874.3600000000001</v>
      </c>
      <c r="O79" s="449">
        <v>2719.84</v>
      </c>
      <c r="P79" s="449">
        <v>1585.75</v>
      </c>
      <c r="Q79" s="449">
        <v>1963.3900000000003</v>
      </c>
      <c r="R79" s="449">
        <f>($H79-SUM($L79:Q79))/R$694</f>
        <v>6126.19</v>
      </c>
      <c r="S79" s="449">
        <f>($H79-SUM($L79:R79))/S$694</f>
        <v>6126.1900000000005</v>
      </c>
      <c r="T79" s="449">
        <f>($H79-SUM($L79:S79))/T$694</f>
        <v>6126.1900000000005</v>
      </c>
      <c r="U79" s="449">
        <f>($H79-SUM($L79:T79))/U$694</f>
        <v>6126.19</v>
      </c>
      <c r="V79" s="449">
        <f>($H79-SUM($L79:U79))/V$694</f>
        <v>6126.1899999999987</v>
      </c>
      <c r="W79" s="449">
        <f>($H79-SUM($L79:V79))/W$694</f>
        <v>6126.1900000000023</v>
      </c>
      <c r="X79" s="449"/>
      <c r="Y79" s="449">
        <f t="shared" si="107"/>
        <v>46777</v>
      </c>
      <c r="Z79" s="531"/>
      <c r="AA79" s="449">
        <f t="shared" si="118"/>
        <v>3898.0833333333335</v>
      </c>
      <c r="AB79" s="449">
        <f t="shared" si="118"/>
        <v>3898.0833333333335</v>
      </c>
      <c r="AC79" s="449">
        <f t="shared" si="118"/>
        <v>3898.0833333333335</v>
      </c>
      <c r="AD79" s="449">
        <f t="shared" si="118"/>
        <v>3898.0833333333335</v>
      </c>
      <c r="AE79" s="449">
        <f t="shared" si="118"/>
        <v>3898.0833333333335</v>
      </c>
      <c r="AF79" s="449">
        <f t="shared" si="118"/>
        <v>3898.0833333333335</v>
      </c>
      <c r="AG79" s="449">
        <f t="shared" si="118"/>
        <v>3898.0833333333335</v>
      </c>
      <c r="AH79" s="449">
        <f t="shared" si="118"/>
        <v>3898.0833333333335</v>
      </c>
      <c r="AI79" s="449">
        <f t="shared" si="118"/>
        <v>3898.0833333333335</v>
      </c>
      <c r="AJ79" s="449">
        <f t="shared" si="118"/>
        <v>3898.0833333333335</v>
      </c>
      <c r="AK79" s="449">
        <f t="shared" si="118"/>
        <v>3898.0833333333335</v>
      </c>
      <c r="AL79" s="449">
        <f t="shared" si="118"/>
        <v>3898.0833333333335</v>
      </c>
      <c r="AN79" s="500">
        <f t="shared" si="109"/>
        <v>46777</v>
      </c>
      <c r="AO79" s="449">
        <f t="shared" si="110"/>
        <v>44203.05000000001</v>
      </c>
      <c r="AP79" s="449">
        <f t="shared" si="111"/>
        <v>-2573.9499999999898</v>
      </c>
      <c r="AQ79" s="453">
        <f t="shared" si="112"/>
        <v>-5.5025974303610531E-2</v>
      </c>
      <c r="AR79" s="449">
        <f t="shared" si="113"/>
        <v>44203.05000000001</v>
      </c>
      <c r="AS79" s="449">
        <f t="shared" si="114"/>
        <v>0</v>
      </c>
      <c r="AT79" s="426">
        <f t="shared" si="115"/>
        <v>0</v>
      </c>
      <c r="AU79" s="421"/>
      <c r="AV79" s="449">
        <f t="shared" si="116"/>
        <v>0</v>
      </c>
      <c r="AW79" s="449">
        <f t="shared" si="116"/>
        <v>3683.5875000000001</v>
      </c>
      <c r="AX79" s="449">
        <f t="shared" si="116"/>
        <v>3683.5875000000001</v>
      </c>
      <c r="AY79" s="449">
        <f t="shared" si="116"/>
        <v>3683.5875000000001</v>
      </c>
      <c r="AZ79" s="449">
        <f t="shared" si="116"/>
        <v>3683.5875000000001</v>
      </c>
      <c r="BA79" s="449">
        <f t="shared" si="116"/>
        <v>3683.5875000000001</v>
      </c>
      <c r="BB79" s="449">
        <f t="shared" si="116"/>
        <v>3683.5875000000001</v>
      </c>
      <c r="BC79" s="449">
        <f t="shared" si="116"/>
        <v>3683.5875000000001</v>
      </c>
      <c r="BD79" s="449">
        <f t="shared" si="116"/>
        <v>3683.5875000000001</v>
      </c>
      <c r="BE79" s="449">
        <f t="shared" si="116"/>
        <v>3683.5875000000001</v>
      </c>
      <c r="BF79" s="449">
        <f t="shared" si="116"/>
        <v>3683.5875000000001</v>
      </c>
      <c r="BG79" s="449">
        <f t="shared" si="116"/>
        <v>7367.1750000000002</v>
      </c>
      <c r="BH79" s="400"/>
      <c r="BI79" s="449">
        <v>0</v>
      </c>
      <c r="BJ79" s="449">
        <f>SUM('FY19 Staffing V1-1 (3)'!$S$5:$S$36)/12</f>
        <v>3683.5875000000001</v>
      </c>
      <c r="BK79" s="449">
        <f>SUM('FY19 Staffing V1-1 (3)'!$S$5:$S$36)/12</f>
        <v>3683.5875000000001</v>
      </c>
      <c r="BL79" s="449">
        <f>SUM('FY19 Staffing V1-1 (3)'!$S$5:$S$36)/12</f>
        <v>3683.5875000000001</v>
      </c>
      <c r="BM79" s="449">
        <f>SUM('FY19 Staffing V1-1 (3)'!$S$5:$S$36)/12</f>
        <v>3683.5875000000001</v>
      </c>
      <c r="BN79" s="449">
        <f>SUM('FY19 Staffing V1-1 (3)'!$S$5:$S$36)/12</f>
        <v>3683.5875000000001</v>
      </c>
      <c r="BO79" s="449">
        <f>SUM('FY19 Staffing V1-1 (3)'!$S$5:$S$36)/12</f>
        <v>3683.5875000000001</v>
      </c>
      <c r="BP79" s="449">
        <f>SUM('FY19 Staffing V1-1 (3)'!$S$5:$S$36)/12</f>
        <v>3683.5875000000001</v>
      </c>
      <c r="BQ79" s="449">
        <f>SUM('FY19 Staffing V1-1 (3)'!$S$5:$S$36)/12</f>
        <v>3683.5875000000001</v>
      </c>
      <c r="BR79" s="449">
        <f>SUM('FY19 Staffing V1-1 (3)'!$S$5:$S$36)/12</f>
        <v>3683.5875000000001</v>
      </c>
      <c r="BS79" s="449">
        <f>SUM('FY19 Staffing V1-1 (3)'!$S$5:$S$36)/12</f>
        <v>3683.5875000000001</v>
      </c>
      <c r="BT79" s="449">
        <f>SUM('FY19 Staffing V1-1 (3)'!$S$5:$S$36)/12*2</f>
        <v>7367.1750000000002</v>
      </c>
    </row>
    <row r="80" spans="1:72" ht="15" x14ac:dyDescent="0.25">
      <c r="A80" s="502" t="s">
        <v>123</v>
      </c>
      <c r="B80" s="502" t="s">
        <v>124</v>
      </c>
      <c r="C80" s="541"/>
      <c r="D80" s="500">
        <f t="shared" si="102"/>
        <v>480</v>
      </c>
      <c r="E80" s="449">
        <v>480</v>
      </c>
      <c r="F80" s="449">
        <f t="shared" si="103"/>
        <v>0</v>
      </c>
      <c r="G80" s="421">
        <f t="shared" si="104"/>
        <v>0</v>
      </c>
      <c r="H80" s="449">
        <v>480</v>
      </c>
      <c r="I80" s="449">
        <f t="shared" si="105"/>
        <v>0</v>
      </c>
      <c r="J80" s="426">
        <f t="shared" si="106"/>
        <v>0</v>
      </c>
      <c r="K80" s="421"/>
      <c r="L80" s="449">
        <v>0</v>
      </c>
      <c r="M80" s="449">
        <v>13.68</v>
      </c>
      <c r="N80" s="449">
        <v>10.080000000000002</v>
      </c>
      <c r="O80" s="449">
        <v>7.1999999999999993</v>
      </c>
      <c r="P80" s="449">
        <v>3.6000000000000014</v>
      </c>
      <c r="Q80" s="449">
        <v>3.5999999999999943</v>
      </c>
      <c r="R80" s="449">
        <f>($H80-SUM($L80:Q80))/R$694</f>
        <v>73.64</v>
      </c>
      <c r="S80" s="449">
        <f>($H80-SUM($L80:R80))/S$694</f>
        <v>73.64</v>
      </c>
      <c r="T80" s="449">
        <f>($H80-SUM($L80:S80))/T$694</f>
        <v>73.64</v>
      </c>
      <c r="U80" s="449">
        <f>($H80-SUM($L80:T80))/U$694</f>
        <v>73.64</v>
      </c>
      <c r="V80" s="449">
        <f>($H80-SUM($L80:U80))/V$694</f>
        <v>73.640000000000015</v>
      </c>
      <c r="W80" s="449">
        <f>($H80-SUM($L80:V80))/W$694</f>
        <v>73.639999999999986</v>
      </c>
      <c r="X80" s="449"/>
      <c r="Y80" s="449">
        <f t="shared" si="107"/>
        <v>480</v>
      </c>
      <c r="Z80" s="531"/>
      <c r="AA80" s="449">
        <f t="shared" si="118"/>
        <v>40</v>
      </c>
      <c r="AB80" s="449">
        <f t="shared" si="118"/>
        <v>40</v>
      </c>
      <c r="AC80" s="449">
        <f t="shared" si="118"/>
        <v>40</v>
      </c>
      <c r="AD80" s="449">
        <f t="shared" si="118"/>
        <v>40</v>
      </c>
      <c r="AE80" s="449">
        <f t="shared" si="118"/>
        <v>40</v>
      </c>
      <c r="AF80" s="449">
        <f t="shared" si="118"/>
        <v>40</v>
      </c>
      <c r="AG80" s="449">
        <f t="shared" si="118"/>
        <v>40</v>
      </c>
      <c r="AH80" s="449">
        <f t="shared" si="118"/>
        <v>40</v>
      </c>
      <c r="AI80" s="449">
        <f t="shared" si="118"/>
        <v>40</v>
      </c>
      <c r="AJ80" s="449">
        <f t="shared" si="118"/>
        <v>40</v>
      </c>
      <c r="AK80" s="449">
        <f t="shared" si="118"/>
        <v>40</v>
      </c>
      <c r="AL80" s="449">
        <f t="shared" si="118"/>
        <v>40</v>
      </c>
      <c r="AN80" s="500">
        <f t="shared" si="109"/>
        <v>480</v>
      </c>
      <c r="AO80" s="449">
        <f t="shared" si="110"/>
        <v>0</v>
      </c>
      <c r="AP80" s="449">
        <f t="shared" si="111"/>
        <v>-480</v>
      </c>
      <c r="AQ80" s="453">
        <f t="shared" si="112"/>
        <v>-1</v>
      </c>
      <c r="AR80" s="449">
        <f t="shared" si="113"/>
        <v>0</v>
      </c>
      <c r="AS80" s="449">
        <f t="shared" si="114"/>
        <v>0</v>
      </c>
      <c r="AT80" s="426">
        <f t="shared" si="115"/>
        <v>0</v>
      </c>
      <c r="AU80" s="421"/>
      <c r="AV80" s="449">
        <f t="shared" si="116"/>
        <v>0</v>
      </c>
      <c r="AW80" s="449">
        <f t="shared" si="116"/>
        <v>0</v>
      </c>
      <c r="AX80" s="449">
        <f t="shared" si="116"/>
        <v>0</v>
      </c>
      <c r="AY80" s="449">
        <f t="shared" si="116"/>
        <v>0</v>
      </c>
      <c r="AZ80" s="449">
        <f t="shared" si="116"/>
        <v>0</v>
      </c>
      <c r="BA80" s="449">
        <f t="shared" si="116"/>
        <v>0</v>
      </c>
      <c r="BB80" s="449">
        <f t="shared" si="116"/>
        <v>0</v>
      </c>
      <c r="BC80" s="449">
        <f t="shared" si="116"/>
        <v>0</v>
      </c>
      <c r="BD80" s="449">
        <f t="shared" si="116"/>
        <v>0</v>
      </c>
      <c r="BE80" s="449">
        <f t="shared" si="116"/>
        <v>0</v>
      </c>
      <c r="BF80" s="449">
        <f t="shared" si="116"/>
        <v>0</v>
      </c>
      <c r="BG80" s="449">
        <f t="shared" si="116"/>
        <v>0</v>
      </c>
      <c r="BH80" s="400"/>
      <c r="BI80" s="449">
        <f>SUM('FY19 Staffing V1-1 (3)'!$S$144)/12</f>
        <v>0</v>
      </c>
      <c r="BJ80" s="449">
        <f>SUM('FY19 Staffing V1-1 (3)'!$S$144)/12</f>
        <v>0</v>
      </c>
      <c r="BK80" s="449">
        <f>SUM('FY19 Staffing V1-1 (3)'!$S$144)/12</f>
        <v>0</v>
      </c>
      <c r="BL80" s="449">
        <f>SUM('FY19 Staffing V1-1 (3)'!$S$144)/12</f>
        <v>0</v>
      </c>
      <c r="BM80" s="449">
        <f>SUM('FY19 Staffing V1-1 (3)'!$S$144)/12</f>
        <v>0</v>
      </c>
      <c r="BN80" s="449">
        <f>SUM('FY19 Staffing V1-1 (3)'!$S$144)/12</f>
        <v>0</v>
      </c>
      <c r="BO80" s="449">
        <f>SUM('FY19 Staffing V1-1 (3)'!$S$144)/12</f>
        <v>0</v>
      </c>
      <c r="BP80" s="449">
        <f>SUM('FY19 Staffing V1-1 (3)'!$S$144)/12</f>
        <v>0</v>
      </c>
      <c r="BQ80" s="449">
        <f>SUM('FY19 Staffing V1-1 (3)'!$S$144)/12</f>
        <v>0</v>
      </c>
      <c r="BR80" s="449">
        <f>SUM('FY19 Staffing V1-1 (3)'!$S$144)/12</f>
        <v>0</v>
      </c>
      <c r="BS80" s="449">
        <f>SUM('FY19 Staffing V1-1 (3)'!$S$144)/12</f>
        <v>0</v>
      </c>
      <c r="BT80" s="449">
        <f>SUM('FY19 Staffing V1-1 (3)'!$S$144)/12</f>
        <v>0</v>
      </c>
    </row>
    <row r="81" spans="1:72" ht="15" x14ac:dyDescent="0.25">
      <c r="A81" s="502" t="s">
        <v>125</v>
      </c>
      <c r="B81" s="502" t="s">
        <v>126</v>
      </c>
      <c r="C81" s="541"/>
      <c r="D81" s="500">
        <f t="shared" si="102"/>
        <v>4462</v>
      </c>
      <c r="E81" s="449">
        <v>4462</v>
      </c>
      <c r="F81" s="449">
        <f t="shared" si="103"/>
        <v>0</v>
      </c>
      <c r="G81" s="421">
        <f t="shared" si="104"/>
        <v>0</v>
      </c>
      <c r="H81" s="449">
        <v>4462</v>
      </c>
      <c r="I81" s="449">
        <f t="shared" si="105"/>
        <v>0</v>
      </c>
      <c r="J81" s="426">
        <f t="shared" si="106"/>
        <v>0</v>
      </c>
      <c r="K81" s="421"/>
      <c r="L81" s="449">
        <v>0</v>
      </c>
      <c r="M81" s="449">
        <v>63.4</v>
      </c>
      <c r="N81" s="449">
        <v>83.07</v>
      </c>
      <c r="O81" s="449">
        <v>93.669999999999987</v>
      </c>
      <c r="P81" s="449">
        <v>87.970000000000027</v>
      </c>
      <c r="Q81" s="449">
        <v>188.30999999999995</v>
      </c>
      <c r="R81" s="449">
        <f>($H81-SUM($L81:Q81))/R$694</f>
        <v>657.59666666666669</v>
      </c>
      <c r="S81" s="449">
        <f>($H81-SUM($L81:R81))/S$694</f>
        <v>657.59666666666669</v>
      </c>
      <c r="T81" s="449">
        <f>($H81-SUM($L81:S81))/T$694</f>
        <v>657.59666666666669</v>
      </c>
      <c r="U81" s="449">
        <f>($H81-SUM($L81:T81))/U$694</f>
        <v>657.59666666666669</v>
      </c>
      <c r="V81" s="449">
        <f>($H81-SUM($L81:U81))/V$694</f>
        <v>657.59666666666658</v>
      </c>
      <c r="W81" s="449">
        <f>($H81-SUM($L81:V81))/W$694</f>
        <v>657.59666666666635</v>
      </c>
      <c r="X81" s="449"/>
      <c r="Y81" s="449">
        <f t="shared" si="107"/>
        <v>4462</v>
      </c>
      <c r="Z81" s="531"/>
      <c r="AA81" s="449">
        <f t="shared" si="118"/>
        <v>371.83333333333331</v>
      </c>
      <c r="AB81" s="449">
        <f t="shared" si="118"/>
        <v>371.83333333333331</v>
      </c>
      <c r="AC81" s="449">
        <f t="shared" si="118"/>
        <v>371.83333333333331</v>
      </c>
      <c r="AD81" s="449">
        <f t="shared" si="118"/>
        <v>371.83333333333331</v>
      </c>
      <c r="AE81" s="449">
        <f t="shared" si="118"/>
        <v>371.83333333333331</v>
      </c>
      <c r="AF81" s="449">
        <f t="shared" si="118"/>
        <v>371.83333333333331</v>
      </c>
      <c r="AG81" s="449">
        <f t="shared" si="118"/>
        <v>371.83333333333331</v>
      </c>
      <c r="AH81" s="449">
        <f t="shared" si="118"/>
        <v>371.83333333333331</v>
      </c>
      <c r="AI81" s="449">
        <f t="shared" si="118"/>
        <v>371.83333333333331</v>
      </c>
      <c r="AJ81" s="449">
        <f t="shared" si="118"/>
        <v>371.83333333333331</v>
      </c>
      <c r="AK81" s="449">
        <f t="shared" si="118"/>
        <v>371.83333333333331</v>
      </c>
      <c r="AL81" s="449">
        <f t="shared" si="118"/>
        <v>371.83333333333331</v>
      </c>
      <c r="AN81" s="500">
        <f t="shared" si="109"/>
        <v>4462</v>
      </c>
      <c r="AO81" s="449">
        <f t="shared" si="110"/>
        <v>2602.8800000000006</v>
      </c>
      <c r="AP81" s="449">
        <f t="shared" si="111"/>
        <v>-1859.1199999999994</v>
      </c>
      <c r="AQ81" s="453">
        <f t="shared" si="112"/>
        <v>-0.41665620797848485</v>
      </c>
      <c r="AR81" s="449">
        <f t="shared" si="113"/>
        <v>2602.8800000000006</v>
      </c>
      <c r="AS81" s="449">
        <f t="shared" si="114"/>
        <v>0</v>
      </c>
      <c r="AT81" s="426">
        <f t="shared" si="115"/>
        <v>0</v>
      </c>
      <c r="AU81" s="421"/>
      <c r="AV81" s="449">
        <f t="shared" si="116"/>
        <v>0</v>
      </c>
      <c r="AW81" s="449">
        <f t="shared" si="116"/>
        <v>216.90666666666667</v>
      </c>
      <c r="AX81" s="449">
        <f t="shared" si="116"/>
        <v>216.90666666666667</v>
      </c>
      <c r="AY81" s="449">
        <f t="shared" si="116"/>
        <v>216.90666666666667</v>
      </c>
      <c r="AZ81" s="449">
        <f t="shared" si="116"/>
        <v>216.90666666666667</v>
      </c>
      <c r="BA81" s="449">
        <f t="shared" si="116"/>
        <v>216.90666666666667</v>
      </c>
      <c r="BB81" s="449">
        <f t="shared" si="116"/>
        <v>216.90666666666667</v>
      </c>
      <c r="BC81" s="449">
        <f t="shared" si="116"/>
        <v>216.90666666666667</v>
      </c>
      <c r="BD81" s="449">
        <f t="shared" si="116"/>
        <v>216.90666666666667</v>
      </c>
      <c r="BE81" s="449">
        <f t="shared" si="116"/>
        <v>216.90666666666667</v>
      </c>
      <c r="BF81" s="449">
        <f t="shared" si="116"/>
        <v>216.90666666666667</v>
      </c>
      <c r="BG81" s="449">
        <f t="shared" si="116"/>
        <v>433.81333333333333</v>
      </c>
      <c r="BH81" s="400"/>
      <c r="BI81" s="449">
        <v>0</v>
      </c>
      <c r="BJ81" s="449">
        <f>('FY19 Staffing V1-1 (3)'!$S$179-'FY19 Staffing V1-1 (3)'!$S$175)/12</f>
        <v>216.90666666666667</v>
      </c>
      <c r="BK81" s="449">
        <f>('FY19 Staffing V1-1 (3)'!$S$179-'FY19 Staffing V1-1 (3)'!$S$175)/12</f>
        <v>216.90666666666667</v>
      </c>
      <c r="BL81" s="449">
        <f>('FY19 Staffing V1-1 (3)'!$S$179-'FY19 Staffing V1-1 (3)'!$S$175)/12</f>
        <v>216.90666666666667</v>
      </c>
      <c r="BM81" s="449">
        <f>('FY19 Staffing V1-1 (3)'!$S$179-'FY19 Staffing V1-1 (3)'!$S$175)/12</f>
        <v>216.90666666666667</v>
      </c>
      <c r="BN81" s="449">
        <f>('FY19 Staffing V1-1 (3)'!$S$179-'FY19 Staffing V1-1 (3)'!$S$175)/12</f>
        <v>216.90666666666667</v>
      </c>
      <c r="BO81" s="449">
        <f>('FY19 Staffing V1-1 (3)'!$S$179-'FY19 Staffing V1-1 (3)'!$S$175)/12</f>
        <v>216.90666666666667</v>
      </c>
      <c r="BP81" s="449">
        <f>('FY19 Staffing V1-1 (3)'!$S$179-'FY19 Staffing V1-1 (3)'!$S$175)/12</f>
        <v>216.90666666666667</v>
      </c>
      <c r="BQ81" s="449">
        <f>('FY19 Staffing V1-1 (3)'!$S$179-'FY19 Staffing V1-1 (3)'!$S$175)/12</f>
        <v>216.90666666666667</v>
      </c>
      <c r="BR81" s="449">
        <f>('FY19 Staffing V1-1 (3)'!$S$179-'FY19 Staffing V1-1 (3)'!$S$175)/12</f>
        <v>216.90666666666667</v>
      </c>
      <c r="BS81" s="449">
        <f>('FY19 Staffing V1-1 (3)'!$S$179-'FY19 Staffing V1-1 (3)'!$S$175)/12</f>
        <v>216.90666666666667</v>
      </c>
      <c r="BT81" s="449">
        <f>('FY19 Staffing V1-1 (3)'!$S$179-'FY19 Staffing V1-1 (3)'!$S$175)/12*2</f>
        <v>433.81333333333333</v>
      </c>
    </row>
    <row r="82" spans="1:72" ht="15" x14ac:dyDescent="0.25">
      <c r="A82" s="502" t="s">
        <v>127</v>
      </c>
      <c r="B82" s="502" t="s">
        <v>128</v>
      </c>
      <c r="C82" s="596"/>
      <c r="D82" s="500">
        <f t="shared" si="102"/>
        <v>96000</v>
      </c>
      <c r="E82" s="449">
        <v>76028</v>
      </c>
      <c r="F82" s="449">
        <f t="shared" si="103"/>
        <v>19972</v>
      </c>
      <c r="G82" s="421">
        <f t="shared" si="104"/>
        <v>0.26269269216604407</v>
      </c>
      <c r="H82" s="449">
        <v>96000</v>
      </c>
      <c r="I82" s="449">
        <f t="shared" si="105"/>
        <v>0</v>
      </c>
      <c r="J82" s="426">
        <f t="shared" si="106"/>
        <v>0</v>
      </c>
      <c r="K82" s="421"/>
      <c r="L82" s="449">
        <v>72274.37</v>
      </c>
      <c r="M82" s="449">
        <v>5954.6399999999994</v>
      </c>
      <c r="N82" s="449">
        <v>2220.8000000000029</v>
      </c>
      <c r="O82" s="449">
        <v>0</v>
      </c>
      <c r="P82" s="449">
        <v>12303.690000000002</v>
      </c>
      <c r="Q82" s="449">
        <v>0</v>
      </c>
      <c r="R82" s="449">
        <f>($H82-SUM($L82:Q82))/R$694</f>
        <v>541.08333333333337</v>
      </c>
      <c r="S82" s="449">
        <f>($H82-SUM($L82:R82))/S$694</f>
        <v>541.08333333333428</v>
      </c>
      <c r="T82" s="449">
        <f>($H82-SUM($L82:S82))/T$694</f>
        <v>541.08333333333576</v>
      </c>
      <c r="U82" s="449">
        <f>($H82-SUM($L82:T82))/U$694</f>
        <v>541.08333333333337</v>
      </c>
      <c r="V82" s="449">
        <f>($H82-SUM($L82:U82))/V$694</f>
        <v>541.08333333333576</v>
      </c>
      <c r="W82" s="449">
        <f>($H82-SUM($L82:V82))/W$694</f>
        <v>541.08333333334303</v>
      </c>
      <c r="X82" s="449"/>
      <c r="Y82" s="449">
        <f t="shared" si="107"/>
        <v>96000</v>
      </c>
      <c r="Z82" s="531"/>
      <c r="AA82" s="449">
        <f t="shared" si="118"/>
        <v>8000</v>
      </c>
      <c r="AB82" s="449">
        <f t="shared" si="118"/>
        <v>8000</v>
      </c>
      <c r="AC82" s="449">
        <f t="shared" si="118"/>
        <v>8000</v>
      </c>
      <c r="AD82" s="449">
        <f t="shared" si="118"/>
        <v>8000</v>
      </c>
      <c r="AE82" s="449">
        <f t="shared" si="118"/>
        <v>8000</v>
      </c>
      <c r="AF82" s="449">
        <f t="shared" si="118"/>
        <v>8000</v>
      </c>
      <c r="AG82" s="449">
        <f t="shared" si="118"/>
        <v>8000</v>
      </c>
      <c r="AH82" s="449">
        <f t="shared" si="118"/>
        <v>8000</v>
      </c>
      <c r="AI82" s="449">
        <f t="shared" si="118"/>
        <v>8000</v>
      </c>
      <c r="AJ82" s="449">
        <f t="shared" si="118"/>
        <v>8000</v>
      </c>
      <c r="AK82" s="449">
        <f t="shared" si="118"/>
        <v>8000</v>
      </c>
      <c r="AL82" s="449">
        <f t="shared" si="118"/>
        <v>8000</v>
      </c>
      <c r="AN82" s="500">
        <f t="shared" si="109"/>
        <v>96000</v>
      </c>
      <c r="AO82" s="449">
        <f t="shared" si="110"/>
        <v>76799.999999999985</v>
      </c>
      <c r="AP82" s="449">
        <f t="shared" si="111"/>
        <v>-19200.000000000015</v>
      </c>
      <c r="AQ82" s="453">
        <f t="shared" si="112"/>
        <v>-0.20000000000000015</v>
      </c>
      <c r="AR82" s="449">
        <f t="shared" si="113"/>
        <v>76799.999999999985</v>
      </c>
      <c r="AS82" s="449">
        <f t="shared" si="114"/>
        <v>0</v>
      </c>
      <c r="AT82" s="426">
        <f t="shared" si="115"/>
        <v>0</v>
      </c>
      <c r="AU82" s="421"/>
      <c r="AV82" s="449">
        <f t="shared" si="116"/>
        <v>15360</v>
      </c>
      <c r="AW82" s="449">
        <f t="shared" si="116"/>
        <v>15360</v>
      </c>
      <c r="AX82" s="449">
        <f t="shared" si="116"/>
        <v>10240</v>
      </c>
      <c r="AY82" s="449">
        <f t="shared" ref="AY82:BG88" si="119">BL82</f>
        <v>10240</v>
      </c>
      <c r="AZ82" s="449">
        <f t="shared" si="119"/>
        <v>10240</v>
      </c>
      <c r="BA82" s="449">
        <f t="shared" si="119"/>
        <v>2194.2857142857142</v>
      </c>
      <c r="BB82" s="449">
        <f t="shared" si="119"/>
        <v>2194.2857142857142</v>
      </c>
      <c r="BC82" s="449">
        <f t="shared" si="119"/>
        <v>2194.2857142857142</v>
      </c>
      <c r="BD82" s="449">
        <f t="shared" si="119"/>
        <v>2194.2857142857142</v>
      </c>
      <c r="BE82" s="449">
        <f t="shared" si="119"/>
        <v>2194.2857142857142</v>
      </c>
      <c r="BF82" s="449">
        <f t="shared" si="119"/>
        <v>2194.2857142857142</v>
      </c>
      <c r="BG82" s="449">
        <f t="shared" si="119"/>
        <v>2194.2857142857142</v>
      </c>
      <c r="BH82" s="400"/>
      <c r="BI82" s="449">
        <f>(IFERROR(($H82*0.8),0))*BI$696</f>
        <v>15360</v>
      </c>
      <c r="BJ82" s="449">
        <f t="shared" ref="BJ82:BT82" si="120">(IFERROR(($H82*0.8),0))*BJ$696</f>
        <v>15360</v>
      </c>
      <c r="BK82" s="449">
        <f t="shared" si="120"/>
        <v>10240</v>
      </c>
      <c r="BL82" s="449">
        <f t="shared" si="120"/>
        <v>10240</v>
      </c>
      <c r="BM82" s="449">
        <f t="shared" si="120"/>
        <v>10240</v>
      </c>
      <c r="BN82" s="449">
        <f t="shared" si="120"/>
        <v>2194.2857142857142</v>
      </c>
      <c r="BO82" s="449">
        <f t="shared" si="120"/>
        <v>2194.2857142857142</v>
      </c>
      <c r="BP82" s="449">
        <f t="shared" si="120"/>
        <v>2194.2857142857142</v>
      </c>
      <c r="BQ82" s="449">
        <f t="shared" si="120"/>
        <v>2194.2857142857142</v>
      </c>
      <c r="BR82" s="449">
        <f t="shared" si="120"/>
        <v>2194.2857142857142</v>
      </c>
      <c r="BS82" s="449">
        <f t="shared" si="120"/>
        <v>2194.2857142857142</v>
      </c>
      <c r="BT82" s="449">
        <f t="shared" si="120"/>
        <v>2194.2857142857142</v>
      </c>
    </row>
    <row r="83" spans="1:72" ht="15" x14ac:dyDescent="0.25">
      <c r="A83" s="502" t="s">
        <v>129</v>
      </c>
      <c r="B83" s="502" t="s">
        <v>130</v>
      </c>
      <c r="C83" s="596"/>
      <c r="D83" s="500">
        <f t="shared" si="102"/>
        <v>2831</v>
      </c>
      <c r="E83" s="449">
        <v>2411</v>
      </c>
      <c r="F83" s="449">
        <f t="shared" si="103"/>
        <v>420</v>
      </c>
      <c r="G83" s="421">
        <f t="shared" si="104"/>
        <v>0.17420157610949813</v>
      </c>
      <c r="H83" s="449">
        <v>2831</v>
      </c>
      <c r="I83" s="449">
        <f t="shared" si="105"/>
        <v>0</v>
      </c>
      <c r="J83" s="426">
        <f t="shared" si="106"/>
        <v>0</v>
      </c>
      <c r="K83" s="421"/>
      <c r="L83" s="449">
        <v>0</v>
      </c>
      <c r="M83" s="449">
        <v>0</v>
      </c>
      <c r="N83" s="449">
        <v>0</v>
      </c>
      <c r="O83" s="449">
        <v>0</v>
      </c>
      <c r="P83" s="449">
        <v>0</v>
      </c>
      <c r="Q83" s="449">
        <v>0</v>
      </c>
      <c r="R83" s="449">
        <f>($H83-SUM($L83:Q83))/R$694</f>
        <v>471.83333333333331</v>
      </c>
      <c r="S83" s="449">
        <f>($H83-SUM($L83:R83))/S$694</f>
        <v>471.83333333333331</v>
      </c>
      <c r="T83" s="449">
        <f>($H83-SUM($L83:S83))/T$694</f>
        <v>471.83333333333337</v>
      </c>
      <c r="U83" s="449">
        <f>($H83-SUM($L83:T83))/U$694</f>
        <v>471.83333333333331</v>
      </c>
      <c r="V83" s="449">
        <f>($H83-SUM($L83:U83))/V$694</f>
        <v>471.83333333333337</v>
      </c>
      <c r="W83" s="449">
        <f>($H83-SUM($L83:V83))/W$694</f>
        <v>471.83333333333348</v>
      </c>
      <c r="X83" s="449"/>
      <c r="Y83" s="449">
        <f t="shared" si="107"/>
        <v>2831</v>
      </c>
      <c r="Z83" s="531"/>
      <c r="AA83" s="449">
        <f t="shared" si="118"/>
        <v>235.91666666666666</v>
      </c>
      <c r="AB83" s="449">
        <f t="shared" si="118"/>
        <v>235.91666666666666</v>
      </c>
      <c r="AC83" s="449">
        <f t="shared" si="118"/>
        <v>235.91666666666666</v>
      </c>
      <c r="AD83" s="449">
        <f t="shared" si="118"/>
        <v>235.91666666666666</v>
      </c>
      <c r="AE83" s="449">
        <f t="shared" si="118"/>
        <v>235.91666666666666</v>
      </c>
      <c r="AF83" s="449">
        <f t="shared" si="118"/>
        <v>235.91666666666666</v>
      </c>
      <c r="AG83" s="449">
        <f t="shared" si="118"/>
        <v>235.91666666666666</v>
      </c>
      <c r="AH83" s="449">
        <f t="shared" si="118"/>
        <v>235.91666666666666</v>
      </c>
      <c r="AI83" s="449">
        <f t="shared" si="118"/>
        <v>235.91666666666666</v>
      </c>
      <c r="AJ83" s="449">
        <f t="shared" si="118"/>
        <v>235.91666666666666</v>
      </c>
      <c r="AK83" s="449">
        <f t="shared" si="118"/>
        <v>235.91666666666666</v>
      </c>
      <c r="AL83" s="449">
        <f t="shared" si="118"/>
        <v>235.91666666666666</v>
      </c>
      <c r="AN83" s="500">
        <f t="shared" si="109"/>
        <v>2831</v>
      </c>
      <c r="AO83" s="449">
        <f t="shared" si="110"/>
        <v>0</v>
      </c>
      <c r="AP83" s="449">
        <f t="shared" si="111"/>
        <v>-2831</v>
      </c>
      <c r="AQ83" s="453">
        <f t="shared" si="112"/>
        <v>-1</v>
      </c>
      <c r="AR83" s="449">
        <f t="shared" si="113"/>
        <v>0</v>
      </c>
      <c r="AS83" s="449">
        <f t="shared" si="114"/>
        <v>0</v>
      </c>
      <c r="AT83" s="426">
        <f t="shared" si="115"/>
        <v>0</v>
      </c>
      <c r="AU83" s="421"/>
      <c r="AV83" s="449">
        <f t="shared" ref="AV83:AX88" si="121">BI83</f>
        <v>0</v>
      </c>
      <c r="AW83" s="449">
        <f t="shared" si="121"/>
        <v>0</v>
      </c>
      <c r="AX83" s="449">
        <f t="shared" si="121"/>
        <v>0</v>
      </c>
      <c r="AY83" s="449">
        <f t="shared" si="119"/>
        <v>0</v>
      </c>
      <c r="AZ83" s="449">
        <f t="shared" si="119"/>
        <v>0</v>
      </c>
      <c r="BA83" s="449">
        <f t="shared" si="119"/>
        <v>0</v>
      </c>
      <c r="BB83" s="449">
        <f t="shared" si="119"/>
        <v>0</v>
      </c>
      <c r="BC83" s="449">
        <f t="shared" si="119"/>
        <v>0</v>
      </c>
      <c r="BD83" s="449">
        <f t="shared" si="119"/>
        <v>0</v>
      </c>
      <c r="BE83" s="449">
        <f t="shared" si="119"/>
        <v>0</v>
      </c>
      <c r="BF83" s="449">
        <f t="shared" si="119"/>
        <v>0</v>
      </c>
      <c r="BG83" s="449">
        <f t="shared" si="119"/>
        <v>0</v>
      </c>
      <c r="BH83" s="400"/>
      <c r="BI83" s="449">
        <f>(IFERROR((($H83/$H$5)*BI$5),0))*BI$696*0</f>
        <v>0</v>
      </c>
      <c r="BJ83" s="449">
        <f t="shared" ref="BJ83:BT83" si="122">(IFERROR((($H83/$H$5)*BJ$5),0))*BJ$696*0</f>
        <v>0</v>
      </c>
      <c r="BK83" s="449">
        <f t="shared" si="122"/>
        <v>0</v>
      </c>
      <c r="BL83" s="449">
        <f t="shared" si="122"/>
        <v>0</v>
      </c>
      <c r="BM83" s="449">
        <f t="shared" si="122"/>
        <v>0</v>
      </c>
      <c r="BN83" s="449">
        <f t="shared" si="122"/>
        <v>0</v>
      </c>
      <c r="BO83" s="449">
        <f t="shared" si="122"/>
        <v>0</v>
      </c>
      <c r="BP83" s="449">
        <f t="shared" si="122"/>
        <v>0</v>
      </c>
      <c r="BQ83" s="449">
        <f t="shared" si="122"/>
        <v>0</v>
      </c>
      <c r="BR83" s="449">
        <f t="shared" si="122"/>
        <v>0</v>
      </c>
      <c r="BS83" s="449">
        <f t="shared" si="122"/>
        <v>0</v>
      </c>
      <c r="BT83" s="449">
        <f t="shared" si="122"/>
        <v>0</v>
      </c>
    </row>
    <row r="84" spans="1:72" ht="15" x14ac:dyDescent="0.25">
      <c r="A84" s="537" t="s">
        <v>131</v>
      </c>
      <c r="B84" s="537" t="s">
        <v>132</v>
      </c>
      <c r="C84" s="597"/>
      <c r="D84" s="500">
        <f>SUM(L84:W84)</f>
        <v>0</v>
      </c>
      <c r="E84" s="449">
        <v>0</v>
      </c>
      <c r="F84" s="449">
        <f t="shared" si="103"/>
        <v>0</v>
      </c>
      <c r="G84" s="421">
        <f t="shared" si="104"/>
        <v>0</v>
      </c>
      <c r="H84" s="449">
        <v>0</v>
      </c>
      <c r="I84" s="449">
        <f t="shared" si="105"/>
        <v>0</v>
      </c>
      <c r="J84" s="426">
        <f t="shared" si="106"/>
        <v>0</v>
      </c>
      <c r="K84" s="421"/>
      <c r="L84" s="449">
        <v>0</v>
      </c>
      <c r="M84" s="449">
        <v>0</v>
      </c>
      <c r="N84" s="449">
        <v>0</v>
      </c>
      <c r="O84" s="449">
        <v>0</v>
      </c>
      <c r="P84" s="449">
        <v>0</v>
      </c>
      <c r="Q84" s="449">
        <v>0</v>
      </c>
      <c r="R84" s="449">
        <f>($H84-SUM($L84:Q84))/R$694</f>
        <v>0</v>
      </c>
      <c r="S84" s="449">
        <f>($H84-SUM($L84:R84))/S$694</f>
        <v>0</v>
      </c>
      <c r="T84" s="449">
        <f>($H84-SUM($L84:S84))/T$694</f>
        <v>0</v>
      </c>
      <c r="U84" s="449">
        <f>($H84-SUM($L84:T84))/U$694</f>
        <v>0</v>
      </c>
      <c r="V84" s="449">
        <f>($H84-SUM($L84:U84))/V$694</f>
        <v>0</v>
      </c>
      <c r="W84" s="449">
        <f>($H84-SUM($L84:V84))/W$694</f>
        <v>0</v>
      </c>
      <c r="X84" s="449"/>
      <c r="Y84" s="449">
        <f t="shared" si="107"/>
        <v>0</v>
      </c>
      <c r="Z84" s="531"/>
      <c r="AA84" s="449">
        <f t="shared" si="118"/>
        <v>0</v>
      </c>
      <c r="AB84" s="449">
        <f t="shared" si="118"/>
        <v>0</v>
      </c>
      <c r="AC84" s="449">
        <f t="shared" si="118"/>
        <v>0</v>
      </c>
      <c r="AD84" s="449">
        <f t="shared" si="118"/>
        <v>0</v>
      </c>
      <c r="AE84" s="449">
        <f t="shared" si="118"/>
        <v>0</v>
      </c>
      <c r="AF84" s="449">
        <f t="shared" si="118"/>
        <v>0</v>
      </c>
      <c r="AG84" s="449">
        <f t="shared" si="118"/>
        <v>0</v>
      </c>
      <c r="AH84" s="449">
        <f t="shared" si="118"/>
        <v>0</v>
      </c>
      <c r="AI84" s="449">
        <f t="shared" si="118"/>
        <v>0</v>
      </c>
      <c r="AJ84" s="449">
        <f t="shared" si="118"/>
        <v>0</v>
      </c>
      <c r="AK84" s="449">
        <f t="shared" si="118"/>
        <v>0</v>
      </c>
      <c r="AL84" s="449">
        <f t="shared" si="118"/>
        <v>0</v>
      </c>
      <c r="AN84" s="500">
        <f>SUM(L84:W84)</f>
        <v>0</v>
      </c>
      <c r="AO84" s="449">
        <f>SUM(BI84:BT84)</f>
        <v>15228.915662650606</v>
      </c>
      <c r="AP84" s="449">
        <f t="shared" si="111"/>
        <v>15228.915662650606</v>
      </c>
      <c r="AQ84" s="453" t="str">
        <f t="shared" si="112"/>
        <v>-</v>
      </c>
      <c r="AR84" s="449">
        <f t="shared" si="113"/>
        <v>15228.915662650606</v>
      </c>
      <c r="AS84" s="449">
        <f t="shared" si="114"/>
        <v>0</v>
      </c>
      <c r="AT84" s="426">
        <f t="shared" si="115"/>
        <v>0</v>
      </c>
      <c r="AU84" s="421"/>
      <c r="AV84" s="449">
        <f t="shared" si="121"/>
        <v>1269.0763052208836</v>
      </c>
      <c r="AW84" s="449">
        <f t="shared" si="121"/>
        <v>1269.0763052208836</v>
      </c>
      <c r="AX84" s="449">
        <f t="shared" si="121"/>
        <v>1269.0763052208836</v>
      </c>
      <c r="AY84" s="449">
        <f t="shared" si="119"/>
        <v>1269.0763052208836</v>
      </c>
      <c r="AZ84" s="449">
        <f t="shared" si="119"/>
        <v>1269.0763052208836</v>
      </c>
      <c r="BA84" s="449">
        <f t="shared" si="119"/>
        <v>1269.0763052208836</v>
      </c>
      <c r="BB84" s="449">
        <f t="shared" si="119"/>
        <v>1269.0763052208836</v>
      </c>
      <c r="BC84" s="449">
        <f t="shared" si="119"/>
        <v>1269.0763052208836</v>
      </c>
      <c r="BD84" s="449">
        <f t="shared" si="119"/>
        <v>1269.0763052208836</v>
      </c>
      <c r="BE84" s="449">
        <f t="shared" si="119"/>
        <v>1269.0763052208836</v>
      </c>
      <c r="BF84" s="449">
        <f t="shared" si="119"/>
        <v>1269.0763052208836</v>
      </c>
      <c r="BG84" s="449">
        <f t="shared" si="119"/>
        <v>1269.0763052208836</v>
      </c>
      <c r="BH84" s="400"/>
      <c r="BI84" s="449">
        <f>$AO$47/12*(790/BI$5)</f>
        <v>1269.0763052208836</v>
      </c>
      <c r="BJ84" s="449">
        <f t="shared" ref="BJ84:BT84" si="123">$AO$47/12*(790/BJ$5)</f>
        <v>1269.0763052208836</v>
      </c>
      <c r="BK84" s="449">
        <f t="shared" si="123"/>
        <v>1269.0763052208836</v>
      </c>
      <c r="BL84" s="449">
        <f t="shared" si="123"/>
        <v>1269.0763052208836</v>
      </c>
      <c r="BM84" s="449">
        <f t="shared" si="123"/>
        <v>1269.0763052208836</v>
      </c>
      <c r="BN84" s="449">
        <f t="shared" si="123"/>
        <v>1269.0763052208836</v>
      </c>
      <c r="BO84" s="449">
        <f t="shared" si="123"/>
        <v>1269.0763052208836</v>
      </c>
      <c r="BP84" s="449">
        <f t="shared" si="123"/>
        <v>1269.0763052208836</v>
      </c>
      <c r="BQ84" s="449">
        <f t="shared" si="123"/>
        <v>1269.0763052208836</v>
      </c>
      <c r="BR84" s="449">
        <f t="shared" si="123"/>
        <v>1269.0763052208836</v>
      </c>
      <c r="BS84" s="449">
        <f t="shared" si="123"/>
        <v>1269.0763052208836</v>
      </c>
      <c r="BT84" s="449">
        <f t="shared" si="123"/>
        <v>1269.0763052208836</v>
      </c>
    </row>
    <row r="85" spans="1:72" ht="15" x14ac:dyDescent="0.25">
      <c r="A85" s="502" t="s">
        <v>133</v>
      </c>
      <c r="B85" s="502" t="s">
        <v>134</v>
      </c>
      <c r="C85" s="596"/>
      <c r="D85" s="500">
        <f t="shared" si="102"/>
        <v>20000</v>
      </c>
      <c r="E85" s="449">
        <v>0</v>
      </c>
      <c r="F85" s="449">
        <f t="shared" si="103"/>
        <v>20000</v>
      </c>
      <c r="G85" s="421">
        <f t="shared" si="104"/>
        <v>0</v>
      </c>
      <c r="H85" s="449">
        <v>20000</v>
      </c>
      <c r="I85" s="449">
        <f t="shared" si="105"/>
        <v>0</v>
      </c>
      <c r="J85" s="426">
        <f t="shared" si="106"/>
        <v>0</v>
      </c>
      <c r="K85" s="421"/>
      <c r="L85" s="449">
        <v>0</v>
      </c>
      <c r="M85" s="449">
        <v>0</v>
      </c>
      <c r="N85" s="449">
        <v>0</v>
      </c>
      <c r="O85" s="449">
        <v>0</v>
      </c>
      <c r="P85" s="449">
        <v>0</v>
      </c>
      <c r="Q85" s="449">
        <v>0</v>
      </c>
      <c r="R85" s="449">
        <f>($H85-SUM($L85:Q85))/R$694</f>
        <v>3333.3333333333335</v>
      </c>
      <c r="S85" s="449">
        <f>($H85-SUM($L85:R85))/S$694</f>
        <v>3333.3333333333335</v>
      </c>
      <c r="T85" s="449">
        <f>($H85-SUM($L85:S85))/T$694</f>
        <v>3333.333333333333</v>
      </c>
      <c r="U85" s="449">
        <f>($H85-SUM($L85:T85))/U$694</f>
        <v>3333.3333333333335</v>
      </c>
      <c r="V85" s="449">
        <f>($H85-SUM($L85:U85))/V$694</f>
        <v>3333.333333333333</v>
      </c>
      <c r="W85" s="449">
        <f>($H85-SUM($L85:V85))/W$694</f>
        <v>3333.3333333333321</v>
      </c>
      <c r="X85" s="449"/>
      <c r="Y85" s="449">
        <f t="shared" si="107"/>
        <v>20000</v>
      </c>
      <c r="Z85" s="531"/>
      <c r="AA85" s="449">
        <f t="shared" si="118"/>
        <v>1666.6666666666667</v>
      </c>
      <c r="AB85" s="449">
        <f t="shared" si="118"/>
        <v>1666.6666666666667</v>
      </c>
      <c r="AC85" s="449">
        <f t="shared" si="118"/>
        <v>1666.6666666666667</v>
      </c>
      <c r="AD85" s="449">
        <f t="shared" si="118"/>
        <v>1666.6666666666667</v>
      </c>
      <c r="AE85" s="449">
        <f t="shared" si="118"/>
        <v>1666.6666666666667</v>
      </c>
      <c r="AF85" s="449">
        <f t="shared" si="118"/>
        <v>1666.6666666666667</v>
      </c>
      <c r="AG85" s="449">
        <f t="shared" si="118"/>
        <v>1666.6666666666667</v>
      </c>
      <c r="AH85" s="449">
        <f t="shared" si="118"/>
        <v>1666.6666666666667</v>
      </c>
      <c r="AI85" s="449">
        <f t="shared" si="118"/>
        <v>1666.6666666666667</v>
      </c>
      <c r="AJ85" s="449">
        <f t="shared" si="118"/>
        <v>1666.6666666666667</v>
      </c>
      <c r="AK85" s="449">
        <f t="shared" si="118"/>
        <v>1666.6666666666667</v>
      </c>
      <c r="AL85" s="449">
        <f t="shared" si="118"/>
        <v>1666.6666666666667</v>
      </c>
      <c r="AN85" s="500">
        <f t="shared" si="109"/>
        <v>20000</v>
      </c>
      <c r="AO85" s="449">
        <f t="shared" si="110"/>
        <v>16000</v>
      </c>
      <c r="AP85" s="449">
        <f t="shared" si="111"/>
        <v>-4000</v>
      </c>
      <c r="AQ85" s="453">
        <f t="shared" si="112"/>
        <v>-0.2</v>
      </c>
      <c r="AR85" s="449">
        <f t="shared" si="113"/>
        <v>16000</v>
      </c>
      <c r="AS85" s="449">
        <f t="shared" si="114"/>
        <v>0</v>
      </c>
      <c r="AT85" s="426">
        <f t="shared" si="115"/>
        <v>0</v>
      </c>
      <c r="AU85" s="421"/>
      <c r="AV85" s="449">
        <f t="shared" si="121"/>
        <v>3200</v>
      </c>
      <c r="AW85" s="449">
        <f t="shared" si="121"/>
        <v>3200</v>
      </c>
      <c r="AX85" s="449">
        <f t="shared" si="121"/>
        <v>2133.3333333333335</v>
      </c>
      <c r="AY85" s="449">
        <f t="shared" si="119"/>
        <v>2133.3333333333335</v>
      </c>
      <c r="AZ85" s="449">
        <f t="shared" si="119"/>
        <v>2133.3333333333335</v>
      </c>
      <c r="BA85" s="449">
        <f t="shared" si="119"/>
        <v>457.14285714285711</v>
      </c>
      <c r="BB85" s="449">
        <f t="shared" si="119"/>
        <v>457.14285714285711</v>
      </c>
      <c r="BC85" s="449">
        <f t="shared" si="119"/>
        <v>457.14285714285711</v>
      </c>
      <c r="BD85" s="449">
        <f t="shared" si="119"/>
        <v>457.14285714285711</v>
      </c>
      <c r="BE85" s="449">
        <f t="shared" si="119"/>
        <v>457.14285714285711</v>
      </c>
      <c r="BF85" s="449">
        <f t="shared" si="119"/>
        <v>457.14285714285711</v>
      </c>
      <c r="BG85" s="449">
        <f t="shared" si="119"/>
        <v>457.14285714285711</v>
      </c>
      <c r="BH85" s="400"/>
      <c r="BI85" s="449">
        <f>(IFERROR(($H85*0.8),0))*BI$696</f>
        <v>3200</v>
      </c>
      <c r="BJ85" s="449">
        <f t="shared" ref="BJ85:BT85" si="124">(IFERROR(($H85*0.8),0))*BJ$696</f>
        <v>3200</v>
      </c>
      <c r="BK85" s="449">
        <f t="shared" si="124"/>
        <v>2133.3333333333335</v>
      </c>
      <c r="BL85" s="449">
        <f t="shared" si="124"/>
        <v>2133.3333333333335</v>
      </c>
      <c r="BM85" s="449">
        <f t="shared" si="124"/>
        <v>2133.3333333333335</v>
      </c>
      <c r="BN85" s="449">
        <f t="shared" si="124"/>
        <v>457.14285714285711</v>
      </c>
      <c r="BO85" s="449">
        <f t="shared" si="124"/>
        <v>457.14285714285711</v>
      </c>
      <c r="BP85" s="449">
        <f t="shared" si="124"/>
        <v>457.14285714285711</v>
      </c>
      <c r="BQ85" s="449">
        <f t="shared" si="124"/>
        <v>457.14285714285711</v>
      </c>
      <c r="BR85" s="449">
        <f t="shared" si="124"/>
        <v>457.14285714285711</v>
      </c>
      <c r="BS85" s="449">
        <f t="shared" si="124"/>
        <v>457.14285714285711</v>
      </c>
      <c r="BT85" s="449">
        <f t="shared" si="124"/>
        <v>457.14285714285711</v>
      </c>
    </row>
    <row r="86" spans="1:72" ht="15" x14ac:dyDescent="0.25">
      <c r="A86" s="502" t="s">
        <v>135</v>
      </c>
      <c r="B86" s="502" t="s">
        <v>136</v>
      </c>
      <c r="C86" s="597"/>
      <c r="D86" s="500">
        <f t="shared" si="102"/>
        <v>2860</v>
      </c>
      <c r="E86" s="449">
        <v>12860</v>
      </c>
      <c r="F86" s="449">
        <f t="shared" si="103"/>
        <v>-10000</v>
      </c>
      <c r="G86" s="421">
        <f t="shared" si="104"/>
        <v>-0.77760497667185069</v>
      </c>
      <c r="H86" s="449">
        <v>2860</v>
      </c>
      <c r="I86" s="449">
        <f t="shared" si="105"/>
        <v>0</v>
      </c>
      <c r="J86" s="426">
        <f t="shared" si="106"/>
        <v>0</v>
      </c>
      <c r="K86" s="421"/>
      <c r="L86" s="449">
        <v>0</v>
      </c>
      <c r="M86" s="449">
        <v>0</v>
      </c>
      <c r="N86" s="449">
        <v>0</v>
      </c>
      <c r="O86" s="449">
        <v>0</v>
      </c>
      <c r="P86" s="449">
        <v>0</v>
      </c>
      <c r="Q86" s="449">
        <v>0</v>
      </c>
      <c r="R86" s="449">
        <f>($H86-SUM($L86:Q86))/R$694</f>
        <v>476.66666666666669</v>
      </c>
      <c r="S86" s="449">
        <f>($H86-SUM($L86:R86))/S$694</f>
        <v>476.66666666666669</v>
      </c>
      <c r="T86" s="449">
        <f>($H86-SUM($L86:S86))/T$694</f>
        <v>476.66666666666663</v>
      </c>
      <c r="U86" s="449">
        <f>($H86-SUM($L86:T86))/U$694</f>
        <v>476.66666666666669</v>
      </c>
      <c r="V86" s="449">
        <f>($H86-SUM($L86:U86))/V$694</f>
        <v>476.66666666666663</v>
      </c>
      <c r="W86" s="449">
        <f>($H86-SUM($L86:V86))/W$694</f>
        <v>476.66666666666652</v>
      </c>
      <c r="X86" s="449"/>
      <c r="Y86" s="449">
        <f t="shared" si="107"/>
        <v>2860</v>
      </c>
      <c r="Z86" s="531"/>
      <c r="AA86" s="449">
        <f t="shared" si="118"/>
        <v>238.33333333333334</v>
      </c>
      <c r="AB86" s="449">
        <f t="shared" si="118"/>
        <v>238.33333333333334</v>
      </c>
      <c r="AC86" s="449">
        <f t="shared" si="118"/>
        <v>238.33333333333334</v>
      </c>
      <c r="AD86" s="449">
        <f t="shared" si="118"/>
        <v>238.33333333333334</v>
      </c>
      <c r="AE86" s="449">
        <f t="shared" si="118"/>
        <v>238.33333333333334</v>
      </c>
      <c r="AF86" s="449">
        <f t="shared" si="118"/>
        <v>238.33333333333334</v>
      </c>
      <c r="AG86" s="449">
        <f t="shared" si="118"/>
        <v>238.33333333333334</v>
      </c>
      <c r="AH86" s="449">
        <f t="shared" si="118"/>
        <v>238.33333333333334</v>
      </c>
      <c r="AI86" s="449">
        <f t="shared" si="118"/>
        <v>238.33333333333334</v>
      </c>
      <c r="AJ86" s="449">
        <f t="shared" si="118"/>
        <v>238.33333333333334</v>
      </c>
      <c r="AK86" s="449">
        <f t="shared" si="118"/>
        <v>238.33333333333334</v>
      </c>
      <c r="AL86" s="449">
        <f t="shared" si="118"/>
        <v>238.33333333333334</v>
      </c>
      <c r="AN86" s="500">
        <f t="shared" si="109"/>
        <v>2860</v>
      </c>
      <c r="AO86" s="449">
        <f t="shared" si="110"/>
        <v>0</v>
      </c>
      <c r="AP86" s="449">
        <f t="shared" si="111"/>
        <v>-2860</v>
      </c>
      <c r="AQ86" s="453">
        <f t="shared" si="112"/>
        <v>-1</v>
      </c>
      <c r="AR86" s="449">
        <f t="shared" si="113"/>
        <v>0</v>
      </c>
      <c r="AS86" s="449">
        <f t="shared" si="114"/>
        <v>0</v>
      </c>
      <c r="AT86" s="426">
        <f t="shared" si="115"/>
        <v>0</v>
      </c>
      <c r="AU86" s="421"/>
      <c r="AV86" s="449">
        <f t="shared" si="121"/>
        <v>0</v>
      </c>
      <c r="AW86" s="449">
        <f t="shared" si="121"/>
        <v>0</v>
      </c>
      <c r="AX86" s="449">
        <f t="shared" si="121"/>
        <v>0</v>
      </c>
      <c r="AY86" s="449">
        <f t="shared" si="119"/>
        <v>0</v>
      </c>
      <c r="AZ86" s="449">
        <f t="shared" si="119"/>
        <v>0</v>
      </c>
      <c r="BA86" s="449">
        <f t="shared" si="119"/>
        <v>0</v>
      </c>
      <c r="BB86" s="449">
        <f t="shared" si="119"/>
        <v>0</v>
      </c>
      <c r="BC86" s="449">
        <f t="shared" si="119"/>
        <v>0</v>
      </c>
      <c r="BD86" s="449">
        <f t="shared" si="119"/>
        <v>0</v>
      </c>
      <c r="BE86" s="449">
        <f t="shared" si="119"/>
        <v>0</v>
      </c>
      <c r="BF86" s="449">
        <f t="shared" si="119"/>
        <v>0</v>
      </c>
      <c r="BG86" s="449">
        <f t="shared" si="119"/>
        <v>0</v>
      </c>
      <c r="BH86" s="400"/>
      <c r="BI86" s="449">
        <f>IFERROR((($H86/$H$5)*BI$5)/12,0)*0</f>
        <v>0</v>
      </c>
      <c r="BJ86" s="449">
        <f t="shared" ref="BJ86:BT86" si="125">IFERROR((($H86/$H$5)*BJ$5)/12,0)*0</f>
        <v>0</v>
      </c>
      <c r="BK86" s="449">
        <f t="shared" si="125"/>
        <v>0</v>
      </c>
      <c r="BL86" s="449">
        <f t="shared" si="125"/>
        <v>0</v>
      </c>
      <c r="BM86" s="449">
        <f t="shared" si="125"/>
        <v>0</v>
      </c>
      <c r="BN86" s="449">
        <f t="shared" si="125"/>
        <v>0</v>
      </c>
      <c r="BO86" s="449">
        <f t="shared" si="125"/>
        <v>0</v>
      </c>
      <c r="BP86" s="449">
        <f t="shared" si="125"/>
        <v>0</v>
      </c>
      <c r="BQ86" s="449">
        <f t="shared" si="125"/>
        <v>0</v>
      </c>
      <c r="BR86" s="449">
        <f t="shared" si="125"/>
        <v>0</v>
      </c>
      <c r="BS86" s="449">
        <f t="shared" si="125"/>
        <v>0</v>
      </c>
      <c r="BT86" s="449">
        <f t="shared" si="125"/>
        <v>0</v>
      </c>
    </row>
    <row r="87" spans="1:72" ht="15" x14ac:dyDescent="0.25">
      <c r="A87" s="502" t="s">
        <v>137</v>
      </c>
      <c r="B87" s="502" t="s">
        <v>138</v>
      </c>
      <c r="C87" s="597"/>
      <c r="D87" s="500">
        <f t="shared" si="102"/>
        <v>0</v>
      </c>
      <c r="E87" s="449">
        <v>0</v>
      </c>
      <c r="F87" s="449">
        <f t="shared" si="103"/>
        <v>0</v>
      </c>
      <c r="G87" s="421">
        <f t="shared" si="104"/>
        <v>0</v>
      </c>
      <c r="H87" s="449">
        <v>0</v>
      </c>
      <c r="I87" s="449">
        <f t="shared" si="105"/>
        <v>0</v>
      </c>
      <c r="J87" s="426">
        <f t="shared" si="106"/>
        <v>0</v>
      </c>
      <c r="K87" s="421"/>
      <c r="L87" s="449">
        <v>0</v>
      </c>
      <c r="M87" s="449">
        <v>0</v>
      </c>
      <c r="N87" s="449">
        <v>0</v>
      </c>
      <c r="O87" s="449">
        <v>0</v>
      </c>
      <c r="P87" s="449">
        <v>0</v>
      </c>
      <c r="Q87" s="449">
        <v>0</v>
      </c>
      <c r="R87" s="449">
        <f>($H87-SUM($L87:Q87))/R$694</f>
        <v>0</v>
      </c>
      <c r="S87" s="449">
        <f>($H87-SUM($L87:R87))/S$694</f>
        <v>0</v>
      </c>
      <c r="T87" s="449">
        <f>($H87-SUM($L87:S87))/T$694</f>
        <v>0</v>
      </c>
      <c r="U87" s="449">
        <f>($H87-SUM($L87:T87))/U$694</f>
        <v>0</v>
      </c>
      <c r="V87" s="449">
        <f>($H87-SUM($L87:U87))/V$694</f>
        <v>0</v>
      </c>
      <c r="W87" s="449">
        <f>($H87-SUM($L87:V87))/W$694</f>
        <v>0</v>
      </c>
      <c r="X87" s="449"/>
      <c r="Y87" s="449">
        <f t="shared" si="107"/>
        <v>0</v>
      </c>
      <c r="Z87" s="531"/>
      <c r="AA87" s="449">
        <f t="shared" si="118"/>
        <v>0</v>
      </c>
      <c r="AB87" s="449">
        <f t="shared" si="118"/>
        <v>0</v>
      </c>
      <c r="AC87" s="449">
        <f t="shared" si="118"/>
        <v>0</v>
      </c>
      <c r="AD87" s="449">
        <f t="shared" si="118"/>
        <v>0</v>
      </c>
      <c r="AE87" s="449">
        <f t="shared" si="118"/>
        <v>0</v>
      </c>
      <c r="AF87" s="449">
        <f t="shared" si="118"/>
        <v>0</v>
      </c>
      <c r="AG87" s="449">
        <f t="shared" si="118"/>
        <v>0</v>
      </c>
      <c r="AH87" s="449">
        <f t="shared" si="118"/>
        <v>0</v>
      </c>
      <c r="AI87" s="449">
        <f t="shared" si="118"/>
        <v>0</v>
      </c>
      <c r="AJ87" s="449">
        <f t="shared" si="118"/>
        <v>0</v>
      </c>
      <c r="AK87" s="449">
        <f t="shared" si="118"/>
        <v>0</v>
      </c>
      <c r="AL87" s="449">
        <f t="shared" si="118"/>
        <v>0</v>
      </c>
      <c r="AN87" s="500">
        <f t="shared" si="109"/>
        <v>0</v>
      </c>
      <c r="AO87" s="449">
        <f t="shared" si="110"/>
        <v>0</v>
      </c>
      <c r="AP87" s="449">
        <f t="shared" si="111"/>
        <v>0</v>
      </c>
      <c r="AQ87" s="453" t="str">
        <f t="shared" si="112"/>
        <v>-</v>
      </c>
      <c r="AR87" s="449">
        <f t="shared" si="113"/>
        <v>0</v>
      </c>
      <c r="AS87" s="449">
        <f t="shared" si="114"/>
        <v>0</v>
      </c>
      <c r="AT87" s="426">
        <f t="shared" si="115"/>
        <v>0</v>
      </c>
      <c r="AU87" s="421"/>
      <c r="AV87" s="449">
        <f t="shared" si="121"/>
        <v>0</v>
      </c>
      <c r="AW87" s="449">
        <f t="shared" si="121"/>
        <v>0</v>
      </c>
      <c r="AX87" s="449">
        <f t="shared" si="121"/>
        <v>0</v>
      </c>
      <c r="AY87" s="449">
        <f t="shared" si="119"/>
        <v>0</v>
      </c>
      <c r="AZ87" s="449">
        <f t="shared" si="119"/>
        <v>0</v>
      </c>
      <c r="BA87" s="449">
        <f t="shared" si="119"/>
        <v>0</v>
      </c>
      <c r="BB87" s="449">
        <f t="shared" si="119"/>
        <v>0</v>
      </c>
      <c r="BC87" s="449">
        <f t="shared" si="119"/>
        <v>0</v>
      </c>
      <c r="BD87" s="449">
        <f t="shared" si="119"/>
        <v>0</v>
      </c>
      <c r="BE87" s="449">
        <f t="shared" si="119"/>
        <v>0</v>
      </c>
      <c r="BF87" s="449">
        <f t="shared" si="119"/>
        <v>0</v>
      </c>
      <c r="BG87" s="449">
        <f t="shared" si="119"/>
        <v>0</v>
      </c>
      <c r="BH87" s="400"/>
      <c r="BI87" s="449">
        <f t="shared" ref="BI87:BT87" si="126">IFERROR((($H87/$H$5)*BI$5)/12,0)</f>
        <v>0</v>
      </c>
      <c r="BJ87" s="449">
        <f t="shared" si="126"/>
        <v>0</v>
      </c>
      <c r="BK87" s="449">
        <f t="shared" si="126"/>
        <v>0</v>
      </c>
      <c r="BL87" s="449">
        <f t="shared" si="126"/>
        <v>0</v>
      </c>
      <c r="BM87" s="449">
        <f t="shared" si="126"/>
        <v>0</v>
      </c>
      <c r="BN87" s="449">
        <f t="shared" si="126"/>
        <v>0</v>
      </c>
      <c r="BO87" s="449">
        <f t="shared" si="126"/>
        <v>0</v>
      </c>
      <c r="BP87" s="449">
        <f t="shared" si="126"/>
        <v>0</v>
      </c>
      <c r="BQ87" s="449">
        <f t="shared" si="126"/>
        <v>0</v>
      </c>
      <c r="BR87" s="449">
        <f t="shared" si="126"/>
        <v>0</v>
      </c>
      <c r="BS87" s="449">
        <f t="shared" si="126"/>
        <v>0</v>
      </c>
      <c r="BT87" s="449">
        <f t="shared" si="126"/>
        <v>0</v>
      </c>
    </row>
    <row r="88" spans="1:72" ht="14.25" customHeight="1" x14ac:dyDescent="0.25">
      <c r="A88" s="502" t="s">
        <v>139</v>
      </c>
      <c r="B88" s="502" t="s">
        <v>140</v>
      </c>
      <c r="C88" s="596"/>
      <c r="D88" s="500">
        <f t="shared" si="102"/>
        <v>38006.120000000003</v>
      </c>
      <c r="E88" s="449">
        <v>0</v>
      </c>
      <c r="F88" s="449">
        <f t="shared" si="103"/>
        <v>38006.120000000003</v>
      </c>
      <c r="G88" s="421">
        <f t="shared" si="104"/>
        <v>0</v>
      </c>
      <c r="H88" s="449">
        <v>0</v>
      </c>
      <c r="I88" s="449">
        <f t="shared" si="105"/>
        <v>38006.120000000003</v>
      </c>
      <c r="J88" s="426">
        <f t="shared" si="106"/>
        <v>0</v>
      </c>
      <c r="K88" s="421"/>
      <c r="L88" s="449">
        <v>0</v>
      </c>
      <c r="M88" s="449">
        <v>38006.120000000003</v>
      </c>
      <c r="N88" s="449">
        <v>0</v>
      </c>
      <c r="O88" s="449">
        <v>0</v>
      </c>
      <c r="P88" s="449">
        <v>0</v>
      </c>
      <c r="Q88" s="449">
        <v>0</v>
      </c>
      <c r="R88" s="449">
        <v>0</v>
      </c>
      <c r="S88" s="449">
        <v>0</v>
      </c>
      <c r="T88" s="449">
        <v>0</v>
      </c>
      <c r="U88" s="449">
        <v>0</v>
      </c>
      <c r="V88" s="449">
        <v>0</v>
      </c>
      <c r="W88" s="449">
        <v>0</v>
      </c>
      <c r="X88" s="449"/>
      <c r="Y88" s="449">
        <f t="shared" si="107"/>
        <v>38006.120000000003</v>
      </c>
      <c r="Z88" s="531"/>
      <c r="AA88" s="449">
        <f t="shared" si="118"/>
        <v>0</v>
      </c>
      <c r="AB88" s="449">
        <f t="shared" si="118"/>
        <v>0</v>
      </c>
      <c r="AC88" s="449">
        <f t="shared" si="118"/>
        <v>0</v>
      </c>
      <c r="AD88" s="449">
        <f t="shared" si="118"/>
        <v>0</v>
      </c>
      <c r="AE88" s="449">
        <f t="shared" si="118"/>
        <v>0</v>
      </c>
      <c r="AF88" s="449">
        <f t="shared" si="118"/>
        <v>0</v>
      </c>
      <c r="AG88" s="449">
        <f t="shared" si="118"/>
        <v>0</v>
      </c>
      <c r="AH88" s="449">
        <f t="shared" si="118"/>
        <v>0</v>
      </c>
      <c r="AI88" s="449">
        <f t="shared" si="118"/>
        <v>0</v>
      </c>
      <c r="AJ88" s="449">
        <f t="shared" si="118"/>
        <v>0</v>
      </c>
      <c r="AK88" s="449">
        <f t="shared" si="118"/>
        <v>0</v>
      </c>
      <c r="AL88" s="449">
        <f t="shared" si="118"/>
        <v>0</v>
      </c>
      <c r="AN88" s="500">
        <f t="shared" si="109"/>
        <v>38006.120000000003</v>
      </c>
      <c r="AO88" s="449">
        <f t="shared" si="110"/>
        <v>0</v>
      </c>
      <c r="AP88" s="449">
        <f t="shared" si="111"/>
        <v>-38006.120000000003</v>
      </c>
      <c r="AQ88" s="453">
        <f t="shared" si="112"/>
        <v>-1</v>
      </c>
      <c r="AR88" s="449">
        <f t="shared" si="113"/>
        <v>0</v>
      </c>
      <c r="AS88" s="449">
        <f t="shared" si="114"/>
        <v>0</v>
      </c>
      <c r="AT88" s="426">
        <f t="shared" si="115"/>
        <v>0</v>
      </c>
      <c r="AU88" s="421"/>
      <c r="AV88" s="449">
        <f t="shared" si="121"/>
        <v>0</v>
      </c>
      <c r="AW88" s="449">
        <f t="shared" si="121"/>
        <v>0</v>
      </c>
      <c r="AX88" s="449">
        <f t="shared" si="121"/>
        <v>0</v>
      </c>
      <c r="AY88" s="449">
        <f t="shared" si="119"/>
        <v>0</v>
      </c>
      <c r="AZ88" s="449">
        <f t="shared" si="119"/>
        <v>0</v>
      </c>
      <c r="BA88" s="449">
        <f t="shared" si="119"/>
        <v>0</v>
      </c>
      <c r="BB88" s="449">
        <f t="shared" si="119"/>
        <v>0</v>
      </c>
      <c r="BC88" s="449">
        <f t="shared" si="119"/>
        <v>0</v>
      </c>
      <c r="BD88" s="449">
        <f t="shared" si="119"/>
        <v>0</v>
      </c>
      <c r="BE88" s="449">
        <f t="shared" si="119"/>
        <v>0</v>
      </c>
      <c r="BF88" s="449">
        <f t="shared" si="119"/>
        <v>0</v>
      </c>
      <c r="BG88" s="449">
        <f t="shared" si="119"/>
        <v>0</v>
      </c>
      <c r="BH88" s="400"/>
      <c r="BI88" s="449">
        <f>IFERROR((($D88/$H$5)*BI$5)/12,0)*0</f>
        <v>0</v>
      </c>
      <c r="BJ88" s="449">
        <f t="shared" ref="BJ88:BT88" si="127">IFERROR((($D88/$H$5)*BJ$5)/12,0)*0</f>
        <v>0</v>
      </c>
      <c r="BK88" s="449">
        <f t="shared" si="127"/>
        <v>0</v>
      </c>
      <c r="BL88" s="449">
        <f t="shared" si="127"/>
        <v>0</v>
      </c>
      <c r="BM88" s="449">
        <f t="shared" si="127"/>
        <v>0</v>
      </c>
      <c r="BN88" s="449">
        <f t="shared" si="127"/>
        <v>0</v>
      </c>
      <c r="BO88" s="449">
        <f t="shared" si="127"/>
        <v>0</v>
      </c>
      <c r="BP88" s="449">
        <f t="shared" si="127"/>
        <v>0</v>
      </c>
      <c r="BQ88" s="449">
        <f t="shared" si="127"/>
        <v>0</v>
      </c>
      <c r="BR88" s="449">
        <f t="shared" si="127"/>
        <v>0</v>
      </c>
      <c r="BS88" s="449">
        <f t="shared" si="127"/>
        <v>0</v>
      </c>
      <c r="BT88" s="449">
        <f t="shared" si="127"/>
        <v>0</v>
      </c>
    </row>
    <row r="89" spans="1:72" ht="14.25" customHeight="1" x14ac:dyDescent="0.25">
      <c r="A89" s="587"/>
      <c r="B89" s="502"/>
      <c r="C89" s="596"/>
      <c r="D89" s="500"/>
      <c r="E89" s="449"/>
      <c r="F89" s="449"/>
      <c r="G89" s="421"/>
      <c r="H89" s="449"/>
      <c r="I89" s="449"/>
      <c r="J89" s="426"/>
      <c r="K89" s="421"/>
      <c r="L89" s="449"/>
      <c r="M89" s="449"/>
      <c r="N89" s="449"/>
      <c r="O89" s="449"/>
      <c r="P89" s="449"/>
      <c r="Q89" s="449"/>
      <c r="R89" s="449"/>
      <c r="S89" s="449"/>
      <c r="T89" s="449"/>
      <c r="U89" s="449"/>
      <c r="V89" s="449"/>
      <c r="W89" s="449"/>
      <c r="X89" s="449"/>
      <c r="Y89" s="449"/>
      <c r="Z89" s="531"/>
      <c r="AA89" s="449"/>
      <c r="AB89" s="449"/>
      <c r="AC89" s="449"/>
      <c r="AD89" s="449"/>
      <c r="AE89" s="449"/>
      <c r="AF89" s="449"/>
      <c r="AG89" s="449"/>
      <c r="AH89" s="449"/>
      <c r="AI89" s="449"/>
      <c r="AJ89" s="449"/>
      <c r="AK89" s="449"/>
      <c r="AL89" s="449"/>
      <c r="AN89" s="500"/>
      <c r="AO89" s="449"/>
      <c r="AP89" s="449"/>
      <c r="AQ89" s="453"/>
      <c r="AR89" s="449"/>
      <c r="AS89" s="449"/>
      <c r="AT89" s="426"/>
      <c r="AU89" s="421"/>
      <c r="AV89" s="449"/>
      <c r="AW89" s="449"/>
      <c r="AX89" s="449"/>
      <c r="AY89" s="449"/>
      <c r="AZ89" s="449"/>
      <c r="BA89" s="449"/>
      <c r="BB89" s="449"/>
      <c r="BC89" s="449"/>
      <c r="BD89" s="449"/>
      <c r="BE89" s="449"/>
      <c r="BF89" s="449"/>
      <c r="BG89" s="449"/>
      <c r="BH89" s="531"/>
      <c r="BI89" s="449"/>
      <c r="BJ89" s="449"/>
      <c r="BK89" s="449"/>
      <c r="BL89" s="449"/>
      <c r="BM89" s="449"/>
      <c r="BN89" s="449"/>
      <c r="BO89" s="449"/>
      <c r="BP89" s="449"/>
      <c r="BQ89" s="449"/>
      <c r="BR89" s="449"/>
      <c r="BS89" s="449"/>
      <c r="BT89" s="449"/>
    </row>
    <row r="90" spans="1:72" s="536" customFormat="1" ht="14.25" customHeight="1" thickBot="1" x14ac:dyDescent="0.3">
      <c r="A90" s="526"/>
      <c r="B90" s="524" t="s">
        <v>141</v>
      </c>
      <c r="C90" s="598"/>
      <c r="D90" s="532">
        <f>SUM(D61:D89)</f>
        <v>1883675.75</v>
      </c>
      <c r="E90" s="533">
        <f>SUM(E61:E89)</f>
        <v>1809163</v>
      </c>
      <c r="F90" s="533">
        <f>IFERROR(D90-E90,0)</f>
        <v>74512.75</v>
      </c>
      <c r="G90" s="520">
        <f>IFERROR(F90/ABS(E90),0)</f>
        <v>4.1186311017857427E-2</v>
      </c>
      <c r="H90" s="533">
        <f>SUM(H61:H89)</f>
        <v>1838871</v>
      </c>
      <c r="I90" s="533">
        <f>IFERROR(D90-H90,0)</f>
        <v>44804.75</v>
      </c>
      <c r="J90" s="521">
        <f>IFERROR(I90/ABS(H90),0)</f>
        <v>2.4365357874478417E-2</v>
      </c>
      <c r="K90" s="507"/>
      <c r="L90" s="533">
        <f>SUM(L61:L89)</f>
        <v>78204.95</v>
      </c>
      <c r="M90" s="533">
        <f t="shared" ref="M90:W90" si="128">SUM(M61:M89)</f>
        <v>187684.95999999996</v>
      </c>
      <c r="N90" s="533">
        <f t="shared" si="128"/>
        <v>141043.77000000002</v>
      </c>
      <c r="O90" s="533">
        <f t="shared" si="128"/>
        <v>213529.64</v>
      </c>
      <c r="P90" s="533">
        <f t="shared" si="128"/>
        <v>141503.66</v>
      </c>
      <c r="Q90" s="533">
        <f t="shared" si="128"/>
        <v>148474.95000000001</v>
      </c>
      <c r="R90" s="533">
        <f t="shared" si="128"/>
        <v>162205.63666666672</v>
      </c>
      <c r="S90" s="533">
        <f t="shared" si="128"/>
        <v>162205.63666666672</v>
      </c>
      <c r="T90" s="533">
        <f t="shared" si="128"/>
        <v>162205.63666666675</v>
      </c>
      <c r="U90" s="533">
        <f t="shared" si="128"/>
        <v>162205.63666666672</v>
      </c>
      <c r="V90" s="533">
        <f t="shared" si="128"/>
        <v>162205.63666666675</v>
      </c>
      <c r="W90" s="533">
        <f t="shared" si="128"/>
        <v>162205.6366666668</v>
      </c>
      <c r="X90" s="533"/>
      <c r="Y90" s="533">
        <f>SUM(L90:W90)</f>
        <v>1883675.7500000005</v>
      </c>
      <c r="Z90" s="508"/>
      <c r="AA90" s="533">
        <f t="shared" ref="AA90:AL90" si="129">SUM(AA61:AA89)</f>
        <v>153239.25</v>
      </c>
      <c r="AB90" s="533">
        <f t="shared" si="129"/>
        <v>153239.25</v>
      </c>
      <c r="AC90" s="533">
        <f t="shared" si="129"/>
        <v>153239.25</v>
      </c>
      <c r="AD90" s="533">
        <f t="shared" si="129"/>
        <v>153239.25</v>
      </c>
      <c r="AE90" s="533">
        <f t="shared" si="129"/>
        <v>153239.25</v>
      </c>
      <c r="AF90" s="533">
        <f t="shared" si="129"/>
        <v>153239.25</v>
      </c>
      <c r="AG90" s="533">
        <f t="shared" si="129"/>
        <v>153239.25</v>
      </c>
      <c r="AH90" s="533">
        <f t="shared" si="129"/>
        <v>153239.25</v>
      </c>
      <c r="AI90" s="533">
        <f t="shared" si="129"/>
        <v>153239.25</v>
      </c>
      <c r="AJ90" s="533">
        <f t="shared" si="129"/>
        <v>153239.25</v>
      </c>
      <c r="AK90" s="533">
        <f t="shared" si="129"/>
        <v>153239.25</v>
      </c>
      <c r="AL90" s="533">
        <f t="shared" si="129"/>
        <v>153239.25</v>
      </c>
      <c r="AN90" s="532">
        <f>SUM(AN61:AN89)</f>
        <v>1883675.75</v>
      </c>
      <c r="AO90" s="533">
        <f>SUM(AO61:AO89)</f>
        <v>1851780.3139473277</v>
      </c>
      <c r="AP90" s="533">
        <f>IFERROR(AO90-AN90,0)</f>
        <v>-31895.436052672332</v>
      </c>
      <c r="AQ90" s="523">
        <f>IFERROR(AP90/ABS(AN90),"-")</f>
        <v>-1.6932551184922529E-2</v>
      </c>
      <c r="AR90" s="533">
        <f>SUM(AR61:AR89)</f>
        <v>1851780.3139473277</v>
      </c>
      <c r="AS90" s="533">
        <f>IFERROR(AO90-AR90,0)</f>
        <v>0</v>
      </c>
      <c r="AT90" s="521">
        <f>IFERROR(AS90/ABS(AR90),0)</f>
        <v>0</v>
      </c>
      <c r="AU90" s="507"/>
      <c r="AV90" s="533">
        <f>SUM(AV61:AV89)</f>
        <v>19829.076305220882</v>
      </c>
      <c r="AW90" s="533">
        <f t="shared" ref="AW90:BG90" si="130">SUM(AW61:AW89)</f>
        <v>150081.81497925255</v>
      </c>
      <c r="AX90" s="533">
        <f t="shared" si="130"/>
        <v>154081.30175660588</v>
      </c>
      <c r="AY90" s="533">
        <f t="shared" si="130"/>
        <v>232081.30175660588</v>
      </c>
      <c r="AZ90" s="533">
        <f t="shared" si="130"/>
        <v>154081.30175660588</v>
      </c>
      <c r="BA90" s="533">
        <f t="shared" si="130"/>
        <v>144359.39699470112</v>
      </c>
      <c r="BB90" s="533">
        <f t="shared" si="130"/>
        <v>144359.39699470112</v>
      </c>
      <c r="BC90" s="533">
        <f t="shared" si="130"/>
        <v>144359.39699470112</v>
      </c>
      <c r="BD90" s="533">
        <f t="shared" si="130"/>
        <v>144359.39699470112</v>
      </c>
      <c r="BE90" s="533">
        <f t="shared" si="130"/>
        <v>144359.39699470112</v>
      </c>
      <c r="BF90" s="533">
        <f t="shared" si="130"/>
        <v>144359.39699470112</v>
      </c>
      <c r="BG90" s="533">
        <f t="shared" si="130"/>
        <v>275469.13542483037</v>
      </c>
      <c r="BH90" s="508"/>
      <c r="BI90" s="533">
        <f t="shared" ref="BI90:BT90" si="131">SUM(BI61:BI89)</f>
        <v>19829.076305220882</v>
      </c>
      <c r="BJ90" s="533">
        <f t="shared" si="131"/>
        <v>150081.81497925255</v>
      </c>
      <c r="BK90" s="533">
        <f t="shared" si="131"/>
        <v>154081.30175660588</v>
      </c>
      <c r="BL90" s="533">
        <f t="shared" si="131"/>
        <v>232081.30175660588</v>
      </c>
      <c r="BM90" s="533">
        <f t="shared" si="131"/>
        <v>154081.30175660588</v>
      </c>
      <c r="BN90" s="533">
        <f t="shared" si="131"/>
        <v>144359.39699470112</v>
      </c>
      <c r="BO90" s="533">
        <f t="shared" si="131"/>
        <v>144359.39699470112</v>
      </c>
      <c r="BP90" s="533">
        <f t="shared" si="131"/>
        <v>144359.39699470112</v>
      </c>
      <c r="BQ90" s="533">
        <f t="shared" si="131"/>
        <v>144359.39699470112</v>
      </c>
      <c r="BR90" s="533">
        <f t="shared" si="131"/>
        <v>144359.39699470112</v>
      </c>
      <c r="BS90" s="533">
        <f t="shared" si="131"/>
        <v>144359.39699470112</v>
      </c>
      <c r="BT90" s="533">
        <f t="shared" si="131"/>
        <v>275469.13542483037</v>
      </c>
    </row>
    <row r="91" spans="1:72" ht="14.25" customHeight="1" thickTop="1" x14ac:dyDescent="0.25">
      <c r="A91" s="587"/>
      <c r="B91" s="502"/>
      <c r="C91" s="596"/>
      <c r="D91" s="500"/>
      <c r="E91" s="449"/>
      <c r="F91" s="449"/>
      <c r="G91" s="421"/>
      <c r="H91" s="449"/>
      <c r="I91" s="449"/>
      <c r="J91" s="426"/>
      <c r="K91" s="421"/>
      <c r="L91" s="449"/>
      <c r="M91" s="449"/>
      <c r="N91" s="449"/>
      <c r="O91" s="449"/>
      <c r="P91" s="449"/>
      <c r="Q91" s="449"/>
      <c r="R91" s="449"/>
      <c r="S91" s="449"/>
      <c r="T91" s="449"/>
      <c r="U91" s="449"/>
      <c r="V91" s="449"/>
      <c r="W91" s="449"/>
      <c r="X91" s="449"/>
      <c r="Y91" s="449"/>
      <c r="Z91" s="531"/>
      <c r="AA91" s="449"/>
      <c r="AB91" s="449"/>
      <c r="AC91" s="449"/>
      <c r="AD91" s="449"/>
      <c r="AE91" s="449"/>
      <c r="AF91" s="449"/>
      <c r="AG91" s="449"/>
      <c r="AH91" s="449"/>
      <c r="AI91" s="449"/>
      <c r="AJ91" s="449"/>
      <c r="AK91" s="449"/>
      <c r="AL91" s="449"/>
      <c r="AN91" s="500"/>
      <c r="AO91" s="449"/>
      <c r="AP91" s="449"/>
      <c r="AQ91" s="453"/>
      <c r="AR91" s="449"/>
      <c r="AS91" s="449"/>
      <c r="AT91" s="426"/>
      <c r="AU91" s="421"/>
      <c r="AV91" s="449"/>
      <c r="AW91" s="449"/>
      <c r="AX91" s="449"/>
      <c r="AY91" s="449"/>
      <c r="AZ91" s="449"/>
      <c r="BA91" s="449"/>
      <c r="BB91" s="449"/>
      <c r="BC91" s="449"/>
      <c r="BD91" s="449"/>
      <c r="BE91" s="449"/>
      <c r="BF91" s="449"/>
      <c r="BG91" s="449"/>
      <c r="BH91" s="531"/>
      <c r="BI91" s="449"/>
      <c r="BJ91" s="449"/>
      <c r="BK91" s="449"/>
      <c r="BL91" s="449"/>
      <c r="BM91" s="449"/>
      <c r="BN91" s="449"/>
      <c r="BO91" s="449"/>
      <c r="BP91" s="449"/>
      <c r="BQ91" s="449"/>
      <c r="BR91" s="449"/>
      <c r="BS91" s="449"/>
      <c r="BT91" s="449"/>
    </row>
    <row r="92" spans="1:72" ht="14.25" customHeight="1" x14ac:dyDescent="0.25">
      <c r="A92" s="587"/>
      <c r="B92" s="525" t="s">
        <v>142</v>
      </c>
      <c r="C92" s="596"/>
      <c r="D92" s="500"/>
      <c r="E92" s="449"/>
      <c r="F92" s="449"/>
      <c r="G92" s="421"/>
      <c r="H92" s="449"/>
      <c r="I92" s="449"/>
      <c r="J92" s="426"/>
      <c r="K92" s="421"/>
      <c r="L92" s="449"/>
      <c r="M92" s="449"/>
      <c r="N92" s="449"/>
      <c r="O92" s="449"/>
      <c r="P92" s="449"/>
      <c r="Q92" s="449"/>
      <c r="R92" s="449"/>
      <c r="S92" s="449"/>
      <c r="T92" s="449"/>
      <c r="U92" s="449"/>
      <c r="V92" s="449"/>
      <c r="W92" s="449"/>
      <c r="X92" s="449"/>
      <c r="Y92" s="449"/>
      <c r="Z92" s="531"/>
      <c r="AA92" s="449"/>
      <c r="AB92" s="449"/>
      <c r="AC92" s="449"/>
      <c r="AD92" s="449"/>
      <c r="AE92" s="449"/>
      <c r="AF92" s="449"/>
      <c r="AG92" s="449"/>
      <c r="AH92" s="449"/>
      <c r="AI92" s="449"/>
      <c r="AJ92" s="449"/>
      <c r="AK92" s="449"/>
      <c r="AL92" s="449"/>
      <c r="AN92" s="500"/>
      <c r="AO92" s="449"/>
      <c r="AP92" s="449"/>
      <c r="AQ92" s="453"/>
      <c r="AR92" s="449"/>
      <c r="AS92" s="449"/>
      <c r="AT92" s="426"/>
      <c r="AU92" s="421"/>
      <c r="AV92" s="449"/>
      <c r="AW92" s="449"/>
      <c r="AX92" s="449"/>
      <c r="AY92" s="449"/>
      <c r="AZ92" s="449"/>
      <c r="BA92" s="449"/>
      <c r="BB92" s="449"/>
      <c r="BC92" s="449"/>
      <c r="BD92" s="449"/>
      <c r="BE92" s="449"/>
      <c r="BF92" s="449"/>
      <c r="BG92" s="449"/>
      <c r="BH92" s="531"/>
      <c r="BI92" s="449"/>
      <c r="BJ92" s="449"/>
      <c r="BK92" s="449"/>
      <c r="BL92" s="449"/>
      <c r="BM92" s="449"/>
      <c r="BN92" s="449"/>
      <c r="BO92" s="449"/>
      <c r="BP92" s="449"/>
      <c r="BQ92" s="449"/>
      <c r="BR92" s="449"/>
      <c r="BS92" s="449"/>
      <c r="BT92" s="449"/>
    </row>
    <row r="93" spans="1:72" ht="6" customHeight="1" x14ac:dyDescent="0.25">
      <c r="A93" s="587"/>
      <c r="B93" s="502"/>
      <c r="C93" s="596"/>
      <c r="D93" s="500"/>
      <c r="E93" s="449"/>
      <c r="F93" s="449"/>
      <c r="G93" s="421"/>
      <c r="H93" s="449"/>
      <c r="I93" s="449"/>
      <c r="J93" s="426"/>
      <c r="K93" s="421"/>
      <c r="L93" s="449"/>
      <c r="M93" s="449"/>
      <c r="N93" s="449"/>
      <c r="O93" s="449"/>
      <c r="P93" s="449"/>
      <c r="Q93" s="449"/>
      <c r="R93" s="449"/>
      <c r="S93" s="449"/>
      <c r="T93" s="449"/>
      <c r="U93" s="449"/>
      <c r="V93" s="449"/>
      <c r="W93" s="449"/>
      <c r="X93" s="449"/>
      <c r="Y93" s="449"/>
      <c r="Z93" s="531"/>
      <c r="AA93" s="449"/>
      <c r="AB93" s="449"/>
      <c r="AC93" s="449"/>
      <c r="AD93" s="449"/>
      <c r="AE93" s="449"/>
      <c r="AF93" s="449"/>
      <c r="AG93" s="449"/>
      <c r="AH93" s="449"/>
      <c r="AI93" s="449"/>
      <c r="AJ93" s="449"/>
      <c r="AK93" s="449"/>
      <c r="AL93" s="449"/>
      <c r="AN93" s="500"/>
      <c r="AO93" s="449"/>
      <c r="AP93" s="449"/>
      <c r="AQ93" s="453"/>
      <c r="AR93" s="449"/>
      <c r="AS93" s="449"/>
      <c r="AT93" s="426"/>
      <c r="AU93" s="421"/>
      <c r="AV93" s="449"/>
      <c r="AW93" s="449"/>
      <c r="AX93" s="449"/>
      <c r="AY93" s="449"/>
      <c r="AZ93" s="449"/>
      <c r="BA93" s="449"/>
      <c r="BB93" s="449"/>
      <c r="BC93" s="449"/>
      <c r="BD93" s="449"/>
      <c r="BE93" s="449"/>
      <c r="BF93" s="449"/>
      <c r="BG93" s="449"/>
      <c r="BH93" s="531"/>
      <c r="BI93" s="449"/>
      <c r="BJ93" s="449"/>
      <c r="BK93" s="449"/>
      <c r="BL93" s="449"/>
      <c r="BM93" s="449"/>
      <c r="BN93" s="449"/>
      <c r="BO93" s="449"/>
      <c r="BP93" s="449"/>
      <c r="BQ93" s="449"/>
      <c r="BR93" s="449"/>
      <c r="BS93" s="449"/>
      <c r="BT93" s="449"/>
    </row>
    <row r="94" spans="1:72" ht="14.25" customHeight="1" x14ac:dyDescent="0.25">
      <c r="A94" s="502" t="s">
        <v>143</v>
      </c>
      <c r="B94" s="502" t="s">
        <v>144</v>
      </c>
      <c r="C94" s="630"/>
      <c r="D94" s="500">
        <f t="shared" ref="D94:D118" si="132">SUM(L94:W94)</f>
        <v>488838</v>
      </c>
      <c r="E94" s="449">
        <v>465348</v>
      </c>
      <c r="F94" s="449">
        <f t="shared" ref="F94:F118" si="133">IFERROR(D94-E94,0)</f>
        <v>23490</v>
      </c>
      <c r="G94" s="421">
        <f t="shared" ref="G94:G118" si="134">IFERROR(F94/ABS(E94),0)</f>
        <v>5.0478351685190437E-2</v>
      </c>
      <c r="H94" s="449">
        <v>488838</v>
      </c>
      <c r="I94" s="449">
        <f t="shared" ref="I94:I118" si="135">IFERROR(D94-H94,0)</f>
        <v>0</v>
      </c>
      <c r="J94" s="426">
        <f t="shared" ref="J94:J118" si="136">IFERROR(I94/ABS(H94),0)</f>
        <v>0</v>
      </c>
      <c r="K94" s="421"/>
      <c r="L94" s="449">
        <v>0.03</v>
      </c>
      <c r="M94" s="449">
        <v>59502.64</v>
      </c>
      <c r="N94" s="449">
        <v>52168.350000000006</v>
      </c>
      <c r="O94" s="449">
        <v>49754.400000000009</v>
      </c>
      <c r="P94" s="449">
        <v>50099.689999999973</v>
      </c>
      <c r="Q94" s="449">
        <v>64993.170000000042</v>
      </c>
      <c r="R94" s="449">
        <f>($H94-SUM($L94:Q94))/R$694</f>
        <v>35386.619999999995</v>
      </c>
      <c r="S94" s="449">
        <f>($H94-SUM($L94:R94))/S$694</f>
        <v>35386.619999999995</v>
      </c>
      <c r="T94" s="449">
        <f>($H94-SUM($L94:S94))/T$694</f>
        <v>35386.619999999995</v>
      </c>
      <c r="U94" s="449">
        <f>($H94-SUM($L94:T94))/U$694</f>
        <v>35386.619999999995</v>
      </c>
      <c r="V94" s="449">
        <f>($H94-SUM($L94:U94))/V$694</f>
        <v>35386.619999999995</v>
      </c>
      <c r="W94" s="449">
        <f>($H94-SUM($L94:V94))/W$694</f>
        <v>35386.619999999995</v>
      </c>
      <c r="X94" s="449"/>
      <c r="Y94" s="449">
        <f t="shared" ref="Y94:Y118" si="137">SUM(L94:W94)</f>
        <v>488838</v>
      </c>
      <c r="Z94" s="531"/>
      <c r="AA94" s="449">
        <f t="shared" ref="AA94:AL109" si="138">IFERROR($H94/12,0)</f>
        <v>40736.5</v>
      </c>
      <c r="AB94" s="449">
        <f t="shared" si="138"/>
        <v>40736.5</v>
      </c>
      <c r="AC94" s="449">
        <f t="shared" si="138"/>
        <v>40736.5</v>
      </c>
      <c r="AD94" s="449">
        <f t="shared" si="138"/>
        <v>40736.5</v>
      </c>
      <c r="AE94" s="449">
        <f t="shared" si="138"/>
        <v>40736.5</v>
      </c>
      <c r="AF94" s="449">
        <f t="shared" si="138"/>
        <v>40736.5</v>
      </c>
      <c r="AG94" s="449">
        <f t="shared" si="138"/>
        <v>40736.5</v>
      </c>
      <c r="AH94" s="449">
        <f t="shared" si="138"/>
        <v>40736.5</v>
      </c>
      <c r="AI94" s="449">
        <f t="shared" si="138"/>
        <v>40736.5</v>
      </c>
      <c r="AJ94" s="449">
        <f t="shared" si="138"/>
        <v>40736.5</v>
      </c>
      <c r="AK94" s="449">
        <f t="shared" si="138"/>
        <v>40736.5</v>
      </c>
      <c r="AL94" s="449">
        <f t="shared" si="138"/>
        <v>40736.5</v>
      </c>
      <c r="AN94" s="500">
        <f t="shared" ref="AN94:AN118" si="139">SUM(L94:W94)</f>
        <v>488838</v>
      </c>
      <c r="AO94" s="449">
        <f t="shared" ref="AO94:AO118" si="140">SUM(BI94:BT94)</f>
        <v>482902.78980000009</v>
      </c>
      <c r="AP94" s="449">
        <f t="shared" ref="AP94:AP118" si="141">IFERROR(AO94-AN94,0)</f>
        <v>-5935.210199999914</v>
      </c>
      <c r="AQ94" s="453">
        <f t="shared" ref="AQ94:AQ118" si="142">IFERROR(AP94/ABS(AN94),"-")</f>
        <v>-1.2141466498103491E-2</v>
      </c>
      <c r="AR94" s="449">
        <f t="shared" ref="AR94:AR118" si="143">SUM(BI94:BT94)</f>
        <v>482902.78980000009</v>
      </c>
      <c r="AS94" s="449">
        <f t="shared" ref="AS94:AS118" si="144">IFERROR(AO94-AR94,0)</f>
        <v>0</v>
      </c>
      <c r="AT94" s="426">
        <f t="shared" ref="AT94:AT118" si="145">IFERROR(AS94/ABS(AR94),0)</f>
        <v>0</v>
      </c>
      <c r="AU94" s="421"/>
      <c r="AV94" s="449">
        <f t="shared" ref="AV94:BG115" si="146">BI94</f>
        <v>0</v>
      </c>
      <c r="AW94" s="449">
        <f t="shared" si="146"/>
        <v>40241.899150000005</v>
      </c>
      <c r="AX94" s="449">
        <f t="shared" si="146"/>
        <v>40241.899150000005</v>
      </c>
      <c r="AY94" s="449">
        <f t="shared" si="146"/>
        <v>40241.899150000005</v>
      </c>
      <c r="AZ94" s="449">
        <f t="shared" si="146"/>
        <v>40241.899150000005</v>
      </c>
      <c r="BA94" s="449">
        <f t="shared" si="146"/>
        <v>40241.899150000005</v>
      </c>
      <c r="BB94" s="449">
        <f t="shared" si="146"/>
        <v>40241.899150000005</v>
      </c>
      <c r="BC94" s="449">
        <f t="shared" si="146"/>
        <v>40241.899150000005</v>
      </c>
      <c r="BD94" s="449">
        <f t="shared" si="146"/>
        <v>40241.899150000005</v>
      </c>
      <c r="BE94" s="449">
        <f t="shared" si="146"/>
        <v>40241.899150000005</v>
      </c>
      <c r="BF94" s="449">
        <f t="shared" si="146"/>
        <v>40241.899150000005</v>
      </c>
      <c r="BG94" s="449">
        <f t="shared" si="146"/>
        <v>80483.798300000009</v>
      </c>
      <c r="BH94" s="400"/>
      <c r="BI94" s="449">
        <v>0</v>
      </c>
      <c r="BJ94" s="449">
        <f>SUM('FY19 Staffing V1-1 (3)'!$P$48:$P$61)/12</f>
        <v>40241.899150000005</v>
      </c>
      <c r="BK94" s="449">
        <f>SUM('FY19 Staffing V1-1 (3)'!$P$48:$P$61)/12</f>
        <v>40241.899150000005</v>
      </c>
      <c r="BL94" s="449">
        <f>SUM('FY19 Staffing V1-1 (3)'!$P$48:$P$61)/12</f>
        <v>40241.899150000005</v>
      </c>
      <c r="BM94" s="449">
        <f>SUM('FY19 Staffing V1-1 (3)'!$P$48:$P$61)/12</f>
        <v>40241.899150000005</v>
      </c>
      <c r="BN94" s="449">
        <f>SUM('FY19 Staffing V1-1 (3)'!$P$48:$P$61)/12</f>
        <v>40241.899150000005</v>
      </c>
      <c r="BO94" s="449">
        <f>SUM('FY19 Staffing V1-1 (3)'!$P$48:$P$61)/12</f>
        <v>40241.899150000005</v>
      </c>
      <c r="BP94" s="449">
        <f>SUM('FY19 Staffing V1-1 (3)'!$P$48:$P$61)/12</f>
        <v>40241.899150000005</v>
      </c>
      <c r="BQ94" s="449">
        <f>SUM('FY19 Staffing V1-1 (3)'!$P$48:$P$61)/12</f>
        <v>40241.899150000005</v>
      </c>
      <c r="BR94" s="449">
        <f>SUM('FY19 Staffing V1-1 (3)'!$P$48:$P$61)/12</f>
        <v>40241.899150000005</v>
      </c>
      <c r="BS94" s="449">
        <f>SUM('FY19 Staffing V1-1 (3)'!$P$48:$P$61)/12</f>
        <v>40241.899150000005</v>
      </c>
      <c r="BT94" s="449">
        <f>SUM('FY19 Staffing V1-1 (3)'!$P$48:$P$61)/12*2</f>
        <v>80483.798300000009</v>
      </c>
    </row>
    <row r="95" spans="1:72" ht="15" x14ac:dyDescent="0.25">
      <c r="A95" s="537" t="s">
        <v>145</v>
      </c>
      <c r="B95" s="537" t="s">
        <v>90</v>
      </c>
      <c r="C95" s="541"/>
      <c r="D95" s="500">
        <f>SUM(L95:W95)</f>
        <v>0</v>
      </c>
      <c r="E95" s="449">
        <v>0</v>
      </c>
      <c r="F95" s="449">
        <f t="shared" si="133"/>
        <v>0</v>
      </c>
      <c r="G95" s="421">
        <f t="shared" si="134"/>
        <v>0</v>
      </c>
      <c r="H95" s="449">
        <v>0</v>
      </c>
      <c r="I95" s="449">
        <f t="shared" si="135"/>
        <v>0</v>
      </c>
      <c r="J95" s="426">
        <f t="shared" si="136"/>
        <v>0</v>
      </c>
      <c r="K95" s="421"/>
      <c r="L95" s="449">
        <v>0</v>
      </c>
      <c r="M95" s="449">
        <v>0</v>
      </c>
      <c r="N95" s="449">
        <v>0</v>
      </c>
      <c r="O95" s="449">
        <v>0</v>
      </c>
      <c r="P95" s="449">
        <v>0</v>
      </c>
      <c r="Q95" s="449">
        <v>0</v>
      </c>
      <c r="R95" s="449">
        <f>($H95-SUM($L95:Q95))/R$694</f>
        <v>0</v>
      </c>
      <c r="S95" s="449">
        <f>($H95-SUM($L95:R95))/S$694</f>
        <v>0</v>
      </c>
      <c r="T95" s="449">
        <f>($H95-SUM($L95:S95))/T$694</f>
        <v>0</v>
      </c>
      <c r="U95" s="449">
        <f>($H95-SUM($L95:T95))/U$694</f>
        <v>0</v>
      </c>
      <c r="V95" s="449">
        <f>($H95-SUM($L95:U95))/V$694</f>
        <v>0</v>
      </c>
      <c r="W95" s="449">
        <f>($H95-SUM($L95:V95))/W$694</f>
        <v>0</v>
      </c>
      <c r="X95" s="449"/>
      <c r="Y95" s="449">
        <f t="shared" si="137"/>
        <v>0</v>
      </c>
      <c r="Z95" s="531"/>
      <c r="AA95" s="449">
        <f t="shared" si="138"/>
        <v>0</v>
      </c>
      <c r="AB95" s="449">
        <f t="shared" si="138"/>
        <v>0</v>
      </c>
      <c r="AC95" s="449">
        <f t="shared" si="138"/>
        <v>0</v>
      </c>
      <c r="AD95" s="449">
        <f t="shared" si="138"/>
        <v>0</v>
      </c>
      <c r="AE95" s="449">
        <f t="shared" si="138"/>
        <v>0</v>
      </c>
      <c r="AF95" s="449">
        <f t="shared" si="138"/>
        <v>0</v>
      </c>
      <c r="AG95" s="449">
        <f t="shared" si="138"/>
        <v>0</v>
      </c>
      <c r="AH95" s="449">
        <f t="shared" si="138"/>
        <v>0</v>
      </c>
      <c r="AI95" s="449">
        <f t="shared" si="138"/>
        <v>0</v>
      </c>
      <c r="AJ95" s="449">
        <f t="shared" si="138"/>
        <v>0</v>
      </c>
      <c r="AK95" s="449">
        <f t="shared" si="138"/>
        <v>0</v>
      </c>
      <c r="AL95" s="449">
        <f t="shared" si="138"/>
        <v>0</v>
      </c>
      <c r="AN95" s="500">
        <f>SUM(L95:W95)</f>
        <v>0</v>
      </c>
      <c r="AO95" s="449">
        <f>SUM(BI95:BT95)</f>
        <v>44468.96591243022</v>
      </c>
      <c r="AP95" s="449">
        <f t="shared" si="141"/>
        <v>44468.96591243022</v>
      </c>
      <c r="AQ95" s="453" t="str">
        <f t="shared" si="142"/>
        <v>-</v>
      </c>
      <c r="AR95" s="449">
        <f t="shared" si="143"/>
        <v>44468.96591243022</v>
      </c>
      <c r="AS95" s="449">
        <f t="shared" si="144"/>
        <v>0</v>
      </c>
      <c r="AT95" s="426">
        <f t="shared" si="145"/>
        <v>0</v>
      </c>
      <c r="AU95" s="421"/>
      <c r="AV95" s="449">
        <f t="shared" si="146"/>
        <v>0</v>
      </c>
      <c r="AW95" s="449">
        <f t="shared" si="146"/>
        <v>0</v>
      </c>
      <c r="AX95" s="449">
        <f t="shared" si="146"/>
        <v>4042.633264766383</v>
      </c>
      <c r="AY95" s="449">
        <f t="shared" si="146"/>
        <v>4042.633264766383</v>
      </c>
      <c r="AZ95" s="449">
        <f t="shared" si="146"/>
        <v>4042.633264766383</v>
      </c>
      <c r="BA95" s="449">
        <f t="shared" si="146"/>
        <v>4042.633264766383</v>
      </c>
      <c r="BB95" s="449">
        <f t="shared" si="146"/>
        <v>4042.633264766383</v>
      </c>
      <c r="BC95" s="449">
        <f t="shared" si="146"/>
        <v>4042.633264766383</v>
      </c>
      <c r="BD95" s="449">
        <f t="shared" si="146"/>
        <v>4042.633264766383</v>
      </c>
      <c r="BE95" s="449">
        <f t="shared" si="146"/>
        <v>4042.633264766383</v>
      </c>
      <c r="BF95" s="449">
        <f t="shared" si="146"/>
        <v>4042.633264766383</v>
      </c>
      <c r="BG95" s="449">
        <f t="shared" si="146"/>
        <v>8085.2665295327661</v>
      </c>
      <c r="BH95" s="400"/>
      <c r="BI95" s="449">
        <v>0</v>
      </c>
      <c r="BJ95" s="449">
        <v>0</v>
      </c>
      <c r="BK95" s="449">
        <f>(SUM('FY19 Staffing V1-1 (3)'!$P$144)/10)*(13/41)</f>
        <v>4042.633264766383</v>
      </c>
      <c r="BL95" s="449">
        <f>(SUM('FY19 Staffing V1-1 (3)'!$P$144)/10)*(13/41)</f>
        <v>4042.633264766383</v>
      </c>
      <c r="BM95" s="449">
        <f>(SUM('FY19 Staffing V1-1 (3)'!$P$144)/10)*(13/41)</f>
        <v>4042.633264766383</v>
      </c>
      <c r="BN95" s="449">
        <f>(SUM('FY19 Staffing V1-1 (3)'!$P$144)/10)*(13/41)</f>
        <v>4042.633264766383</v>
      </c>
      <c r="BO95" s="449">
        <f>(SUM('FY19 Staffing V1-1 (3)'!$P$144)/10)*(13/41)</f>
        <v>4042.633264766383</v>
      </c>
      <c r="BP95" s="449">
        <f>(SUM('FY19 Staffing V1-1 (3)'!$P$144)/10)*(13/41)</f>
        <v>4042.633264766383</v>
      </c>
      <c r="BQ95" s="449">
        <f>(SUM('FY19 Staffing V1-1 (3)'!$P$144)/10)*(13/41)</f>
        <v>4042.633264766383</v>
      </c>
      <c r="BR95" s="449">
        <f>(SUM('FY19 Staffing V1-1 (3)'!$P$144)/10)*(13/41)</f>
        <v>4042.633264766383</v>
      </c>
      <c r="BS95" s="449">
        <f>(SUM('FY19 Staffing V1-1 (3)'!$P$144)/10)*(13/41)</f>
        <v>4042.633264766383</v>
      </c>
      <c r="BT95" s="449">
        <f>(SUM('FY19 Staffing V1-1 (3)'!$P$144)/10)*(13/41)*2</f>
        <v>8085.2665295327661</v>
      </c>
    </row>
    <row r="96" spans="1:72" ht="15" x14ac:dyDescent="0.25">
      <c r="A96" s="502" t="s">
        <v>146</v>
      </c>
      <c r="B96" s="502" t="s">
        <v>147</v>
      </c>
      <c r="C96" s="630"/>
      <c r="D96" s="500">
        <f t="shared" si="132"/>
        <v>18585</v>
      </c>
      <c r="E96" s="449">
        <v>0</v>
      </c>
      <c r="F96" s="449">
        <f t="shared" si="133"/>
        <v>18585</v>
      </c>
      <c r="G96" s="421">
        <f t="shared" si="134"/>
        <v>0</v>
      </c>
      <c r="H96" s="449">
        <v>18585</v>
      </c>
      <c r="I96" s="449">
        <f t="shared" si="135"/>
        <v>0</v>
      </c>
      <c r="J96" s="426">
        <f t="shared" si="136"/>
        <v>0</v>
      </c>
      <c r="K96" s="421"/>
      <c r="L96" s="449">
        <v>0</v>
      </c>
      <c r="M96" s="449">
        <v>0</v>
      </c>
      <c r="N96" s="449">
        <v>0</v>
      </c>
      <c r="O96" s="449">
        <v>0</v>
      </c>
      <c r="P96" s="449">
        <v>0</v>
      </c>
      <c r="Q96" s="449">
        <v>0</v>
      </c>
      <c r="R96" s="449">
        <f>($H96-SUM($L96:Q96))/R$694</f>
        <v>3097.5</v>
      </c>
      <c r="S96" s="449">
        <f>($H96-SUM($L96:R96))/S$694</f>
        <v>3097.5</v>
      </c>
      <c r="T96" s="449">
        <f>($H96-SUM($L96:S96))/T$694</f>
        <v>3097.5</v>
      </c>
      <c r="U96" s="449">
        <f>($H96-SUM($L96:T96))/U$694</f>
        <v>3097.5</v>
      </c>
      <c r="V96" s="449">
        <f>($H96-SUM($L96:U96))/V$694</f>
        <v>3097.5</v>
      </c>
      <c r="W96" s="449">
        <f>($H96-SUM($L96:V96))/W$694</f>
        <v>3097.5</v>
      </c>
      <c r="X96" s="449"/>
      <c r="Y96" s="449">
        <f t="shared" si="137"/>
        <v>18585</v>
      </c>
      <c r="Z96" s="531"/>
      <c r="AA96" s="449">
        <f t="shared" si="138"/>
        <v>1548.75</v>
      </c>
      <c r="AB96" s="449">
        <f t="shared" si="138"/>
        <v>1548.75</v>
      </c>
      <c r="AC96" s="449">
        <f t="shared" si="138"/>
        <v>1548.75</v>
      </c>
      <c r="AD96" s="449">
        <f t="shared" si="138"/>
        <v>1548.75</v>
      </c>
      <c r="AE96" s="449">
        <f t="shared" si="138"/>
        <v>1548.75</v>
      </c>
      <c r="AF96" s="449">
        <f t="shared" si="138"/>
        <v>1548.75</v>
      </c>
      <c r="AG96" s="449">
        <f t="shared" si="138"/>
        <v>1548.75</v>
      </c>
      <c r="AH96" s="449">
        <f t="shared" si="138"/>
        <v>1548.75</v>
      </c>
      <c r="AI96" s="449">
        <f t="shared" si="138"/>
        <v>1548.75</v>
      </c>
      <c r="AJ96" s="449">
        <f t="shared" si="138"/>
        <v>1548.75</v>
      </c>
      <c r="AK96" s="449">
        <f t="shared" si="138"/>
        <v>1548.75</v>
      </c>
      <c r="AL96" s="449">
        <f t="shared" si="138"/>
        <v>1548.75</v>
      </c>
      <c r="AN96" s="500">
        <f t="shared" si="139"/>
        <v>18585</v>
      </c>
      <c r="AO96" s="449">
        <f>SUM(BI96:BT96)</f>
        <v>21687.680000000004</v>
      </c>
      <c r="AP96" s="449">
        <f t="shared" si="141"/>
        <v>3102.6800000000039</v>
      </c>
      <c r="AQ96" s="453">
        <f t="shared" si="142"/>
        <v>0.16694538606403034</v>
      </c>
      <c r="AR96" s="449">
        <f t="shared" si="143"/>
        <v>21687.680000000004</v>
      </c>
      <c r="AS96" s="449">
        <f t="shared" si="144"/>
        <v>0</v>
      </c>
      <c r="AT96" s="426">
        <f t="shared" si="145"/>
        <v>0</v>
      </c>
      <c r="AU96" s="421"/>
      <c r="AV96" s="449">
        <f t="shared" si="146"/>
        <v>0</v>
      </c>
      <c r="AW96" s="449">
        <f t="shared" si="146"/>
        <v>1807.3066666666666</v>
      </c>
      <c r="AX96" s="449">
        <f t="shared" si="146"/>
        <v>1807.3066666666666</v>
      </c>
      <c r="AY96" s="449">
        <f t="shared" si="146"/>
        <v>1807.3066666666666</v>
      </c>
      <c r="AZ96" s="449">
        <f t="shared" si="146"/>
        <v>1807.3066666666666</v>
      </c>
      <c r="BA96" s="449">
        <f t="shared" si="146"/>
        <v>1807.3066666666666</v>
      </c>
      <c r="BB96" s="449">
        <f t="shared" si="146"/>
        <v>1807.3066666666666</v>
      </c>
      <c r="BC96" s="449">
        <f t="shared" si="146"/>
        <v>1807.3066666666666</v>
      </c>
      <c r="BD96" s="449">
        <f t="shared" si="146"/>
        <v>1807.3066666666666</v>
      </c>
      <c r="BE96" s="449">
        <f t="shared" si="146"/>
        <v>1807.3066666666666</v>
      </c>
      <c r="BF96" s="449">
        <f t="shared" si="146"/>
        <v>1807.3066666666666</v>
      </c>
      <c r="BG96" s="449">
        <f t="shared" si="146"/>
        <v>3614.6133333333332</v>
      </c>
      <c r="BH96" s="400"/>
      <c r="BI96" s="449">
        <v>0</v>
      </c>
      <c r="BJ96" s="449">
        <f>('FY19 Staffing V1-1 (3)'!$P175)/12</f>
        <v>1807.3066666666666</v>
      </c>
      <c r="BK96" s="449">
        <f>('FY19 Staffing V1-1 (3)'!$P175)/12</f>
        <v>1807.3066666666666</v>
      </c>
      <c r="BL96" s="449">
        <f>('FY19 Staffing V1-1 (3)'!$P175)/12</f>
        <v>1807.3066666666666</v>
      </c>
      <c r="BM96" s="449">
        <f>('FY19 Staffing V1-1 (3)'!$P175)/12</f>
        <v>1807.3066666666666</v>
      </c>
      <c r="BN96" s="449">
        <f>('FY19 Staffing V1-1 (3)'!$P175)/12</f>
        <v>1807.3066666666666</v>
      </c>
      <c r="BO96" s="449">
        <f>('FY19 Staffing V1-1 (3)'!$P175)/12</f>
        <v>1807.3066666666666</v>
      </c>
      <c r="BP96" s="449">
        <f>('FY19 Staffing V1-1 (3)'!$P175)/12</f>
        <v>1807.3066666666666</v>
      </c>
      <c r="BQ96" s="449">
        <f>('FY19 Staffing V1-1 (3)'!$P175)/12</f>
        <v>1807.3066666666666</v>
      </c>
      <c r="BR96" s="449">
        <f>('FY19 Staffing V1-1 (3)'!$P175)/12</f>
        <v>1807.3066666666666</v>
      </c>
      <c r="BS96" s="449">
        <f>('FY19 Staffing V1-1 (3)'!$P175)/12</f>
        <v>1807.3066666666666</v>
      </c>
      <c r="BT96" s="449">
        <f>('FY19 Staffing V1-1 (3)'!$P175)/12*2</f>
        <v>3614.6133333333332</v>
      </c>
    </row>
    <row r="97" spans="1:72" ht="15" x14ac:dyDescent="0.25">
      <c r="A97" s="502" t="s">
        <v>148</v>
      </c>
      <c r="B97" s="502" t="s">
        <v>149</v>
      </c>
      <c r="C97" s="630"/>
      <c r="D97" s="500">
        <f t="shared" si="132"/>
        <v>10000</v>
      </c>
      <c r="E97" s="449">
        <v>10000</v>
      </c>
      <c r="F97" s="449">
        <f t="shared" si="133"/>
        <v>0</v>
      </c>
      <c r="G97" s="421">
        <f t="shared" si="134"/>
        <v>0</v>
      </c>
      <c r="H97" s="449">
        <v>10000</v>
      </c>
      <c r="I97" s="449">
        <f t="shared" si="135"/>
        <v>0</v>
      </c>
      <c r="J97" s="426">
        <f t="shared" si="136"/>
        <v>0</v>
      </c>
      <c r="K97" s="421"/>
      <c r="L97" s="449">
        <v>0</v>
      </c>
      <c r="M97" s="449">
        <v>0</v>
      </c>
      <c r="N97" s="449">
        <v>0</v>
      </c>
      <c r="O97" s="449">
        <v>0</v>
      </c>
      <c r="P97" s="449">
        <v>0</v>
      </c>
      <c r="Q97" s="449">
        <v>0</v>
      </c>
      <c r="R97" s="449">
        <f>($H97-SUM($L97:Q97))/R$694</f>
        <v>1666.6666666666667</v>
      </c>
      <c r="S97" s="449">
        <f>($H97-SUM($L97:R97))/S$694</f>
        <v>1666.6666666666667</v>
      </c>
      <c r="T97" s="449">
        <f>($H97-SUM($L97:S97))/T$694</f>
        <v>1666.6666666666665</v>
      </c>
      <c r="U97" s="449">
        <f>($H97-SUM($L97:T97))/U$694</f>
        <v>1666.6666666666667</v>
      </c>
      <c r="V97" s="449">
        <f>($H97-SUM($L97:U97))/V$694</f>
        <v>1666.6666666666665</v>
      </c>
      <c r="W97" s="449">
        <f>($H97-SUM($L97:V97))/W$694</f>
        <v>1666.6666666666661</v>
      </c>
      <c r="X97" s="449"/>
      <c r="Y97" s="449">
        <f t="shared" si="137"/>
        <v>10000</v>
      </c>
      <c r="Z97" s="531"/>
      <c r="AA97" s="449">
        <f t="shared" si="138"/>
        <v>833.33333333333337</v>
      </c>
      <c r="AB97" s="449">
        <f t="shared" si="138"/>
        <v>833.33333333333337</v>
      </c>
      <c r="AC97" s="449">
        <f t="shared" si="138"/>
        <v>833.33333333333337</v>
      </c>
      <c r="AD97" s="449">
        <f t="shared" si="138"/>
        <v>833.33333333333337</v>
      </c>
      <c r="AE97" s="449">
        <f t="shared" si="138"/>
        <v>833.33333333333337</v>
      </c>
      <c r="AF97" s="449">
        <f t="shared" si="138"/>
        <v>833.33333333333337</v>
      </c>
      <c r="AG97" s="449">
        <f t="shared" si="138"/>
        <v>833.33333333333337</v>
      </c>
      <c r="AH97" s="449">
        <f t="shared" si="138"/>
        <v>833.33333333333337</v>
      </c>
      <c r="AI97" s="449">
        <f t="shared" si="138"/>
        <v>833.33333333333337</v>
      </c>
      <c r="AJ97" s="449">
        <f t="shared" si="138"/>
        <v>833.33333333333337</v>
      </c>
      <c r="AK97" s="449">
        <f t="shared" si="138"/>
        <v>833.33333333333337</v>
      </c>
      <c r="AL97" s="449">
        <f t="shared" si="138"/>
        <v>833.33333333333337</v>
      </c>
      <c r="AN97" s="500">
        <f t="shared" si="139"/>
        <v>10000</v>
      </c>
      <c r="AO97" s="449">
        <f t="shared" si="140"/>
        <v>10684.925999999999</v>
      </c>
      <c r="AP97" s="449">
        <f t="shared" si="141"/>
        <v>684.92599999999948</v>
      </c>
      <c r="AQ97" s="453">
        <f t="shared" si="142"/>
        <v>6.8492599999999945E-2</v>
      </c>
      <c r="AR97" s="449">
        <f t="shared" si="143"/>
        <v>10684.925999999999</v>
      </c>
      <c r="AS97" s="449">
        <f t="shared" si="144"/>
        <v>0</v>
      </c>
      <c r="AT97" s="426">
        <f t="shared" si="145"/>
        <v>0</v>
      </c>
      <c r="AU97" s="421"/>
      <c r="AV97" s="449">
        <f t="shared" si="146"/>
        <v>0</v>
      </c>
      <c r="AW97" s="449">
        <f t="shared" si="146"/>
        <v>890.41049999999996</v>
      </c>
      <c r="AX97" s="449">
        <f t="shared" si="146"/>
        <v>890.41049999999996</v>
      </c>
      <c r="AY97" s="449">
        <f t="shared" si="146"/>
        <v>890.41049999999996</v>
      </c>
      <c r="AZ97" s="449">
        <f t="shared" si="146"/>
        <v>890.41049999999996</v>
      </c>
      <c r="BA97" s="449">
        <f t="shared" si="146"/>
        <v>890.41049999999996</v>
      </c>
      <c r="BB97" s="449">
        <f t="shared" si="146"/>
        <v>890.41049999999996</v>
      </c>
      <c r="BC97" s="449">
        <f t="shared" si="146"/>
        <v>890.41049999999996</v>
      </c>
      <c r="BD97" s="449">
        <f t="shared" si="146"/>
        <v>890.41049999999996</v>
      </c>
      <c r="BE97" s="449">
        <f t="shared" si="146"/>
        <v>890.41049999999996</v>
      </c>
      <c r="BF97" s="449">
        <f t="shared" si="146"/>
        <v>890.41049999999996</v>
      </c>
      <c r="BG97" s="449">
        <f t="shared" si="146"/>
        <v>1780.8209999999999</v>
      </c>
      <c r="BH97" s="400"/>
      <c r="BI97" s="449">
        <v>0</v>
      </c>
      <c r="BJ97" s="449">
        <f t="shared" ref="BJ97:BS97" si="147">(17808.21/12)*0.6</f>
        <v>890.41049999999996</v>
      </c>
      <c r="BK97" s="449">
        <f t="shared" si="147"/>
        <v>890.41049999999996</v>
      </c>
      <c r="BL97" s="449">
        <f t="shared" si="147"/>
        <v>890.41049999999996</v>
      </c>
      <c r="BM97" s="449">
        <f t="shared" si="147"/>
        <v>890.41049999999996</v>
      </c>
      <c r="BN97" s="449">
        <f t="shared" si="147"/>
        <v>890.41049999999996</v>
      </c>
      <c r="BO97" s="449">
        <f t="shared" si="147"/>
        <v>890.41049999999996</v>
      </c>
      <c r="BP97" s="449">
        <f t="shared" si="147"/>
        <v>890.41049999999996</v>
      </c>
      <c r="BQ97" s="449">
        <f t="shared" si="147"/>
        <v>890.41049999999996</v>
      </c>
      <c r="BR97" s="449">
        <f t="shared" si="147"/>
        <v>890.41049999999996</v>
      </c>
      <c r="BS97" s="449">
        <f t="shared" si="147"/>
        <v>890.41049999999996</v>
      </c>
      <c r="BT97" s="449">
        <f>(17808.21/12)*0.6*2</f>
        <v>1780.8209999999999</v>
      </c>
    </row>
    <row r="98" spans="1:72" ht="15" x14ac:dyDescent="0.25">
      <c r="A98" s="502" t="s">
        <v>150</v>
      </c>
      <c r="B98" s="502" t="s">
        <v>151</v>
      </c>
      <c r="C98" s="630"/>
      <c r="D98" s="500">
        <f t="shared" si="132"/>
        <v>33000</v>
      </c>
      <c r="E98" s="449">
        <v>33000</v>
      </c>
      <c r="F98" s="449">
        <f t="shared" si="133"/>
        <v>0</v>
      </c>
      <c r="G98" s="421">
        <f t="shared" si="134"/>
        <v>0</v>
      </c>
      <c r="H98" s="449">
        <v>33000</v>
      </c>
      <c r="I98" s="449">
        <f t="shared" si="135"/>
        <v>0</v>
      </c>
      <c r="J98" s="426">
        <f t="shared" si="136"/>
        <v>0</v>
      </c>
      <c r="K98" s="421"/>
      <c r="L98" s="449">
        <v>0</v>
      </c>
      <c r="M98" s="449">
        <v>0</v>
      </c>
      <c r="N98" s="449">
        <v>0</v>
      </c>
      <c r="O98" s="449">
        <v>24000</v>
      </c>
      <c r="P98" s="449">
        <v>0</v>
      </c>
      <c r="Q98" s="449">
        <v>0</v>
      </c>
      <c r="R98" s="449">
        <f>($H98-SUM($L98:Q98))/R$694</f>
        <v>1500</v>
      </c>
      <c r="S98" s="449">
        <f>($H98-SUM($L98:R98))/S$694</f>
        <v>1500</v>
      </c>
      <c r="T98" s="449">
        <f>($H98-SUM($L98:S98))/T$694</f>
        <v>1500</v>
      </c>
      <c r="U98" s="449">
        <f>($H98-SUM($L98:T98))/U$694</f>
        <v>1500</v>
      </c>
      <c r="V98" s="449">
        <f>($H98-SUM($L98:U98))/V$694</f>
        <v>1500</v>
      </c>
      <c r="W98" s="449">
        <f>($H98-SUM($L98:V98))/W$694</f>
        <v>1500</v>
      </c>
      <c r="X98" s="449"/>
      <c r="Y98" s="449">
        <f t="shared" si="137"/>
        <v>33000</v>
      </c>
      <c r="Z98" s="531"/>
      <c r="AA98" s="449">
        <f t="shared" si="138"/>
        <v>2750</v>
      </c>
      <c r="AB98" s="449">
        <f t="shared" si="138"/>
        <v>2750</v>
      </c>
      <c r="AC98" s="449">
        <f t="shared" si="138"/>
        <v>2750</v>
      </c>
      <c r="AD98" s="449">
        <f t="shared" si="138"/>
        <v>2750</v>
      </c>
      <c r="AE98" s="449">
        <f t="shared" si="138"/>
        <v>2750</v>
      </c>
      <c r="AF98" s="449">
        <f t="shared" si="138"/>
        <v>2750</v>
      </c>
      <c r="AG98" s="449">
        <f t="shared" si="138"/>
        <v>2750</v>
      </c>
      <c r="AH98" s="449">
        <f t="shared" si="138"/>
        <v>2750</v>
      </c>
      <c r="AI98" s="449">
        <f t="shared" si="138"/>
        <v>2750</v>
      </c>
      <c r="AJ98" s="449">
        <f t="shared" si="138"/>
        <v>2750</v>
      </c>
      <c r="AK98" s="449">
        <f t="shared" si="138"/>
        <v>2750</v>
      </c>
      <c r="AL98" s="449">
        <f t="shared" si="138"/>
        <v>2750</v>
      </c>
      <c r="AN98" s="500">
        <f t="shared" si="139"/>
        <v>33000</v>
      </c>
      <c r="AO98" s="449">
        <f t="shared" si="140"/>
        <v>39000</v>
      </c>
      <c r="AP98" s="449">
        <f t="shared" si="141"/>
        <v>6000</v>
      </c>
      <c r="AQ98" s="453">
        <f t="shared" si="142"/>
        <v>0.18181818181818182</v>
      </c>
      <c r="AR98" s="449">
        <f t="shared" si="143"/>
        <v>39000</v>
      </c>
      <c r="AS98" s="449">
        <f t="shared" si="144"/>
        <v>0</v>
      </c>
      <c r="AT98" s="426">
        <f t="shared" si="145"/>
        <v>0</v>
      </c>
      <c r="AU98" s="421"/>
      <c r="AV98" s="449">
        <f t="shared" si="146"/>
        <v>0</v>
      </c>
      <c r="AW98" s="449">
        <f t="shared" si="146"/>
        <v>0</v>
      </c>
      <c r="AX98" s="449">
        <f t="shared" si="146"/>
        <v>0</v>
      </c>
      <c r="AY98" s="449">
        <f t="shared" si="146"/>
        <v>39000</v>
      </c>
      <c r="AZ98" s="449">
        <f t="shared" si="146"/>
        <v>0</v>
      </c>
      <c r="BA98" s="449">
        <f t="shared" si="146"/>
        <v>0</v>
      </c>
      <c r="BB98" s="449">
        <f t="shared" si="146"/>
        <v>0</v>
      </c>
      <c r="BC98" s="449">
        <f t="shared" si="146"/>
        <v>0</v>
      </c>
      <c r="BD98" s="449">
        <f t="shared" si="146"/>
        <v>0</v>
      </c>
      <c r="BE98" s="449">
        <f t="shared" si="146"/>
        <v>0</v>
      </c>
      <c r="BF98" s="449">
        <f t="shared" si="146"/>
        <v>0</v>
      </c>
      <c r="BG98" s="449">
        <f t="shared" si="146"/>
        <v>0</v>
      </c>
      <c r="BH98" s="400"/>
      <c r="BI98" s="449">
        <v>0</v>
      </c>
      <c r="BJ98" s="449">
        <v>0</v>
      </c>
      <c r="BK98" s="449">
        <v>0</v>
      </c>
      <c r="BL98" s="449">
        <f>SUM('FY19 Staffing V1-1 (3)'!$J$48:$J$61)</f>
        <v>39000</v>
      </c>
      <c r="BM98" s="449">
        <v>0</v>
      </c>
      <c r="BN98" s="449">
        <v>0</v>
      </c>
      <c r="BO98" s="449">
        <v>0</v>
      </c>
      <c r="BP98" s="449">
        <v>0</v>
      </c>
      <c r="BQ98" s="449">
        <v>0</v>
      </c>
      <c r="BR98" s="449">
        <v>0</v>
      </c>
      <c r="BS98" s="449">
        <v>0</v>
      </c>
      <c r="BT98" s="449">
        <v>0</v>
      </c>
    </row>
    <row r="99" spans="1:72" ht="15" x14ac:dyDescent="0.25">
      <c r="A99" s="502" t="s">
        <v>152</v>
      </c>
      <c r="B99" s="502" t="s">
        <v>153</v>
      </c>
      <c r="C99" s="630"/>
      <c r="D99" s="500">
        <f t="shared" si="132"/>
        <v>0</v>
      </c>
      <c r="E99" s="449">
        <v>0</v>
      </c>
      <c r="F99" s="449">
        <f t="shared" si="133"/>
        <v>0</v>
      </c>
      <c r="G99" s="421">
        <f t="shared" si="134"/>
        <v>0</v>
      </c>
      <c r="H99" s="449">
        <v>0</v>
      </c>
      <c r="I99" s="449">
        <f t="shared" si="135"/>
        <v>0</v>
      </c>
      <c r="J99" s="426">
        <f t="shared" si="136"/>
        <v>0</v>
      </c>
      <c r="K99" s="421"/>
      <c r="L99" s="449">
        <v>0</v>
      </c>
      <c r="M99" s="449">
        <v>0</v>
      </c>
      <c r="N99" s="449">
        <v>0</v>
      </c>
      <c r="O99" s="449">
        <v>0</v>
      </c>
      <c r="P99" s="449">
        <v>0</v>
      </c>
      <c r="Q99" s="449">
        <v>0</v>
      </c>
      <c r="R99" s="449">
        <f>($H99-SUM($L99:Q99))/R$694</f>
        <v>0</v>
      </c>
      <c r="S99" s="449">
        <f>($H99-SUM($L99:R99))/S$694</f>
        <v>0</v>
      </c>
      <c r="T99" s="449">
        <f>($H99-SUM($L99:S99))/T$694</f>
        <v>0</v>
      </c>
      <c r="U99" s="449">
        <f>($H99-SUM($L99:T99))/U$694</f>
        <v>0</v>
      </c>
      <c r="V99" s="449">
        <f>($H99-SUM($L99:U99))/V$694</f>
        <v>0</v>
      </c>
      <c r="W99" s="449">
        <f>($H99-SUM($L99:V99))/W$694</f>
        <v>0</v>
      </c>
      <c r="X99" s="449"/>
      <c r="Y99" s="449">
        <f t="shared" si="137"/>
        <v>0</v>
      </c>
      <c r="Z99" s="531"/>
      <c r="AA99" s="449">
        <f t="shared" si="138"/>
        <v>0</v>
      </c>
      <c r="AB99" s="449">
        <f t="shared" si="138"/>
        <v>0</v>
      </c>
      <c r="AC99" s="449">
        <f t="shared" si="138"/>
        <v>0</v>
      </c>
      <c r="AD99" s="449">
        <f t="shared" si="138"/>
        <v>0</v>
      </c>
      <c r="AE99" s="449">
        <f t="shared" si="138"/>
        <v>0</v>
      </c>
      <c r="AF99" s="449">
        <f t="shared" si="138"/>
        <v>0</v>
      </c>
      <c r="AG99" s="449">
        <f t="shared" si="138"/>
        <v>0</v>
      </c>
      <c r="AH99" s="449">
        <f t="shared" si="138"/>
        <v>0</v>
      </c>
      <c r="AI99" s="449">
        <f t="shared" si="138"/>
        <v>0</v>
      </c>
      <c r="AJ99" s="449">
        <f t="shared" si="138"/>
        <v>0</v>
      </c>
      <c r="AK99" s="449">
        <f t="shared" si="138"/>
        <v>0</v>
      </c>
      <c r="AL99" s="449">
        <f t="shared" si="138"/>
        <v>0</v>
      </c>
      <c r="AN99" s="500">
        <f t="shared" si="139"/>
        <v>0</v>
      </c>
      <c r="AO99" s="449">
        <f t="shared" si="140"/>
        <v>0</v>
      </c>
      <c r="AP99" s="449">
        <f t="shared" si="141"/>
        <v>0</v>
      </c>
      <c r="AQ99" s="453" t="str">
        <f t="shared" si="142"/>
        <v>-</v>
      </c>
      <c r="AR99" s="449">
        <f t="shared" si="143"/>
        <v>0</v>
      </c>
      <c r="AS99" s="449">
        <f t="shared" si="144"/>
        <v>0</v>
      </c>
      <c r="AT99" s="426">
        <f t="shared" si="145"/>
        <v>0</v>
      </c>
      <c r="AU99" s="421"/>
      <c r="AV99" s="449">
        <f t="shared" si="146"/>
        <v>0</v>
      </c>
      <c r="AW99" s="449">
        <f t="shared" si="146"/>
        <v>0</v>
      </c>
      <c r="AX99" s="449">
        <f t="shared" si="146"/>
        <v>0</v>
      </c>
      <c r="AY99" s="449">
        <f t="shared" si="146"/>
        <v>0</v>
      </c>
      <c r="AZ99" s="449">
        <f t="shared" si="146"/>
        <v>0</v>
      </c>
      <c r="BA99" s="449">
        <f t="shared" si="146"/>
        <v>0</v>
      </c>
      <c r="BB99" s="449">
        <f t="shared" si="146"/>
        <v>0</v>
      </c>
      <c r="BC99" s="449">
        <f t="shared" si="146"/>
        <v>0</v>
      </c>
      <c r="BD99" s="449">
        <f t="shared" si="146"/>
        <v>0</v>
      </c>
      <c r="BE99" s="449">
        <f t="shared" si="146"/>
        <v>0</v>
      </c>
      <c r="BF99" s="449">
        <f t="shared" si="146"/>
        <v>0</v>
      </c>
      <c r="BG99" s="449">
        <f t="shared" si="146"/>
        <v>0</v>
      </c>
      <c r="BH99" s="400"/>
      <c r="BI99" s="449">
        <v>0</v>
      </c>
      <c r="BJ99" s="449">
        <v>0</v>
      </c>
      <c r="BK99" s="449">
        <v>0</v>
      </c>
      <c r="BL99" s="449">
        <v>0</v>
      </c>
      <c r="BM99" s="449">
        <v>0</v>
      </c>
      <c r="BN99" s="449">
        <v>0</v>
      </c>
      <c r="BO99" s="449">
        <v>0</v>
      </c>
      <c r="BP99" s="449">
        <v>0</v>
      </c>
      <c r="BQ99" s="449">
        <v>0</v>
      </c>
      <c r="BR99" s="449">
        <v>0</v>
      </c>
      <c r="BS99" s="449">
        <v>0</v>
      </c>
      <c r="BT99" s="449">
        <v>0</v>
      </c>
    </row>
    <row r="100" spans="1:72" ht="15" hidden="1" x14ac:dyDescent="0.25">
      <c r="A100" s="502" t="s">
        <v>154</v>
      </c>
      <c r="B100" s="502" t="s">
        <v>155</v>
      </c>
      <c r="C100" s="541"/>
      <c r="D100" s="500">
        <f t="shared" si="132"/>
        <v>0</v>
      </c>
      <c r="E100" s="449">
        <v>0</v>
      </c>
      <c r="F100" s="449">
        <f t="shared" si="133"/>
        <v>0</v>
      </c>
      <c r="G100" s="421">
        <f t="shared" si="134"/>
        <v>0</v>
      </c>
      <c r="H100" s="449">
        <v>0</v>
      </c>
      <c r="I100" s="449">
        <f t="shared" si="135"/>
        <v>0</v>
      </c>
      <c r="J100" s="426">
        <f t="shared" si="136"/>
        <v>0</v>
      </c>
      <c r="K100" s="421"/>
      <c r="L100" s="449">
        <v>0</v>
      </c>
      <c r="M100" s="449">
        <v>0</v>
      </c>
      <c r="N100" s="449">
        <v>0</v>
      </c>
      <c r="O100" s="449">
        <v>0</v>
      </c>
      <c r="P100" s="449">
        <v>0</v>
      </c>
      <c r="Q100" s="449">
        <v>0</v>
      </c>
      <c r="R100" s="449">
        <f>($H100-SUM($L100:Q100))/R$694</f>
        <v>0</v>
      </c>
      <c r="S100" s="449">
        <f>($H100-SUM($L100:R100))/S$694</f>
        <v>0</v>
      </c>
      <c r="T100" s="449">
        <f>($H100-SUM($L100:S100))/T$694</f>
        <v>0</v>
      </c>
      <c r="U100" s="449">
        <f>($H100-SUM($L100:T100))/U$694</f>
        <v>0</v>
      </c>
      <c r="V100" s="449">
        <f>($H100-SUM($L100:U100))/V$694</f>
        <v>0</v>
      </c>
      <c r="W100" s="449">
        <f>($H100-SUM($L100:V100))/W$694</f>
        <v>0</v>
      </c>
      <c r="X100" s="449"/>
      <c r="Y100" s="449">
        <f t="shared" si="137"/>
        <v>0</v>
      </c>
      <c r="Z100" s="531"/>
      <c r="AA100" s="449">
        <f t="shared" si="138"/>
        <v>0</v>
      </c>
      <c r="AB100" s="449">
        <f t="shared" si="138"/>
        <v>0</v>
      </c>
      <c r="AC100" s="449">
        <f t="shared" si="138"/>
        <v>0</v>
      </c>
      <c r="AD100" s="449">
        <f t="shared" si="138"/>
        <v>0</v>
      </c>
      <c r="AE100" s="449">
        <f t="shared" si="138"/>
        <v>0</v>
      </c>
      <c r="AF100" s="449">
        <f t="shared" si="138"/>
        <v>0</v>
      </c>
      <c r="AG100" s="449">
        <f t="shared" si="138"/>
        <v>0</v>
      </c>
      <c r="AH100" s="449">
        <f t="shared" si="138"/>
        <v>0</v>
      </c>
      <c r="AI100" s="449">
        <f t="shared" si="138"/>
        <v>0</v>
      </c>
      <c r="AJ100" s="449">
        <f t="shared" si="138"/>
        <v>0</v>
      </c>
      <c r="AK100" s="449">
        <f t="shared" si="138"/>
        <v>0</v>
      </c>
      <c r="AL100" s="449">
        <f t="shared" si="138"/>
        <v>0</v>
      </c>
      <c r="AN100" s="500">
        <f t="shared" si="139"/>
        <v>0</v>
      </c>
      <c r="AO100" s="449">
        <f t="shared" si="140"/>
        <v>0</v>
      </c>
      <c r="AP100" s="449">
        <f t="shared" si="141"/>
        <v>0</v>
      </c>
      <c r="AQ100" s="453" t="str">
        <f t="shared" si="142"/>
        <v>-</v>
      </c>
      <c r="AR100" s="449">
        <f t="shared" si="143"/>
        <v>0</v>
      </c>
      <c r="AS100" s="449">
        <f t="shared" si="144"/>
        <v>0</v>
      </c>
      <c r="AT100" s="426">
        <f t="shared" si="145"/>
        <v>0</v>
      </c>
      <c r="AU100" s="421"/>
      <c r="AV100" s="449">
        <f t="shared" si="146"/>
        <v>0</v>
      </c>
      <c r="AW100" s="449">
        <f t="shared" si="146"/>
        <v>0</v>
      </c>
      <c r="AX100" s="449">
        <f t="shared" si="146"/>
        <v>0</v>
      </c>
      <c r="AY100" s="449">
        <f t="shared" si="146"/>
        <v>0</v>
      </c>
      <c r="AZ100" s="449">
        <f t="shared" si="146"/>
        <v>0</v>
      </c>
      <c r="BA100" s="449">
        <f t="shared" si="146"/>
        <v>0</v>
      </c>
      <c r="BB100" s="449">
        <f t="shared" si="146"/>
        <v>0</v>
      </c>
      <c r="BC100" s="449">
        <f t="shared" si="146"/>
        <v>0</v>
      </c>
      <c r="BD100" s="449">
        <f t="shared" si="146"/>
        <v>0</v>
      </c>
      <c r="BE100" s="449">
        <f t="shared" si="146"/>
        <v>0</v>
      </c>
      <c r="BF100" s="449">
        <f t="shared" si="146"/>
        <v>0</v>
      </c>
      <c r="BG100" s="449">
        <f t="shared" si="146"/>
        <v>0</v>
      </c>
      <c r="BH100" s="400"/>
      <c r="BI100" s="449">
        <v>0</v>
      </c>
      <c r="BJ100" s="449">
        <v>0</v>
      </c>
      <c r="BK100" s="449">
        <v>0</v>
      </c>
      <c r="BL100" s="449">
        <v>0</v>
      </c>
      <c r="BM100" s="449">
        <v>0</v>
      </c>
      <c r="BN100" s="449">
        <v>0</v>
      </c>
      <c r="BO100" s="449">
        <v>0</v>
      </c>
      <c r="BP100" s="449">
        <v>0</v>
      </c>
      <c r="BQ100" s="449">
        <v>0</v>
      </c>
      <c r="BR100" s="449">
        <v>0</v>
      </c>
      <c r="BS100" s="449">
        <v>0</v>
      </c>
      <c r="BT100" s="449">
        <v>0</v>
      </c>
    </row>
    <row r="101" spans="1:72" ht="15" x14ac:dyDescent="0.25">
      <c r="A101" s="502" t="s">
        <v>156</v>
      </c>
      <c r="B101" s="502" t="s">
        <v>157</v>
      </c>
      <c r="C101" s="541"/>
      <c r="D101" s="500">
        <f t="shared" si="132"/>
        <v>65747</v>
      </c>
      <c r="E101" s="449">
        <v>57668</v>
      </c>
      <c r="F101" s="449">
        <f t="shared" si="133"/>
        <v>8079</v>
      </c>
      <c r="G101" s="421">
        <f t="shared" si="134"/>
        <v>0.14009502670458487</v>
      </c>
      <c r="H101" s="449">
        <v>65747</v>
      </c>
      <c r="I101" s="449">
        <f t="shared" si="135"/>
        <v>0</v>
      </c>
      <c r="J101" s="426">
        <f t="shared" si="136"/>
        <v>0</v>
      </c>
      <c r="K101" s="421"/>
      <c r="L101" s="449">
        <v>58.35</v>
      </c>
      <c r="M101" s="449">
        <v>9540.49</v>
      </c>
      <c r="N101" s="449">
        <v>6394.1399999999994</v>
      </c>
      <c r="O101" s="449">
        <v>9281.0499999999993</v>
      </c>
      <c r="P101" s="449">
        <v>5238.3000000000029</v>
      </c>
      <c r="Q101" s="449">
        <v>5441.2699999999968</v>
      </c>
      <c r="R101" s="449">
        <f>($H101-SUM($L101:Q101))/R$694</f>
        <v>4965.5666666666666</v>
      </c>
      <c r="S101" s="449">
        <f>($H101-SUM($L101:R101))/S$694</f>
        <v>4965.5666666666675</v>
      </c>
      <c r="T101" s="449">
        <f>($H101-SUM($L101:S101))/T$694</f>
        <v>4965.5666666666675</v>
      </c>
      <c r="U101" s="449">
        <f>($H101-SUM($L101:T101))/U$694</f>
        <v>4965.5666666666684</v>
      </c>
      <c r="V101" s="449">
        <f>($H101-SUM($L101:U101))/V$694</f>
        <v>4965.5666666666693</v>
      </c>
      <c r="W101" s="449">
        <f>($H101-SUM($L101:V101))/W$694</f>
        <v>4965.5666666666657</v>
      </c>
      <c r="X101" s="449"/>
      <c r="Y101" s="449">
        <f t="shared" si="137"/>
        <v>65747</v>
      </c>
      <c r="Z101" s="531"/>
      <c r="AA101" s="449">
        <f t="shared" si="138"/>
        <v>5478.916666666667</v>
      </c>
      <c r="AB101" s="449">
        <f t="shared" si="138"/>
        <v>5478.916666666667</v>
      </c>
      <c r="AC101" s="449">
        <f t="shared" si="138"/>
        <v>5478.916666666667</v>
      </c>
      <c r="AD101" s="449">
        <f t="shared" si="138"/>
        <v>5478.916666666667</v>
      </c>
      <c r="AE101" s="449">
        <f t="shared" si="138"/>
        <v>5478.916666666667</v>
      </c>
      <c r="AF101" s="449">
        <f t="shared" si="138"/>
        <v>5478.916666666667</v>
      </c>
      <c r="AG101" s="449">
        <f t="shared" si="138"/>
        <v>5478.916666666667</v>
      </c>
      <c r="AH101" s="449">
        <f t="shared" si="138"/>
        <v>5478.916666666667</v>
      </c>
      <c r="AI101" s="449">
        <f t="shared" si="138"/>
        <v>5478.916666666667</v>
      </c>
      <c r="AJ101" s="449">
        <f t="shared" si="138"/>
        <v>5478.916666666667</v>
      </c>
      <c r="AK101" s="449">
        <f t="shared" si="138"/>
        <v>5478.916666666667</v>
      </c>
      <c r="AL101" s="449">
        <f t="shared" si="138"/>
        <v>5478.916666666667</v>
      </c>
      <c r="AN101" s="500">
        <f t="shared" si="139"/>
        <v>65747</v>
      </c>
      <c r="AO101" s="449">
        <f t="shared" si="140"/>
        <v>56394.049999999996</v>
      </c>
      <c r="AP101" s="449">
        <f t="shared" si="141"/>
        <v>-9352.9500000000044</v>
      </c>
      <c r="AQ101" s="453">
        <f t="shared" si="142"/>
        <v>-0.14225668091319763</v>
      </c>
      <c r="AR101" s="449">
        <f t="shared" si="143"/>
        <v>56394.049999999996</v>
      </c>
      <c r="AS101" s="449">
        <f t="shared" si="144"/>
        <v>0</v>
      </c>
      <c r="AT101" s="426">
        <f t="shared" si="145"/>
        <v>0</v>
      </c>
      <c r="AU101" s="421"/>
      <c r="AV101" s="449">
        <f t="shared" si="146"/>
        <v>0</v>
      </c>
      <c r="AW101" s="449">
        <f t="shared" si="146"/>
        <v>4699.5041666666666</v>
      </c>
      <c r="AX101" s="449">
        <f t="shared" si="146"/>
        <v>4699.5041666666666</v>
      </c>
      <c r="AY101" s="449">
        <f t="shared" si="146"/>
        <v>4699.5041666666666</v>
      </c>
      <c r="AZ101" s="449">
        <f t="shared" si="146"/>
        <v>4699.5041666666666</v>
      </c>
      <c r="BA101" s="449">
        <f t="shared" si="146"/>
        <v>4699.5041666666666</v>
      </c>
      <c r="BB101" s="449">
        <f t="shared" si="146"/>
        <v>4699.5041666666666</v>
      </c>
      <c r="BC101" s="449">
        <f t="shared" si="146"/>
        <v>4699.5041666666666</v>
      </c>
      <c r="BD101" s="449">
        <f t="shared" si="146"/>
        <v>4699.5041666666666</v>
      </c>
      <c r="BE101" s="449">
        <f t="shared" si="146"/>
        <v>4699.5041666666666</v>
      </c>
      <c r="BF101" s="449">
        <f t="shared" si="146"/>
        <v>4699.5041666666666</v>
      </c>
      <c r="BG101" s="449">
        <f t="shared" si="146"/>
        <v>9399.0083333333332</v>
      </c>
      <c r="BH101" s="400"/>
      <c r="BI101" s="449">
        <v>0</v>
      </c>
      <c r="BJ101" s="449">
        <f>SUM('FY19 Staffing V1-1 (3)'!$Q$48:$R$61,'FY19 Staffing V1-1 (3)'!$T$48:$U$61)/12</f>
        <v>4699.5041666666666</v>
      </c>
      <c r="BK101" s="449">
        <f>SUM('FY19 Staffing V1-1 (3)'!$Q$48:$R$61,'FY19 Staffing V1-1 (3)'!$T$48:$U$61)/12</f>
        <v>4699.5041666666666</v>
      </c>
      <c r="BL101" s="449">
        <f>SUM('FY19 Staffing V1-1 (3)'!$Q$48:$R$61,'FY19 Staffing V1-1 (3)'!$T$48:$U$61)/12</f>
        <v>4699.5041666666666</v>
      </c>
      <c r="BM101" s="449">
        <f>SUM('FY19 Staffing V1-1 (3)'!$Q$48:$R$61,'FY19 Staffing V1-1 (3)'!$T$48:$U$61)/12</f>
        <v>4699.5041666666666</v>
      </c>
      <c r="BN101" s="449">
        <f>SUM('FY19 Staffing V1-1 (3)'!$Q$48:$R$61,'FY19 Staffing V1-1 (3)'!$T$48:$U$61)/12</f>
        <v>4699.5041666666666</v>
      </c>
      <c r="BO101" s="449">
        <f>SUM('FY19 Staffing V1-1 (3)'!$Q$48:$R$61,'FY19 Staffing V1-1 (3)'!$T$48:$U$61)/12</f>
        <v>4699.5041666666666</v>
      </c>
      <c r="BP101" s="449">
        <f>SUM('FY19 Staffing V1-1 (3)'!$Q$48:$R$61,'FY19 Staffing V1-1 (3)'!$T$48:$U$61)/12</f>
        <v>4699.5041666666666</v>
      </c>
      <c r="BQ101" s="449">
        <f>SUM('FY19 Staffing V1-1 (3)'!$Q$48:$R$61,'FY19 Staffing V1-1 (3)'!$T$48:$U$61)/12</f>
        <v>4699.5041666666666</v>
      </c>
      <c r="BR101" s="449">
        <f>SUM('FY19 Staffing V1-1 (3)'!$Q$48:$R$61,'FY19 Staffing V1-1 (3)'!$T$48:$U$61)/12</f>
        <v>4699.5041666666666</v>
      </c>
      <c r="BS101" s="449">
        <f>SUM('FY19 Staffing V1-1 (3)'!$Q$48:$R$61,'FY19 Staffing V1-1 (3)'!$T$48:$U$61)/12</f>
        <v>4699.5041666666666</v>
      </c>
      <c r="BT101" s="449">
        <f>SUM('FY19 Staffing V1-1 (3)'!$Q$48:$R$61,'FY19 Staffing V1-1 (3)'!$T$48:$U$61)/12*2</f>
        <v>9399.0083333333332</v>
      </c>
    </row>
    <row r="102" spans="1:72" ht="15" x14ac:dyDescent="0.25">
      <c r="A102" s="537" t="s">
        <v>158</v>
      </c>
      <c r="B102" s="537" t="s">
        <v>106</v>
      </c>
      <c r="C102" s="541"/>
      <c r="D102" s="500">
        <f>SUM(L102:W102)</f>
        <v>0</v>
      </c>
      <c r="E102" s="449">
        <v>0</v>
      </c>
      <c r="F102" s="449">
        <f t="shared" si="133"/>
        <v>0</v>
      </c>
      <c r="G102" s="421">
        <f t="shared" si="134"/>
        <v>0</v>
      </c>
      <c r="H102" s="449">
        <v>0</v>
      </c>
      <c r="I102" s="449">
        <f t="shared" si="135"/>
        <v>0</v>
      </c>
      <c r="J102" s="426">
        <f t="shared" si="136"/>
        <v>0</v>
      </c>
      <c r="K102" s="421"/>
      <c r="L102" s="449">
        <v>0</v>
      </c>
      <c r="M102" s="449">
        <v>0</v>
      </c>
      <c r="N102" s="449">
        <v>0</v>
      </c>
      <c r="O102" s="449">
        <v>0</v>
      </c>
      <c r="P102" s="449">
        <v>0</v>
      </c>
      <c r="Q102" s="449">
        <v>0</v>
      </c>
      <c r="R102" s="449">
        <f>($H102-SUM($L102:Q102))/R$694</f>
        <v>0</v>
      </c>
      <c r="S102" s="449">
        <f>($H102-SUM($L102:R102))/S$694</f>
        <v>0</v>
      </c>
      <c r="T102" s="449">
        <f>($H102-SUM($L102:S102))/T$694</f>
        <v>0</v>
      </c>
      <c r="U102" s="449">
        <f>($H102-SUM($L102:T102))/U$694</f>
        <v>0</v>
      </c>
      <c r="V102" s="449">
        <f>($H102-SUM($L102:U102))/V$694</f>
        <v>0</v>
      </c>
      <c r="W102" s="449">
        <f>($H102-SUM($L102:V102))/W$694</f>
        <v>0</v>
      </c>
      <c r="X102" s="449"/>
      <c r="Y102" s="449">
        <f t="shared" si="137"/>
        <v>0</v>
      </c>
      <c r="Z102" s="531"/>
      <c r="AA102" s="449">
        <f t="shared" si="138"/>
        <v>0</v>
      </c>
      <c r="AB102" s="449">
        <f t="shared" si="138"/>
        <v>0</v>
      </c>
      <c r="AC102" s="449">
        <f t="shared" si="138"/>
        <v>0</v>
      </c>
      <c r="AD102" s="449">
        <f t="shared" si="138"/>
        <v>0</v>
      </c>
      <c r="AE102" s="449">
        <f t="shared" si="138"/>
        <v>0</v>
      </c>
      <c r="AF102" s="449">
        <f t="shared" si="138"/>
        <v>0</v>
      </c>
      <c r="AG102" s="449">
        <f t="shared" si="138"/>
        <v>0</v>
      </c>
      <c r="AH102" s="449">
        <f t="shared" si="138"/>
        <v>0</v>
      </c>
      <c r="AI102" s="449">
        <f t="shared" si="138"/>
        <v>0</v>
      </c>
      <c r="AJ102" s="449">
        <f t="shared" si="138"/>
        <v>0</v>
      </c>
      <c r="AK102" s="449">
        <f t="shared" si="138"/>
        <v>0</v>
      </c>
      <c r="AL102" s="449">
        <f t="shared" si="138"/>
        <v>0</v>
      </c>
      <c r="AN102" s="500">
        <f>SUM(L102:W102)</f>
        <v>0</v>
      </c>
      <c r="AO102" s="449">
        <f>SUM(BI102:BT102)</f>
        <v>4085.0321707317075</v>
      </c>
      <c r="AP102" s="449">
        <f t="shared" si="141"/>
        <v>4085.0321707317075</v>
      </c>
      <c r="AQ102" s="453" t="str">
        <f t="shared" si="142"/>
        <v>-</v>
      </c>
      <c r="AR102" s="449">
        <f t="shared" si="143"/>
        <v>4085.0321707317075</v>
      </c>
      <c r="AS102" s="449">
        <f t="shared" si="144"/>
        <v>0</v>
      </c>
      <c r="AT102" s="426">
        <f t="shared" si="145"/>
        <v>0</v>
      </c>
      <c r="AU102" s="421"/>
      <c r="AV102" s="449">
        <f t="shared" si="146"/>
        <v>0</v>
      </c>
      <c r="AW102" s="449">
        <f t="shared" si="146"/>
        <v>0</v>
      </c>
      <c r="AX102" s="449">
        <f t="shared" si="146"/>
        <v>371.36656097560973</v>
      </c>
      <c r="AY102" s="449">
        <f t="shared" si="146"/>
        <v>371.36656097560973</v>
      </c>
      <c r="AZ102" s="449">
        <f t="shared" si="146"/>
        <v>371.36656097560973</v>
      </c>
      <c r="BA102" s="449">
        <f t="shared" si="146"/>
        <v>371.36656097560973</v>
      </c>
      <c r="BB102" s="449">
        <f t="shared" si="146"/>
        <v>371.36656097560973</v>
      </c>
      <c r="BC102" s="449">
        <f t="shared" si="146"/>
        <v>371.36656097560973</v>
      </c>
      <c r="BD102" s="449">
        <f t="shared" si="146"/>
        <v>371.36656097560973</v>
      </c>
      <c r="BE102" s="449">
        <f t="shared" si="146"/>
        <v>371.36656097560973</v>
      </c>
      <c r="BF102" s="449">
        <f t="shared" si="146"/>
        <v>371.36656097560973</v>
      </c>
      <c r="BG102" s="449">
        <f t="shared" si="146"/>
        <v>742.73312195121946</v>
      </c>
      <c r="BH102" s="400"/>
      <c r="BI102" s="449">
        <v>0</v>
      </c>
      <c r="BJ102" s="449">
        <v>0</v>
      </c>
      <c r="BK102" s="449">
        <f>(SUM('FY19 Staffing V1-1 (3)'!$Q$144:$R$144,'FY19 Staffing V1-1 (3)'!$T$144:$U$144)/10)*(13/41)</f>
        <v>371.36656097560973</v>
      </c>
      <c r="BL102" s="449">
        <f>(SUM('FY19 Staffing V1-1 (3)'!$Q$144:$R$144,'FY19 Staffing V1-1 (3)'!$T$144:$U$144)/10)*(13/41)</f>
        <v>371.36656097560973</v>
      </c>
      <c r="BM102" s="449">
        <f>(SUM('FY19 Staffing V1-1 (3)'!$Q$144:$R$144,'FY19 Staffing V1-1 (3)'!$T$144:$U$144)/10)*(13/41)</f>
        <v>371.36656097560973</v>
      </c>
      <c r="BN102" s="449">
        <f>(SUM('FY19 Staffing V1-1 (3)'!$Q$144:$R$144,'FY19 Staffing V1-1 (3)'!$T$144:$U$144)/10)*(13/41)</f>
        <v>371.36656097560973</v>
      </c>
      <c r="BO102" s="449">
        <f>(SUM('FY19 Staffing V1-1 (3)'!$Q$144:$R$144,'FY19 Staffing V1-1 (3)'!$T$144:$U$144)/10)*(13/41)</f>
        <v>371.36656097560973</v>
      </c>
      <c r="BP102" s="449">
        <f>(SUM('FY19 Staffing V1-1 (3)'!$Q$144:$R$144,'FY19 Staffing V1-1 (3)'!$T$144:$U$144)/10)*(13/41)</f>
        <v>371.36656097560973</v>
      </c>
      <c r="BQ102" s="449">
        <f>(SUM('FY19 Staffing V1-1 (3)'!$Q$144:$R$144,'FY19 Staffing V1-1 (3)'!$T$144:$U$144)/10)*(13/41)</f>
        <v>371.36656097560973</v>
      </c>
      <c r="BR102" s="449">
        <f>(SUM('FY19 Staffing V1-1 (3)'!$Q$144:$R$144,'FY19 Staffing V1-1 (3)'!$T$144:$U$144)/10)*(13/41)</f>
        <v>371.36656097560973</v>
      </c>
      <c r="BS102" s="449">
        <f>(SUM('FY19 Staffing V1-1 (3)'!$Q$144:$R$144,'FY19 Staffing V1-1 (3)'!$T$144:$U$144)/10)*(13/41)</f>
        <v>371.36656097560973</v>
      </c>
      <c r="BT102" s="449">
        <f>(SUM('FY19 Staffing V1-1 (3)'!$Q$144:$R$144,'FY19 Staffing V1-1 (3)'!$T$144:$U$144)/10)*(13/41)*2</f>
        <v>742.73312195121946</v>
      </c>
    </row>
    <row r="103" spans="1:72" ht="15" x14ac:dyDescent="0.25">
      <c r="A103" s="502" t="s">
        <v>159</v>
      </c>
      <c r="B103" s="502" t="s">
        <v>160</v>
      </c>
      <c r="C103" s="541"/>
      <c r="D103" s="500">
        <f t="shared" si="132"/>
        <v>1422</v>
      </c>
      <c r="E103" s="449">
        <v>0</v>
      </c>
      <c r="F103" s="449">
        <f t="shared" si="133"/>
        <v>1422</v>
      </c>
      <c r="G103" s="421">
        <f t="shared" si="134"/>
        <v>0</v>
      </c>
      <c r="H103" s="449">
        <v>1422</v>
      </c>
      <c r="I103" s="449">
        <f t="shared" si="135"/>
        <v>0</v>
      </c>
      <c r="J103" s="426">
        <f t="shared" si="136"/>
        <v>0</v>
      </c>
      <c r="K103" s="421"/>
      <c r="L103" s="449">
        <v>0</v>
      </c>
      <c r="M103" s="449">
        <v>0</v>
      </c>
      <c r="N103" s="449">
        <v>0</v>
      </c>
      <c r="O103" s="449">
        <v>0</v>
      </c>
      <c r="P103" s="449">
        <v>0</v>
      </c>
      <c r="Q103" s="449">
        <v>0</v>
      </c>
      <c r="R103" s="449">
        <f>($H103-SUM($L103:Q103))/R$694</f>
        <v>237</v>
      </c>
      <c r="S103" s="449">
        <f>($H103-SUM($L103:R103))/S$694</f>
        <v>237</v>
      </c>
      <c r="T103" s="449">
        <f>($H103-SUM($L103:S103))/T$694</f>
        <v>237</v>
      </c>
      <c r="U103" s="449">
        <f>($H103-SUM($L103:T103))/U$694</f>
        <v>237</v>
      </c>
      <c r="V103" s="449">
        <f>($H103-SUM($L103:U103))/V$694</f>
        <v>237</v>
      </c>
      <c r="W103" s="449">
        <f>($H103-SUM($L103:V103))/W$694</f>
        <v>237</v>
      </c>
      <c r="X103" s="449"/>
      <c r="Y103" s="449">
        <f t="shared" si="137"/>
        <v>1422</v>
      </c>
      <c r="Z103" s="531"/>
      <c r="AA103" s="449">
        <f t="shared" si="138"/>
        <v>118.5</v>
      </c>
      <c r="AB103" s="449">
        <f t="shared" si="138"/>
        <v>118.5</v>
      </c>
      <c r="AC103" s="449">
        <f t="shared" si="138"/>
        <v>118.5</v>
      </c>
      <c r="AD103" s="449">
        <f t="shared" si="138"/>
        <v>118.5</v>
      </c>
      <c r="AE103" s="449">
        <f t="shared" si="138"/>
        <v>118.5</v>
      </c>
      <c r="AF103" s="449">
        <f t="shared" si="138"/>
        <v>118.5</v>
      </c>
      <c r="AG103" s="449">
        <f t="shared" si="138"/>
        <v>118.5</v>
      </c>
      <c r="AH103" s="449">
        <f t="shared" si="138"/>
        <v>118.5</v>
      </c>
      <c r="AI103" s="449">
        <f t="shared" si="138"/>
        <v>118.5</v>
      </c>
      <c r="AJ103" s="449">
        <f t="shared" si="138"/>
        <v>118.5</v>
      </c>
      <c r="AK103" s="449">
        <f t="shared" si="138"/>
        <v>118.5</v>
      </c>
      <c r="AL103" s="449">
        <f t="shared" si="138"/>
        <v>118.5</v>
      </c>
      <c r="AN103" s="500">
        <f t="shared" si="139"/>
        <v>1422</v>
      </c>
      <c r="AO103" s="449">
        <f>SUM(BI103:BT103)</f>
        <v>3280.1075199999996</v>
      </c>
      <c r="AP103" s="449">
        <f t="shared" si="141"/>
        <v>1858.1075199999996</v>
      </c>
      <c r="AQ103" s="453">
        <f t="shared" si="142"/>
        <v>1.3066860196905763</v>
      </c>
      <c r="AR103" s="449">
        <f t="shared" si="143"/>
        <v>3280.1075199999996</v>
      </c>
      <c r="AS103" s="449">
        <f t="shared" si="144"/>
        <v>0</v>
      </c>
      <c r="AT103" s="426">
        <f t="shared" si="145"/>
        <v>0</v>
      </c>
      <c r="AU103" s="421"/>
      <c r="AV103" s="449">
        <f t="shared" si="146"/>
        <v>0</v>
      </c>
      <c r="AW103" s="449">
        <f t="shared" si="146"/>
        <v>273.34229333333332</v>
      </c>
      <c r="AX103" s="449">
        <f t="shared" si="146"/>
        <v>273.34229333333332</v>
      </c>
      <c r="AY103" s="449">
        <f t="shared" si="146"/>
        <v>273.34229333333332</v>
      </c>
      <c r="AZ103" s="449">
        <f t="shared" si="146"/>
        <v>273.34229333333332</v>
      </c>
      <c r="BA103" s="449">
        <f t="shared" si="146"/>
        <v>273.34229333333332</v>
      </c>
      <c r="BB103" s="449">
        <f t="shared" si="146"/>
        <v>273.34229333333332</v>
      </c>
      <c r="BC103" s="449">
        <f t="shared" si="146"/>
        <v>273.34229333333332</v>
      </c>
      <c r="BD103" s="449">
        <f t="shared" si="146"/>
        <v>273.34229333333332</v>
      </c>
      <c r="BE103" s="449">
        <f t="shared" si="146"/>
        <v>273.34229333333332</v>
      </c>
      <c r="BF103" s="449">
        <f t="shared" si="146"/>
        <v>273.34229333333332</v>
      </c>
      <c r="BG103" s="449">
        <f t="shared" si="146"/>
        <v>546.68458666666663</v>
      </c>
      <c r="BH103" s="400"/>
      <c r="BI103" s="449">
        <v>0</v>
      </c>
      <c r="BJ103" s="449">
        <f>('FY19 Staffing V1-1 (3)'!$Q$175+'FY19 Staffing V1-1 (3)'!$R$175+'FY19 Staffing V1-1 (3)'!$T$175+'FY19 Staffing V1-1 (3)'!$U$175)/12</f>
        <v>273.34229333333332</v>
      </c>
      <c r="BK103" s="449">
        <f>('FY19 Staffing V1-1 (3)'!$Q$175+'FY19 Staffing V1-1 (3)'!$R$175+'FY19 Staffing V1-1 (3)'!$T$175+'FY19 Staffing V1-1 (3)'!$U$175)/12</f>
        <v>273.34229333333332</v>
      </c>
      <c r="BL103" s="449">
        <f>('FY19 Staffing V1-1 (3)'!$Q$175+'FY19 Staffing V1-1 (3)'!$R$175+'FY19 Staffing V1-1 (3)'!$T$175+'FY19 Staffing V1-1 (3)'!$U$175)/12</f>
        <v>273.34229333333332</v>
      </c>
      <c r="BM103" s="449">
        <f>('FY19 Staffing V1-1 (3)'!$Q$175+'FY19 Staffing V1-1 (3)'!$R$175+'FY19 Staffing V1-1 (3)'!$T$175+'FY19 Staffing V1-1 (3)'!$U$175)/12</f>
        <v>273.34229333333332</v>
      </c>
      <c r="BN103" s="449">
        <f>('FY19 Staffing V1-1 (3)'!$Q$175+'FY19 Staffing V1-1 (3)'!$R$175+'FY19 Staffing V1-1 (3)'!$T$175+'FY19 Staffing V1-1 (3)'!$U$175)/12</f>
        <v>273.34229333333332</v>
      </c>
      <c r="BO103" s="449">
        <f>('FY19 Staffing V1-1 (3)'!$Q$175+'FY19 Staffing V1-1 (3)'!$R$175+'FY19 Staffing V1-1 (3)'!$T$175+'FY19 Staffing V1-1 (3)'!$U$175)/12</f>
        <v>273.34229333333332</v>
      </c>
      <c r="BP103" s="449">
        <f>('FY19 Staffing V1-1 (3)'!$Q$175+'FY19 Staffing V1-1 (3)'!$R$175+'FY19 Staffing V1-1 (3)'!$T$175+'FY19 Staffing V1-1 (3)'!$U$175)/12</f>
        <v>273.34229333333332</v>
      </c>
      <c r="BQ103" s="449">
        <f>('FY19 Staffing V1-1 (3)'!$Q$175+'FY19 Staffing V1-1 (3)'!$R$175+'FY19 Staffing V1-1 (3)'!$T$175+'FY19 Staffing V1-1 (3)'!$U$175)/12</f>
        <v>273.34229333333332</v>
      </c>
      <c r="BR103" s="449">
        <f>('FY19 Staffing V1-1 (3)'!$Q$175+'FY19 Staffing V1-1 (3)'!$R$175+'FY19 Staffing V1-1 (3)'!$T$175+'FY19 Staffing V1-1 (3)'!$U$175)/12</f>
        <v>273.34229333333332</v>
      </c>
      <c r="BS103" s="449">
        <f>('FY19 Staffing V1-1 (3)'!$Q$175+'FY19 Staffing V1-1 (3)'!$R$175+'FY19 Staffing V1-1 (3)'!$T$175+'FY19 Staffing V1-1 (3)'!$U$175)/12</f>
        <v>273.34229333333332</v>
      </c>
      <c r="BT103" s="449">
        <f>('FY19 Staffing V1-1 (3)'!$Q$175+'FY19 Staffing V1-1 (3)'!$R$175+'FY19 Staffing V1-1 (3)'!$T$175+'FY19 Staffing V1-1 (3)'!$U$175)/12*2</f>
        <v>546.68458666666663</v>
      </c>
    </row>
    <row r="104" spans="1:72" ht="15" x14ac:dyDescent="0.25">
      <c r="A104" s="502" t="s">
        <v>161</v>
      </c>
      <c r="B104" s="502" t="s">
        <v>162</v>
      </c>
      <c r="C104" s="541"/>
      <c r="D104" s="500">
        <f t="shared" si="132"/>
        <v>55923</v>
      </c>
      <c r="E104" s="449">
        <v>61835</v>
      </c>
      <c r="F104" s="449">
        <f t="shared" si="133"/>
        <v>-5912</v>
      </c>
      <c r="G104" s="421">
        <f t="shared" si="134"/>
        <v>-9.5609282768658529E-2</v>
      </c>
      <c r="H104" s="449">
        <v>55923</v>
      </c>
      <c r="I104" s="449">
        <f t="shared" si="135"/>
        <v>0</v>
      </c>
      <c r="J104" s="426">
        <f t="shared" si="136"/>
        <v>0</v>
      </c>
      <c r="K104" s="421"/>
      <c r="L104" s="449">
        <v>255.74</v>
      </c>
      <c r="M104" s="449">
        <v>4886.29</v>
      </c>
      <c r="N104" s="449">
        <v>8000.6500000000005</v>
      </c>
      <c r="O104" s="449">
        <v>13542.14</v>
      </c>
      <c r="P104" s="449">
        <v>7103.5500000000029</v>
      </c>
      <c r="Q104" s="449">
        <v>6330.4099999999962</v>
      </c>
      <c r="R104" s="449">
        <f>($H104-SUM($L104:Q104))/R$694</f>
        <v>2634.0366666666669</v>
      </c>
      <c r="S104" s="449">
        <f>($H104-SUM($L104:R104))/S$694</f>
        <v>2634.0366666666669</v>
      </c>
      <c r="T104" s="449">
        <f>($H104-SUM($L104:S104))/T$694</f>
        <v>2634.0366666666669</v>
      </c>
      <c r="U104" s="449">
        <f>($H104-SUM($L104:T104))/U$694</f>
        <v>2634.0366666666669</v>
      </c>
      <c r="V104" s="449">
        <f>($H104-SUM($L104:U104))/V$694</f>
        <v>2634.0366666666669</v>
      </c>
      <c r="W104" s="449">
        <f>($H104-SUM($L104:V104))/W$694</f>
        <v>2634.0366666666669</v>
      </c>
      <c r="X104" s="449"/>
      <c r="Y104" s="449">
        <f t="shared" si="137"/>
        <v>55923</v>
      </c>
      <c r="Z104" s="531"/>
      <c r="AA104" s="449">
        <f t="shared" si="138"/>
        <v>4660.25</v>
      </c>
      <c r="AB104" s="449">
        <f t="shared" si="138"/>
        <v>4660.25</v>
      </c>
      <c r="AC104" s="449">
        <f t="shared" si="138"/>
        <v>4660.25</v>
      </c>
      <c r="AD104" s="449">
        <f t="shared" si="138"/>
        <v>4660.25</v>
      </c>
      <c r="AE104" s="449">
        <f t="shared" si="138"/>
        <v>4660.25</v>
      </c>
      <c r="AF104" s="449">
        <f t="shared" si="138"/>
        <v>4660.25</v>
      </c>
      <c r="AG104" s="449">
        <f t="shared" si="138"/>
        <v>4660.25</v>
      </c>
      <c r="AH104" s="449">
        <f t="shared" si="138"/>
        <v>4660.25</v>
      </c>
      <c r="AI104" s="449">
        <f t="shared" si="138"/>
        <v>4660.25</v>
      </c>
      <c r="AJ104" s="449">
        <f t="shared" si="138"/>
        <v>4660.25</v>
      </c>
      <c r="AK104" s="449">
        <f t="shared" si="138"/>
        <v>4660.25</v>
      </c>
      <c r="AL104" s="449">
        <f t="shared" si="138"/>
        <v>4660.25</v>
      </c>
      <c r="AN104" s="500">
        <f t="shared" si="139"/>
        <v>55923</v>
      </c>
      <c r="AO104" s="449">
        <f t="shared" si="140"/>
        <v>73690.965723480025</v>
      </c>
      <c r="AP104" s="449">
        <f t="shared" si="141"/>
        <v>17767.965723480025</v>
      </c>
      <c r="AQ104" s="453">
        <f t="shared" si="142"/>
        <v>0.31772196991363172</v>
      </c>
      <c r="AR104" s="449">
        <f t="shared" si="143"/>
        <v>73690.965723480025</v>
      </c>
      <c r="AS104" s="449">
        <f t="shared" si="144"/>
        <v>0</v>
      </c>
      <c r="AT104" s="426">
        <f t="shared" si="145"/>
        <v>0</v>
      </c>
      <c r="AU104" s="421"/>
      <c r="AV104" s="449">
        <f t="shared" si="146"/>
        <v>0</v>
      </c>
      <c r="AW104" s="449">
        <f t="shared" si="146"/>
        <v>6140.9138102900006</v>
      </c>
      <c r="AX104" s="449">
        <f t="shared" si="146"/>
        <v>6140.9138102900006</v>
      </c>
      <c r="AY104" s="449">
        <f t="shared" si="146"/>
        <v>6140.9138102900006</v>
      </c>
      <c r="AZ104" s="449">
        <f t="shared" si="146"/>
        <v>6140.9138102900006</v>
      </c>
      <c r="BA104" s="449">
        <f t="shared" si="146"/>
        <v>6140.9138102900006</v>
      </c>
      <c r="BB104" s="449">
        <f t="shared" si="146"/>
        <v>6140.9138102900006</v>
      </c>
      <c r="BC104" s="449">
        <f t="shared" si="146"/>
        <v>6140.9138102900006</v>
      </c>
      <c r="BD104" s="449">
        <f t="shared" si="146"/>
        <v>6140.9138102900006</v>
      </c>
      <c r="BE104" s="449">
        <f t="shared" si="146"/>
        <v>6140.9138102900006</v>
      </c>
      <c r="BF104" s="449">
        <f t="shared" si="146"/>
        <v>6140.9138102900006</v>
      </c>
      <c r="BG104" s="449">
        <f t="shared" si="146"/>
        <v>12281.827620580001</v>
      </c>
      <c r="BH104" s="400"/>
      <c r="BI104" s="449">
        <v>0</v>
      </c>
      <c r="BJ104" s="449">
        <f>SUM('FY19 Staffing V1-1 (3)'!$W$48:$W$61,'FY19 Staffing V1-1 (3)'!$W$63)/12</f>
        <v>6140.9138102900006</v>
      </c>
      <c r="BK104" s="449">
        <f>SUM('FY19 Staffing V1-1 (3)'!$W$48:$W$61,'FY19 Staffing V1-1 (3)'!$W$63)/12</f>
        <v>6140.9138102900006</v>
      </c>
      <c r="BL104" s="449">
        <f>SUM('FY19 Staffing V1-1 (3)'!$W$48:$W$61,'FY19 Staffing V1-1 (3)'!$W$63)/12</f>
        <v>6140.9138102900006</v>
      </c>
      <c r="BM104" s="449">
        <f>SUM('FY19 Staffing V1-1 (3)'!$W$48:$W$61,'FY19 Staffing V1-1 (3)'!$W$63)/12</f>
        <v>6140.9138102900006</v>
      </c>
      <c r="BN104" s="449">
        <f>SUM('FY19 Staffing V1-1 (3)'!$W$48:$W$61,'FY19 Staffing V1-1 (3)'!$W$63)/12</f>
        <v>6140.9138102900006</v>
      </c>
      <c r="BO104" s="449">
        <f>SUM('FY19 Staffing V1-1 (3)'!$W$48:$W$61,'FY19 Staffing V1-1 (3)'!$W$63)/12</f>
        <v>6140.9138102900006</v>
      </c>
      <c r="BP104" s="449">
        <f>SUM('FY19 Staffing V1-1 (3)'!$W$48:$W$61,'FY19 Staffing V1-1 (3)'!$W$63)/12</f>
        <v>6140.9138102900006</v>
      </c>
      <c r="BQ104" s="449">
        <f>SUM('FY19 Staffing V1-1 (3)'!$W$48:$W$61,'FY19 Staffing V1-1 (3)'!$W$63)/12</f>
        <v>6140.9138102900006</v>
      </c>
      <c r="BR104" s="449">
        <f>SUM('FY19 Staffing V1-1 (3)'!$W$48:$W$61,'FY19 Staffing V1-1 (3)'!$W$63)/12</f>
        <v>6140.9138102900006</v>
      </c>
      <c r="BS104" s="449">
        <f>SUM('FY19 Staffing V1-1 (3)'!$W$48:$W$61,'FY19 Staffing V1-1 (3)'!$W$63)/12</f>
        <v>6140.9138102900006</v>
      </c>
      <c r="BT104" s="449">
        <f>SUM('FY19 Staffing V1-1 (3)'!$W$48:$W$61,'FY19 Staffing V1-1 (3)'!$W$63)/12*2</f>
        <v>12281.827620580001</v>
      </c>
    </row>
    <row r="105" spans="1:72" ht="15" x14ac:dyDescent="0.25">
      <c r="A105" s="502" t="s">
        <v>163</v>
      </c>
      <c r="B105" s="502" t="s">
        <v>164</v>
      </c>
      <c r="C105" s="541"/>
      <c r="D105" s="500">
        <f t="shared" si="132"/>
        <v>0</v>
      </c>
      <c r="E105" s="449">
        <v>0</v>
      </c>
      <c r="F105" s="449">
        <f t="shared" si="133"/>
        <v>0</v>
      </c>
      <c r="G105" s="421">
        <f t="shared" si="134"/>
        <v>0</v>
      </c>
      <c r="H105" s="449">
        <v>0</v>
      </c>
      <c r="I105" s="449">
        <f t="shared" si="135"/>
        <v>0</v>
      </c>
      <c r="J105" s="426">
        <f t="shared" si="136"/>
        <v>0</v>
      </c>
      <c r="K105" s="421"/>
      <c r="L105" s="449">
        <v>0</v>
      </c>
      <c r="M105" s="449">
        <v>0</v>
      </c>
      <c r="N105" s="449">
        <v>0</v>
      </c>
      <c r="O105" s="449">
        <v>0</v>
      </c>
      <c r="P105" s="449">
        <v>0</v>
      </c>
      <c r="Q105" s="449">
        <v>0</v>
      </c>
      <c r="R105" s="449">
        <f>($H105-SUM($L105:Q105))/R$694</f>
        <v>0</v>
      </c>
      <c r="S105" s="449">
        <f>($H105-SUM($L105:R105))/S$694</f>
        <v>0</v>
      </c>
      <c r="T105" s="449">
        <f>($H105-SUM($L105:S105))/T$694</f>
        <v>0</v>
      </c>
      <c r="U105" s="449">
        <f>($H105-SUM($L105:T105))/U$694</f>
        <v>0</v>
      </c>
      <c r="V105" s="449">
        <f>($H105-SUM($L105:U105))/V$694</f>
        <v>0</v>
      </c>
      <c r="W105" s="449">
        <f>($H105-SUM($L105:V105))/W$694</f>
        <v>0</v>
      </c>
      <c r="X105" s="449"/>
      <c r="Y105" s="449">
        <f t="shared" si="137"/>
        <v>0</v>
      </c>
      <c r="Z105" s="531"/>
      <c r="AA105" s="449">
        <f t="shared" si="138"/>
        <v>0</v>
      </c>
      <c r="AB105" s="449">
        <f t="shared" si="138"/>
        <v>0</v>
      </c>
      <c r="AC105" s="449">
        <f t="shared" si="138"/>
        <v>0</v>
      </c>
      <c r="AD105" s="449">
        <f t="shared" si="138"/>
        <v>0</v>
      </c>
      <c r="AE105" s="449">
        <f t="shared" si="138"/>
        <v>0</v>
      </c>
      <c r="AF105" s="449">
        <f t="shared" si="138"/>
        <v>0</v>
      </c>
      <c r="AG105" s="449">
        <f t="shared" si="138"/>
        <v>0</v>
      </c>
      <c r="AH105" s="449">
        <f t="shared" si="138"/>
        <v>0</v>
      </c>
      <c r="AI105" s="449">
        <f t="shared" si="138"/>
        <v>0</v>
      </c>
      <c r="AJ105" s="449">
        <f t="shared" si="138"/>
        <v>0</v>
      </c>
      <c r="AK105" s="449">
        <f t="shared" si="138"/>
        <v>0</v>
      </c>
      <c r="AL105" s="449">
        <f t="shared" si="138"/>
        <v>0</v>
      </c>
      <c r="AN105" s="500">
        <f t="shared" si="139"/>
        <v>0</v>
      </c>
      <c r="AO105" s="449">
        <f>SUM(BI105:BT105)</f>
        <v>3309.5399680000005</v>
      </c>
      <c r="AP105" s="449">
        <f t="shared" si="141"/>
        <v>3309.5399680000005</v>
      </c>
      <c r="AQ105" s="453" t="str">
        <f t="shared" si="142"/>
        <v>-</v>
      </c>
      <c r="AR105" s="449">
        <f t="shared" si="143"/>
        <v>3309.5399680000005</v>
      </c>
      <c r="AS105" s="449">
        <f t="shared" si="144"/>
        <v>0</v>
      </c>
      <c r="AT105" s="426">
        <f t="shared" si="145"/>
        <v>0</v>
      </c>
      <c r="AU105" s="421"/>
      <c r="AV105" s="449">
        <f t="shared" si="146"/>
        <v>0</v>
      </c>
      <c r="AW105" s="449">
        <f t="shared" si="146"/>
        <v>275.79499733333336</v>
      </c>
      <c r="AX105" s="449">
        <f t="shared" si="146"/>
        <v>275.79499733333336</v>
      </c>
      <c r="AY105" s="449">
        <f t="shared" si="146"/>
        <v>275.79499733333336</v>
      </c>
      <c r="AZ105" s="449">
        <f t="shared" si="146"/>
        <v>275.79499733333336</v>
      </c>
      <c r="BA105" s="449">
        <f t="shared" si="146"/>
        <v>275.79499733333336</v>
      </c>
      <c r="BB105" s="449">
        <f t="shared" si="146"/>
        <v>275.79499733333336</v>
      </c>
      <c r="BC105" s="449">
        <f t="shared" si="146"/>
        <v>275.79499733333336</v>
      </c>
      <c r="BD105" s="449">
        <f t="shared" si="146"/>
        <v>275.79499733333336</v>
      </c>
      <c r="BE105" s="449">
        <f t="shared" si="146"/>
        <v>275.79499733333336</v>
      </c>
      <c r="BF105" s="449">
        <f t="shared" si="146"/>
        <v>275.79499733333336</v>
      </c>
      <c r="BG105" s="449">
        <f t="shared" si="146"/>
        <v>551.58999466666671</v>
      </c>
      <c r="BH105" s="400"/>
      <c r="BI105" s="449">
        <v>0</v>
      </c>
      <c r="BJ105" s="449">
        <f>('FY19 Staffing V1-1 (3)'!$W$175)/12</f>
        <v>275.79499733333336</v>
      </c>
      <c r="BK105" s="449">
        <f>('FY19 Staffing V1-1 (3)'!$W$175)/12</f>
        <v>275.79499733333336</v>
      </c>
      <c r="BL105" s="449">
        <f>('FY19 Staffing V1-1 (3)'!$W$175)/12</f>
        <v>275.79499733333336</v>
      </c>
      <c r="BM105" s="449">
        <f>('FY19 Staffing V1-1 (3)'!$W$175)/12</f>
        <v>275.79499733333336</v>
      </c>
      <c r="BN105" s="449">
        <f>('FY19 Staffing V1-1 (3)'!$W$175)/12</f>
        <v>275.79499733333336</v>
      </c>
      <c r="BO105" s="449">
        <f>('FY19 Staffing V1-1 (3)'!$W$175)/12</f>
        <v>275.79499733333336</v>
      </c>
      <c r="BP105" s="449">
        <f>('FY19 Staffing V1-1 (3)'!$W$175)/12</f>
        <v>275.79499733333336</v>
      </c>
      <c r="BQ105" s="449">
        <f>('FY19 Staffing V1-1 (3)'!$W$175)/12</f>
        <v>275.79499733333336</v>
      </c>
      <c r="BR105" s="449">
        <f>('FY19 Staffing V1-1 (3)'!$W$175)/12</f>
        <v>275.79499733333336</v>
      </c>
      <c r="BS105" s="449">
        <f>('FY19 Staffing V1-1 (3)'!$W$175)/12</f>
        <v>275.79499733333336</v>
      </c>
      <c r="BT105" s="449">
        <f>('FY19 Staffing V1-1 (3)'!$W$175)/12*2</f>
        <v>551.58999466666671</v>
      </c>
    </row>
    <row r="106" spans="1:72" ht="15" hidden="1" x14ac:dyDescent="0.25">
      <c r="A106" s="502" t="s">
        <v>165</v>
      </c>
      <c r="B106" s="502" t="s">
        <v>166</v>
      </c>
      <c r="C106" s="541"/>
      <c r="D106" s="500">
        <f t="shared" si="132"/>
        <v>0</v>
      </c>
      <c r="E106" s="449">
        <v>0</v>
      </c>
      <c r="F106" s="449">
        <f t="shared" si="133"/>
        <v>0</v>
      </c>
      <c r="G106" s="421">
        <f t="shared" si="134"/>
        <v>0</v>
      </c>
      <c r="H106" s="449">
        <v>0</v>
      </c>
      <c r="I106" s="449">
        <f t="shared" si="135"/>
        <v>0</v>
      </c>
      <c r="J106" s="426">
        <f t="shared" si="136"/>
        <v>0</v>
      </c>
      <c r="K106" s="421"/>
      <c r="L106" s="449">
        <v>0</v>
      </c>
      <c r="M106" s="449">
        <v>0</v>
      </c>
      <c r="N106" s="449">
        <v>0</v>
      </c>
      <c r="O106" s="449">
        <v>0</v>
      </c>
      <c r="P106" s="449">
        <v>0</v>
      </c>
      <c r="Q106" s="449">
        <v>0</v>
      </c>
      <c r="R106" s="449">
        <f>($H106-SUM($L106:Q106))/R$694</f>
        <v>0</v>
      </c>
      <c r="S106" s="449">
        <f>($H106-SUM($L106:R106))/S$694</f>
        <v>0</v>
      </c>
      <c r="T106" s="449">
        <f>($H106-SUM($L106:S106))/T$694</f>
        <v>0</v>
      </c>
      <c r="U106" s="449">
        <f>($H106-SUM($L106:T106))/U$694</f>
        <v>0</v>
      </c>
      <c r="V106" s="449">
        <f>($H106-SUM($L106:U106))/V$694</f>
        <v>0</v>
      </c>
      <c r="W106" s="449">
        <f>($H106-SUM($L106:V106))/W$694</f>
        <v>0</v>
      </c>
      <c r="X106" s="449"/>
      <c r="Y106" s="449">
        <f t="shared" si="137"/>
        <v>0</v>
      </c>
      <c r="Z106" s="531"/>
      <c r="AA106" s="449">
        <f t="shared" si="138"/>
        <v>0</v>
      </c>
      <c r="AB106" s="449">
        <f t="shared" si="138"/>
        <v>0</v>
      </c>
      <c r="AC106" s="449">
        <f t="shared" si="138"/>
        <v>0</v>
      </c>
      <c r="AD106" s="449">
        <f t="shared" si="138"/>
        <v>0</v>
      </c>
      <c r="AE106" s="449">
        <f t="shared" si="138"/>
        <v>0</v>
      </c>
      <c r="AF106" s="449">
        <f t="shared" si="138"/>
        <v>0</v>
      </c>
      <c r="AG106" s="449">
        <f t="shared" si="138"/>
        <v>0</v>
      </c>
      <c r="AH106" s="449">
        <f t="shared" si="138"/>
        <v>0</v>
      </c>
      <c r="AI106" s="449">
        <f t="shared" si="138"/>
        <v>0</v>
      </c>
      <c r="AJ106" s="449">
        <f t="shared" si="138"/>
        <v>0</v>
      </c>
      <c r="AK106" s="449">
        <f t="shared" si="138"/>
        <v>0</v>
      </c>
      <c r="AL106" s="449">
        <f t="shared" si="138"/>
        <v>0</v>
      </c>
      <c r="AN106" s="500">
        <f t="shared" si="139"/>
        <v>0</v>
      </c>
      <c r="AO106" s="449">
        <f t="shared" si="140"/>
        <v>0</v>
      </c>
      <c r="AP106" s="449">
        <f t="shared" si="141"/>
        <v>0</v>
      </c>
      <c r="AQ106" s="453" t="str">
        <f t="shared" si="142"/>
        <v>-</v>
      </c>
      <c r="AR106" s="449">
        <f t="shared" si="143"/>
        <v>0</v>
      </c>
      <c r="AS106" s="449">
        <f t="shared" si="144"/>
        <v>0</v>
      </c>
      <c r="AT106" s="426">
        <f t="shared" si="145"/>
        <v>0</v>
      </c>
      <c r="AU106" s="421"/>
      <c r="AV106" s="449">
        <f t="shared" si="146"/>
        <v>0</v>
      </c>
      <c r="AW106" s="449">
        <f t="shared" si="146"/>
        <v>0</v>
      </c>
      <c r="AX106" s="449">
        <f t="shared" si="146"/>
        <v>0</v>
      </c>
      <c r="AY106" s="449">
        <f t="shared" si="146"/>
        <v>0</v>
      </c>
      <c r="AZ106" s="449">
        <f t="shared" si="146"/>
        <v>0</v>
      </c>
      <c r="BA106" s="449">
        <f t="shared" si="146"/>
        <v>0</v>
      </c>
      <c r="BB106" s="449">
        <f t="shared" si="146"/>
        <v>0</v>
      </c>
      <c r="BC106" s="449">
        <f t="shared" si="146"/>
        <v>0</v>
      </c>
      <c r="BD106" s="449">
        <f t="shared" si="146"/>
        <v>0</v>
      </c>
      <c r="BE106" s="449">
        <f t="shared" si="146"/>
        <v>0</v>
      </c>
      <c r="BF106" s="449">
        <f t="shared" si="146"/>
        <v>0</v>
      </c>
      <c r="BG106" s="449">
        <f t="shared" si="146"/>
        <v>0</v>
      </c>
      <c r="BH106" s="400"/>
      <c r="BI106" s="449">
        <v>0</v>
      </c>
      <c r="BJ106" s="449">
        <v>0</v>
      </c>
      <c r="BK106" s="449">
        <v>0</v>
      </c>
      <c r="BL106" s="449">
        <v>0</v>
      </c>
      <c r="BM106" s="449">
        <v>0</v>
      </c>
      <c r="BN106" s="449">
        <v>0</v>
      </c>
      <c r="BO106" s="449">
        <v>0</v>
      </c>
      <c r="BP106" s="449">
        <v>0</v>
      </c>
      <c r="BQ106" s="449">
        <v>0</v>
      </c>
      <c r="BR106" s="449">
        <v>0</v>
      </c>
      <c r="BS106" s="449">
        <v>0</v>
      </c>
      <c r="BT106" s="449">
        <v>0</v>
      </c>
    </row>
    <row r="107" spans="1:72" ht="15" hidden="1" x14ac:dyDescent="0.25">
      <c r="A107" s="502" t="s">
        <v>167</v>
      </c>
      <c r="B107" s="502" t="s">
        <v>168</v>
      </c>
      <c r="C107" s="541"/>
      <c r="D107" s="500">
        <f t="shared" si="132"/>
        <v>0</v>
      </c>
      <c r="E107" s="449">
        <v>0</v>
      </c>
      <c r="F107" s="449">
        <f t="shared" si="133"/>
        <v>0</v>
      </c>
      <c r="G107" s="421">
        <f t="shared" si="134"/>
        <v>0</v>
      </c>
      <c r="H107" s="449">
        <v>0</v>
      </c>
      <c r="I107" s="449">
        <f t="shared" si="135"/>
        <v>0</v>
      </c>
      <c r="J107" s="426">
        <f t="shared" si="136"/>
        <v>0</v>
      </c>
      <c r="K107" s="421"/>
      <c r="L107" s="449">
        <v>0</v>
      </c>
      <c r="M107" s="449">
        <v>0</v>
      </c>
      <c r="N107" s="449">
        <v>0</v>
      </c>
      <c r="O107" s="449">
        <v>0</v>
      </c>
      <c r="P107" s="449">
        <v>0</v>
      </c>
      <c r="Q107" s="449">
        <v>0</v>
      </c>
      <c r="R107" s="449">
        <f>($H107-SUM($L107:Q107))/R$694</f>
        <v>0</v>
      </c>
      <c r="S107" s="449">
        <f>($H107-SUM($L107:R107))/S$694</f>
        <v>0</v>
      </c>
      <c r="T107" s="449">
        <f>($H107-SUM($L107:S107))/T$694</f>
        <v>0</v>
      </c>
      <c r="U107" s="449">
        <f>($H107-SUM($L107:T107))/U$694</f>
        <v>0</v>
      </c>
      <c r="V107" s="449">
        <f>($H107-SUM($L107:U107))/V$694</f>
        <v>0</v>
      </c>
      <c r="W107" s="449">
        <f>($H107-SUM($L107:V107))/W$694</f>
        <v>0</v>
      </c>
      <c r="X107" s="449"/>
      <c r="Y107" s="449">
        <f t="shared" si="137"/>
        <v>0</v>
      </c>
      <c r="Z107" s="531"/>
      <c r="AA107" s="449">
        <f t="shared" si="138"/>
        <v>0</v>
      </c>
      <c r="AB107" s="449">
        <f t="shared" si="138"/>
        <v>0</v>
      </c>
      <c r="AC107" s="449">
        <f t="shared" si="138"/>
        <v>0</v>
      </c>
      <c r="AD107" s="449">
        <f t="shared" si="138"/>
        <v>0</v>
      </c>
      <c r="AE107" s="449">
        <f t="shared" si="138"/>
        <v>0</v>
      </c>
      <c r="AF107" s="449">
        <f t="shared" si="138"/>
        <v>0</v>
      </c>
      <c r="AG107" s="449">
        <f t="shared" si="138"/>
        <v>0</v>
      </c>
      <c r="AH107" s="449">
        <f t="shared" si="138"/>
        <v>0</v>
      </c>
      <c r="AI107" s="449">
        <f t="shared" si="138"/>
        <v>0</v>
      </c>
      <c r="AJ107" s="449">
        <f t="shared" si="138"/>
        <v>0</v>
      </c>
      <c r="AK107" s="449">
        <f t="shared" si="138"/>
        <v>0</v>
      </c>
      <c r="AL107" s="449">
        <f t="shared" si="138"/>
        <v>0</v>
      </c>
      <c r="AN107" s="500">
        <f t="shared" si="139"/>
        <v>0</v>
      </c>
      <c r="AO107" s="449">
        <f t="shared" si="140"/>
        <v>0</v>
      </c>
      <c r="AP107" s="449">
        <f t="shared" si="141"/>
        <v>0</v>
      </c>
      <c r="AQ107" s="453" t="str">
        <f t="shared" si="142"/>
        <v>-</v>
      </c>
      <c r="AR107" s="449">
        <f t="shared" si="143"/>
        <v>0</v>
      </c>
      <c r="AS107" s="449">
        <f t="shared" si="144"/>
        <v>0</v>
      </c>
      <c r="AT107" s="426">
        <f t="shared" si="145"/>
        <v>0</v>
      </c>
      <c r="AU107" s="421"/>
      <c r="AV107" s="449">
        <f t="shared" si="146"/>
        <v>0</v>
      </c>
      <c r="AW107" s="449">
        <f t="shared" si="146"/>
        <v>0</v>
      </c>
      <c r="AX107" s="449">
        <f t="shared" si="146"/>
        <v>0</v>
      </c>
      <c r="AY107" s="449">
        <f t="shared" si="146"/>
        <v>0</v>
      </c>
      <c r="AZ107" s="449">
        <f t="shared" si="146"/>
        <v>0</v>
      </c>
      <c r="BA107" s="449">
        <f t="shared" si="146"/>
        <v>0</v>
      </c>
      <c r="BB107" s="449">
        <f t="shared" si="146"/>
        <v>0</v>
      </c>
      <c r="BC107" s="449">
        <f t="shared" si="146"/>
        <v>0</v>
      </c>
      <c r="BD107" s="449">
        <f t="shared" si="146"/>
        <v>0</v>
      </c>
      <c r="BE107" s="449">
        <f t="shared" si="146"/>
        <v>0</v>
      </c>
      <c r="BF107" s="449">
        <f t="shared" si="146"/>
        <v>0</v>
      </c>
      <c r="BG107" s="449">
        <f t="shared" si="146"/>
        <v>0</v>
      </c>
      <c r="BH107" s="400"/>
      <c r="BI107" s="449">
        <v>0</v>
      </c>
      <c r="BJ107" s="449">
        <v>0</v>
      </c>
      <c r="BK107" s="449">
        <v>0</v>
      </c>
      <c r="BL107" s="449">
        <v>0</v>
      </c>
      <c r="BM107" s="449">
        <v>0</v>
      </c>
      <c r="BN107" s="449">
        <v>0</v>
      </c>
      <c r="BO107" s="449">
        <v>0</v>
      </c>
      <c r="BP107" s="449">
        <v>0</v>
      </c>
      <c r="BQ107" s="449">
        <v>0</v>
      </c>
      <c r="BR107" s="449">
        <v>0</v>
      </c>
      <c r="BS107" s="449">
        <v>0</v>
      </c>
      <c r="BT107" s="449">
        <v>0</v>
      </c>
    </row>
    <row r="108" spans="1:72" ht="15" hidden="1" x14ac:dyDescent="0.25">
      <c r="A108" s="502" t="s">
        <v>169</v>
      </c>
      <c r="B108" s="502" t="s">
        <v>170</v>
      </c>
      <c r="C108" s="541"/>
      <c r="D108" s="500">
        <f t="shared" si="132"/>
        <v>0</v>
      </c>
      <c r="E108" s="449">
        <v>0</v>
      </c>
      <c r="F108" s="449">
        <f t="shared" si="133"/>
        <v>0</v>
      </c>
      <c r="G108" s="421">
        <f t="shared" si="134"/>
        <v>0</v>
      </c>
      <c r="H108" s="449">
        <v>0</v>
      </c>
      <c r="I108" s="449">
        <f t="shared" si="135"/>
        <v>0</v>
      </c>
      <c r="J108" s="426">
        <f t="shared" si="136"/>
        <v>0</v>
      </c>
      <c r="K108" s="421"/>
      <c r="L108" s="449">
        <v>0</v>
      </c>
      <c r="M108" s="449">
        <v>0</v>
      </c>
      <c r="N108" s="449">
        <v>0</v>
      </c>
      <c r="O108" s="449">
        <v>0</v>
      </c>
      <c r="P108" s="449">
        <v>0</v>
      </c>
      <c r="Q108" s="449">
        <v>0</v>
      </c>
      <c r="R108" s="449">
        <f>($H108-SUM($L108:Q108))/R$694</f>
        <v>0</v>
      </c>
      <c r="S108" s="449">
        <f>($H108-SUM($L108:R108))/S$694</f>
        <v>0</v>
      </c>
      <c r="T108" s="449">
        <f>($H108-SUM($L108:S108))/T$694</f>
        <v>0</v>
      </c>
      <c r="U108" s="449">
        <f>($H108-SUM($L108:T108))/U$694</f>
        <v>0</v>
      </c>
      <c r="V108" s="449">
        <f>($H108-SUM($L108:U108))/V$694</f>
        <v>0</v>
      </c>
      <c r="W108" s="449">
        <f>($H108-SUM($L108:V108))/W$694</f>
        <v>0</v>
      </c>
      <c r="X108" s="449"/>
      <c r="Y108" s="449">
        <f t="shared" si="137"/>
        <v>0</v>
      </c>
      <c r="Z108" s="531"/>
      <c r="AA108" s="449">
        <f t="shared" si="138"/>
        <v>0</v>
      </c>
      <c r="AB108" s="449">
        <f t="shared" si="138"/>
        <v>0</v>
      </c>
      <c r="AC108" s="449">
        <f t="shared" si="138"/>
        <v>0</v>
      </c>
      <c r="AD108" s="449">
        <f t="shared" si="138"/>
        <v>0</v>
      </c>
      <c r="AE108" s="449">
        <f t="shared" si="138"/>
        <v>0</v>
      </c>
      <c r="AF108" s="449">
        <f t="shared" si="138"/>
        <v>0</v>
      </c>
      <c r="AG108" s="449">
        <f t="shared" si="138"/>
        <v>0</v>
      </c>
      <c r="AH108" s="449">
        <f t="shared" si="138"/>
        <v>0</v>
      </c>
      <c r="AI108" s="449">
        <f t="shared" si="138"/>
        <v>0</v>
      </c>
      <c r="AJ108" s="449">
        <f t="shared" si="138"/>
        <v>0</v>
      </c>
      <c r="AK108" s="449">
        <f t="shared" si="138"/>
        <v>0</v>
      </c>
      <c r="AL108" s="449">
        <f t="shared" si="138"/>
        <v>0</v>
      </c>
      <c r="AN108" s="500">
        <f t="shared" si="139"/>
        <v>0</v>
      </c>
      <c r="AO108" s="449">
        <f t="shared" si="140"/>
        <v>0</v>
      </c>
      <c r="AP108" s="449">
        <f t="shared" si="141"/>
        <v>0</v>
      </c>
      <c r="AQ108" s="453" t="str">
        <f t="shared" si="142"/>
        <v>-</v>
      </c>
      <c r="AR108" s="449">
        <f t="shared" si="143"/>
        <v>0</v>
      </c>
      <c r="AS108" s="449">
        <f t="shared" si="144"/>
        <v>0</v>
      </c>
      <c r="AT108" s="426">
        <f t="shared" si="145"/>
        <v>0</v>
      </c>
      <c r="AU108" s="421"/>
      <c r="AV108" s="449">
        <f t="shared" si="146"/>
        <v>0</v>
      </c>
      <c r="AW108" s="449">
        <f t="shared" si="146"/>
        <v>0</v>
      </c>
      <c r="AX108" s="449">
        <f t="shared" si="146"/>
        <v>0</v>
      </c>
      <c r="AY108" s="449">
        <f t="shared" si="146"/>
        <v>0</v>
      </c>
      <c r="AZ108" s="449">
        <f t="shared" si="146"/>
        <v>0</v>
      </c>
      <c r="BA108" s="449">
        <f t="shared" si="146"/>
        <v>0</v>
      </c>
      <c r="BB108" s="449">
        <f t="shared" si="146"/>
        <v>0</v>
      </c>
      <c r="BC108" s="449">
        <f t="shared" si="146"/>
        <v>0</v>
      </c>
      <c r="BD108" s="449">
        <f t="shared" si="146"/>
        <v>0</v>
      </c>
      <c r="BE108" s="449">
        <f t="shared" si="146"/>
        <v>0</v>
      </c>
      <c r="BF108" s="449">
        <f t="shared" si="146"/>
        <v>0</v>
      </c>
      <c r="BG108" s="449">
        <f t="shared" si="146"/>
        <v>0</v>
      </c>
      <c r="BH108" s="400"/>
      <c r="BI108" s="449">
        <v>0</v>
      </c>
      <c r="BJ108" s="449">
        <v>0</v>
      </c>
      <c r="BK108" s="449">
        <v>0</v>
      </c>
      <c r="BL108" s="449">
        <v>0</v>
      </c>
      <c r="BM108" s="449">
        <v>0</v>
      </c>
      <c r="BN108" s="449">
        <v>0</v>
      </c>
      <c r="BO108" s="449">
        <v>0</v>
      </c>
      <c r="BP108" s="449">
        <v>0</v>
      </c>
      <c r="BQ108" s="449">
        <v>0</v>
      </c>
      <c r="BR108" s="449">
        <v>0</v>
      </c>
      <c r="BS108" s="449">
        <v>0</v>
      </c>
      <c r="BT108" s="449">
        <v>0</v>
      </c>
    </row>
    <row r="109" spans="1:72" ht="15" hidden="1" x14ac:dyDescent="0.25">
      <c r="A109" s="502" t="s">
        <v>171</v>
      </c>
      <c r="B109" s="502" t="s">
        <v>172</v>
      </c>
      <c r="C109" s="541"/>
      <c r="D109" s="500">
        <f t="shared" si="132"/>
        <v>0</v>
      </c>
      <c r="E109" s="449">
        <v>0</v>
      </c>
      <c r="F109" s="449">
        <f t="shared" si="133"/>
        <v>0</v>
      </c>
      <c r="G109" s="421">
        <f t="shared" si="134"/>
        <v>0</v>
      </c>
      <c r="H109" s="449">
        <v>0</v>
      </c>
      <c r="I109" s="449">
        <f t="shared" si="135"/>
        <v>0</v>
      </c>
      <c r="J109" s="426">
        <f t="shared" si="136"/>
        <v>0</v>
      </c>
      <c r="K109" s="421"/>
      <c r="L109" s="449">
        <v>0</v>
      </c>
      <c r="M109" s="449">
        <v>0</v>
      </c>
      <c r="N109" s="449">
        <v>0</v>
      </c>
      <c r="O109" s="449">
        <v>0</v>
      </c>
      <c r="P109" s="449">
        <v>0</v>
      </c>
      <c r="Q109" s="449">
        <v>0</v>
      </c>
      <c r="R109" s="449">
        <f>($H109-SUM($L109:Q109))/R$694</f>
        <v>0</v>
      </c>
      <c r="S109" s="449">
        <f>($H109-SUM($L109:R109))/S$694</f>
        <v>0</v>
      </c>
      <c r="T109" s="449">
        <f>($H109-SUM($L109:S109))/T$694</f>
        <v>0</v>
      </c>
      <c r="U109" s="449">
        <f>($H109-SUM($L109:T109))/U$694</f>
        <v>0</v>
      </c>
      <c r="V109" s="449">
        <f>($H109-SUM($L109:U109))/V$694</f>
        <v>0</v>
      </c>
      <c r="W109" s="449">
        <f>($H109-SUM($L109:V109))/W$694</f>
        <v>0</v>
      </c>
      <c r="X109" s="449"/>
      <c r="Y109" s="449">
        <f t="shared" si="137"/>
        <v>0</v>
      </c>
      <c r="Z109" s="531"/>
      <c r="AA109" s="449">
        <f t="shared" si="138"/>
        <v>0</v>
      </c>
      <c r="AB109" s="449">
        <f t="shared" si="138"/>
        <v>0</v>
      </c>
      <c r="AC109" s="449">
        <f t="shared" si="138"/>
        <v>0</v>
      </c>
      <c r="AD109" s="449">
        <f t="shared" si="138"/>
        <v>0</v>
      </c>
      <c r="AE109" s="449">
        <f t="shared" si="138"/>
        <v>0</v>
      </c>
      <c r="AF109" s="449">
        <f t="shared" si="138"/>
        <v>0</v>
      </c>
      <c r="AG109" s="449">
        <f t="shared" si="138"/>
        <v>0</v>
      </c>
      <c r="AH109" s="449">
        <f t="shared" si="138"/>
        <v>0</v>
      </c>
      <c r="AI109" s="449">
        <f t="shared" si="138"/>
        <v>0</v>
      </c>
      <c r="AJ109" s="449">
        <f t="shared" si="138"/>
        <v>0</v>
      </c>
      <c r="AK109" s="449">
        <f t="shared" si="138"/>
        <v>0</v>
      </c>
      <c r="AL109" s="449">
        <f t="shared" si="138"/>
        <v>0</v>
      </c>
      <c r="AN109" s="500">
        <f t="shared" si="139"/>
        <v>0</v>
      </c>
      <c r="AO109" s="449">
        <f t="shared" si="140"/>
        <v>0</v>
      </c>
      <c r="AP109" s="449">
        <f t="shared" si="141"/>
        <v>0</v>
      </c>
      <c r="AQ109" s="453" t="str">
        <f t="shared" si="142"/>
        <v>-</v>
      </c>
      <c r="AR109" s="449">
        <f t="shared" si="143"/>
        <v>0</v>
      </c>
      <c r="AS109" s="449">
        <f t="shared" si="144"/>
        <v>0</v>
      </c>
      <c r="AT109" s="426">
        <f t="shared" si="145"/>
        <v>0</v>
      </c>
      <c r="AU109" s="421"/>
      <c r="AV109" s="449">
        <f t="shared" si="146"/>
        <v>0</v>
      </c>
      <c r="AW109" s="449">
        <f t="shared" si="146"/>
        <v>0</v>
      </c>
      <c r="AX109" s="449">
        <f t="shared" si="146"/>
        <v>0</v>
      </c>
      <c r="AY109" s="449">
        <f t="shared" si="146"/>
        <v>0</v>
      </c>
      <c r="AZ109" s="449">
        <f t="shared" si="146"/>
        <v>0</v>
      </c>
      <c r="BA109" s="449">
        <f t="shared" si="146"/>
        <v>0</v>
      </c>
      <c r="BB109" s="449">
        <f t="shared" si="146"/>
        <v>0</v>
      </c>
      <c r="BC109" s="449">
        <f t="shared" si="146"/>
        <v>0</v>
      </c>
      <c r="BD109" s="449">
        <f t="shared" si="146"/>
        <v>0</v>
      </c>
      <c r="BE109" s="449">
        <f t="shared" si="146"/>
        <v>0</v>
      </c>
      <c r="BF109" s="449">
        <f t="shared" si="146"/>
        <v>0</v>
      </c>
      <c r="BG109" s="449">
        <f t="shared" si="146"/>
        <v>0</v>
      </c>
      <c r="BH109" s="400"/>
      <c r="BI109" s="449">
        <v>0</v>
      </c>
      <c r="BJ109" s="449">
        <v>0</v>
      </c>
      <c r="BK109" s="449">
        <v>0</v>
      </c>
      <c r="BL109" s="449">
        <v>0</v>
      </c>
      <c r="BM109" s="449">
        <v>0</v>
      </c>
      <c r="BN109" s="449">
        <v>0</v>
      </c>
      <c r="BO109" s="449">
        <v>0</v>
      </c>
      <c r="BP109" s="449">
        <v>0</v>
      </c>
      <c r="BQ109" s="449">
        <v>0</v>
      </c>
      <c r="BR109" s="449">
        <v>0</v>
      </c>
      <c r="BS109" s="449">
        <v>0</v>
      </c>
      <c r="BT109" s="449">
        <v>0</v>
      </c>
    </row>
    <row r="110" spans="1:72" ht="15" x14ac:dyDescent="0.25">
      <c r="A110" s="502" t="s">
        <v>173</v>
      </c>
      <c r="B110" s="502" t="s">
        <v>174</v>
      </c>
      <c r="C110" s="541"/>
      <c r="D110" s="500">
        <f t="shared" si="132"/>
        <v>20874</v>
      </c>
      <c r="E110" s="449">
        <v>19934</v>
      </c>
      <c r="F110" s="449">
        <f t="shared" si="133"/>
        <v>940</v>
      </c>
      <c r="G110" s="421">
        <f t="shared" si="134"/>
        <v>4.7155613524631282E-2</v>
      </c>
      <c r="H110" s="449">
        <v>20874</v>
      </c>
      <c r="I110" s="449">
        <f t="shared" si="135"/>
        <v>0</v>
      </c>
      <c r="J110" s="426">
        <f t="shared" si="136"/>
        <v>0</v>
      </c>
      <c r="K110" s="421"/>
      <c r="L110" s="449">
        <v>-0.01</v>
      </c>
      <c r="M110" s="449">
        <v>621.39</v>
      </c>
      <c r="N110" s="449">
        <v>776.68999999999994</v>
      </c>
      <c r="O110" s="449">
        <v>1185.5600000000002</v>
      </c>
      <c r="P110" s="449">
        <v>705.56</v>
      </c>
      <c r="Q110" s="449">
        <v>881.95000000000027</v>
      </c>
      <c r="R110" s="449">
        <f>($H110-SUM($L110:Q110))/R$694</f>
        <v>2783.81</v>
      </c>
      <c r="S110" s="449">
        <f>($H110-SUM($L110:R110))/S$694</f>
        <v>2783.81</v>
      </c>
      <c r="T110" s="449">
        <f>($H110-SUM($L110:S110))/T$694</f>
        <v>2783.81</v>
      </c>
      <c r="U110" s="449">
        <f>($H110-SUM($L110:T110))/U$694</f>
        <v>2783.81</v>
      </c>
      <c r="V110" s="449">
        <f>($H110-SUM($L110:U110))/V$694</f>
        <v>2783.8100000000004</v>
      </c>
      <c r="W110" s="449">
        <f>($H110-SUM($L110:V110))/W$694</f>
        <v>2783.8100000000013</v>
      </c>
      <c r="X110" s="449"/>
      <c r="Y110" s="449">
        <f t="shared" si="137"/>
        <v>20874</v>
      </c>
      <c r="Z110" s="531"/>
      <c r="AA110" s="449">
        <f t="shared" ref="AA110:AL118" si="148">IFERROR($H110/12,0)</f>
        <v>1739.5</v>
      </c>
      <c r="AB110" s="449">
        <f t="shared" si="148"/>
        <v>1739.5</v>
      </c>
      <c r="AC110" s="449">
        <f t="shared" si="148"/>
        <v>1739.5</v>
      </c>
      <c r="AD110" s="449">
        <f t="shared" si="148"/>
        <v>1739.5</v>
      </c>
      <c r="AE110" s="449">
        <f t="shared" si="148"/>
        <v>1739.5</v>
      </c>
      <c r="AF110" s="449">
        <f t="shared" si="148"/>
        <v>1739.5</v>
      </c>
      <c r="AG110" s="449">
        <f t="shared" si="148"/>
        <v>1739.5</v>
      </c>
      <c r="AH110" s="449">
        <f t="shared" si="148"/>
        <v>1739.5</v>
      </c>
      <c r="AI110" s="449">
        <f t="shared" si="148"/>
        <v>1739.5</v>
      </c>
      <c r="AJ110" s="449">
        <f t="shared" si="148"/>
        <v>1739.5</v>
      </c>
      <c r="AK110" s="449">
        <f t="shared" si="148"/>
        <v>1739.5</v>
      </c>
      <c r="AL110" s="449">
        <f t="shared" si="148"/>
        <v>1739.5</v>
      </c>
      <c r="AN110" s="500">
        <f t="shared" si="139"/>
        <v>20874</v>
      </c>
      <c r="AO110" s="449">
        <f t="shared" si="140"/>
        <v>19316.12</v>
      </c>
      <c r="AP110" s="449">
        <f t="shared" si="141"/>
        <v>-1557.880000000001</v>
      </c>
      <c r="AQ110" s="453">
        <f t="shared" si="142"/>
        <v>-7.4632557248251463E-2</v>
      </c>
      <c r="AR110" s="449">
        <f t="shared" si="143"/>
        <v>19316.12</v>
      </c>
      <c r="AS110" s="449">
        <f t="shared" si="144"/>
        <v>0</v>
      </c>
      <c r="AT110" s="426">
        <f t="shared" si="145"/>
        <v>0</v>
      </c>
      <c r="AU110" s="421"/>
      <c r="AV110" s="449">
        <f t="shared" si="146"/>
        <v>0</v>
      </c>
      <c r="AW110" s="449">
        <f t="shared" si="146"/>
        <v>1609.6766666666665</v>
      </c>
      <c r="AX110" s="449">
        <f t="shared" si="146"/>
        <v>1609.6766666666665</v>
      </c>
      <c r="AY110" s="449">
        <f t="shared" si="146"/>
        <v>1609.6766666666665</v>
      </c>
      <c r="AZ110" s="449">
        <f t="shared" si="146"/>
        <v>1609.6766666666665</v>
      </c>
      <c r="BA110" s="449">
        <f t="shared" si="146"/>
        <v>1609.6766666666665</v>
      </c>
      <c r="BB110" s="449">
        <f t="shared" si="146"/>
        <v>1609.6766666666665</v>
      </c>
      <c r="BC110" s="449">
        <f t="shared" si="146"/>
        <v>1609.6766666666665</v>
      </c>
      <c r="BD110" s="449">
        <f t="shared" si="146"/>
        <v>1609.6766666666665</v>
      </c>
      <c r="BE110" s="449">
        <f t="shared" si="146"/>
        <v>1609.6766666666665</v>
      </c>
      <c r="BF110" s="449">
        <f t="shared" si="146"/>
        <v>1609.6766666666665</v>
      </c>
      <c r="BG110" s="449">
        <f t="shared" si="146"/>
        <v>3219.353333333333</v>
      </c>
      <c r="BH110" s="400"/>
      <c r="BI110" s="449">
        <v>0</v>
      </c>
      <c r="BJ110" s="449">
        <f>SUM('FY19 Staffing V1-1 (3)'!$S$48:$S$61)/12</f>
        <v>1609.6766666666665</v>
      </c>
      <c r="BK110" s="449">
        <f>SUM('FY19 Staffing V1-1 (3)'!$S$48:$S$61)/12</f>
        <v>1609.6766666666665</v>
      </c>
      <c r="BL110" s="449">
        <f>SUM('FY19 Staffing V1-1 (3)'!$S$48:$S$61)/12</f>
        <v>1609.6766666666665</v>
      </c>
      <c r="BM110" s="449">
        <f>SUM('FY19 Staffing V1-1 (3)'!$S$48:$S$61)/12</f>
        <v>1609.6766666666665</v>
      </c>
      <c r="BN110" s="449">
        <f>SUM('FY19 Staffing V1-1 (3)'!$S$48:$S$61)/12</f>
        <v>1609.6766666666665</v>
      </c>
      <c r="BO110" s="449">
        <f>SUM('FY19 Staffing V1-1 (3)'!$S$48:$S$61)/12</f>
        <v>1609.6766666666665</v>
      </c>
      <c r="BP110" s="449">
        <f>SUM('FY19 Staffing V1-1 (3)'!$S$48:$S$61)/12</f>
        <v>1609.6766666666665</v>
      </c>
      <c r="BQ110" s="449">
        <f>SUM('FY19 Staffing V1-1 (3)'!$S$48:$S$61)/12</f>
        <v>1609.6766666666665</v>
      </c>
      <c r="BR110" s="449">
        <f>SUM('FY19 Staffing V1-1 (3)'!$S$48:$S$61)/12</f>
        <v>1609.6766666666665</v>
      </c>
      <c r="BS110" s="449">
        <f>SUM('FY19 Staffing V1-1 (3)'!$S$48:$S$61)/12</f>
        <v>1609.6766666666665</v>
      </c>
      <c r="BT110" s="449">
        <f>SUM('FY19 Staffing V1-1 (3)'!$S$48:$S$61)/12*2</f>
        <v>3219.353333333333</v>
      </c>
    </row>
    <row r="111" spans="1:72" ht="15" x14ac:dyDescent="0.25">
      <c r="A111" s="502" t="s">
        <v>175</v>
      </c>
      <c r="B111" s="502" t="s">
        <v>176</v>
      </c>
      <c r="C111" s="541"/>
      <c r="D111" s="500">
        <f t="shared" si="132"/>
        <v>743</v>
      </c>
      <c r="E111" s="449">
        <v>0</v>
      </c>
      <c r="F111" s="449">
        <f t="shared" si="133"/>
        <v>743</v>
      </c>
      <c r="G111" s="421">
        <f t="shared" si="134"/>
        <v>0</v>
      </c>
      <c r="H111" s="449">
        <v>743</v>
      </c>
      <c r="I111" s="449">
        <f t="shared" si="135"/>
        <v>0</v>
      </c>
      <c r="J111" s="426">
        <f t="shared" si="136"/>
        <v>0</v>
      </c>
      <c r="K111" s="421"/>
      <c r="L111" s="449">
        <v>0</v>
      </c>
      <c r="M111" s="449">
        <v>0</v>
      </c>
      <c r="N111" s="449">
        <v>0</v>
      </c>
      <c r="O111" s="449">
        <v>0</v>
      </c>
      <c r="P111" s="449">
        <v>0</v>
      </c>
      <c r="Q111" s="449">
        <v>0</v>
      </c>
      <c r="R111" s="449">
        <f>($H111-SUM($L111:Q111))/R$694</f>
        <v>123.83333333333333</v>
      </c>
      <c r="S111" s="449">
        <f>($H111-SUM($L111:R111))/S$694</f>
        <v>123.83333333333333</v>
      </c>
      <c r="T111" s="449">
        <f>($H111-SUM($L111:S111))/T$694</f>
        <v>123.83333333333334</v>
      </c>
      <c r="U111" s="449">
        <f>($H111-SUM($L111:T111))/U$694</f>
        <v>123.83333333333333</v>
      </c>
      <c r="V111" s="449">
        <f>($H111-SUM($L111:U111))/V$694</f>
        <v>123.83333333333334</v>
      </c>
      <c r="W111" s="449">
        <f>($H111-SUM($L111:V111))/W$694</f>
        <v>123.83333333333337</v>
      </c>
      <c r="X111" s="449"/>
      <c r="Y111" s="449">
        <f t="shared" si="137"/>
        <v>743</v>
      </c>
      <c r="Z111" s="531"/>
      <c r="AA111" s="449">
        <f t="shared" si="148"/>
        <v>61.916666666666664</v>
      </c>
      <c r="AB111" s="449">
        <f t="shared" si="148"/>
        <v>61.916666666666664</v>
      </c>
      <c r="AC111" s="449">
        <f t="shared" si="148"/>
        <v>61.916666666666664</v>
      </c>
      <c r="AD111" s="449">
        <f t="shared" si="148"/>
        <v>61.916666666666664</v>
      </c>
      <c r="AE111" s="449">
        <f t="shared" si="148"/>
        <v>61.916666666666664</v>
      </c>
      <c r="AF111" s="449">
        <f t="shared" si="148"/>
        <v>61.916666666666664</v>
      </c>
      <c r="AG111" s="449">
        <f t="shared" si="148"/>
        <v>61.916666666666664</v>
      </c>
      <c r="AH111" s="449">
        <f t="shared" si="148"/>
        <v>61.916666666666664</v>
      </c>
      <c r="AI111" s="449">
        <f t="shared" si="148"/>
        <v>61.916666666666664</v>
      </c>
      <c r="AJ111" s="449">
        <f t="shared" si="148"/>
        <v>61.916666666666664</v>
      </c>
      <c r="AK111" s="449">
        <f t="shared" si="148"/>
        <v>61.916666666666664</v>
      </c>
      <c r="AL111" s="449">
        <f t="shared" si="148"/>
        <v>61.916666666666664</v>
      </c>
      <c r="AN111" s="500">
        <f t="shared" si="139"/>
        <v>743</v>
      </c>
      <c r="AO111" s="449">
        <f>SUM(BI111:BT111)</f>
        <v>867.5100000000001</v>
      </c>
      <c r="AP111" s="449">
        <f t="shared" si="141"/>
        <v>124.5100000000001</v>
      </c>
      <c r="AQ111" s="453">
        <f t="shared" si="142"/>
        <v>0.16757738896366098</v>
      </c>
      <c r="AR111" s="449">
        <f t="shared" si="143"/>
        <v>867.5100000000001</v>
      </c>
      <c r="AS111" s="449">
        <f t="shared" si="144"/>
        <v>0</v>
      </c>
      <c r="AT111" s="426">
        <f t="shared" si="145"/>
        <v>0</v>
      </c>
      <c r="AU111" s="421"/>
      <c r="AV111" s="449">
        <f t="shared" si="146"/>
        <v>0</v>
      </c>
      <c r="AW111" s="449">
        <f t="shared" si="146"/>
        <v>72.292500000000004</v>
      </c>
      <c r="AX111" s="449">
        <f t="shared" si="146"/>
        <v>72.292500000000004</v>
      </c>
      <c r="AY111" s="449">
        <f t="shared" si="146"/>
        <v>72.292500000000004</v>
      </c>
      <c r="AZ111" s="449">
        <f t="shared" si="146"/>
        <v>72.292500000000004</v>
      </c>
      <c r="BA111" s="449">
        <f t="shared" si="146"/>
        <v>72.292500000000004</v>
      </c>
      <c r="BB111" s="449">
        <f t="shared" si="146"/>
        <v>72.292500000000004</v>
      </c>
      <c r="BC111" s="449">
        <f t="shared" si="146"/>
        <v>72.292500000000004</v>
      </c>
      <c r="BD111" s="449">
        <f t="shared" si="146"/>
        <v>72.292500000000004</v>
      </c>
      <c r="BE111" s="449">
        <f t="shared" si="146"/>
        <v>72.292500000000004</v>
      </c>
      <c r="BF111" s="449">
        <f t="shared" si="146"/>
        <v>72.292500000000004</v>
      </c>
      <c r="BG111" s="449">
        <f t="shared" si="146"/>
        <v>144.58500000000001</v>
      </c>
      <c r="BH111" s="400"/>
      <c r="BI111" s="449">
        <v>0</v>
      </c>
      <c r="BJ111" s="449">
        <f>('FY19 Staffing V1-1 (3)'!$S$175)/12</f>
        <v>72.292500000000004</v>
      </c>
      <c r="BK111" s="449">
        <f>('FY19 Staffing V1-1 (3)'!$S$175)/12</f>
        <v>72.292500000000004</v>
      </c>
      <c r="BL111" s="449">
        <f>('FY19 Staffing V1-1 (3)'!$S$175)/12</f>
        <v>72.292500000000004</v>
      </c>
      <c r="BM111" s="449">
        <f>('FY19 Staffing V1-1 (3)'!$S$175)/12</f>
        <v>72.292500000000004</v>
      </c>
      <c r="BN111" s="449">
        <f>('FY19 Staffing V1-1 (3)'!$S$175)/12</f>
        <v>72.292500000000004</v>
      </c>
      <c r="BO111" s="449">
        <f>('FY19 Staffing V1-1 (3)'!$S$175)/12</f>
        <v>72.292500000000004</v>
      </c>
      <c r="BP111" s="449">
        <f>('FY19 Staffing V1-1 (3)'!$S$175)/12</f>
        <v>72.292500000000004</v>
      </c>
      <c r="BQ111" s="449">
        <f>('FY19 Staffing V1-1 (3)'!$S$175)/12</f>
        <v>72.292500000000004</v>
      </c>
      <c r="BR111" s="449">
        <f>('FY19 Staffing V1-1 (3)'!$S$175)/12</f>
        <v>72.292500000000004</v>
      </c>
      <c r="BS111" s="449">
        <f>('FY19 Staffing V1-1 (3)'!$S$175)/12</f>
        <v>72.292500000000004</v>
      </c>
      <c r="BT111" s="449">
        <f>('FY19 Staffing V1-1 (3)'!$S$175)/12*2</f>
        <v>144.58500000000001</v>
      </c>
    </row>
    <row r="112" spans="1:72" ht="15" x14ac:dyDescent="0.25">
      <c r="A112" s="502" t="s">
        <v>177</v>
      </c>
      <c r="B112" s="502" t="s">
        <v>178</v>
      </c>
      <c r="C112" s="596"/>
      <c r="D112" s="500">
        <f t="shared" si="132"/>
        <v>55285.68</v>
      </c>
      <c r="E112" s="449">
        <v>32150</v>
      </c>
      <c r="F112" s="449">
        <f t="shared" si="133"/>
        <v>23135.68</v>
      </c>
      <c r="G112" s="421">
        <f t="shared" si="134"/>
        <v>0.71961679626749608</v>
      </c>
      <c r="H112" s="449">
        <v>52000</v>
      </c>
      <c r="I112" s="449">
        <f t="shared" si="135"/>
        <v>3285.6800000000003</v>
      </c>
      <c r="J112" s="426">
        <f t="shared" si="136"/>
        <v>6.318615384615385E-2</v>
      </c>
      <c r="K112" s="421"/>
      <c r="L112" s="449">
        <v>50133.1</v>
      </c>
      <c r="M112" s="449">
        <v>1215.989999999998</v>
      </c>
      <c r="N112" s="449">
        <v>689.01000000000204</v>
      </c>
      <c r="O112" s="449">
        <v>2355.4800000000032</v>
      </c>
      <c r="P112" s="449">
        <v>892.09999999999854</v>
      </c>
      <c r="Q112" s="449">
        <v>0</v>
      </c>
      <c r="R112" s="449">
        <v>0</v>
      </c>
      <c r="S112" s="449">
        <v>0</v>
      </c>
      <c r="T112" s="449">
        <v>0</v>
      </c>
      <c r="U112" s="449">
        <v>0</v>
      </c>
      <c r="V112" s="449">
        <v>0</v>
      </c>
      <c r="W112" s="449">
        <v>0</v>
      </c>
      <c r="X112" s="449"/>
      <c r="Y112" s="449">
        <f t="shared" si="137"/>
        <v>55285.68</v>
      </c>
      <c r="Z112" s="531"/>
      <c r="AA112" s="449">
        <f t="shared" si="148"/>
        <v>4333.333333333333</v>
      </c>
      <c r="AB112" s="449">
        <f t="shared" si="148"/>
        <v>4333.333333333333</v>
      </c>
      <c r="AC112" s="449">
        <f t="shared" si="148"/>
        <v>4333.333333333333</v>
      </c>
      <c r="AD112" s="449">
        <f t="shared" si="148"/>
        <v>4333.333333333333</v>
      </c>
      <c r="AE112" s="449">
        <f t="shared" si="148"/>
        <v>4333.333333333333</v>
      </c>
      <c r="AF112" s="449">
        <f t="shared" si="148"/>
        <v>4333.333333333333</v>
      </c>
      <c r="AG112" s="449">
        <f t="shared" si="148"/>
        <v>4333.333333333333</v>
      </c>
      <c r="AH112" s="449">
        <f t="shared" si="148"/>
        <v>4333.333333333333</v>
      </c>
      <c r="AI112" s="449">
        <f t="shared" si="148"/>
        <v>4333.333333333333</v>
      </c>
      <c r="AJ112" s="449">
        <f t="shared" si="148"/>
        <v>4333.333333333333</v>
      </c>
      <c r="AK112" s="449">
        <f t="shared" si="148"/>
        <v>4333.333333333333</v>
      </c>
      <c r="AL112" s="449">
        <f t="shared" si="148"/>
        <v>4333.333333333333</v>
      </c>
      <c r="AN112" s="500">
        <f t="shared" si="139"/>
        <v>55285.68</v>
      </c>
      <c r="AO112" s="449">
        <f t="shared" si="140"/>
        <v>44228.544000000002</v>
      </c>
      <c r="AP112" s="449">
        <f t="shared" si="141"/>
        <v>-11057.135999999999</v>
      </c>
      <c r="AQ112" s="453">
        <f t="shared" si="142"/>
        <v>-0.19999999999999998</v>
      </c>
      <c r="AR112" s="449">
        <f t="shared" si="143"/>
        <v>44228.544000000002</v>
      </c>
      <c r="AS112" s="449">
        <f t="shared" si="144"/>
        <v>0</v>
      </c>
      <c r="AT112" s="426">
        <f t="shared" si="145"/>
        <v>0</v>
      </c>
      <c r="AU112" s="421"/>
      <c r="AV112" s="449">
        <f t="shared" si="146"/>
        <v>8845.7088000000003</v>
      </c>
      <c r="AW112" s="449">
        <f t="shared" si="146"/>
        <v>8845.7088000000003</v>
      </c>
      <c r="AX112" s="449">
        <f t="shared" si="146"/>
        <v>5897.1392000000005</v>
      </c>
      <c r="AY112" s="449">
        <f t="shared" si="146"/>
        <v>5897.1392000000005</v>
      </c>
      <c r="AZ112" s="449">
        <f t="shared" si="146"/>
        <v>5897.1392000000005</v>
      </c>
      <c r="BA112" s="449">
        <f t="shared" si="146"/>
        <v>1263.6726857142858</v>
      </c>
      <c r="BB112" s="449">
        <f t="shared" si="146"/>
        <v>1263.6726857142858</v>
      </c>
      <c r="BC112" s="449">
        <f t="shared" si="146"/>
        <v>1263.6726857142858</v>
      </c>
      <c r="BD112" s="449">
        <f t="shared" si="146"/>
        <v>1263.6726857142858</v>
      </c>
      <c r="BE112" s="449">
        <f t="shared" si="146"/>
        <v>1263.6726857142858</v>
      </c>
      <c r="BF112" s="449">
        <f t="shared" si="146"/>
        <v>1263.6726857142858</v>
      </c>
      <c r="BG112" s="449">
        <f t="shared" si="146"/>
        <v>1263.6726857142858</v>
      </c>
      <c r="BH112" s="400"/>
      <c r="BI112" s="449">
        <f>(IFERROR(($D112*0.8),0))*BI$696</f>
        <v>8845.7088000000003</v>
      </c>
      <c r="BJ112" s="449">
        <f t="shared" ref="BJ112:BT112" si="149">(IFERROR(($D112*0.8),0))*BJ$696</f>
        <v>8845.7088000000003</v>
      </c>
      <c r="BK112" s="449">
        <f t="shared" si="149"/>
        <v>5897.1392000000005</v>
      </c>
      <c r="BL112" s="449">
        <f t="shared" si="149"/>
        <v>5897.1392000000005</v>
      </c>
      <c r="BM112" s="449">
        <f t="shared" si="149"/>
        <v>5897.1392000000005</v>
      </c>
      <c r="BN112" s="449">
        <f t="shared" si="149"/>
        <v>1263.6726857142858</v>
      </c>
      <c r="BO112" s="449">
        <f t="shared" si="149"/>
        <v>1263.6726857142858</v>
      </c>
      <c r="BP112" s="449">
        <f t="shared" si="149"/>
        <v>1263.6726857142858</v>
      </c>
      <c r="BQ112" s="449">
        <f t="shared" si="149"/>
        <v>1263.6726857142858</v>
      </c>
      <c r="BR112" s="449">
        <f t="shared" si="149"/>
        <v>1263.6726857142858</v>
      </c>
      <c r="BS112" s="449">
        <f t="shared" si="149"/>
        <v>1263.6726857142858</v>
      </c>
      <c r="BT112" s="449">
        <f t="shared" si="149"/>
        <v>1263.6726857142858</v>
      </c>
    </row>
    <row r="113" spans="1:74" ht="15" x14ac:dyDescent="0.25">
      <c r="A113" s="502" t="s">
        <v>179</v>
      </c>
      <c r="B113" s="502" t="s">
        <v>180</v>
      </c>
      <c r="C113" s="596"/>
      <c r="D113" s="500">
        <f t="shared" si="132"/>
        <v>0</v>
      </c>
      <c r="E113" s="449">
        <v>0</v>
      </c>
      <c r="F113" s="449">
        <f t="shared" si="133"/>
        <v>0</v>
      </c>
      <c r="G113" s="421">
        <f t="shared" si="134"/>
        <v>0</v>
      </c>
      <c r="H113" s="449">
        <v>0</v>
      </c>
      <c r="I113" s="449">
        <f t="shared" si="135"/>
        <v>0</v>
      </c>
      <c r="J113" s="426">
        <f t="shared" si="136"/>
        <v>0</v>
      </c>
      <c r="K113" s="421"/>
      <c r="L113" s="449">
        <v>1183.2</v>
      </c>
      <c r="M113" s="449">
        <v>-1183.2</v>
      </c>
      <c r="N113" s="449">
        <v>0</v>
      </c>
      <c r="O113" s="449">
        <v>0</v>
      </c>
      <c r="P113" s="449">
        <v>0</v>
      </c>
      <c r="Q113" s="449">
        <v>0</v>
      </c>
      <c r="R113" s="449">
        <f>($H113-SUM($L113:Q113))/R$694</f>
        <v>0</v>
      </c>
      <c r="S113" s="449">
        <f>($H113-SUM($L113:R113))/S$694</f>
        <v>0</v>
      </c>
      <c r="T113" s="449">
        <f>($H113-SUM($L113:S113))/T$694</f>
        <v>0</v>
      </c>
      <c r="U113" s="449">
        <f>($H113-SUM($L113:T113))/U$694</f>
        <v>0</v>
      </c>
      <c r="V113" s="449">
        <f>($H113-SUM($L113:U113))/V$694</f>
        <v>0</v>
      </c>
      <c r="W113" s="449">
        <f>($H113-SUM($L113:V113))/W$694</f>
        <v>0</v>
      </c>
      <c r="X113" s="449"/>
      <c r="Y113" s="449">
        <f t="shared" si="137"/>
        <v>0</v>
      </c>
      <c r="Z113" s="531"/>
      <c r="AA113" s="449">
        <f t="shared" si="148"/>
        <v>0</v>
      </c>
      <c r="AB113" s="449">
        <f t="shared" si="148"/>
        <v>0</v>
      </c>
      <c r="AC113" s="449">
        <f t="shared" si="148"/>
        <v>0</v>
      </c>
      <c r="AD113" s="449">
        <f t="shared" si="148"/>
        <v>0</v>
      </c>
      <c r="AE113" s="449">
        <f t="shared" si="148"/>
        <v>0</v>
      </c>
      <c r="AF113" s="449">
        <f t="shared" si="148"/>
        <v>0</v>
      </c>
      <c r="AG113" s="449">
        <f t="shared" si="148"/>
        <v>0</v>
      </c>
      <c r="AH113" s="449">
        <f t="shared" si="148"/>
        <v>0</v>
      </c>
      <c r="AI113" s="449">
        <f t="shared" si="148"/>
        <v>0</v>
      </c>
      <c r="AJ113" s="449">
        <f t="shared" si="148"/>
        <v>0</v>
      </c>
      <c r="AK113" s="449">
        <f t="shared" si="148"/>
        <v>0</v>
      </c>
      <c r="AL113" s="449">
        <f t="shared" si="148"/>
        <v>0</v>
      </c>
      <c r="AN113" s="500">
        <f t="shared" si="139"/>
        <v>0</v>
      </c>
      <c r="AO113" s="449">
        <f t="shared" si="140"/>
        <v>0</v>
      </c>
      <c r="AP113" s="449">
        <f t="shared" si="141"/>
        <v>0</v>
      </c>
      <c r="AQ113" s="453" t="str">
        <f t="shared" si="142"/>
        <v>-</v>
      </c>
      <c r="AR113" s="449">
        <f t="shared" si="143"/>
        <v>0</v>
      </c>
      <c r="AS113" s="449">
        <f t="shared" si="144"/>
        <v>0</v>
      </c>
      <c r="AT113" s="426">
        <f t="shared" si="145"/>
        <v>0</v>
      </c>
      <c r="AU113" s="421"/>
      <c r="AV113" s="449">
        <f t="shared" si="146"/>
        <v>0</v>
      </c>
      <c r="AW113" s="449">
        <f t="shared" si="146"/>
        <v>0</v>
      </c>
      <c r="AX113" s="449">
        <f t="shared" si="146"/>
        <v>0</v>
      </c>
      <c r="AY113" s="449">
        <f t="shared" si="146"/>
        <v>0</v>
      </c>
      <c r="AZ113" s="449">
        <f t="shared" si="146"/>
        <v>0</v>
      </c>
      <c r="BA113" s="449">
        <f t="shared" si="146"/>
        <v>0</v>
      </c>
      <c r="BB113" s="449">
        <f t="shared" si="146"/>
        <v>0</v>
      </c>
      <c r="BC113" s="449">
        <f t="shared" si="146"/>
        <v>0</v>
      </c>
      <c r="BD113" s="449">
        <f t="shared" si="146"/>
        <v>0</v>
      </c>
      <c r="BE113" s="449">
        <f t="shared" si="146"/>
        <v>0</v>
      </c>
      <c r="BF113" s="449">
        <f t="shared" si="146"/>
        <v>0</v>
      </c>
      <c r="BG113" s="449">
        <f t="shared" si="146"/>
        <v>0</v>
      </c>
      <c r="BH113" s="400"/>
      <c r="BI113" s="449">
        <f>(IFERROR((($H113/$H$5)*BI$5),0))*BI$696*0</f>
        <v>0</v>
      </c>
      <c r="BJ113" s="449">
        <f t="shared" ref="BJ113:BT113" si="150">(IFERROR((($H113/$H$5)*BJ$5),0))*BJ$696*0</f>
        <v>0</v>
      </c>
      <c r="BK113" s="449">
        <f t="shared" si="150"/>
        <v>0</v>
      </c>
      <c r="BL113" s="449">
        <f t="shared" si="150"/>
        <v>0</v>
      </c>
      <c r="BM113" s="449">
        <f t="shared" si="150"/>
        <v>0</v>
      </c>
      <c r="BN113" s="449">
        <f t="shared" si="150"/>
        <v>0</v>
      </c>
      <c r="BO113" s="449">
        <f t="shared" si="150"/>
        <v>0</v>
      </c>
      <c r="BP113" s="449">
        <f t="shared" si="150"/>
        <v>0</v>
      </c>
      <c r="BQ113" s="449">
        <f t="shared" si="150"/>
        <v>0</v>
      </c>
      <c r="BR113" s="449">
        <f t="shared" si="150"/>
        <v>0</v>
      </c>
      <c r="BS113" s="449">
        <f t="shared" si="150"/>
        <v>0</v>
      </c>
      <c r="BT113" s="449">
        <f t="shared" si="150"/>
        <v>0</v>
      </c>
    </row>
    <row r="114" spans="1:74" ht="15" x14ac:dyDescent="0.25">
      <c r="A114" s="502" t="s">
        <v>181</v>
      </c>
      <c r="B114" s="502" t="s">
        <v>182</v>
      </c>
      <c r="C114" s="596"/>
      <c r="D114" s="500">
        <f t="shared" si="132"/>
        <v>24000</v>
      </c>
      <c r="E114" s="449">
        <v>54000</v>
      </c>
      <c r="F114" s="449">
        <f t="shared" si="133"/>
        <v>-30000</v>
      </c>
      <c r="G114" s="421">
        <f t="shared" si="134"/>
        <v>-0.55555555555555558</v>
      </c>
      <c r="H114" s="449">
        <v>24000</v>
      </c>
      <c r="I114" s="449">
        <f t="shared" si="135"/>
        <v>0</v>
      </c>
      <c r="J114" s="426">
        <f t="shared" si="136"/>
        <v>0</v>
      </c>
      <c r="K114" s="421"/>
      <c r="L114" s="449">
        <v>0</v>
      </c>
      <c r="M114" s="449">
        <v>0</v>
      </c>
      <c r="N114" s="449">
        <v>0</v>
      </c>
      <c r="O114" s="449">
        <v>0</v>
      </c>
      <c r="P114" s="449">
        <v>0</v>
      </c>
      <c r="Q114" s="449">
        <v>0</v>
      </c>
      <c r="R114" s="449">
        <f>($H114-SUM($L114:Q114))/R$694</f>
        <v>4000</v>
      </c>
      <c r="S114" s="449">
        <f>($H114-SUM($L114:R114))/S$694</f>
        <v>4000</v>
      </c>
      <c r="T114" s="449">
        <f>($H114-SUM($L114:S114))/T$694</f>
        <v>4000</v>
      </c>
      <c r="U114" s="449">
        <f>($H114-SUM($L114:T114))/U$694</f>
        <v>4000</v>
      </c>
      <c r="V114" s="449">
        <f>($H114-SUM($L114:U114))/V$694</f>
        <v>4000</v>
      </c>
      <c r="W114" s="449">
        <f>($H114-SUM($L114:V114))/W$694</f>
        <v>4000</v>
      </c>
      <c r="X114" s="449"/>
      <c r="Y114" s="449">
        <f t="shared" si="137"/>
        <v>24000</v>
      </c>
      <c r="Z114" s="531"/>
      <c r="AA114" s="449">
        <f t="shared" si="148"/>
        <v>2000</v>
      </c>
      <c r="AB114" s="449">
        <f t="shared" si="148"/>
        <v>2000</v>
      </c>
      <c r="AC114" s="449">
        <f t="shared" si="148"/>
        <v>2000</v>
      </c>
      <c r="AD114" s="449">
        <f t="shared" si="148"/>
        <v>2000</v>
      </c>
      <c r="AE114" s="449">
        <f t="shared" si="148"/>
        <v>2000</v>
      </c>
      <c r="AF114" s="449">
        <f t="shared" si="148"/>
        <v>2000</v>
      </c>
      <c r="AG114" s="449">
        <f t="shared" si="148"/>
        <v>2000</v>
      </c>
      <c r="AH114" s="449">
        <f t="shared" si="148"/>
        <v>2000</v>
      </c>
      <c r="AI114" s="449">
        <f t="shared" si="148"/>
        <v>2000</v>
      </c>
      <c r="AJ114" s="449">
        <f t="shared" si="148"/>
        <v>2000</v>
      </c>
      <c r="AK114" s="449">
        <f t="shared" si="148"/>
        <v>2000</v>
      </c>
      <c r="AL114" s="449">
        <f t="shared" si="148"/>
        <v>2000</v>
      </c>
      <c r="AN114" s="500">
        <f t="shared" si="139"/>
        <v>24000</v>
      </c>
      <c r="AO114" s="449">
        <f>SUM(BI114:BT114)</f>
        <v>15228.915662650606</v>
      </c>
      <c r="AP114" s="449">
        <f t="shared" si="141"/>
        <v>-8771.0843373493935</v>
      </c>
      <c r="AQ114" s="453">
        <f t="shared" si="142"/>
        <v>-0.36546184738955806</v>
      </c>
      <c r="AR114" s="449">
        <f t="shared" si="143"/>
        <v>15228.915662650606</v>
      </c>
      <c r="AS114" s="449">
        <f t="shared" si="144"/>
        <v>0</v>
      </c>
      <c r="AT114" s="426">
        <f t="shared" si="145"/>
        <v>0</v>
      </c>
      <c r="AU114" s="421"/>
      <c r="AV114" s="449">
        <f t="shared" si="146"/>
        <v>1269.0763052208836</v>
      </c>
      <c r="AW114" s="449">
        <f t="shared" si="146"/>
        <v>1269.0763052208836</v>
      </c>
      <c r="AX114" s="449">
        <f t="shared" si="146"/>
        <v>1269.0763052208836</v>
      </c>
      <c r="AY114" s="449">
        <f t="shared" si="146"/>
        <v>1269.0763052208836</v>
      </c>
      <c r="AZ114" s="449">
        <f t="shared" si="146"/>
        <v>1269.0763052208836</v>
      </c>
      <c r="BA114" s="449">
        <f t="shared" si="146"/>
        <v>1269.0763052208836</v>
      </c>
      <c r="BB114" s="449">
        <f t="shared" si="146"/>
        <v>1269.0763052208836</v>
      </c>
      <c r="BC114" s="449">
        <f t="shared" si="146"/>
        <v>1269.0763052208836</v>
      </c>
      <c r="BD114" s="449">
        <f t="shared" si="146"/>
        <v>1269.0763052208836</v>
      </c>
      <c r="BE114" s="449">
        <f t="shared" si="146"/>
        <v>1269.0763052208836</v>
      </c>
      <c r="BF114" s="449">
        <f t="shared" si="146"/>
        <v>1269.0763052208836</v>
      </c>
      <c r="BG114" s="449">
        <f t="shared" si="146"/>
        <v>1269.0763052208836</v>
      </c>
      <c r="BH114" s="400"/>
      <c r="BI114" s="449">
        <f>$AO$47/12*(790/BI$5)</f>
        <v>1269.0763052208836</v>
      </c>
      <c r="BJ114" s="449">
        <f t="shared" ref="BJ114:BT114" si="151">$AO$47/12*(790/BJ$5)</f>
        <v>1269.0763052208836</v>
      </c>
      <c r="BK114" s="449">
        <f t="shared" si="151"/>
        <v>1269.0763052208836</v>
      </c>
      <c r="BL114" s="449">
        <f t="shared" si="151"/>
        <v>1269.0763052208836</v>
      </c>
      <c r="BM114" s="449">
        <f t="shared" si="151"/>
        <v>1269.0763052208836</v>
      </c>
      <c r="BN114" s="449">
        <f t="shared" si="151"/>
        <v>1269.0763052208836</v>
      </c>
      <c r="BO114" s="449">
        <f t="shared" si="151"/>
        <v>1269.0763052208836</v>
      </c>
      <c r="BP114" s="449">
        <f t="shared" si="151"/>
        <v>1269.0763052208836</v>
      </c>
      <c r="BQ114" s="449">
        <f t="shared" si="151"/>
        <v>1269.0763052208836</v>
      </c>
      <c r="BR114" s="449">
        <f t="shared" si="151"/>
        <v>1269.0763052208836</v>
      </c>
      <c r="BS114" s="449">
        <f t="shared" si="151"/>
        <v>1269.0763052208836</v>
      </c>
      <c r="BT114" s="449">
        <f t="shared" si="151"/>
        <v>1269.0763052208836</v>
      </c>
    </row>
    <row r="115" spans="1:74" ht="15" x14ac:dyDescent="0.25">
      <c r="A115" s="502" t="s">
        <v>183</v>
      </c>
      <c r="B115" s="502" t="s">
        <v>134</v>
      </c>
      <c r="C115" s="596"/>
      <c r="D115" s="500">
        <f t="shared" si="132"/>
        <v>15000</v>
      </c>
      <c r="E115" s="449">
        <v>5000</v>
      </c>
      <c r="F115" s="449">
        <f t="shared" si="133"/>
        <v>10000</v>
      </c>
      <c r="G115" s="421">
        <f t="shared" si="134"/>
        <v>2</v>
      </c>
      <c r="H115" s="449">
        <v>15000</v>
      </c>
      <c r="I115" s="449">
        <f t="shared" si="135"/>
        <v>0</v>
      </c>
      <c r="J115" s="426">
        <f t="shared" si="136"/>
        <v>0</v>
      </c>
      <c r="K115" s="421"/>
      <c r="L115" s="449">
        <v>0</v>
      </c>
      <c r="M115" s="449">
        <v>0</v>
      </c>
      <c r="N115" s="449">
        <v>0</v>
      </c>
      <c r="O115" s="449">
        <v>0</v>
      </c>
      <c r="P115" s="449">
        <v>0</v>
      </c>
      <c r="Q115" s="449">
        <v>0</v>
      </c>
      <c r="R115" s="449">
        <f>($H115-SUM($L115:Q115))/R$694</f>
        <v>2500</v>
      </c>
      <c r="S115" s="449">
        <f>($H115-SUM($L115:R115))/S$694</f>
        <v>2500</v>
      </c>
      <c r="T115" s="449">
        <f>($H115-SUM($L115:S115))/T$694</f>
        <v>2500</v>
      </c>
      <c r="U115" s="449">
        <f>($H115-SUM($L115:T115))/U$694</f>
        <v>2500</v>
      </c>
      <c r="V115" s="449">
        <f>($H115-SUM($L115:U115))/V$694</f>
        <v>2500</v>
      </c>
      <c r="W115" s="449">
        <f>($H115-SUM($L115:V115))/W$694</f>
        <v>2500</v>
      </c>
      <c r="X115" s="449"/>
      <c r="Y115" s="449">
        <f t="shared" si="137"/>
        <v>15000</v>
      </c>
      <c r="Z115" s="531"/>
      <c r="AA115" s="449">
        <f t="shared" si="148"/>
        <v>1250</v>
      </c>
      <c r="AB115" s="449">
        <f t="shared" si="148"/>
        <v>1250</v>
      </c>
      <c r="AC115" s="449">
        <f t="shared" si="148"/>
        <v>1250</v>
      </c>
      <c r="AD115" s="449">
        <f t="shared" si="148"/>
        <v>1250</v>
      </c>
      <c r="AE115" s="449">
        <f t="shared" si="148"/>
        <v>1250</v>
      </c>
      <c r="AF115" s="449">
        <f t="shared" si="148"/>
        <v>1250</v>
      </c>
      <c r="AG115" s="449">
        <f t="shared" si="148"/>
        <v>1250</v>
      </c>
      <c r="AH115" s="449">
        <f t="shared" si="148"/>
        <v>1250</v>
      </c>
      <c r="AI115" s="449">
        <f t="shared" si="148"/>
        <v>1250</v>
      </c>
      <c r="AJ115" s="449">
        <f t="shared" si="148"/>
        <v>1250</v>
      </c>
      <c r="AK115" s="449">
        <f t="shared" si="148"/>
        <v>1250</v>
      </c>
      <c r="AL115" s="449">
        <f t="shared" si="148"/>
        <v>1250</v>
      </c>
      <c r="AN115" s="500">
        <f t="shared" si="139"/>
        <v>15000</v>
      </c>
      <c r="AO115" s="449">
        <f>SUM(BI115:BT115)</f>
        <v>12000.000000000002</v>
      </c>
      <c r="AP115" s="449">
        <f t="shared" si="141"/>
        <v>-2999.9999999999982</v>
      </c>
      <c r="AQ115" s="453">
        <f t="shared" si="142"/>
        <v>-0.19999999999999987</v>
      </c>
      <c r="AR115" s="449">
        <f t="shared" si="143"/>
        <v>12000.000000000002</v>
      </c>
      <c r="AS115" s="449">
        <f t="shared" si="144"/>
        <v>0</v>
      </c>
      <c r="AT115" s="426">
        <f t="shared" si="145"/>
        <v>0</v>
      </c>
      <c r="AU115" s="421"/>
      <c r="AV115" s="449">
        <f t="shared" si="146"/>
        <v>2400</v>
      </c>
      <c r="AW115" s="449">
        <f t="shared" si="146"/>
        <v>2400</v>
      </c>
      <c r="AX115" s="449">
        <f t="shared" si="146"/>
        <v>1600</v>
      </c>
      <c r="AY115" s="449">
        <f t="shared" ref="AY115:BG118" si="152">BL115</f>
        <v>1600</v>
      </c>
      <c r="AZ115" s="449">
        <f t="shared" si="152"/>
        <v>1600</v>
      </c>
      <c r="BA115" s="449">
        <f t="shared" si="152"/>
        <v>342.85714285714283</v>
      </c>
      <c r="BB115" s="449">
        <f t="shared" si="152"/>
        <v>342.85714285714283</v>
      </c>
      <c r="BC115" s="449">
        <f t="shared" si="152"/>
        <v>342.85714285714283</v>
      </c>
      <c r="BD115" s="449">
        <f t="shared" si="152"/>
        <v>342.85714285714283</v>
      </c>
      <c r="BE115" s="449">
        <f t="shared" si="152"/>
        <v>342.85714285714283</v>
      </c>
      <c r="BF115" s="449">
        <f t="shared" si="152"/>
        <v>342.85714285714283</v>
      </c>
      <c r="BG115" s="449">
        <f t="shared" si="152"/>
        <v>342.85714285714283</v>
      </c>
      <c r="BH115" s="400"/>
      <c r="BI115" s="449">
        <f>(IFERROR(($D115*0.8),0))*BI$696</f>
        <v>2400</v>
      </c>
      <c r="BJ115" s="449">
        <f t="shared" ref="BJ115:BT115" si="153">(IFERROR(($D115*0.8),0))*BJ$696</f>
        <v>2400</v>
      </c>
      <c r="BK115" s="449">
        <f t="shared" si="153"/>
        <v>1600</v>
      </c>
      <c r="BL115" s="449">
        <f t="shared" si="153"/>
        <v>1600</v>
      </c>
      <c r="BM115" s="449">
        <f t="shared" si="153"/>
        <v>1600</v>
      </c>
      <c r="BN115" s="449">
        <f t="shared" si="153"/>
        <v>342.85714285714283</v>
      </c>
      <c r="BO115" s="449">
        <f t="shared" si="153"/>
        <v>342.85714285714283</v>
      </c>
      <c r="BP115" s="449">
        <f t="shared" si="153"/>
        <v>342.85714285714283</v>
      </c>
      <c r="BQ115" s="449">
        <f t="shared" si="153"/>
        <v>342.85714285714283</v>
      </c>
      <c r="BR115" s="449">
        <f t="shared" si="153"/>
        <v>342.85714285714283</v>
      </c>
      <c r="BS115" s="449">
        <f t="shared" si="153"/>
        <v>342.85714285714283</v>
      </c>
      <c r="BT115" s="449">
        <f t="shared" si="153"/>
        <v>342.85714285714283</v>
      </c>
    </row>
    <row r="116" spans="1:74" ht="15" x14ac:dyDescent="0.25">
      <c r="A116" s="537" t="s">
        <v>184</v>
      </c>
      <c r="B116" s="537" t="s">
        <v>136</v>
      </c>
      <c r="C116" s="541"/>
      <c r="D116" s="500">
        <f t="shared" si="132"/>
        <v>0</v>
      </c>
      <c r="E116" s="449">
        <v>0</v>
      </c>
      <c r="F116" s="449">
        <f t="shared" si="133"/>
        <v>0</v>
      </c>
      <c r="G116" s="421">
        <f t="shared" si="134"/>
        <v>0</v>
      </c>
      <c r="H116" s="449">
        <v>0</v>
      </c>
      <c r="I116" s="449">
        <f t="shared" si="135"/>
        <v>0</v>
      </c>
      <c r="J116" s="426">
        <f t="shared" si="136"/>
        <v>0</v>
      </c>
      <c r="K116" s="421"/>
      <c r="L116" s="449">
        <v>0</v>
      </c>
      <c r="M116" s="449">
        <v>0</v>
      </c>
      <c r="N116" s="449">
        <v>0</v>
      </c>
      <c r="O116" s="449">
        <v>0</v>
      </c>
      <c r="P116" s="449">
        <v>0</v>
      </c>
      <c r="Q116" s="449">
        <v>0</v>
      </c>
      <c r="R116" s="449">
        <f>($H116-SUM($L116:Q116))/R$694</f>
        <v>0</v>
      </c>
      <c r="S116" s="449">
        <f>($H116-SUM($L116:R116))/S$694</f>
        <v>0</v>
      </c>
      <c r="T116" s="449">
        <f>($H116-SUM($L116:S116))/T$694</f>
        <v>0</v>
      </c>
      <c r="U116" s="449">
        <f>($H116-SUM($L116:T116))/U$694</f>
        <v>0</v>
      </c>
      <c r="V116" s="449">
        <f>($H116-SUM($L116:U116))/V$694</f>
        <v>0</v>
      </c>
      <c r="W116" s="449">
        <f>($H116-SUM($L116:V116))/W$694</f>
        <v>0</v>
      </c>
      <c r="X116" s="449"/>
      <c r="Y116" s="449">
        <f t="shared" si="137"/>
        <v>0</v>
      </c>
      <c r="Z116" s="531"/>
      <c r="AA116" s="449">
        <f t="shared" si="148"/>
        <v>0</v>
      </c>
      <c r="AB116" s="449">
        <f t="shared" si="148"/>
        <v>0</v>
      </c>
      <c r="AC116" s="449">
        <f t="shared" si="148"/>
        <v>0</v>
      </c>
      <c r="AD116" s="449">
        <f t="shared" si="148"/>
        <v>0</v>
      </c>
      <c r="AE116" s="449">
        <f t="shared" si="148"/>
        <v>0</v>
      </c>
      <c r="AF116" s="449">
        <f t="shared" si="148"/>
        <v>0</v>
      </c>
      <c r="AG116" s="449">
        <f t="shared" si="148"/>
        <v>0</v>
      </c>
      <c r="AH116" s="449">
        <f t="shared" si="148"/>
        <v>0</v>
      </c>
      <c r="AI116" s="449">
        <f t="shared" si="148"/>
        <v>0</v>
      </c>
      <c r="AJ116" s="449">
        <f t="shared" si="148"/>
        <v>0</v>
      </c>
      <c r="AK116" s="449">
        <f t="shared" si="148"/>
        <v>0</v>
      </c>
      <c r="AL116" s="449">
        <f t="shared" si="148"/>
        <v>0</v>
      </c>
      <c r="AN116" s="500">
        <f t="shared" si="139"/>
        <v>0</v>
      </c>
      <c r="AO116" s="449">
        <f t="shared" si="140"/>
        <v>0</v>
      </c>
      <c r="AP116" s="449">
        <f t="shared" si="141"/>
        <v>0</v>
      </c>
      <c r="AQ116" s="453" t="str">
        <f t="shared" si="142"/>
        <v>-</v>
      </c>
      <c r="AR116" s="449">
        <f t="shared" si="143"/>
        <v>0</v>
      </c>
      <c r="AS116" s="449">
        <f t="shared" si="144"/>
        <v>0</v>
      </c>
      <c r="AT116" s="426">
        <f t="shared" si="145"/>
        <v>0</v>
      </c>
      <c r="AU116" s="421"/>
      <c r="AV116" s="449">
        <f t="shared" ref="AV116:AX118" si="154">BI116</f>
        <v>0</v>
      </c>
      <c r="AW116" s="449">
        <f t="shared" si="154"/>
        <v>0</v>
      </c>
      <c r="AX116" s="449">
        <f t="shared" si="154"/>
        <v>0</v>
      </c>
      <c r="AY116" s="449">
        <f t="shared" si="152"/>
        <v>0</v>
      </c>
      <c r="AZ116" s="449">
        <f t="shared" si="152"/>
        <v>0</v>
      </c>
      <c r="BA116" s="449">
        <f t="shared" si="152"/>
        <v>0</v>
      </c>
      <c r="BB116" s="449">
        <f t="shared" si="152"/>
        <v>0</v>
      </c>
      <c r="BC116" s="449">
        <f t="shared" si="152"/>
        <v>0</v>
      </c>
      <c r="BD116" s="449">
        <f t="shared" si="152"/>
        <v>0</v>
      </c>
      <c r="BE116" s="449">
        <f t="shared" si="152"/>
        <v>0</v>
      </c>
      <c r="BF116" s="449">
        <f t="shared" si="152"/>
        <v>0</v>
      </c>
      <c r="BG116" s="449">
        <f t="shared" si="152"/>
        <v>0</v>
      </c>
      <c r="BH116" s="400"/>
      <c r="BI116" s="449">
        <f t="shared" ref="BI116:BT117" si="155">IFERROR((($H116/$H$5)*BI$5)/12,0)</f>
        <v>0</v>
      </c>
      <c r="BJ116" s="449">
        <f t="shared" si="155"/>
        <v>0</v>
      </c>
      <c r="BK116" s="449">
        <f t="shared" si="155"/>
        <v>0</v>
      </c>
      <c r="BL116" s="449">
        <f t="shared" si="155"/>
        <v>0</v>
      </c>
      <c r="BM116" s="449">
        <f t="shared" si="155"/>
        <v>0</v>
      </c>
      <c r="BN116" s="449">
        <f t="shared" si="155"/>
        <v>0</v>
      </c>
      <c r="BO116" s="449">
        <f t="shared" si="155"/>
        <v>0</v>
      </c>
      <c r="BP116" s="449">
        <f t="shared" si="155"/>
        <v>0</v>
      </c>
      <c r="BQ116" s="449">
        <f t="shared" si="155"/>
        <v>0</v>
      </c>
      <c r="BR116" s="449">
        <f t="shared" si="155"/>
        <v>0</v>
      </c>
      <c r="BS116" s="449">
        <f t="shared" si="155"/>
        <v>0</v>
      </c>
      <c r="BT116" s="449">
        <f t="shared" si="155"/>
        <v>0</v>
      </c>
    </row>
    <row r="117" spans="1:74" ht="15" x14ac:dyDescent="0.25">
      <c r="A117" s="537" t="s">
        <v>185</v>
      </c>
      <c r="B117" s="537" t="s">
        <v>138</v>
      </c>
      <c r="C117" s="541"/>
      <c r="D117" s="500">
        <f>SUM(L117:W117)</f>
        <v>0</v>
      </c>
      <c r="E117" s="449">
        <v>0</v>
      </c>
      <c r="F117" s="449">
        <f t="shared" si="133"/>
        <v>0</v>
      </c>
      <c r="G117" s="421">
        <f t="shared" si="134"/>
        <v>0</v>
      </c>
      <c r="H117" s="449">
        <v>0</v>
      </c>
      <c r="I117" s="449">
        <f t="shared" si="135"/>
        <v>0</v>
      </c>
      <c r="J117" s="426">
        <f t="shared" si="136"/>
        <v>0</v>
      </c>
      <c r="K117" s="421"/>
      <c r="L117" s="449">
        <v>0</v>
      </c>
      <c r="M117" s="449">
        <v>525</v>
      </c>
      <c r="N117" s="449">
        <v>0</v>
      </c>
      <c r="O117" s="449">
        <v>0</v>
      </c>
      <c r="P117" s="449">
        <v>0</v>
      </c>
      <c r="Q117" s="449">
        <v>4548.7700000000004</v>
      </c>
      <c r="R117" s="449">
        <f>($H117-SUM($L117:Q117))/R$694</f>
        <v>-845.62833333333344</v>
      </c>
      <c r="S117" s="449">
        <f>($H117-SUM($L117:R117))/S$694</f>
        <v>-845.62833333333344</v>
      </c>
      <c r="T117" s="449">
        <f>($H117-SUM($L117:S117))/T$694</f>
        <v>-845.62833333333344</v>
      </c>
      <c r="U117" s="449">
        <f>($H117-SUM($L117:T117))/U$694</f>
        <v>-845.62833333333344</v>
      </c>
      <c r="V117" s="449">
        <f>($H117-SUM($L117:U117))/V$694</f>
        <v>-845.62833333333333</v>
      </c>
      <c r="W117" s="449">
        <f>($H117-SUM($L117:V117))/W$694</f>
        <v>-845.62833333333333</v>
      </c>
      <c r="X117" s="449"/>
      <c r="Y117" s="449">
        <f t="shared" si="137"/>
        <v>0</v>
      </c>
      <c r="Z117" s="531"/>
      <c r="AA117" s="449">
        <f t="shared" si="148"/>
        <v>0</v>
      </c>
      <c r="AB117" s="449">
        <f t="shared" si="148"/>
        <v>0</v>
      </c>
      <c r="AC117" s="449">
        <f t="shared" si="148"/>
        <v>0</v>
      </c>
      <c r="AD117" s="449">
        <f t="shared" si="148"/>
        <v>0</v>
      </c>
      <c r="AE117" s="449">
        <f t="shared" si="148"/>
        <v>0</v>
      </c>
      <c r="AF117" s="449">
        <f t="shared" si="148"/>
        <v>0</v>
      </c>
      <c r="AG117" s="449">
        <f t="shared" si="148"/>
        <v>0</v>
      </c>
      <c r="AH117" s="449">
        <f t="shared" si="148"/>
        <v>0</v>
      </c>
      <c r="AI117" s="449">
        <f t="shared" si="148"/>
        <v>0</v>
      </c>
      <c r="AJ117" s="449">
        <f t="shared" si="148"/>
        <v>0</v>
      </c>
      <c r="AK117" s="449">
        <f t="shared" si="148"/>
        <v>0</v>
      </c>
      <c r="AL117" s="449">
        <f t="shared" si="148"/>
        <v>0</v>
      </c>
      <c r="AN117" s="500">
        <f>SUM(L117:W117)</f>
        <v>0</v>
      </c>
      <c r="AO117" s="449">
        <f>SUM(BI117:BT117)</f>
        <v>0</v>
      </c>
      <c r="AP117" s="449">
        <f t="shared" si="141"/>
        <v>0</v>
      </c>
      <c r="AQ117" s="453" t="str">
        <f t="shared" si="142"/>
        <v>-</v>
      </c>
      <c r="AR117" s="449">
        <f t="shared" si="143"/>
        <v>0</v>
      </c>
      <c r="AS117" s="449">
        <f t="shared" si="144"/>
        <v>0</v>
      </c>
      <c r="AT117" s="426">
        <f t="shared" si="145"/>
        <v>0</v>
      </c>
      <c r="AU117" s="421"/>
      <c r="AV117" s="449">
        <f t="shared" si="154"/>
        <v>0</v>
      </c>
      <c r="AW117" s="449">
        <f t="shared" si="154"/>
        <v>0</v>
      </c>
      <c r="AX117" s="449">
        <f t="shared" si="154"/>
        <v>0</v>
      </c>
      <c r="AY117" s="449">
        <f t="shared" si="152"/>
        <v>0</v>
      </c>
      <c r="AZ117" s="449">
        <f t="shared" si="152"/>
        <v>0</v>
      </c>
      <c r="BA117" s="449">
        <f t="shared" si="152"/>
        <v>0</v>
      </c>
      <c r="BB117" s="449">
        <f t="shared" si="152"/>
        <v>0</v>
      </c>
      <c r="BC117" s="449">
        <f t="shared" si="152"/>
        <v>0</v>
      </c>
      <c r="BD117" s="449">
        <f t="shared" si="152"/>
        <v>0</v>
      </c>
      <c r="BE117" s="449">
        <f t="shared" si="152"/>
        <v>0</v>
      </c>
      <c r="BF117" s="449">
        <f t="shared" si="152"/>
        <v>0</v>
      </c>
      <c r="BG117" s="449">
        <f t="shared" si="152"/>
        <v>0</v>
      </c>
      <c r="BH117" s="400"/>
      <c r="BI117" s="449">
        <f t="shared" si="155"/>
        <v>0</v>
      </c>
      <c r="BJ117" s="449">
        <f t="shared" si="155"/>
        <v>0</v>
      </c>
      <c r="BK117" s="449">
        <f t="shared" si="155"/>
        <v>0</v>
      </c>
      <c r="BL117" s="449">
        <f t="shared" si="155"/>
        <v>0</v>
      </c>
      <c r="BM117" s="449">
        <f t="shared" si="155"/>
        <v>0</v>
      </c>
      <c r="BN117" s="449">
        <f t="shared" si="155"/>
        <v>0</v>
      </c>
      <c r="BO117" s="449">
        <f t="shared" si="155"/>
        <v>0</v>
      </c>
      <c r="BP117" s="449">
        <f t="shared" si="155"/>
        <v>0</v>
      </c>
      <c r="BQ117" s="449">
        <f t="shared" si="155"/>
        <v>0</v>
      </c>
      <c r="BR117" s="449">
        <f t="shared" si="155"/>
        <v>0</v>
      </c>
      <c r="BS117" s="449">
        <f t="shared" si="155"/>
        <v>0</v>
      </c>
      <c r="BT117" s="449">
        <f t="shared" si="155"/>
        <v>0</v>
      </c>
    </row>
    <row r="118" spans="1:74" ht="15" x14ac:dyDescent="0.25">
      <c r="A118" s="502" t="s">
        <v>185</v>
      </c>
      <c r="B118" s="502" t="s">
        <v>186</v>
      </c>
      <c r="C118" s="596"/>
      <c r="D118" s="500">
        <f t="shared" si="132"/>
        <v>5073.7700000000004</v>
      </c>
      <c r="E118" s="449">
        <v>0</v>
      </c>
      <c r="F118" s="449">
        <f t="shared" si="133"/>
        <v>5073.7700000000004</v>
      </c>
      <c r="G118" s="421">
        <f t="shared" si="134"/>
        <v>0</v>
      </c>
      <c r="H118" s="449">
        <v>0</v>
      </c>
      <c r="I118" s="449">
        <f t="shared" si="135"/>
        <v>5073.7700000000004</v>
      </c>
      <c r="J118" s="426">
        <f t="shared" si="136"/>
        <v>0</v>
      </c>
      <c r="K118" s="421"/>
      <c r="L118" s="449">
        <v>0</v>
      </c>
      <c r="M118" s="449">
        <v>525</v>
      </c>
      <c r="N118" s="449">
        <v>0</v>
      </c>
      <c r="O118" s="449">
        <v>0</v>
      </c>
      <c r="P118" s="449">
        <v>0</v>
      </c>
      <c r="Q118" s="449">
        <v>4548.7700000000004</v>
      </c>
      <c r="R118" s="449">
        <v>0</v>
      </c>
      <c r="S118" s="449">
        <v>0</v>
      </c>
      <c r="T118" s="449">
        <v>0</v>
      </c>
      <c r="U118" s="449">
        <v>0</v>
      </c>
      <c r="V118" s="449">
        <v>0</v>
      </c>
      <c r="W118" s="449">
        <v>0</v>
      </c>
      <c r="X118" s="449"/>
      <c r="Y118" s="449">
        <f t="shared" si="137"/>
        <v>5073.7700000000004</v>
      </c>
      <c r="Z118" s="531"/>
      <c r="AA118" s="449">
        <f t="shared" si="148"/>
        <v>0</v>
      </c>
      <c r="AB118" s="449">
        <f t="shared" si="148"/>
        <v>0</v>
      </c>
      <c r="AC118" s="449">
        <f t="shared" si="148"/>
        <v>0</v>
      </c>
      <c r="AD118" s="449">
        <f t="shared" si="148"/>
        <v>0</v>
      </c>
      <c r="AE118" s="449">
        <f t="shared" si="148"/>
        <v>0</v>
      </c>
      <c r="AF118" s="449">
        <f t="shared" si="148"/>
        <v>0</v>
      </c>
      <c r="AG118" s="449">
        <f t="shared" si="148"/>
        <v>0</v>
      </c>
      <c r="AH118" s="449">
        <f t="shared" si="148"/>
        <v>0</v>
      </c>
      <c r="AI118" s="449">
        <f t="shared" si="148"/>
        <v>0</v>
      </c>
      <c r="AJ118" s="449">
        <f t="shared" si="148"/>
        <v>0</v>
      </c>
      <c r="AK118" s="449">
        <f t="shared" si="148"/>
        <v>0</v>
      </c>
      <c r="AL118" s="449">
        <f t="shared" si="148"/>
        <v>0</v>
      </c>
      <c r="AN118" s="500">
        <f t="shared" si="139"/>
        <v>5073.7700000000004</v>
      </c>
      <c r="AO118" s="449">
        <f t="shared" si="140"/>
        <v>5579.1093413654626</v>
      </c>
      <c r="AP118" s="449">
        <f t="shared" si="141"/>
        <v>505.33934136546213</v>
      </c>
      <c r="AQ118" s="453">
        <f t="shared" si="142"/>
        <v>9.9598393574297242E-2</v>
      </c>
      <c r="AR118" s="449">
        <f t="shared" si="143"/>
        <v>5579.1093413654626</v>
      </c>
      <c r="AS118" s="449">
        <f t="shared" si="144"/>
        <v>0</v>
      </c>
      <c r="AT118" s="426">
        <f t="shared" si="145"/>
        <v>0</v>
      </c>
      <c r="AU118" s="421"/>
      <c r="AV118" s="449">
        <f t="shared" si="154"/>
        <v>464.92577844712179</v>
      </c>
      <c r="AW118" s="449">
        <f t="shared" si="154"/>
        <v>464.92577844712179</v>
      </c>
      <c r="AX118" s="449">
        <f t="shared" si="154"/>
        <v>464.92577844712179</v>
      </c>
      <c r="AY118" s="449">
        <f t="shared" si="152"/>
        <v>464.92577844712179</v>
      </c>
      <c r="AZ118" s="449">
        <f t="shared" si="152"/>
        <v>464.92577844712179</v>
      </c>
      <c r="BA118" s="449">
        <f t="shared" si="152"/>
        <v>464.92577844712179</v>
      </c>
      <c r="BB118" s="449">
        <f t="shared" si="152"/>
        <v>464.92577844712179</v>
      </c>
      <c r="BC118" s="449">
        <f t="shared" si="152"/>
        <v>464.92577844712179</v>
      </c>
      <c r="BD118" s="449">
        <f t="shared" si="152"/>
        <v>464.92577844712179</v>
      </c>
      <c r="BE118" s="449">
        <f t="shared" si="152"/>
        <v>464.92577844712179</v>
      </c>
      <c r="BF118" s="449">
        <f t="shared" si="152"/>
        <v>464.92577844712179</v>
      </c>
      <c r="BG118" s="449">
        <f t="shared" si="152"/>
        <v>464.92577844712179</v>
      </c>
      <c r="BH118" s="400"/>
      <c r="BI118" s="449">
        <f t="shared" ref="BI118:BT118" si="156">IFERROR((($D118/$H$5)*BI$5)/12,0)</f>
        <v>464.92577844712179</v>
      </c>
      <c r="BJ118" s="449">
        <f t="shared" si="156"/>
        <v>464.92577844712179</v>
      </c>
      <c r="BK118" s="449">
        <f t="shared" si="156"/>
        <v>464.92577844712179</v>
      </c>
      <c r="BL118" s="449">
        <f t="shared" si="156"/>
        <v>464.92577844712179</v>
      </c>
      <c r="BM118" s="449">
        <f t="shared" si="156"/>
        <v>464.92577844712179</v>
      </c>
      <c r="BN118" s="449">
        <f t="shared" si="156"/>
        <v>464.92577844712179</v>
      </c>
      <c r="BO118" s="449">
        <f t="shared" si="156"/>
        <v>464.92577844712179</v>
      </c>
      <c r="BP118" s="449">
        <f t="shared" si="156"/>
        <v>464.92577844712179</v>
      </c>
      <c r="BQ118" s="449">
        <f t="shared" si="156"/>
        <v>464.92577844712179</v>
      </c>
      <c r="BR118" s="449">
        <f t="shared" si="156"/>
        <v>464.92577844712179</v>
      </c>
      <c r="BS118" s="449">
        <f t="shared" si="156"/>
        <v>464.92577844712179</v>
      </c>
      <c r="BT118" s="449">
        <f t="shared" si="156"/>
        <v>464.92577844712179</v>
      </c>
    </row>
    <row r="119" spans="1:74" ht="15" x14ac:dyDescent="0.25">
      <c r="A119" s="587"/>
      <c r="B119" s="502"/>
      <c r="C119" s="596"/>
      <c r="D119" s="500"/>
      <c r="E119" s="449"/>
      <c r="F119" s="449"/>
      <c r="G119" s="421"/>
      <c r="H119" s="449"/>
      <c r="I119" s="449"/>
      <c r="J119" s="426"/>
      <c r="K119" s="421"/>
      <c r="L119" s="449"/>
      <c r="M119" s="449"/>
      <c r="N119" s="449"/>
      <c r="O119" s="449"/>
      <c r="P119" s="449"/>
      <c r="Q119" s="449"/>
      <c r="R119" s="449"/>
      <c r="S119" s="449"/>
      <c r="T119" s="449"/>
      <c r="U119" s="449"/>
      <c r="V119" s="449"/>
      <c r="W119" s="449"/>
      <c r="X119" s="449"/>
      <c r="Y119" s="449"/>
      <c r="Z119" s="531"/>
      <c r="AA119" s="449"/>
      <c r="AB119" s="449"/>
      <c r="AC119" s="449"/>
      <c r="AD119" s="449"/>
      <c r="AE119" s="449"/>
      <c r="AF119" s="449"/>
      <c r="AG119" s="449"/>
      <c r="AH119" s="449"/>
      <c r="AI119" s="449"/>
      <c r="AJ119" s="449"/>
      <c r="AK119" s="449"/>
      <c r="AL119" s="449"/>
      <c r="AN119" s="500"/>
      <c r="AO119" s="449"/>
      <c r="AP119" s="449"/>
      <c r="AQ119" s="453"/>
      <c r="AR119" s="449"/>
      <c r="AS119" s="449"/>
      <c r="AT119" s="426"/>
      <c r="AU119" s="421"/>
      <c r="AV119" s="449"/>
      <c r="AW119" s="449"/>
      <c r="AX119" s="449"/>
      <c r="AY119" s="449"/>
      <c r="AZ119" s="449"/>
      <c r="BA119" s="449"/>
      <c r="BB119" s="449"/>
      <c r="BC119" s="449"/>
      <c r="BD119" s="449"/>
      <c r="BE119" s="449"/>
      <c r="BF119" s="449"/>
      <c r="BG119" s="449"/>
      <c r="BH119" s="531"/>
      <c r="BI119" s="449"/>
      <c r="BJ119" s="449"/>
      <c r="BK119" s="449"/>
      <c r="BL119" s="449"/>
      <c r="BM119" s="449"/>
      <c r="BN119" s="449"/>
      <c r="BO119" s="449"/>
      <c r="BP119" s="449"/>
      <c r="BQ119" s="449"/>
      <c r="BR119" s="449"/>
      <c r="BS119" s="449"/>
      <c r="BT119" s="449"/>
    </row>
    <row r="120" spans="1:74" s="536" customFormat="1" ht="15.75" thickBot="1" x14ac:dyDescent="0.3">
      <c r="A120" s="526"/>
      <c r="B120" s="524" t="s">
        <v>187</v>
      </c>
      <c r="C120" s="598"/>
      <c r="D120" s="532">
        <f>SUM(D94:D119)</f>
        <v>794491.45000000007</v>
      </c>
      <c r="E120" s="533">
        <f>SUM(E94:E119)</f>
        <v>738935</v>
      </c>
      <c r="F120" s="533">
        <f>IFERROR(D120-E120,0)</f>
        <v>55556.45000000007</v>
      </c>
      <c r="G120" s="520">
        <f>IFERROR(F120/ABS(E120),0)</f>
        <v>7.5184488486808809E-2</v>
      </c>
      <c r="H120" s="533">
        <f>SUM(H94:H119)</f>
        <v>786132</v>
      </c>
      <c r="I120" s="533">
        <f>IFERROR(D120-H120,0)</f>
        <v>8359.4500000000698</v>
      </c>
      <c r="J120" s="521">
        <f>IFERROR(I120/ABS(H120),0)</f>
        <v>1.0633646766700847E-2</v>
      </c>
      <c r="K120" s="507"/>
      <c r="L120" s="533">
        <f>SUM(L94:L119)</f>
        <v>51630.409999999996</v>
      </c>
      <c r="M120" s="533">
        <f t="shared" ref="M120:W120" si="157">SUM(M94:M119)</f>
        <v>75633.599999999991</v>
      </c>
      <c r="N120" s="533">
        <f t="shared" si="157"/>
        <v>68028.84</v>
      </c>
      <c r="O120" s="533">
        <f t="shared" si="157"/>
        <v>100118.63</v>
      </c>
      <c r="P120" s="533">
        <f t="shared" si="157"/>
        <v>64039.199999999975</v>
      </c>
      <c r="Q120" s="533">
        <f t="shared" si="157"/>
        <v>86744.34000000004</v>
      </c>
      <c r="R120" s="533">
        <f t="shared" si="157"/>
        <v>58049.404999999992</v>
      </c>
      <c r="S120" s="533">
        <f t="shared" si="157"/>
        <v>58049.404999999992</v>
      </c>
      <c r="T120" s="533">
        <f t="shared" si="157"/>
        <v>58049.404999999992</v>
      </c>
      <c r="U120" s="533">
        <f t="shared" si="157"/>
        <v>58049.404999999992</v>
      </c>
      <c r="V120" s="533">
        <f t="shared" si="157"/>
        <v>58049.404999999999</v>
      </c>
      <c r="W120" s="533">
        <f t="shared" si="157"/>
        <v>58049.404999999999</v>
      </c>
      <c r="X120" s="533"/>
      <c r="Y120" s="533">
        <f>SUM(L120:W120)</f>
        <v>794491.45000000007</v>
      </c>
      <c r="Z120" s="508"/>
      <c r="AA120" s="533">
        <f t="shared" ref="AA120:AL120" si="158">SUM(AA94:AA119)</f>
        <v>65511</v>
      </c>
      <c r="AB120" s="533">
        <f t="shared" si="158"/>
        <v>65511</v>
      </c>
      <c r="AC120" s="533">
        <f t="shared" si="158"/>
        <v>65511</v>
      </c>
      <c r="AD120" s="533">
        <f t="shared" si="158"/>
        <v>65511</v>
      </c>
      <c r="AE120" s="533">
        <f t="shared" si="158"/>
        <v>65511</v>
      </c>
      <c r="AF120" s="533">
        <f t="shared" si="158"/>
        <v>65511</v>
      </c>
      <c r="AG120" s="533">
        <f t="shared" si="158"/>
        <v>65511</v>
      </c>
      <c r="AH120" s="533">
        <f t="shared" si="158"/>
        <v>65511</v>
      </c>
      <c r="AI120" s="533">
        <f t="shared" si="158"/>
        <v>65511</v>
      </c>
      <c r="AJ120" s="533">
        <f t="shared" si="158"/>
        <v>65511</v>
      </c>
      <c r="AK120" s="533">
        <f t="shared" si="158"/>
        <v>65511</v>
      </c>
      <c r="AL120" s="533">
        <f t="shared" si="158"/>
        <v>65511</v>
      </c>
      <c r="AN120" s="532">
        <f>SUM(AN94:AN119)</f>
        <v>794491.45000000007</v>
      </c>
      <c r="AO120" s="533">
        <f>SUM(AO94:AO119)</f>
        <v>836724.2560986582</v>
      </c>
      <c r="AP120" s="533">
        <f>IFERROR(AO120-AN120,0)</f>
        <v>42232.806098658126</v>
      </c>
      <c r="AQ120" s="523">
        <f>IFERROR(AP120/ABS(AN120),"-")</f>
        <v>5.3157030322551771E-2</v>
      </c>
      <c r="AR120" s="533">
        <f>SUM(AR94:AR119)</f>
        <v>836724.2560986582</v>
      </c>
      <c r="AS120" s="533">
        <f>IFERROR(AO120-AR120,0)</f>
        <v>0</v>
      </c>
      <c r="AT120" s="521">
        <f>IFERROR(AS120/ABS(AR120),0)</f>
        <v>0</v>
      </c>
      <c r="AU120" s="507"/>
      <c r="AV120" s="533">
        <f>SUM(AV94:AV119)</f>
        <v>12979.710883668005</v>
      </c>
      <c r="AW120" s="533">
        <f t="shared" ref="AW120:BG120" si="159">SUM(AW94:AW119)</f>
        <v>68990.851634624676</v>
      </c>
      <c r="AX120" s="533">
        <f t="shared" si="159"/>
        <v>69656.281860366667</v>
      </c>
      <c r="AY120" s="533">
        <f t="shared" si="159"/>
        <v>108656.28186036667</v>
      </c>
      <c r="AZ120" s="533">
        <f t="shared" si="159"/>
        <v>69656.281860366667</v>
      </c>
      <c r="BA120" s="533">
        <f t="shared" si="159"/>
        <v>63765.672488938093</v>
      </c>
      <c r="BB120" s="533">
        <f t="shared" si="159"/>
        <v>63765.672488938093</v>
      </c>
      <c r="BC120" s="533">
        <f t="shared" si="159"/>
        <v>63765.672488938093</v>
      </c>
      <c r="BD120" s="533">
        <f t="shared" si="159"/>
        <v>63765.672488938093</v>
      </c>
      <c r="BE120" s="533">
        <f t="shared" si="159"/>
        <v>63765.672488938093</v>
      </c>
      <c r="BF120" s="533">
        <f t="shared" si="159"/>
        <v>63765.672488938093</v>
      </c>
      <c r="BG120" s="533">
        <f t="shared" si="159"/>
        <v>124190.81306563676</v>
      </c>
      <c r="BH120" s="508"/>
      <c r="BI120" s="533">
        <f t="shared" ref="BI120:BT120" si="160">SUM(BI94:BI119)</f>
        <v>12979.710883668005</v>
      </c>
      <c r="BJ120" s="533">
        <f t="shared" si="160"/>
        <v>68990.851634624676</v>
      </c>
      <c r="BK120" s="533">
        <f t="shared" si="160"/>
        <v>69656.281860366667</v>
      </c>
      <c r="BL120" s="533">
        <f t="shared" si="160"/>
        <v>108656.28186036667</v>
      </c>
      <c r="BM120" s="533">
        <f t="shared" si="160"/>
        <v>69656.281860366667</v>
      </c>
      <c r="BN120" s="533">
        <f t="shared" si="160"/>
        <v>63765.672488938093</v>
      </c>
      <c r="BO120" s="533">
        <f t="shared" si="160"/>
        <v>63765.672488938093</v>
      </c>
      <c r="BP120" s="533">
        <f t="shared" si="160"/>
        <v>63765.672488938093</v>
      </c>
      <c r="BQ120" s="533">
        <f t="shared" si="160"/>
        <v>63765.672488938093</v>
      </c>
      <c r="BR120" s="533">
        <f t="shared" si="160"/>
        <v>63765.672488938093</v>
      </c>
      <c r="BS120" s="533">
        <f t="shared" si="160"/>
        <v>63765.672488938093</v>
      </c>
      <c r="BT120" s="533">
        <f t="shared" si="160"/>
        <v>124190.81306563676</v>
      </c>
      <c r="BV120" s="400"/>
    </row>
    <row r="121" spans="1:74" ht="15.75" thickTop="1" x14ac:dyDescent="0.25">
      <c r="A121" s="587"/>
      <c r="B121" s="502"/>
      <c r="C121" s="596"/>
      <c r="D121" s="500"/>
      <c r="E121" s="449"/>
      <c r="F121" s="449"/>
      <c r="G121" s="421"/>
      <c r="H121" s="449"/>
      <c r="I121" s="449"/>
      <c r="J121" s="426"/>
      <c r="K121" s="421"/>
      <c r="L121" s="449"/>
      <c r="M121" s="449"/>
      <c r="N121" s="449"/>
      <c r="O121" s="449"/>
      <c r="P121" s="449"/>
      <c r="Q121" s="449"/>
      <c r="R121" s="449"/>
      <c r="S121" s="449"/>
      <c r="T121" s="449"/>
      <c r="U121" s="449"/>
      <c r="V121" s="449"/>
      <c r="W121" s="449"/>
      <c r="X121" s="449"/>
      <c r="Y121" s="449"/>
      <c r="Z121" s="531"/>
      <c r="AA121" s="449"/>
      <c r="AB121" s="449"/>
      <c r="AC121" s="449"/>
      <c r="AD121" s="449"/>
      <c r="AE121" s="449"/>
      <c r="AF121" s="449"/>
      <c r="AG121" s="449"/>
      <c r="AH121" s="449"/>
      <c r="AI121" s="449"/>
      <c r="AJ121" s="449"/>
      <c r="AK121" s="449"/>
      <c r="AL121" s="449"/>
      <c r="AN121" s="500"/>
      <c r="AO121" s="449"/>
      <c r="AP121" s="449"/>
      <c r="AQ121" s="453"/>
      <c r="AR121" s="449"/>
      <c r="AS121" s="449"/>
      <c r="AT121" s="426"/>
      <c r="AU121" s="421"/>
      <c r="AV121" s="449"/>
      <c r="AW121" s="449"/>
      <c r="AX121" s="449"/>
      <c r="AY121" s="449"/>
      <c r="AZ121" s="449"/>
      <c r="BA121" s="449"/>
      <c r="BB121" s="449"/>
      <c r="BC121" s="449"/>
      <c r="BD121" s="449"/>
      <c r="BE121" s="449"/>
      <c r="BF121" s="449"/>
      <c r="BG121" s="449"/>
      <c r="BH121" s="531"/>
      <c r="BI121" s="449"/>
      <c r="BJ121" s="449"/>
      <c r="BK121" s="449"/>
      <c r="BL121" s="449"/>
      <c r="BM121" s="449"/>
      <c r="BN121" s="449"/>
      <c r="BO121" s="449"/>
      <c r="BP121" s="449"/>
      <c r="BQ121" s="449"/>
      <c r="BR121" s="449"/>
      <c r="BS121" s="449"/>
      <c r="BT121" s="449"/>
    </row>
    <row r="122" spans="1:74" ht="15.75" x14ac:dyDescent="0.25">
      <c r="A122" s="587"/>
      <c r="B122" s="525" t="s">
        <v>188</v>
      </c>
      <c r="C122" s="596"/>
      <c r="D122" s="500"/>
      <c r="E122" s="449"/>
      <c r="F122" s="449"/>
      <c r="G122" s="421"/>
      <c r="H122" s="449"/>
      <c r="I122" s="449"/>
      <c r="J122" s="426"/>
      <c r="K122" s="421"/>
      <c r="L122" s="449"/>
      <c r="M122" s="449"/>
      <c r="N122" s="449"/>
      <c r="O122" s="449"/>
      <c r="P122" s="449"/>
      <c r="Q122" s="449"/>
      <c r="R122" s="449"/>
      <c r="S122" s="449"/>
      <c r="T122" s="449"/>
      <c r="U122" s="449"/>
      <c r="V122" s="449"/>
      <c r="W122" s="449"/>
      <c r="X122" s="449"/>
      <c r="Y122" s="449"/>
      <c r="Z122" s="531"/>
      <c r="AA122" s="449"/>
      <c r="AB122" s="449"/>
      <c r="AC122" s="449"/>
      <c r="AD122" s="449"/>
      <c r="AE122" s="449"/>
      <c r="AF122" s="449"/>
      <c r="AG122" s="449"/>
      <c r="AH122" s="449"/>
      <c r="AI122" s="449"/>
      <c r="AJ122" s="449"/>
      <c r="AK122" s="449"/>
      <c r="AL122" s="449"/>
      <c r="AN122" s="500"/>
      <c r="AO122" s="449"/>
      <c r="AP122" s="449"/>
      <c r="AQ122" s="453"/>
      <c r="AR122" s="449"/>
      <c r="AS122" s="449"/>
      <c r="AT122" s="426"/>
      <c r="AU122" s="421"/>
      <c r="AV122" s="449"/>
      <c r="AW122" s="449"/>
      <c r="AX122" s="449"/>
      <c r="AY122" s="449"/>
      <c r="AZ122" s="449"/>
      <c r="BA122" s="449"/>
      <c r="BB122" s="449"/>
      <c r="BC122" s="449"/>
      <c r="BD122" s="449"/>
      <c r="BE122" s="449"/>
      <c r="BF122" s="449"/>
      <c r="BG122" s="449"/>
      <c r="BH122" s="531"/>
      <c r="BI122" s="449"/>
      <c r="BJ122" s="449"/>
      <c r="BK122" s="449"/>
      <c r="BL122" s="449"/>
      <c r="BM122" s="449"/>
      <c r="BN122" s="449"/>
      <c r="BO122" s="449"/>
      <c r="BP122" s="449"/>
      <c r="BQ122" s="449"/>
      <c r="BR122" s="449"/>
      <c r="BS122" s="449"/>
      <c r="BT122" s="449"/>
    </row>
    <row r="123" spans="1:74" ht="15" x14ac:dyDescent="0.25">
      <c r="A123" s="587"/>
      <c r="B123" s="502"/>
      <c r="C123" s="596"/>
      <c r="D123" s="500"/>
      <c r="E123" s="449"/>
      <c r="F123" s="449"/>
      <c r="G123" s="421"/>
      <c r="H123" s="449"/>
      <c r="I123" s="449"/>
      <c r="J123" s="426"/>
      <c r="K123" s="421"/>
      <c r="L123" s="449"/>
      <c r="M123" s="449"/>
      <c r="N123" s="449"/>
      <c r="O123" s="449"/>
      <c r="P123" s="449"/>
      <c r="Q123" s="449"/>
      <c r="R123" s="449"/>
      <c r="S123" s="449"/>
      <c r="T123" s="449"/>
      <c r="U123" s="449"/>
      <c r="V123" s="449"/>
      <c r="W123" s="449"/>
      <c r="X123" s="449"/>
      <c r="Y123" s="449"/>
      <c r="Z123" s="531"/>
      <c r="AA123" s="449"/>
      <c r="AB123" s="449"/>
      <c r="AC123" s="449"/>
      <c r="AD123" s="449"/>
      <c r="AE123" s="449"/>
      <c r="AF123" s="449"/>
      <c r="AG123" s="449"/>
      <c r="AH123" s="449"/>
      <c r="AI123" s="449"/>
      <c r="AJ123" s="449"/>
      <c r="AK123" s="449"/>
      <c r="AL123" s="449"/>
      <c r="AN123" s="500"/>
      <c r="AO123" s="449"/>
      <c r="AP123" s="449"/>
      <c r="AQ123" s="453"/>
      <c r="AR123" s="449"/>
      <c r="AS123" s="449"/>
      <c r="AT123" s="426"/>
      <c r="AU123" s="421"/>
      <c r="AV123" s="449"/>
      <c r="AW123" s="449"/>
      <c r="AX123" s="449"/>
      <c r="AY123" s="449"/>
      <c r="AZ123" s="449"/>
      <c r="BA123" s="449"/>
      <c r="BB123" s="449"/>
      <c r="BC123" s="449"/>
      <c r="BD123" s="449"/>
      <c r="BE123" s="449"/>
      <c r="BF123" s="449"/>
      <c r="BG123" s="449"/>
      <c r="BH123" s="531"/>
      <c r="BI123" s="449"/>
      <c r="BJ123" s="449"/>
      <c r="BK123" s="449"/>
      <c r="BL123" s="449"/>
      <c r="BM123" s="449"/>
      <c r="BN123" s="449"/>
      <c r="BO123" s="449"/>
      <c r="BP123" s="449"/>
      <c r="BQ123" s="449"/>
      <c r="BR123" s="449"/>
      <c r="BS123" s="449"/>
      <c r="BT123" s="449"/>
    </row>
    <row r="124" spans="1:74" ht="15" x14ac:dyDescent="0.25">
      <c r="A124" s="502" t="s">
        <v>189</v>
      </c>
      <c r="B124" s="502" t="s">
        <v>190</v>
      </c>
      <c r="C124" s="596"/>
      <c r="D124" s="500">
        <f t="shared" ref="D124:D136" si="161">SUM(L124:W124)</f>
        <v>151552</v>
      </c>
      <c r="E124" s="449">
        <v>159000</v>
      </c>
      <c r="F124" s="449">
        <f t="shared" ref="F124:F136" si="162">IFERROR(D124-E124,0)</f>
        <v>-7448</v>
      </c>
      <c r="G124" s="421">
        <f t="shared" ref="G124:G136" si="163">IFERROR(F124/ABS(E124),0)</f>
        <v>-4.6842767295597484E-2</v>
      </c>
      <c r="H124" s="449">
        <v>151552</v>
      </c>
      <c r="I124" s="449">
        <f t="shared" ref="I124:I136" si="164">IFERROR(D124-H124,0)</f>
        <v>0</v>
      </c>
      <c r="J124" s="426">
        <f t="shared" ref="J124:J136" si="165">IFERROR(I124/ABS(H124),0)</f>
        <v>0</v>
      </c>
      <c r="K124" s="421"/>
      <c r="L124" s="449">
        <v>0</v>
      </c>
      <c r="M124" s="449">
        <v>16180.72</v>
      </c>
      <c r="N124" s="449">
        <v>12889.860000000002</v>
      </c>
      <c r="O124" s="449">
        <v>12730.739999999998</v>
      </c>
      <c r="P124" s="449">
        <v>12412.669999999998</v>
      </c>
      <c r="Q124" s="449">
        <v>18963.080000000009</v>
      </c>
      <c r="R124" s="449">
        <f>($H124-SUM($L124:Q124))/R$694</f>
        <v>13062.488333333333</v>
      </c>
      <c r="S124" s="449">
        <f>($H124-SUM($L124:R124))/S$694</f>
        <v>13062.488333333333</v>
      </c>
      <c r="T124" s="449">
        <f>($H124-SUM($L124:S124))/T$694</f>
        <v>13062.488333333335</v>
      </c>
      <c r="U124" s="449">
        <f>($H124-SUM($L124:T124))/U$694</f>
        <v>13062.488333333333</v>
      </c>
      <c r="V124" s="449">
        <f>($H124-SUM($L124:U124))/V$694</f>
        <v>13062.488333333335</v>
      </c>
      <c r="W124" s="449">
        <f>($H124-SUM($L124:V124))/W$694</f>
        <v>13062.488333333342</v>
      </c>
      <c r="X124" s="449"/>
      <c r="Y124" s="449">
        <f t="shared" ref="Y124:Y136" si="166">SUM(L124:W124)</f>
        <v>151552</v>
      </c>
      <c r="Z124" s="531"/>
      <c r="AA124" s="449">
        <f t="shared" ref="AA124:AL141" si="167">IFERROR($H124/12,0)</f>
        <v>12629.333333333334</v>
      </c>
      <c r="AB124" s="449">
        <f t="shared" si="167"/>
        <v>12629.333333333334</v>
      </c>
      <c r="AC124" s="449">
        <f t="shared" si="167"/>
        <v>12629.333333333334</v>
      </c>
      <c r="AD124" s="449">
        <f t="shared" si="167"/>
        <v>12629.333333333334</v>
      </c>
      <c r="AE124" s="449">
        <f t="shared" si="167"/>
        <v>12629.333333333334</v>
      </c>
      <c r="AF124" s="449">
        <f t="shared" si="167"/>
        <v>12629.333333333334</v>
      </c>
      <c r="AG124" s="449">
        <f t="shared" si="167"/>
        <v>12629.333333333334</v>
      </c>
      <c r="AH124" s="449">
        <f t="shared" si="167"/>
        <v>12629.333333333334</v>
      </c>
      <c r="AI124" s="449">
        <f t="shared" si="167"/>
        <v>12629.333333333334</v>
      </c>
      <c r="AJ124" s="449">
        <f t="shared" si="167"/>
        <v>12629.333333333334</v>
      </c>
      <c r="AK124" s="449">
        <f t="shared" si="167"/>
        <v>12629.333333333334</v>
      </c>
      <c r="AL124" s="449">
        <f t="shared" si="167"/>
        <v>12629.333333333334</v>
      </c>
      <c r="AN124" s="500">
        <f t="shared" ref="AN124:AN136" si="168">SUM(L124:W124)</f>
        <v>151552</v>
      </c>
      <c r="AO124" s="449">
        <f t="shared" ref="AO124:AO138" si="169">SUM(BI124:BT124)</f>
        <v>312197.90279999998</v>
      </c>
      <c r="AP124" s="449">
        <f t="shared" ref="AP124:AP136" si="170">IFERROR(AO124-AN124,0)</f>
        <v>160645.90279999998</v>
      </c>
      <c r="AQ124" s="453">
        <f t="shared" ref="AQ124:AQ141" si="171">IFERROR(AP124/ABS(AN124),"-")</f>
        <v>1.0600051652238174</v>
      </c>
      <c r="AR124" s="449">
        <f t="shared" ref="AR124:AR136" si="172">SUM(BI124:BT124)</f>
        <v>312197.90279999998</v>
      </c>
      <c r="AS124" s="449">
        <f t="shared" ref="AS124:AS136" si="173">IFERROR(AO124-AR124,0)</f>
        <v>0</v>
      </c>
      <c r="AT124" s="426">
        <f t="shared" ref="AT124:AT136" si="174">IFERROR(AS124/ABS(AR124),0)</f>
        <v>0</v>
      </c>
      <c r="AU124" s="421"/>
      <c r="AV124" s="449">
        <f t="shared" ref="AV124:BG139" si="175">BI124</f>
        <v>0</v>
      </c>
      <c r="AW124" s="449">
        <f t="shared" si="175"/>
        <v>26016.491899999997</v>
      </c>
      <c r="AX124" s="449">
        <f t="shared" si="175"/>
        <v>26016.491899999997</v>
      </c>
      <c r="AY124" s="449">
        <f t="shared" si="175"/>
        <v>26016.491899999997</v>
      </c>
      <c r="AZ124" s="449">
        <f t="shared" si="175"/>
        <v>26016.491899999997</v>
      </c>
      <c r="BA124" s="449">
        <f t="shared" si="175"/>
        <v>26016.491899999997</v>
      </c>
      <c r="BB124" s="449">
        <f t="shared" si="175"/>
        <v>26016.491899999997</v>
      </c>
      <c r="BC124" s="449">
        <f t="shared" si="175"/>
        <v>26016.491899999997</v>
      </c>
      <c r="BD124" s="449">
        <f t="shared" si="175"/>
        <v>26016.491899999997</v>
      </c>
      <c r="BE124" s="449">
        <f t="shared" si="175"/>
        <v>26016.491899999997</v>
      </c>
      <c r="BF124" s="449">
        <f t="shared" si="175"/>
        <v>26016.491899999997</v>
      </c>
      <c r="BG124" s="449">
        <f t="shared" si="175"/>
        <v>52032.983799999995</v>
      </c>
      <c r="BH124" s="400"/>
      <c r="BI124" s="449">
        <v>0</v>
      </c>
      <c r="BJ124" s="449">
        <f>SUM('FY19 Staffing V1-1 (3)'!$P$71:$P$78)/12</f>
        <v>26016.491899999997</v>
      </c>
      <c r="BK124" s="449">
        <f>SUM('FY19 Staffing V1-1 (3)'!$P$71:$P$78)/12</f>
        <v>26016.491899999997</v>
      </c>
      <c r="BL124" s="449">
        <f>SUM('FY19 Staffing V1-1 (3)'!$P$71:$P$78)/12</f>
        <v>26016.491899999997</v>
      </c>
      <c r="BM124" s="449">
        <f>SUM('FY19 Staffing V1-1 (3)'!$P$71:$P$78)/12</f>
        <v>26016.491899999997</v>
      </c>
      <c r="BN124" s="449">
        <f>SUM('FY19 Staffing V1-1 (3)'!$P$71:$P$78)/12</f>
        <v>26016.491899999997</v>
      </c>
      <c r="BO124" s="449">
        <f>SUM('FY19 Staffing V1-1 (3)'!$P$71:$P$78)/12</f>
        <v>26016.491899999997</v>
      </c>
      <c r="BP124" s="449">
        <f>SUM('FY19 Staffing V1-1 (3)'!$P$71:$P$78)/12</f>
        <v>26016.491899999997</v>
      </c>
      <c r="BQ124" s="449">
        <f>SUM('FY19 Staffing V1-1 (3)'!$P$71:$P$78)/12</f>
        <v>26016.491899999997</v>
      </c>
      <c r="BR124" s="449">
        <f>SUM('FY19 Staffing V1-1 (3)'!$P$71:$P$78)/12</f>
        <v>26016.491899999997</v>
      </c>
      <c r="BS124" s="449">
        <f>SUM('FY19 Staffing V1-1 (3)'!$P$71:$P$78)/12</f>
        <v>26016.491899999997</v>
      </c>
      <c r="BT124" s="449">
        <f>SUM('FY19 Staffing V1-1 (3)'!$P$71:$P$78)/12*2</f>
        <v>52032.983799999995</v>
      </c>
    </row>
    <row r="125" spans="1:74" ht="15" x14ac:dyDescent="0.25">
      <c r="A125" s="537" t="s">
        <v>191</v>
      </c>
      <c r="B125" s="537" t="s">
        <v>90</v>
      </c>
      <c r="C125" s="596"/>
      <c r="D125" s="500">
        <f>SUM(L125:W125)</f>
        <v>0</v>
      </c>
      <c r="E125" s="449">
        <v>0</v>
      </c>
      <c r="F125" s="449">
        <f t="shared" si="162"/>
        <v>0</v>
      </c>
      <c r="G125" s="421">
        <f t="shared" si="163"/>
        <v>0</v>
      </c>
      <c r="H125" s="449">
        <v>0</v>
      </c>
      <c r="I125" s="449">
        <f t="shared" si="164"/>
        <v>0</v>
      </c>
      <c r="J125" s="426">
        <f t="shared" si="165"/>
        <v>0</v>
      </c>
      <c r="K125" s="421"/>
      <c r="L125" s="449">
        <v>0</v>
      </c>
      <c r="M125" s="449">
        <v>0</v>
      </c>
      <c r="N125" s="449">
        <v>0</v>
      </c>
      <c r="O125" s="449">
        <v>0</v>
      </c>
      <c r="P125" s="449">
        <v>0</v>
      </c>
      <c r="Q125" s="449">
        <v>0</v>
      </c>
      <c r="R125" s="449">
        <f>($H125-SUM($L125:Q125))/R$694</f>
        <v>0</v>
      </c>
      <c r="S125" s="449">
        <f>($H125-SUM($L125:R125))/S$694</f>
        <v>0</v>
      </c>
      <c r="T125" s="449">
        <f>($H125-SUM($L125:S125))/T$694</f>
        <v>0</v>
      </c>
      <c r="U125" s="449">
        <f>($H125-SUM($L125:T125))/U$694</f>
        <v>0</v>
      </c>
      <c r="V125" s="449">
        <f>($H125-SUM($L125:U125))/V$694</f>
        <v>0</v>
      </c>
      <c r="W125" s="449">
        <f>($H125-SUM($L125:V125))/W$694</f>
        <v>0</v>
      </c>
      <c r="X125" s="449"/>
      <c r="Y125" s="449">
        <f t="shared" si="166"/>
        <v>0</v>
      </c>
      <c r="Z125" s="531"/>
      <c r="AA125" s="449">
        <f t="shared" si="167"/>
        <v>0</v>
      </c>
      <c r="AB125" s="449">
        <f t="shared" si="167"/>
        <v>0</v>
      </c>
      <c r="AC125" s="449">
        <f t="shared" si="167"/>
        <v>0</v>
      </c>
      <c r="AD125" s="449">
        <f t="shared" si="167"/>
        <v>0</v>
      </c>
      <c r="AE125" s="449">
        <f t="shared" si="167"/>
        <v>0</v>
      </c>
      <c r="AF125" s="449">
        <f t="shared" si="167"/>
        <v>0</v>
      </c>
      <c r="AG125" s="449">
        <f t="shared" si="167"/>
        <v>0</v>
      </c>
      <c r="AH125" s="449">
        <f t="shared" si="167"/>
        <v>0</v>
      </c>
      <c r="AI125" s="449">
        <f t="shared" si="167"/>
        <v>0</v>
      </c>
      <c r="AJ125" s="449">
        <f t="shared" si="167"/>
        <v>0</v>
      </c>
      <c r="AK125" s="449">
        <f t="shared" si="167"/>
        <v>0</v>
      </c>
      <c r="AL125" s="449">
        <f t="shared" si="167"/>
        <v>0</v>
      </c>
      <c r="AN125" s="500">
        <f>SUM(L125:W125)</f>
        <v>0</v>
      </c>
      <c r="AO125" s="449">
        <f>SUM(BI125:BT125)</f>
        <v>24877.743167793127</v>
      </c>
      <c r="AP125" s="449">
        <f t="shared" si="170"/>
        <v>24877.743167793127</v>
      </c>
      <c r="AQ125" s="453" t="str">
        <f t="shared" si="171"/>
        <v>-</v>
      </c>
      <c r="AR125" s="449">
        <f t="shared" si="172"/>
        <v>24877.743167793127</v>
      </c>
      <c r="AS125" s="449">
        <f t="shared" si="173"/>
        <v>0</v>
      </c>
      <c r="AT125" s="426">
        <f t="shared" si="174"/>
        <v>0</v>
      </c>
      <c r="AU125" s="421"/>
      <c r="AV125" s="449">
        <f t="shared" si="175"/>
        <v>0</v>
      </c>
      <c r="AW125" s="449">
        <f t="shared" si="175"/>
        <v>0</v>
      </c>
      <c r="AX125" s="449">
        <f t="shared" si="175"/>
        <v>2487.7743167793128</v>
      </c>
      <c r="AY125" s="449">
        <f t="shared" si="175"/>
        <v>2487.7743167793128</v>
      </c>
      <c r="AZ125" s="449">
        <f t="shared" si="175"/>
        <v>2487.7743167793128</v>
      </c>
      <c r="BA125" s="449">
        <f t="shared" si="175"/>
        <v>2487.7743167793128</v>
      </c>
      <c r="BB125" s="449">
        <f t="shared" si="175"/>
        <v>2487.7743167793128</v>
      </c>
      <c r="BC125" s="449">
        <f t="shared" si="175"/>
        <v>2487.7743167793128</v>
      </c>
      <c r="BD125" s="449">
        <f t="shared" si="175"/>
        <v>2487.7743167793128</v>
      </c>
      <c r="BE125" s="449">
        <f t="shared" si="175"/>
        <v>2487.7743167793128</v>
      </c>
      <c r="BF125" s="449">
        <f t="shared" si="175"/>
        <v>2487.7743167793128</v>
      </c>
      <c r="BG125" s="449">
        <f t="shared" si="175"/>
        <v>2487.7743167793128</v>
      </c>
      <c r="BH125" s="400"/>
      <c r="BI125" s="449">
        <v>0</v>
      </c>
      <c r="BJ125" s="449">
        <v>0</v>
      </c>
      <c r="BK125" s="449">
        <f>(SUM('FY19 Staffing V1-1 (3)'!$P$144)/10)*(8/41)</f>
        <v>2487.7743167793128</v>
      </c>
      <c r="BL125" s="449">
        <f>(SUM('FY19 Staffing V1-1 (3)'!$P$144)/10)*(8/41)</f>
        <v>2487.7743167793128</v>
      </c>
      <c r="BM125" s="449">
        <f>(SUM('FY19 Staffing V1-1 (3)'!$P$144)/10)*(8/41)</f>
        <v>2487.7743167793128</v>
      </c>
      <c r="BN125" s="449">
        <f>(SUM('FY19 Staffing V1-1 (3)'!$P$144)/10)*(8/41)</f>
        <v>2487.7743167793128</v>
      </c>
      <c r="BO125" s="449">
        <f>(SUM('FY19 Staffing V1-1 (3)'!$P$144)/10)*(8/41)</f>
        <v>2487.7743167793128</v>
      </c>
      <c r="BP125" s="449">
        <f>(SUM('FY19 Staffing V1-1 (3)'!$P$144)/10)*(8/41)</f>
        <v>2487.7743167793128</v>
      </c>
      <c r="BQ125" s="449">
        <f>(SUM('FY19 Staffing V1-1 (3)'!$P$144)/10)*(8/41)</f>
        <v>2487.7743167793128</v>
      </c>
      <c r="BR125" s="449">
        <f>(SUM('FY19 Staffing V1-1 (3)'!$P$144)/10)*(8/41)</f>
        <v>2487.7743167793128</v>
      </c>
      <c r="BS125" s="449">
        <f>(SUM('FY19 Staffing V1-1 (3)'!$P$144)/10)*(8/41)</f>
        <v>2487.7743167793128</v>
      </c>
      <c r="BT125" s="449">
        <f>(SUM('FY19 Staffing V1-1 (3)'!$P$144)/10)*(8/41)</f>
        <v>2487.7743167793128</v>
      </c>
    </row>
    <row r="126" spans="1:74" ht="15" x14ac:dyDescent="0.25">
      <c r="A126" s="537" t="s">
        <v>192</v>
      </c>
      <c r="B126" s="537" t="s">
        <v>149</v>
      </c>
      <c r="C126" s="596"/>
      <c r="D126" s="500">
        <f>SUM(L126:W126)</f>
        <v>0</v>
      </c>
      <c r="E126" s="449">
        <v>0</v>
      </c>
      <c r="F126" s="449">
        <f t="shared" si="162"/>
        <v>0</v>
      </c>
      <c r="G126" s="421">
        <f t="shared" si="163"/>
        <v>0</v>
      </c>
      <c r="H126" s="449">
        <v>0</v>
      </c>
      <c r="I126" s="449">
        <f t="shared" si="164"/>
        <v>0</v>
      </c>
      <c r="J126" s="426">
        <f t="shared" si="165"/>
        <v>0</v>
      </c>
      <c r="K126" s="421"/>
      <c r="L126" s="449">
        <v>0</v>
      </c>
      <c r="M126" s="449">
        <v>0</v>
      </c>
      <c r="N126" s="449">
        <v>0</v>
      </c>
      <c r="O126" s="449">
        <v>0</v>
      </c>
      <c r="P126" s="449">
        <v>0</v>
      </c>
      <c r="Q126" s="449">
        <v>0</v>
      </c>
      <c r="R126" s="449">
        <f>($H126-SUM($L126:Q126))/R$694</f>
        <v>0</v>
      </c>
      <c r="S126" s="449">
        <f>($H126-SUM($L126:R126))/S$694</f>
        <v>0</v>
      </c>
      <c r="T126" s="449">
        <f>($H126-SUM($L126:S126))/T$694</f>
        <v>0</v>
      </c>
      <c r="U126" s="449">
        <f>($H126-SUM($L126:T126))/U$694</f>
        <v>0</v>
      </c>
      <c r="V126" s="449">
        <f>($H126-SUM($L126:U126))/V$694</f>
        <v>0</v>
      </c>
      <c r="W126" s="449">
        <f>($H126-SUM($L126:V126))/W$694</f>
        <v>0</v>
      </c>
      <c r="X126" s="449"/>
      <c r="Y126" s="449">
        <f t="shared" si="166"/>
        <v>0</v>
      </c>
      <c r="Z126" s="531"/>
      <c r="AA126" s="449">
        <f t="shared" si="167"/>
        <v>0</v>
      </c>
      <c r="AB126" s="449">
        <f t="shared" si="167"/>
        <v>0</v>
      </c>
      <c r="AC126" s="449">
        <f t="shared" si="167"/>
        <v>0</v>
      </c>
      <c r="AD126" s="449">
        <f t="shared" si="167"/>
        <v>0</v>
      </c>
      <c r="AE126" s="449">
        <f t="shared" si="167"/>
        <v>0</v>
      </c>
      <c r="AF126" s="449">
        <f t="shared" si="167"/>
        <v>0</v>
      </c>
      <c r="AG126" s="449">
        <f t="shared" si="167"/>
        <v>0</v>
      </c>
      <c r="AH126" s="449">
        <f t="shared" si="167"/>
        <v>0</v>
      </c>
      <c r="AI126" s="449">
        <f t="shared" si="167"/>
        <v>0</v>
      </c>
      <c r="AJ126" s="449">
        <f t="shared" si="167"/>
        <v>0</v>
      </c>
      <c r="AK126" s="449">
        <f t="shared" si="167"/>
        <v>0</v>
      </c>
      <c r="AL126" s="449">
        <f t="shared" si="167"/>
        <v>0</v>
      </c>
      <c r="AN126" s="500">
        <f>SUM(L126:W126)</f>
        <v>0</v>
      </c>
      <c r="AO126" s="449">
        <f>SUM(BI126:BT126)</f>
        <v>7123.2839999999997</v>
      </c>
      <c r="AP126" s="449">
        <f t="shared" si="170"/>
        <v>7123.2839999999997</v>
      </c>
      <c r="AQ126" s="453" t="str">
        <f t="shared" si="171"/>
        <v>-</v>
      </c>
      <c r="AR126" s="449">
        <f t="shared" si="172"/>
        <v>7123.2839999999997</v>
      </c>
      <c r="AS126" s="449">
        <f t="shared" si="173"/>
        <v>0</v>
      </c>
      <c r="AT126" s="426">
        <f t="shared" si="174"/>
        <v>0</v>
      </c>
      <c r="AU126" s="421"/>
      <c r="AV126" s="449">
        <f t="shared" si="175"/>
        <v>0</v>
      </c>
      <c r="AW126" s="449">
        <f t="shared" si="175"/>
        <v>593.60699999999997</v>
      </c>
      <c r="AX126" s="449">
        <f t="shared" si="175"/>
        <v>593.60699999999997</v>
      </c>
      <c r="AY126" s="449">
        <f t="shared" si="175"/>
        <v>593.60699999999997</v>
      </c>
      <c r="AZ126" s="449">
        <f t="shared" si="175"/>
        <v>593.60699999999997</v>
      </c>
      <c r="BA126" s="449">
        <f t="shared" si="175"/>
        <v>593.60699999999997</v>
      </c>
      <c r="BB126" s="449">
        <f t="shared" si="175"/>
        <v>593.60699999999997</v>
      </c>
      <c r="BC126" s="449">
        <f t="shared" si="175"/>
        <v>593.60699999999997</v>
      </c>
      <c r="BD126" s="449">
        <f t="shared" si="175"/>
        <v>593.60699999999997</v>
      </c>
      <c r="BE126" s="449">
        <f t="shared" si="175"/>
        <v>593.60699999999997</v>
      </c>
      <c r="BF126" s="449">
        <f t="shared" si="175"/>
        <v>593.60699999999997</v>
      </c>
      <c r="BG126" s="449">
        <f t="shared" si="175"/>
        <v>1187.2139999999999</v>
      </c>
      <c r="BH126" s="400"/>
      <c r="BI126" s="449">
        <v>0</v>
      </c>
      <c r="BJ126" s="449">
        <f>(17808.21/12)*0.4</f>
        <v>593.60699999999997</v>
      </c>
      <c r="BK126" s="449">
        <f t="shared" ref="BK126:BS126" si="176">(17808.21/12)*0.4</f>
        <v>593.60699999999997</v>
      </c>
      <c r="BL126" s="449">
        <f t="shared" si="176"/>
        <v>593.60699999999997</v>
      </c>
      <c r="BM126" s="449">
        <f t="shared" si="176"/>
        <v>593.60699999999997</v>
      </c>
      <c r="BN126" s="449">
        <f t="shared" si="176"/>
        <v>593.60699999999997</v>
      </c>
      <c r="BO126" s="449">
        <f t="shared" si="176"/>
        <v>593.60699999999997</v>
      </c>
      <c r="BP126" s="449">
        <f t="shared" si="176"/>
        <v>593.60699999999997</v>
      </c>
      <c r="BQ126" s="449">
        <f t="shared" si="176"/>
        <v>593.60699999999997</v>
      </c>
      <c r="BR126" s="449">
        <f t="shared" si="176"/>
        <v>593.60699999999997</v>
      </c>
      <c r="BS126" s="449">
        <f t="shared" si="176"/>
        <v>593.60699999999997</v>
      </c>
      <c r="BT126" s="449">
        <f>(17808.21/12)*0.4*2</f>
        <v>1187.2139999999999</v>
      </c>
    </row>
    <row r="127" spans="1:74" ht="15" x14ac:dyDescent="0.25">
      <c r="A127" s="537" t="s">
        <v>193</v>
      </c>
      <c r="B127" s="537" t="s">
        <v>194</v>
      </c>
      <c r="C127" s="596"/>
      <c r="D127" s="500">
        <f>SUM(L127:W127)</f>
        <v>0</v>
      </c>
      <c r="E127" s="449">
        <v>0</v>
      </c>
      <c r="F127" s="449">
        <f t="shared" si="162"/>
        <v>0</v>
      </c>
      <c r="G127" s="421">
        <f t="shared" si="163"/>
        <v>0</v>
      </c>
      <c r="H127" s="449">
        <v>0</v>
      </c>
      <c r="I127" s="449">
        <f t="shared" si="164"/>
        <v>0</v>
      </c>
      <c r="J127" s="426">
        <f t="shared" si="165"/>
        <v>0</v>
      </c>
      <c r="K127" s="421"/>
      <c r="L127" s="449">
        <v>0</v>
      </c>
      <c r="M127" s="449">
        <v>0</v>
      </c>
      <c r="N127" s="449">
        <v>0</v>
      </c>
      <c r="O127" s="449">
        <v>0</v>
      </c>
      <c r="P127" s="449">
        <v>0</v>
      </c>
      <c r="Q127" s="449">
        <v>0</v>
      </c>
      <c r="R127" s="449">
        <f>($H127-SUM($L127:Q127))/R$694</f>
        <v>0</v>
      </c>
      <c r="S127" s="449">
        <f>($H127-SUM($L127:R127))/S$694</f>
        <v>0</v>
      </c>
      <c r="T127" s="449">
        <f>($H127-SUM($L127:S127))/T$694</f>
        <v>0</v>
      </c>
      <c r="U127" s="449">
        <f>($H127-SUM($L127:T127))/U$694</f>
        <v>0</v>
      </c>
      <c r="V127" s="449">
        <f>($H127-SUM($L127:U127))/V$694</f>
        <v>0</v>
      </c>
      <c r="W127" s="449">
        <f>($H127-SUM($L127:V127))/W$694</f>
        <v>0</v>
      </c>
      <c r="X127" s="449"/>
      <c r="Y127" s="449">
        <f t="shared" si="166"/>
        <v>0</v>
      </c>
      <c r="Z127" s="531"/>
      <c r="AA127" s="449">
        <f t="shared" si="167"/>
        <v>0</v>
      </c>
      <c r="AB127" s="449">
        <f t="shared" si="167"/>
        <v>0</v>
      </c>
      <c r="AC127" s="449">
        <f t="shared" si="167"/>
        <v>0</v>
      </c>
      <c r="AD127" s="449">
        <f t="shared" si="167"/>
        <v>0</v>
      </c>
      <c r="AE127" s="449">
        <f t="shared" si="167"/>
        <v>0</v>
      </c>
      <c r="AF127" s="449">
        <f t="shared" si="167"/>
        <v>0</v>
      </c>
      <c r="AG127" s="449">
        <f t="shared" si="167"/>
        <v>0</v>
      </c>
      <c r="AH127" s="449">
        <f t="shared" si="167"/>
        <v>0</v>
      </c>
      <c r="AI127" s="449">
        <f t="shared" si="167"/>
        <v>0</v>
      </c>
      <c r="AJ127" s="449">
        <f t="shared" si="167"/>
        <v>0</v>
      </c>
      <c r="AK127" s="449">
        <f t="shared" si="167"/>
        <v>0</v>
      </c>
      <c r="AL127" s="449">
        <f t="shared" si="167"/>
        <v>0</v>
      </c>
      <c r="AN127" s="500">
        <f>SUM(L127:W127)</f>
        <v>0</v>
      </c>
      <c r="AO127" s="449">
        <f>SUM(BI127:BT127)</f>
        <v>6000</v>
      </c>
      <c r="AP127" s="449">
        <f t="shared" si="170"/>
        <v>6000</v>
      </c>
      <c r="AQ127" s="453" t="str">
        <f t="shared" si="171"/>
        <v>-</v>
      </c>
      <c r="AR127" s="449">
        <f t="shared" si="172"/>
        <v>6000</v>
      </c>
      <c r="AS127" s="449">
        <f t="shared" si="173"/>
        <v>0</v>
      </c>
      <c r="AT127" s="426">
        <f t="shared" si="174"/>
        <v>0</v>
      </c>
      <c r="AU127" s="421"/>
      <c r="AV127" s="449">
        <f t="shared" si="175"/>
        <v>0</v>
      </c>
      <c r="AW127" s="449">
        <f t="shared" si="175"/>
        <v>0</v>
      </c>
      <c r="AX127" s="449">
        <f t="shared" si="175"/>
        <v>0</v>
      </c>
      <c r="AY127" s="449">
        <f t="shared" si="175"/>
        <v>6000</v>
      </c>
      <c r="AZ127" s="449">
        <f t="shared" si="175"/>
        <v>0</v>
      </c>
      <c r="BA127" s="449">
        <f t="shared" si="175"/>
        <v>0</v>
      </c>
      <c r="BB127" s="449">
        <f t="shared" si="175"/>
        <v>0</v>
      </c>
      <c r="BC127" s="449">
        <f t="shared" si="175"/>
        <v>0</v>
      </c>
      <c r="BD127" s="449">
        <f t="shared" si="175"/>
        <v>0</v>
      </c>
      <c r="BE127" s="449">
        <f t="shared" si="175"/>
        <v>0</v>
      </c>
      <c r="BF127" s="449">
        <f t="shared" si="175"/>
        <v>0</v>
      </c>
      <c r="BG127" s="449">
        <f t="shared" si="175"/>
        <v>0</v>
      </c>
      <c r="BH127" s="400"/>
      <c r="BI127" s="449">
        <v>0</v>
      </c>
      <c r="BJ127" s="449">
        <v>0</v>
      </c>
      <c r="BK127" s="449">
        <v>0</v>
      </c>
      <c r="BL127" s="449">
        <f>SUM('FY19 Staffing V1-1 (3)'!$J$71:$J$78)</f>
        <v>6000</v>
      </c>
      <c r="BM127" s="449">
        <v>0</v>
      </c>
      <c r="BN127" s="449">
        <v>0</v>
      </c>
      <c r="BO127" s="449">
        <v>0</v>
      </c>
      <c r="BP127" s="449">
        <v>0</v>
      </c>
      <c r="BQ127" s="449">
        <v>0</v>
      </c>
      <c r="BR127" s="449">
        <v>0</v>
      </c>
      <c r="BS127" s="449">
        <v>0</v>
      </c>
      <c r="BT127" s="449">
        <v>0</v>
      </c>
    </row>
    <row r="128" spans="1:74" ht="15" x14ac:dyDescent="0.25">
      <c r="A128" s="537" t="s">
        <v>195</v>
      </c>
      <c r="B128" s="537" t="s">
        <v>196</v>
      </c>
      <c r="C128" s="596"/>
      <c r="D128" s="500">
        <f>SUM(L128:W128)</f>
        <v>0</v>
      </c>
      <c r="E128" s="449">
        <v>0</v>
      </c>
      <c r="F128" s="449">
        <f t="shared" si="162"/>
        <v>0</v>
      </c>
      <c r="G128" s="421">
        <f t="shared" si="163"/>
        <v>0</v>
      </c>
      <c r="H128" s="449">
        <v>0</v>
      </c>
      <c r="I128" s="449">
        <f t="shared" si="164"/>
        <v>0</v>
      </c>
      <c r="J128" s="426">
        <f t="shared" si="165"/>
        <v>0</v>
      </c>
      <c r="K128" s="421"/>
      <c r="L128" s="449">
        <v>0</v>
      </c>
      <c r="M128" s="449">
        <v>0</v>
      </c>
      <c r="N128" s="449">
        <v>0</v>
      </c>
      <c r="O128" s="449">
        <v>0</v>
      </c>
      <c r="P128" s="449">
        <v>0</v>
      </c>
      <c r="Q128" s="449">
        <v>0</v>
      </c>
      <c r="R128" s="449">
        <f>($H128-SUM($L128:Q128))/R$694</f>
        <v>0</v>
      </c>
      <c r="S128" s="449">
        <f>($H128-SUM($L128:R128))/S$694</f>
        <v>0</v>
      </c>
      <c r="T128" s="449">
        <f>($H128-SUM($L128:S128))/T$694</f>
        <v>0</v>
      </c>
      <c r="U128" s="449">
        <f>($H128-SUM($L128:T128))/U$694</f>
        <v>0</v>
      </c>
      <c r="V128" s="449">
        <f>($H128-SUM($L128:U128))/V$694</f>
        <v>0</v>
      </c>
      <c r="W128" s="449">
        <f>($H128-SUM($L128:V128))/W$694</f>
        <v>0</v>
      </c>
      <c r="X128" s="449"/>
      <c r="Y128" s="449">
        <f t="shared" si="166"/>
        <v>0</v>
      </c>
      <c r="Z128" s="531"/>
      <c r="AA128" s="449">
        <f t="shared" si="167"/>
        <v>0</v>
      </c>
      <c r="AB128" s="449">
        <f t="shared" si="167"/>
        <v>0</v>
      </c>
      <c r="AC128" s="449">
        <f t="shared" si="167"/>
        <v>0</v>
      </c>
      <c r="AD128" s="449">
        <f t="shared" si="167"/>
        <v>0</v>
      </c>
      <c r="AE128" s="449">
        <f t="shared" si="167"/>
        <v>0</v>
      </c>
      <c r="AF128" s="449">
        <f t="shared" si="167"/>
        <v>0</v>
      </c>
      <c r="AG128" s="449">
        <f t="shared" si="167"/>
        <v>0</v>
      </c>
      <c r="AH128" s="449">
        <f t="shared" si="167"/>
        <v>0</v>
      </c>
      <c r="AI128" s="449">
        <f t="shared" si="167"/>
        <v>0</v>
      </c>
      <c r="AJ128" s="449">
        <f t="shared" si="167"/>
        <v>0</v>
      </c>
      <c r="AK128" s="449">
        <f t="shared" si="167"/>
        <v>0</v>
      </c>
      <c r="AL128" s="449">
        <f t="shared" si="167"/>
        <v>0</v>
      </c>
      <c r="AN128" s="500">
        <f>SUM(L128:W128)</f>
        <v>0</v>
      </c>
      <c r="AO128" s="449">
        <f>SUM(BI128:BT128)</f>
        <v>0</v>
      </c>
      <c r="AP128" s="449">
        <f t="shared" si="170"/>
        <v>0</v>
      </c>
      <c r="AQ128" s="453" t="str">
        <f t="shared" si="171"/>
        <v>-</v>
      </c>
      <c r="AR128" s="449">
        <f t="shared" si="172"/>
        <v>0</v>
      </c>
      <c r="AS128" s="449">
        <f t="shared" si="173"/>
        <v>0</v>
      </c>
      <c r="AT128" s="426">
        <f t="shared" si="174"/>
        <v>0</v>
      </c>
      <c r="AU128" s="421"/>
      <c r="AV128" s="449">
        <f t="shared" si="175"/>
        <v>0</v>
      </c>
      <c r="AW128" s="449">
        <f t="shared" si="175"/>
        <v>0</v>
      </c>
      <c r="AX128" s="449">
        <f t="shared" si="175"/>
        <v>0</v>
      </c>
      <c r="AY128" s="449">
        <f t="shared" si="175"/>
        <v>0</v>
      </c>
      <c r="AZ128" s="449">
        <f t="shared" si="175"/>
        <v>0</v>
      </c>
      <c r="BA128" s="449">
        <f t="shared" si="175"/>
        <v>0</v>
      </c>
      <c r="BB128" s="449">
        <f t="shared" si="175"/>
        <v>0</v>
      </c>
      <c r="BC128" s="449">
        <f t="shared" si="175"/>
        <v>0</v>
      </c>
      <c r="BD128" s="449">
        <f t="shared" si="175"/>
        <v>0</v>
      </c>
      <c r="BE128" s="449">
        <f t="shared" si="175"/>
        <v>0</v>
      </c>
      <c r="BF128" s="449">
        <f t="shared" si="175"/>
        <v>0</v>
      </c>
      <c r="BG128" s="449">
        <f t="shared" si="175"/>
        <v>0</v>
      </c>
      <c r="BH128" s="400"/>
      <c r="BI128" s="449">
        <v>0</v>
      </c>
      <c r="BJ128" s="449">
        <v>0</v>
      </c>
      <c r="BK128" s="449">
        <v>0</v>
      </c>
      <c r="BL128" s="449">
        <v>0</v>
      </c>
      <c r="BM128" s="449">
        <v>0</v>
      </c>
      <c r="BN128" s="449">
        <v>0</v>
      </c>
      <c r="BO128" s="449">
        <v>0</v>
      </c>
      <c r="BP128" s="449">
        <v>0</v>
      </c>
      <c r="BQ128" s="449">
        <v>0</v>
      </c>
      <c r="BR128" s="449">
        <v>0</v>
      </c>
      <c r="BS128" s="449">
        <v>0</v>
      </c>
      <c r="BT128" s="449">
        <v>0</v>
      </c>
    </row>
    <row r="129" spans="1:72" ht="15" x14ac:dyDescent="0.25">
      <c r="A129" s="502" t="s">
        <v>197</v>
      </c>
      <c r="B129" s="502" t="s">
        <v>198</v>
      </c>
      <c r="C129" s="596"/>
      <c r="D129" s="500">
        <f t="shared" si="161"/>
        <v>22762</v>
      </c>
      <c r="E129" s="449">
        <v>23332</v>
      </c>
      <c r="F129" s="449">
        <f t="shared" si="162"/>
        <v>-570</v>
      </c>
      <c r="G129" s="421">
        <f t="shared" si="163"/>
        <v>-2.4429967426710098E-2</v>
      </c>
      <c r="H129" s="449">
        <v>22762</v>
      </c>
      <c r="I129" s="449">
        <f t="shared" si="164"/>
        <v>0</v>
      </c>
      <c r="J129" s="426">
        <f t="shared" si="165"/>
        <v>0</v>
      </c>
      <c r="K129" s="421"/>
      <c r="L129" s="449">
        <v>0</v>
      </c>
      <c r="M129" s="449">
        <v>2623.03</v>
      </c>
      <c r="N129" s="449">
        <v>1545.9599999999996</v>
      </c>
      <c r="O129" s="449">
        <v>1652.75</v>
      </c>
      <c r="P129" s="449">
        <v>1366.37</v>
      </c>
      <c r="Q129" s="449">
        <v>1541.7400000000007</v>
      </c>
      <c r="R129" s="449">
        <f>($H129-SUM($L129:Q129))/R$694</f>
        <v>2338.6916666666666</v>
      </c>
      <c r="S129" s="449">
        <f>($H129-SUM($L129:R129))/S$694</f>
        <v>2338.6916666666666</v>
      </c>
      <c r="T129" s="449">
        <f>($H129-SUM($L129:S129))/T$694</f>
        <v>2338.6916666666666</v>
      </c>
      <c r="U129" s="449">
        <f>($H129-SUM($L129:T129))/U$694</f>
        <v>2338.6916666666671</v>
      </c>
      <c r="V129" s="449">
        <f>($H129-SUM($L129:U129))/V$694</f>
        <v>2338.6916666666675</v>
      </c>
      <c r="W129" s="449">
        <f>($H129-SUM($L129:V129))/W$694</f>
        <v>2338.6916666666657</v>
      </c>
      <c r="X129" s="449"/>
      <c r="Y129" s="449">
        <f t="shared" si="166"/>
        <v>22762</v>
      </c>
      <c r="Z129" s="531"/>
      <c r="AA129" s="449">
        <f t="shared" si="167"/>
        <v>1896.8333333333333</v>
      </c>
      <c r="AB129" s="449">
        <f t="shared" si="167"/>
        <v>1896.8333333333333</v>
      </c>
      <c r="AC129" s="449">
        <f t="shared" si="167"/>
        <v>1896.8333333333333</v>
      </c>
      <c r="AD129" s="449">
        <f t="shared" si="167"/>
        <v>1896.8333333333333</v>
      </c>
      <c r="AE129" s="449">
        <f t="shared" si="167"/>
        <v>1896.8333333333333</v>
      </c>
      <c r="AF129" s="449">
        <f t="shared" si="167"/>
        <v>1896.8333333333333</v>
      </c>
      <c r="AG129" s="449">
        <f t="shared" si="167"/>
        <v>1896.8333333333333</v>
      </c>
      <c r="AH129" s="449">
        <f t="shared" si="167"/>
        <v>1896.8333333333333</v>
      </c>
      <c r="AI129" s="449">
        <f t="shared" si="167"/>
        <v>1896.8333333333333</v>
      </c>
      <c r="AJ129" s="449">
        <f t="shared" si="167"/>
        <v>1896.8333333333333</v>
      </c>
      <c r="AK129" s="449">
        <f t="shared" si="167"/>
        <v>1896.8333333333333</v>
      </c>
      <c r="AL129" s="449">
        <f t="shared" si="167"/>
        <v>1896.8333333333333</v>
      </c>
      <c r="AN129" s="500">
        <f t="shared" si="168"/>
        <v>22762</v>
      </c>
      <c r="AO129" s="449">
        <f t="shared" si="169"/>
        <v>44956.130000000005</v>
      </c>
      <c r="AP129" s="449">
        <f t="shared" si="170"/>
        <v>22194.130000000005</v>
      </c>
      <c r="AQ129" s="453">
        <f t="shared" si="171"/>
        <v>0.97505184078727725</v>
      </c>
      <c r="AR129" s="449">
        <f t="shared" si="172"/>
        <v>44956.130000000005</v>
      </c>
      <c r="AS129" s="449">
        <f t="shared" si="173"/>
        <v>0</v>
      </c>
      <c r="AT129" s="426">
        <f t="shared" si="174"/>
        <v>0</v>
      </c>
      <c r="AU129" s="421"/>
      <c r="AV129" s="449">
        <f t="shared" si="175"/>
        <v>0</v>
      </c>
      <c r="AW129" s="449">
        <f t="shared" si="175"/>
        <v>3746.3441666666672</v>
      </c>
      <c r="AX129" s="449">
        <f t="shared" si="175"/>
        <v>3746.3441666666672</v>
      </c>
      <c r="AY129" s="449">
        <f t="shared" si="175"/>
        <v>3746.3441666666672</v>
      </c>
      <c r="AZ129" s="449">
        <f t="shared" si="175"/>
        <v>3746.3441666666672</v>
      </c>
      <c r="BA129" s="449">
        <f t="shared" si="175"/>
        <v>3746.3441666666672</v>
      </c>
      <c r="BB129" s="449">
        <f t="shared" si="175"/>
        <v>3746.3441666666672</v>
      </c>
      <c r="BC129" s="449">
        <f t="shared" si="175"/>
        <v>3746.3441666666672</v>
      </c>
      <c r="BD129" s="449">
        <f t="shared" si="175"/>
        <v>3746.3441666666672</v>
      </c>
      <c r="BE129" s="449">
        <f t="shared" si="175"/>
        <v>3746.3441666666672</v>
      </c>
      <c r="BF129" s="449">
        <f t="shared" si="175"/>
        <v>3746.3441666666672</v>
      </c>
      <c r="BG129" s="449">
        <f t="shared" si="175"/>
        <v>7492.6883333333344</v>
      </c>
      <c r="BH129" s="400"/>
      <c r="BI129" s="449">
        <v>0</v>
      </c>
      <c r="BJ129" s="449">
        <f>SUM('FY19 Staffing V1-1 (3)'!$Q$71:$R$78,'FY19 Staffing V1-1 (3)'!$T$71:$U$78)/12</f>
        <v>3746.3441666666672</v>
      </c>
      <c r="BK129" s="449">
        <f>SUM('FY19 Staffing V1-1 (3)'!$Q$71:$R$78,'FY19 Staffing V1-1 (3)'!$T$71:$U$78)/12</f>
        <v>3746.3441666666672</v>
      </c>
      <c r="BL129" s="449">
        <f>SUM('FY19 Staffing V1-1 (3)'!$Q$71:$R$78,'FY19 Staffing V1-1 (3)'!$T$71:$U$78)/12</f>
        <v>3746.3441666666672</v>
      </c>
      <c r="BM129" s="449">
        <f>SUM('FY19 Staffing V1-1 (3)'!$Q$71:$R$78,'FY19 Staffing V1-1 (3)'!$T$71:$U$78)/12</f>
        <v>3746.3441666666672</v>
      </c>
      <c r="BN129" s="449">
        <f>SUM('FY19 Staffing V1-1 (3)'!$Q$71:$R$78,'FY19 Staffing V1-1 (3)'!$T$71:$U$78)/12</f>
        <v>3746.3441666666672</v>
      </c>
      <c r="BO129" s="449">
        <f>SUM('FY19 Staffing V1-1 (3)'!$Q$71:$R$78,'FY19 Staffing V1-1 (3)'!$T$71:$U$78)/12</f>
        <v>3746.3441666666672</v>
      </c>
      <c r="BP129" s="449">
        <f>SUM('FY19 Staffing V1-1 (3)'!$Q$71:$R$78,'FY19 Staffing V1-1 (3)'!$T$71:$U$78)/12</f>
        <v>3746.3441666666672</v>
      </c>
      <c r="BQ129" s="449">
        <f>SUM('FY19 Staffing V1-1 (3)'!$Q$71:$R$78,'FY19 Staffing V1-1 (3)'!$T$71:$U$78)/12</f>
        <v>3746.3441666666672</v>
      </c>
      <c r="BR129" s="449">
        <f>SUM('FY19 Staffing V1-1 (3)'!$Q$71:$R$78,'FY19 Staffing V1-1 (3)'!$T$71:$U$78)/12</f>
        <v>3746.3441666666672</v>
      </c>
      <c r="BS129" s="449">
        <f>SUM('FY19 Staffing V1-1 (3)'!$Q$71:$R$78,'FY19 Staffing V1-1 (3)'!$T$71:$U$78)/12</f>
        <v>3746.3441666666672</v>
      </c>
      <c r="BT129" s="449">
        <f>SUM('FY19 Staffing V1-1 (3)'!$Q$71:$R$78,'FY19 Staffing V1-1 (3)'!$T$71:$U$78)/12*2</f>
        <v>7492.6883333333344</v>
      </c>
    </row>
    <row r="130" spans="1:72" ht="15" x14ac:dyDescent="0.25">
      <c r="A130" s="537" t="s">
        <v>199</v>
      </c>
      <c r="B130" s="537" t="s">
        <v>106</v>
      </c>
      <c r="C130" s="596"/>
      <c r="D130" s="500">
        <f>SUM(L130:W130)</f>
        <v>0</v>
      </c>
      <c r="E130" s="449">
        <v>0</v>
      </c>
      <c r="F130" s="449">
        <f t="shared" si="162"/>
        <v>0</v>
      </c>
      <c r="G130" s="421">
        <f t="shared" si="163"/>
        <v>0</v>
      </c>
      <c r="H130" s="449">
        <v>0</v>
      </c>
      <c r="I130" s="449">
        <f t="shared" si="164"/>
        <v>0</v>
      </c>
      <c r="J130" s="426">
        <f t="shared" si="165"/>
        <v>0</v>
      </c>
      <c r="K130" s="421"/>
      <c r="L130" s="449">
        <v>0</v>
      </c>
      <c r="M130" s="449">
        <v>0</v>
      </c>
      <c r="N130" s="449">
        <v>0</v>
      </c>
      <c r="O130" s="449">
        <v>0</v>
      </c>
      <c r="P130" s="449">
        <v>0</v>
      </c>
      <c r="Q130" s="449">
        <v>0</v>
      </c>
      <c r="R130" s="449">
        <f>($H130-SUM($L130:Q130))/R$694</f>
        <v>0</v>
      </c>
      <c r="S130" s="449">
        <f>($H130-SUM($L130:R130))/S$694</f>
        <v>0</v>
      </c>
      <c r="T130" s="449">
        <f>($H130-SUM($L130:S130))/T$694</f>
        <v>0</v>
      </c>
      <c r="U130" s="449">
        <f>($H130-SUM($L130:T130))/U$694</f>
        <v>0</v>
      </c>
      <c r="V130" s="449">
        <f>($H130-SUM($L130:U130))/V$694</f>
        <v>0</v>
      </c>
      <c r="W130" s="449">
        <f>($H130-SUM($L130:V130))/W$694</f>
        <v>0</v>
      </c>
      <c r="X130" s="449"/>
      <c r="Y130" s="449">
        <f t="shared" si="166"/>
        <v>0</v>
      </c>
      <c r="Z130" s="531"/>
      <c r="AA130" s="449">
        <f t="shared" si="167"/>
        <v>0</v>
      </c>
      <c r="AB130" s="449">
        <f t="shared" si="167"/>
        <v>0</v>
      </c>
      <c r="AC130" s="449">
        <f t="shared" si="167"/>
        <v>0</v>
      </c>
      <c r="AD130" s="449">
        <f t="shared" si="167"/>
        <v>0</v>
      </c>
      <c r="AE130" s="449">
        <f t="shared" si="167"/>
        <v>0</v>
      </c>
      <c r="AF130" s="449">
        <f t="shared" si="167"/>
        <v>0</v>
      </c>
      <c r="AG130" s="449">
        <f t="shared" si="167"/>
        <v>0</v>
      </c>
      <c r="AH130" s="449">
        <f t="shared" si="167"/>
        <v>0</v>
      </c>
      <c r="AI130" s="449">
        <f t="shared" si="167"/>
        <v>0</v>
      </c>
      <c r="AJ130" s="449">
        <f t="shared" si="167"/>
        <v>0</v>
      </c>
      <c r="AK130" s="449">
        <f t="shared" si="167"/>
        <v>0</v>
      </c>
      <c r="AL130" s="449">
        <f t="shared" si="167"/>
        <v>0</v>
      </c>
      <c r="AN130" s="500">
        <f>SUM(L130:W130)</f>
        <v>0</v>
      </c>
      <c r="AO130" s="449">
        <f>SUM(BI130:BT130)</f>
        <v>2513.8659512195118</v>
      </c>
      <c r="AP130" s="449">
        <f t="shared" si="170"/>
        <v>2513.8659512195118</v>
      </c>
      <c r="AQ130" s="453" t="str">
        <f t="shared" si="171"/>
        <v>-</v>
      </c>
      <c r="AR130" s="449">
        <f t="shared" si="172"/>
        <v>2513.8659512195118</v>
      </c>
      <c r="AS130" s="449">
        <f t="shared" si="173"/>
        <v>0</v>
      </c>
      <c r="AT130" s="426">
        <f t="shared" si="174"/>
        <v>0</v>
      </c>
      <c r="AU130" s="421"/>
      <c r="AV130" s="449">
        <f t="shared" si="175"/>
        <v>0</v>
      </c>
      <c r="AW130" s="449">
        <f t="shared" si="175"/>
        <v>0</v>
      </c>
      <c r="AX130" s="449">
        <f t="shared" si="175"/>
        <v>228.53326829268292</v>
      </c>
      <c r="AY130" s="449">
        <f t="shared" si="175"/>
        <v>228.53326829268292</v>
      </c>
      <c r="AZ130" s="449">
        <f t="shared" si="175"/>
        <v>228.53326829268292</v>
      </c>
      <c r="BA130" s="449">
        <f t="shared" si="175"/>
        <v>228.53326829268292</v>
      </c>
      <c r="BB130" s="449">
        <f t="shared" si="175"/>
        <v>228.53326829268292</v>
      </c>
      <c r="BC130" s="449">
        <f t="shared" si="175"/>
        <v>228.53326829268292</v>
      </c>
      <c r="BD130" s="449">
        <f t="shared" si="175"/>
        <v>228.53326829268292</v>
      </c>
      <c r="BE130" s="449">
        <f t="shared" si="175"/>
        <v>228.53326829268292</v>
      </c>
      <c r="BF130" s="449">
        <f t="shared" si="175"/>
        <v>228.53326829268292</v>
      </c>
      <c r="BG130" s="449">
        <f t="shared" si="175"/>
        <v>457.06653658536584</v>
      </c>
      <c r="BH130" s="400"/>
      <c r="BI130" s="449">
        <v>0</v>
      </c>
      <c r="BJ130" s="449">
        <v>0</v>
      </c>
      <c r="BK130" s="449">
        <f>(SUM('FY19 Staffing V1-1 (3)'!$Q$144:$R$144,'FY19 Staffing V1-1 (3)'!$T$144:$U$144)/10)*(8/41)</f>
        <v>228.53326829268292</v>
      </c>
      <c r="BL130" s="449">
        <f>(SUM('FY19 Staffing V1-1 (3)'!$Q$144:$R$144,'FY19 Staffing V1-1 (3)'!$T$144:$U$144)/10)*(8/41)</f>
        <v>228.53326829268292</v>
      </c>
      <c r="BM130" s="449">
        <f>(SUM('FY19 Staffing V1-1 (3)'!$Q$144:$R$144,'FY19 Staffing V1-1 (3)'!$T$144:$U$144)/10)*(8/41)</f>
        <v>228.53326829268292</v>
      </c>
      <c r="BN130" s="449">
        <f>(SUM('FY19 Staffing V1-1 (3)'!$Q$144:$R$144,'FY19 Staffing V1-1 (3)'!$T$144:$U$144)/10)*(8/41)</f>
        <v>228.53326829268292</v>
      </c>
      <c r="BO130" s="449">
        <f>(SUM('FY19 Staffing V1-1 (3)'!$Q$144:$R$144,'FY19 Staffing V1-1 (3)'!$T$144:$U$144)/10)*(8/41)</f>
        <v>228.53326829268292</v>
      </c>
      <c r="BP130" s="449">
        <f>(SUM('FY19 Staffing V1-1 (3)'!$Q$144:$R$144,'FY19 Staffing V1-1 (3)'!$T$144:$U$144)/10)*(8/41)</f>
        <v>228.53326829268292</v>
      </c>
      <c r="BQ130" s="449">
        <f>(SUM('FY19 Staffing V1-1 (3)'!$Q$144:$R$144,'FY19 Staffing V1-1 (3)'!$T$144:$U$144)/10)*(8/41)</f>
        <v>228.53326829268292</v>
      </c>
      <c r="BR130" s="449">
        <f>(SUM('FY19 Staffing V1-1 (3)'!$Q$144:$R$144,'FY19 Staffing V1-1 (3)'!$T$144:$U$144)/10)*(8/41)</f>
        <v>228.53326829268292</v>
      </c>
      <c r="BS130" s="449">
        <f>(SUM('FY19 Staffing V1-1 (3)'!$Q$144:$R$144,'FY19 Staffing V1-1 (3)'!$T$144:$U$144)/10)*(8/41)</f>
        <v>228.53326829268292</v>
      </c>
      <c r="BT130" s="449">
        <f>(SUM('FY19 Staffing V1-1 (3)'!$Q$144:$R$144,'FY19 Staffing V1-1 (3)'!$T$144:$U$144)/10)*(8/41)*2</f>
        <v>457.06653658536584</v>
      </c>
    </row>
    <row r="131" spans="1:72" ht="15" x14ac:dyDescent="0.25">
      <c r="A131" s="502" t="s">
        <v>200</v>
      </c>
      <c r="B131" s="502" t="s">
        <v>201</v>
      </c>
      <c r="C131" s="596"/>
      <c r="D131" s="500">
        <f t="shared" si="161"/>
        <v>25720</v>
      </c>
      <c r="E131" s="449">
        <v>26819</v>
      </c>
      <c r="F131" s="449">
        <f t="shared" si="162"/>
        <v>-1099</v>
      </c>
      <c r="G131" s="421">
        <f t="shared" si="163"/>
        <v>-4.0978410828144227E-2</v>
      </c>
      <c r="H131" s="449">
        <v>25720</v>
      </c>
      <c r="I131" s="449">
        <f t="shared" si="164"/>
        <v>0</v>
      </c>
      <c r="J131" s="426">
        <f t="shared" si="165"/>
        <v>0</v>
      </c>
      <c r="K131" s="421"/>
      <c r="L131" s="449">
        <v>0</v>
      </c>
      <c r="M131" s="449">
        <v>0</v>
      </c>
      <c r="N131" s="449">
        <v>0</v>
      </c>
      <c r="O131" s="449">
        <v>6262.99</v>
      </c>
      <c r="P131" s="449">
        <v>3128.8500000000004</v>
      </c>
      <c r="Q131" s="449">
        <v>2098.2600000000002</v>
      </c>
      <c r="R131" s="449">
        <f>($H131-SUM($L131:Q131))/R$694</f>
        <v>2371.65</v>
      </c>
      <c r="S131" s="449">
        <f>($H131-SUM($L131:R131))/S$694</f>
        <v>2371.65</v>
      </c>
      <c r="T131" s="449">
        <f>($H131-SUM($L131:S131))/T$694</f>
        <v>2371.65</v>
      </c>
      <c r="U131" s="449">
        <f>($H131-SUM($L131:T131))/U$694</f>
        <v>2371.65</v>
      </c>
      <c r="V131" s="449">
        <f>($H131-SUM($L131:U131))/V$694</f>
        <v>2371.6499999999996</v>
      </c>
      <c r="W131" s="449">
        <f>($H131-SUM($L131:V131))/W$694</f>
        <v>2371.6500000000015</v>
      </c>
      <c r="X131" s="449"/>
      <c r="Y131" s="449">
        <f t="shared" si="166"/>
        <v>25720</v>
      </c>
      <c r="Z131" s="531"/>
      <c r="AA131" s="449">
        <f t="shared" si="167"/>
        <v>2143.3333333333335</v>
      </c>
      <c r="AB131" s="449">
        <f t="shared" si="167"/>
        <v>2143.3333333333335</v>
      </c>
      <c r="AC131" s="449">
        <f t="shared" si="167"/>
        <v>2143.3333333333335</v>
      </c>
      <c r="AD131" s="449">
        <f t="shared" si="167"/>
        <v>2143.3333333333335</v>
      </c>
      <c r="AE131" s="449">
        <f t="shared" si="167"/>
        <v>2143.3333333333335</v>
      </c>
      <c r="AF131" s="449">
        <f t="shared" si="167"/>
        <v>2143.3333333333335</v>
      </c>
      <c r="AG131" s="449">
        <f t="shared" si="167"/>
        <v>2143.3333333333335</v>
      </c>
      <c r="AH131" s="449">
        <f t="shared" si="167"/>
        <v>2143.3333333333335</v>
      </c>
      <c r="AI131" s="449">
        <f t="shared" si="167"/>
        <v>2143.3333333333335</v>
      </c>
      <c r="AJ131" s="449">
        <f t="shared" si="167"/>
        <v>2143.3333333333335</v>
      </c>
      <c r="AK131" s="449">
        <f t="shared" si="167"/>
        <v>2143.3333333333335</v>
      </c>
      <c r="AL131" s="449">
        <f t="shared" si="167"/>
        <v>2143.3333333333335</v>
      </c>
      <c r="AN131" s="500">
        <f t="shared" si="168"/>
        <v>25720</v>
      </c>
      <c r="AO131" s="449">
        <f t="shared" si="169"/>
        <v>47641.399967279991</v>
      </c>
      <c r="AP131" s="449">
        <f t="shared" si="170"/>
        <v>21921.399967279991</v>
      </c>
      <c r="AQ131" s="453">
        <f t="shared" si="171"/>
        <v>0.85230948550855334</v>
      </c>
      <c r="AR131" s="449">
        <f t="shared" si="172"/>
        <v>47641.399967279991</v>
      </c>
      <c r="AS131" s="449">
        <f t="shared" si="173"/>
        <v>0</v>
      </c>
      <c r="AT131" s="426">
        <f t="shared" si="174"/>
        <v>0</v>
      </c>
      <c r="AU131" s="421"/>
      <c r="AV131" s="449">
        <f t="shared" si="175"/>
        <v>0</v>
      </c>
      <c r="AW131" s="449">
        <f t="shared" si="175"/>
        <v>3970.1166639399994</v>
      </c>
      <c r="AX131" s="449">
        <f t="shared" si="175"/>
        <v>3970.1166639399994</v>
      </c>
      <c r="AY131" s="449">
        <f t="shared" si="175"/>
        <v>3970.1166639399994</v>
      </c>
      <c r="AZ131" s="449">
        <f t="shared" si="175"/>
        <v>3970.1166639399994</v>
      </c>
      <c r="BA131" s="449">
        <f t="shared" si="175"/>
        <v>3970.1166639399994</v>
      </c>
      <c r="BB131" s="449">
        <f t="shared" si="175"/>
        <v>3970.1166639399994</v>
      </c>
      <c r="BC131" s="449">
        <f t="shared" si="175"/>
        <v>3970.1166639399994</v>
      </c>
      <c r="BD131" s="449">
        <f t="shared" si="175"/>
        <v>3970.1166639399994</v>
      </c>
      <c r="BE131" s="449">
        <f t="shared" si="175"/>
        <v>3970.1166639399994</v>
      </c>
      <c r="BF131" s="449">
        <f t="shared" si="175"/>
        <v>3970.1166639399994</v>
      </c>
      <c r="BG131" s="449">
        <f t="shared" si="175"/>
        <v>7940.2333278799988</v>
      </c>
      <c r="BH131" s="400"/>
      <c r="BI131" s="449">
        <v>0</v>
      </c>
      <c r="BJ131" s="449">
        <f>SUM('FY19 Staffing V1-1 (3)'!$W$71:$W$78)/12</f>
        <v>3970.1166639399994</v>
      </c>
      <c r="BK131" s="449">
        <f>SUM('FY19 Staffing V1-1 (3)'!$W$71:$W$78)/12</f>
        <v>3970.1166639399994</v>
      </c>
      <c r="BL131" s="449">
        <f>SUM('FY19 Staffing V1-1 (3)'!$W$71:$W$78)/12</f>
        <v>3970.1166639399994</v>
      </c>
      <c r="BM131" s="449">
        <f>SUM('FY19 Staffing V1-1 (3)'!$W$71:$W$78)/12</f>
        <v>3970.1166639399994</v>
      </c>
      <c r="BN131" s="449">
        <f>SUM('FY19 Staffing V1-1 (3)'!$W$71:$W$78)/12</f>
        <v>3970.1166639399994</v>
      </c>
      <c r="BO131" s="449">
        <f>SUM('FY19 Staffing V1-1 (3)'!$W$71:$W$78)/12</f>
        <v>3970.1166639399994</v>
      </c>
      <c r="BP131" s="449">
        <f>SUM('FY19 Staffing V1-1 (3)'!$W$71:$W$78)/12</f>
        <v>3970.1166639399994</v>
      </c>
      <c r="BQ131" s="449">
        <f>SUM('FY19 Staffing V1-1 (3)'!$W$71:$W$78)/12</f>
        <v>3970.1166639399994</v>
      </c>
      <c r="BR131" s="449">
        <f>SUM('FY19 Staffing V1-1 (3)'!$W$71:$W$78)/12</f>
        <v>3970.1166639399994</v>
      </c>
      <c r="BS131" s="449">
        <f>SUM('FY19 Staffing V1-1 (3)'!$W$71:$W$78)/12</f>
        <v>3970.1166639399994</v>
      </c>
      <c r="BT131" s="449">
        <f>SUM('FY19 Staffing V1-1 (3)'!$W$71:$W$78)/12*2</f>
        <v>7940.2333278799988</v>
      </c>
    </row>
    <row r="132" spans="1:72" ht="15" hidden="1" x14ac:dyDescent="0.25">
      <c r="A132" s="502" t="s">
        <v>202</v>
      </c>
      <c r="B132" s="502" t="s">
        <v>203</v>
      </c>
      <c r="C132" s="596"/>
      <c r="D132" s="500">
        <f t="shared" si="161"/>
        <v>0</v>
      </c>
      <c r="E132" s="449">
        <v>0</v>
      </c>
      <c r="F132" s="449">
        <f t="shared" si="162"/>
        <v>0</v>
      </c>
      <c r="G132" s="421">
        <f t="shared" si="163"/>
        <v>0</v>
      </c>
      <c r="H132" s="449">
        <v>0</v>
      </c>
      <c r="I132" s="449">
        <f t="shared" si="164"/>
        <v>0</v>
      </c>
      <c r="J132" s="426">
        <f t="shared" si="165"/>
        <v>0</v>
      </c>
      <c r="K132" s="421"/>
      <c r="L132" s="449">
        <v>0</v>
      </c>
      <c r="M132" s="449">
        <v>0</v>
      </c>
      <c r="N132" s="449">
        <v>0</v>
      </c>
      <c r="O132" s="449">
        <v>0</v>
      </c>
      <c r="P132" s="449">
        <v>0</v>
      </c>
      <c r="Q132" s="449">
        <v>0</v>
      </c>
      <c r="R132" s="449">
        <f>($H132-SUM($L132:Q132))/R$694</f>
        <v>0</v>
      </c>
      <c r="S132" s="449">
        <f>($H132-SUM($L132:R132))/S$694</f>
        <v>0</v>
      </c>
      <c r="T132" s="449">
        <f>($H132-SUM($L132:S132))/T$694</f>
        <v>0</v>
      </c>
      <c r="U132" s="449">
        <f>($H132-SUM($L132:T132))/U$694</f>
        <v>0</v>
      </c>
      <c r="V132" s="449">
        <f>($H132-SUM($L132:U132))/V$694</f>
        <v>0</v>
      </c>
      <c r="W132" s="449">
        <f>($H132-SUM($L132:V132))/W$694</f>
        <v>0</v>
      </c>
      <c r="X132" s="449"/>
      <c r="Y132" s="449">
        <f t="shared" si="166"/>
        <v>0</v>
      </c>
      <c r="Z132" s="531"/>
      <c r="AA132" s="449">
        <f t="shared" si="167"/>
        <v>0</v>
      </c>
      <c r="AB132" s="449">
        <f t="shared" si="167"/>
        <v>0</v>
      </c>
      <c r="AC132" s="449">
        <f t="shared" si="167"/>
        <v>0</v>
      </c>
      <c r="AD132" s="449">
        <f t="shared" si="167"/>
        <v>0</v>
      </c>
      <c r="AE132" s="449">
        <f t="shared" si="167"/>
        <v>0</v>
      </c>
      <c r="AF132" s="449">
        <f t="shared" si="167"/>
        <v>0</v>
      </c>
      <c r="AG132" s="449">
        <f t="shared" si="167"/>
        <v>0</v>
      </c>
      <c r="AH132" s="449">
        <f t="shared" si="167"/>
        <v>0</v>
      </c>
      <c r="AI132" s="449">
        <f t="shared" si="167"/>
        <v>0</v>
      </c>
      <c r="AJ132" s="449">
        <f t="shared" si="167"/>
        <v>0</v>
      </c>
      <c r="AK132" s="449">
        <f t="shared" si="167"/>
        <v>0</v>
      </c>
      <c r="AL132" s="449">
        <f t="shared" si="167"/>
        <v>0</v>
      </c>
      <c r="AN132" s="500">
        <f t="shared" si="168"/>
        <v>0</v>
      </c>
      <c r="AO132" s="449">
        <f t="shared" si="169"/>
        <v>0</v>
      </c>
      <c r="AP132" s="449">
        <f t="shared" si="170"/>
        <v>0</v>
      </c>
      <c r="AQ132" s="453" t="str">
        <f t="shared" si="171"/>
        <v>-</v>
      </c>
      <c r="AR132" s="449">
        <f t="shared" si="172"/>
        <v>0</v>
      </c>
      <c r="AS132" s="449">
        <f t="shared" si="173"/>
        <v>0</v>
      </c>
      <c r="AT132" s="426">
        <f t="shared" si="174"/>
        <v>0</v>
      </c>
      <c r="AU132" s="421"/>
      <c r="AV132" s="449">
        <f t="shared" si="175"/>
        <v>0</v>
      </c>
      <c r="AW132" s="449">
        <f t="shared" si="175"/>
        <v>0</v>
      </c>
      <c r="AX132" s="449">
        <f t="shared" si="175"/>
        <v>0</v>
      </c>
      <c r="AY132" s="449">
        <f t="shared" si="175"/>
        <v>0</v>
      </c>
      <c r="AZ132" s="449">
        <f t="shared" si="175"/>
        <v>0</v>
      </c>
      <c r="BA132" s="449">
        <f t="shared" si="175"/>
        <v>0</v>
      </c>
      <c r="BB132" s="449">
        <f t="shared" si="175"/>
        <v>0</v>
      </c>
      <c r="BC132" s="449">
        <f t="shared" si="175"/>
        <v>0</v>
      </c>
      <c r="BD132" s="449">
        <f t="shared" si="175"/>
        <v>0</v>
      </c>
      <c r="BE132" s="449">
        <f t="shared" si="175"/>
        <v>0</v>
      </c>
      <c r="BF132" s="449">
        <f t="shared" si="175"/>
        <v>0</v>
      </c>
      <c r="BG132" s="449">
        <f t="shared" si="175"/>
        <v>0</v>
      </c>
      <c r="BH132" s="400"/>
      <c r="BI132" s="449">
        <v>0</v>
      </c>
      <c r="BJ132" s="449">
        <v>0</v>
      </c>
      <c r="BK132" s="449">
        <v>0</v>
      </c>
      <c r="BL132" s="449">
        <v>0</v>
      </c>
      <c r="BM132" s="449">
        <v>0</v>
      </c>
      <c r="BN132" s="449">
        <v>0</v>
      </c>
      <c r="BO132" s="449">
        <v>0</v>
      </c>
      <c r="BP132" s="449">
        <v>0</v>
      </c>
      <c r="BQ132" s="449">
        <v>0</v>
      </c>
      <c r="BR132" s="449">
        <v>0</v>
      </c>
      <c r="BS132" s="449">
        <v>0</v>
      </c>
      <c r="BT132" s="449">
        <v>0</v>
      </c>
    </row>
    <row r="133" spans="1:72" ht="15" hidden="1" x14ac:dyDescent="0.25">
      <c r="A133" s="502" t="s">
        <v>204</v>
      </c>
      <c r="B133" s="502" t="s">
        <v>205</v>
      </c>
      <c r="C133" s="596"/>
      <c r="D133" s="500">
        <f t="shared" si="161"/>
        <v>0</v>
      </c>
      <c r="E133" s="449">
        <v>0</v>
      </c>
      <c r="F133" s="449">
        <f t="shared" si="162"/>
        <v>0</v>
      </c>
      <c r="G133" s="421">
        <f t="shared" si="163"/>
        <v>0</v>
      </c>
      <c r="H133" s="449">
        <v>0</v>
      </c>
      <c r="I133" s="449">
        <f t="shared" si="164"/>
        <v>0</v>
      </c>
      <c r="J133" s="426">
        <f t="shared" si="165"/>
        <v>0</v>
      </c>
      <c r="K133" s="421"/>
      <c r="L133" s="449">
        <v>0</v>
      </c>
      <c r="M133" s="449">
        <v>0</v>
      </c>
      <c r="N133" s="449">
        <v>0</v>
      </c>
      <c r="O133" s="449">
        <v>0</v>
      </c>
      <c r="P133" s="449">
        <v>0</v>
      </c>
      <c r="Q133" s="449">
        <v>0</v>
      </c>
      <c r="R133" s="449">
        <f>($H133-SUM($L133:Q133))/R$694</f>
        <v>0</v>
      </c>
      <c r="S133" s="449">
        <f>($H133-SUM($L133:R133))/S$694</f>
        <v>0</v>
      </c>
      <c r="T133" s="449">
        <f>($H133-SUM($L133:S133))/T$694</f>
        <v>0</v>
      </c>
      <c r="U133" s="449">
        <f>($H133-SUM($L133:T133))/U$694</f>
        <v>0</v>
      </c>
      <c r="V133" s="449">
        <f>($H133-SUM($L133:U133))/V$694</f>
        <v>0</v>
      </c>
      <c r="W133" s="449">
        <f>($H133-SUM($L133:V133))/W$694</f>
        <v>0</v>
      </c>
      <c r="X133" s="449"/>
      <c r="Y133" s="449">
        <f t="shared" si="166"/>
        <v>0</v>
      </c>
      <c r="Z133" s="531"/>
      <c r="AA133" s="449">
        <f t="shared" si="167"/>
        <v>0</v>
      </c>
      <c r="AB133" s="449">
        <f t="shared" si="167"/>
        <v>0</v>
      </c>
      <c r="AC133" s="449">
        <f t="shared" si="167"/>
        <v>0</v>
      </c>
      <c r="AD133" s="449">
        <f t="shared" si="167"/>
        <v>0</v>
      </c>
      <c r="AE133" s="449">
        <f t="shared" si="167"/>
        <v>0</v>
      </c>
      <c r="AF133" s="449">
        <f t="shared" si="167"/>
        <v>0</v>
      </c>
      <c r="AG133" s="449">
        <f t="shared" si="167"/>
        <v>0</v>
      </c>
      <c r="AH133" s="449">
        <f t="shared" si="167"/>
        <v>0</v>
      </c>
      <c r="AI133" s="449">
        <f t="shared" si="167"/>
        <v>0</v>
      </c>
      <c r="AJ133" s="449">
        <f t="shared" si="167"/>
        <v>0</v>
      </c>
      <c r="AK133" s="449">
        <f t="shared" si="167"/>
        <v>0</v>
      </c>
      <c r="AL133" s="449">
        <f t="shared" si="167"/>
        <v>0</v>
      </c>
      <c r="AN133" s="500">
        <f t="shared" si="168"/>
        <v>0</v>
      </c>
      <c r="AO133" s="449">
        <f t="shared" si="169"/>
        <v>0</v>
      </c>
      <c r="AP133" s="449">
        <f t="shared" si="170"/>
        <v>0</v>
      </c>
      <c r="AQ133" s="453" t="str">
        <f t="shared" si="171"/>
        <v>-</v>
      </c>
      <c r="AR133" s="449">
        <f t="shared" si="172"/>
        <v>0</v>
      </c>
      <c r="AS133" s="449">
        <f t="shared" si="173"/>
        <v>0</v>
      </c>
      <c r="AT133" s="426">
        <f t="shared" si="174"/>
        <v>0</v>
      </c>
      <c r="AU133" s="421"/>
      <c r="AV133" s="449">
        <f t="shared" si="175"/>
        <v>0</v>
      </c>
      <c r="AW133" s="449">
        <f t="shared" si="175"/>
        <v>0</v>
      </c>
      <c r="AX133" s="449">
        <f t="shared" si="175"/>
        <v>0</v>
      </c>
      <c r="AY133" s="449">
        <f t="shared" si="175"/>
        <v>0</v>
      </c>
      <c r="AZ133" s="449">
        <f t="shared" si="175"/>
        <v>0</v>
      </c>
      <c r="BA133" s="449">
        <f t="shared" si="175"/>
        <v>0</v>
      </c>
      <c r="BB133" s="449">
        <f t="shared" si="175"/>
        <v>0</v>
      </c>
      <c r="BC133" s="449">
        <f t="shared" si="175"/>
        <v>0</v>
      </c>
      <c r="BD133" s="449">
        <f t="shared" si="175"/>
        <v>0</v>
      </c>
      <c r="BE133" s="449">
        <f t="shared" si="175"/>
        <v>0</v>
      </c>
      <c r="BF133" s="449">
        <f t="shared" si="175"/>
        <v>0</v>
      </c>
      <c r="BG133" s="449">
        <f t="shared" si="175"/>
        <v>0</v>
      </c>
      <c r="BH133" s="400"/>
      <c r="BI133" s="449">
        <v>0</v>
      </c>
      <c r="BJ133" s="449">
        <v>0</v>
      </c>
      <c r="BK133" s="449">
        <v>0</v>
      </c>
      <c r="BL133" s="449">
        <v>0</v>
      </c>
      <c r="BM133" s="449">
        <v>0</v>
      </c>
      <c r="BN133" s="449">
        <v>0</v>
      </c>
      <c r="BO133" s="449">
        <v>0</v>
      </c>
      <c r="BP133" s="449">
        <v>0</v>
      </c>
      <c r="BQ133" s="449">
        <v>0</v>
      </c>
      <c r="BR133" s="449">
        <v>0</v>
      </c>
      <c r="BS133" s="449">
        <v>0</v>
      </c>
      <c r="BT133" s="449">
        <v>0</v>
      </c>
    </row>
    <row r="134" spans="1:72" ht="15" hidden="1" x14ac:dyDescent="0.25">
      <c r="A134" s="502" t="s">
        <v>206</v>
      </c>
      <c r="B134" s="502" t="s">
        <v>207</v>
      </c>
      <c r="C134" s="596"/>
      <c r="D134" s="500">
        <f t="shared" si="161"/>
        <v>0</v>
      </c>
      <c r="E134" s="449">
        <v>0</v>
      </c>
      <c r="F134" s="449">
        <f t="shared" si="162"/>
        <v>0</v>
      </c>
      <c r="G134" s="421">
        <f t="shared" si="163"/>
        <v>0</v>
      </c>
      <c r="H134" s="449">
        <v>0</v>
      </c>
      <c r="I134" s="449">
        <f t="shared" si="164"/>
        <v>0</v>
      </c>
      <c r="J134" s="426">
        <f t="shared" si="165"/>
        <v>0</v>
      </c>
      <c r="K134" s="421"/>
      <c r="L134" s="449">
        <v>0</v>
      </c>
      <c r="M134" s="449">
        <v>0</v>
      </c>
      <c r="N134" s="449">
        <v>0</v>
      </c>
      <c r="O134" s="449">
        <v>0</v>
      </c>
      <c r="P134" s="449">
        <v>0</v>
      </c>
      <c r="Q134" s="449">
        <v>0</v>
      </c>
      <c r="R134" s="449">
        <f>($H134-SUM($L134:Q134))/R$694</f>
        <v>0</v>
      </c>
      <c r="S134" s="449">
        <f>($H134-SUM($L134:R134))/S$694</f>
        <v>0</v>
      </c>
      <c r="T134" s="449">
        <f>($H134-SUM($L134:S134))/T$694</f>
        <v>0</v>
      </c>
      <c r="U134" s="449">
        <f>($H134-SUM($L134:T134))/U$694</f>
        <v>0</v>
      </c>
      <c r="V134" s="449">
        <f>($H134-SUM($L134:U134))/V$694</f>
        <v>0</v>
      </c>
      <c r="W134" s="449">
        <f>($H134-SUM($L134:V134))/W$694</f>
        <v>0</v>
      </c>
      <c r="X134" s="449"/>
      <c r="Y134" s="449">
        <f t="shared" si="166"/>
        <v>0</v>
      </c>
      <c r="Z134" s="531"/>
      <c r="AA134" s="449">
        <f t="shared" si="167"/>
        <v>0</v>
      </c>
      <c r="AB134" s="449">
        <f t="shared" si="167"/>
        <v>0</v>
      </c>
      <c r="AC134" s="449">
        <f t="shared" si="167"/>
        <v>0</v>
      </c>
      <c r="AD134" s="449">
        <f t="shared" si="167"/>
        <v>0</v>
      </c>
      <c r="AE134" s="449">
        <f t="shared" si="167"/>
        <v>0</v>
      </c>
      <c r="AF134" s="449">
        <f t="shared" si="167"/>
        <v>0</v>
      </c>
      <c r="AG134" s="449">
        <f t="shared" si="167"/>
        <v>0</v>
      </c>
      <c r="AH134" s="449">
        <f t="shared" si="167"/>
        <v>0</v>
      </c>
      <c r="AI134" s="449">
        <f t="shared" si="167"/>
        <v>0</v>
      </c>
      <c r="AJ134" s="449">
        <f t="shared" si="167"/>
        <v>0</v>
      </c>
      <c r="AK134" s="449">
        <f t="shared" si="167"/>
        <v>0</v>
      </c>
      <c r="AL134" s="449">
        <f t="shared" si="167"/>
        <v>0</v>
      </c>
      <c r="AN134" s="500">
        <f t="shared" si="168"/>
        <v>0</v>
      </c>
      <c r="AO134" s="449">
        <f t="shared" si="169"/>
        <v>0</v>
      </c>
      <c r="AP134" s="449">
        <f t="shared" si="170"/>
        <v>0</v>
      </c>
      <c r="AQ134" s="453" t="str">
        <f t="shared" si="171"/>
        <v>-</v>
      </c>
      <c r="AR134" s="449">
        <f t="shared" si="172"/>
        <v>0</v>
      </c>
      <c r="AS134" s="449">
        <f t="shared" si="173"/>
        <v>0</v>
      </c>
      <c r="AT134" s="426">
        <f t="shared" si="174"/>
        <v>0</v>
      </c>
      <c r="AU134" s="421"/>
      <c r="AV134" s="449">
        <f t="shared" si="175"/>
        <v>0</v>
      </c>
      <c r="AW134" s="449">
        <f t="shared" si="175"/>
        <v>0</v>
      </c>
      <c r="AX134" s="449">
        <f t="shared" si="175"/>
        <v>0</v>
      </c>
      <c r="AY134" s="449">
        <f t="shared" si="175"/>
        <v>0</v>
      </c>
      <c r="AZ134" s="449">
        <f t="shared" si="175"/>
        <v>0</v>
      </c>
      <c r="BA134" s="449">
        <f t="shared" si="175"/>
        <v>0</v>
      </c>
      <c r="BB134" s="449">
        <f t="shared" si="175"/>
        <v>0</v>
      </c>
      <c r="BC134" s="449">
        <f t="shared" si="175"/>
        <v>0</v>
      </c>
      <c r="BD134" s="449">
        <f t="shared" si="175"/>
        <v>0</v>
      </c>
      <c r="BE134" s="449">
        <f t="shared" si="175"/>
        <v>0</v>
      </c>
      <c r="BF134" s="449">
        <f t="shared" si="175"/>
        <v>0</v>
      </c>
      <c r="BG134" s="449">
        <f t="shared" si="175"/>
        <v>0</v>
      </c>
      <c r="BH134" s="400"/>
      <c r="BI134" s="449">
        <v>0</v>
      </c>
      <c r="BJ134" s="449">
        <v>0</v>
      </c>
      <c r="BK134" s="449">
        <v>0</v>
      </c>
      <c r="BL134" s="449">
        <v>0</v>
      </c>
      <c r="BM134" s="449">
        <v>0</v>
      </c>
      <c r="BN134" s="449">
        <v>0</v>
      </c>
      <c r="BO134" s="449">
        <v>0</v>
      </c>
      <c r="BP134" s="449">
        <v>0</v>
      </c>
      <c r="BQ134" s="449">
        <v>0</v>
      </c>
      <c r="BR134" s="449">
        <v>0</v>
      </c>
      <c r="BS134" s="449">
        <v>0</v>
      </c>
      <c r="BT134" s="449">
        <v>0</v>
      </c>
    </row>
    <row r="135" spans="1:72" ht="15" hidden="1" x14ac:dyDescent="0.25">
      <c r="A135" s="502" t="s">
        <v>208</v>
      </c>
      <c r="B135" s="502" t="s">
        <v>209</v>
      </c>
      <c r="C135" s="596"/>
      <c r="D135" s="500">
        <f t="shared" si="161"/>
        <v>0</v>
      </c>
      <c r="E135" s="449">
        <v>0</v>
      </c>
      <c r="F135" s="449">
        <f t="shared" si="162"/>
        <v>0</v>
      </c>
      <c r="G135" s="421">
        <f t="shared" si="163"/>
        <v>0</v>
      </c>
      <c r="H135" s="449">
        <v>0</v>
      </c>
      <c r="I135" s="449">
        <f t="shared" si="164"/>
        <v>0</v>
      </c>
      <c r="J135" s="426">
        <f t="shared" si="165"/>
        <v>0</v>
      </c>
      <c r="K135" s="421"/>
      <c r="L135" s="449">
        <v>0</v>
      </c>
      <c r="M135" s="449">
        <v>0</v>
      </c>
      <c r="N135" s="449">
        <v>0</v>
      </c>
      <c r="O135" s="449">
        <v>0</v>
      </c>
      <c r="P135" s="449">
        <v>0</v>
      </c>
      <c r="Q135" s="449">
        <v>0</v>
      </c>
      <c r="R135" s="449">
        <f>($H135-SUM($L135:Q135))/R$694</f>
        <v>0</v>
      </c>
      <c r="S135" s="449">
        <f>($H135-SUM($L135:R135))/S$694</f>
        <v>0</v>
      </c>
      <c r="T135" s="449">
        <f>($H135-SUM($L135:S135))/T$694</f>
        <v>0</v>
      </c>
      <c r="U135" s="449">
        <f>($H135-SUM($L135:T135))/U$694</f>
        <v>0</v>
      </c>
      <c r="V135" s="449">
        <f>($H135-SUM($L135:U135))/V$694</f>
        <v>0</v>
      </c>
      <c r="W135" s="449">
        <f>($H135-SUM($L135:V135))/W$694</f>
        <v>0</v>
      </c>
      <c r="X135" s="449"/>
      <c r="Y135" s="449">
        <f t="shared" si="166"/>
        <v>0</v>
      </c>
      <c r="Z135" s="531"/>
      <c r="AA135" s="449">
        <f t="shared" si="167"/>
        <v>0</v>
      </c>
      <c r="AB135" s="449">
        <f t="shared" si="167"/>
        <v>0</v>
      </c>
      <c r="AC135" s="449">
        <f t="shared" si="167"/>
        <v>0</v>
      </c>
      <c r="AD135" s="449">
        <f t="shared" si="167"/>
        <v>0</v>
      </c>
      <c r="AE135" s="449">
        <f t="shared" si="167"/>
        <v>0</v>
      </c>
      <c r="AF135" s="449">
        <f t="shared" si="167"/>
        <v>0</v>
      </c>
      <c r="AG135" s="449">
        <f t="shared" si="167"/>
        <v>0</v>
      </c>
      <c r="AH135" s="449">
        <f t="shared" si="167"/>
        <v>0</v>
      </c>
      <c r="AI135" s="449">
        <f t="shared" si="167"/>
        <v>0</v>
      </c>
      <c r="AJ135" s="449">
        <f t="shared" si="167"/>
        <v>0</v>
      </c>
      <c r="AK135" s="449">
        <f t="shared" si="167"/>
        <v>0</v>
      </c>
      <c r="AL135" s="449">
        <f t="shared" si="167"/>
        <v>0</v>
      </c>
      <c r="AN135" s="500">
        <f t="shared" si="168"/>
        <v>0</v>
      </c>
      <c r="AO135" s="449">
        <f t="shared" si="169"/>
        <v>0</v>
      </c>
      <c r="AP135" s="449">
        <f t="shared" si="170"/>
        <v>0</v>
      </c>
      <c r="AQ135" s="453" t="str">
        <f t="shared" si="171"/>
        <v>-</v>
      </c>
      <c r="AR135" s="449">
        <f t="shared" si="172"/>
        <v>0</v>
      </c>
      <c r="AS135" s="449">
        <f t="shared" si="173"/>
        <v>0</v>
      </c>
      <c r="AT135" s="426">
        <f t="shared" si="174"/>
        <v>0</v>
      </c>
      <c r="AU135" s="421"/>
      <c r="AV135" s="449">
        <f t="shared" si="175"/>
        <v>0</v>
      </c>
      <c r="AW135" s="449">
        <f t="shared" si="175"/>
        <v>0</v>
      </c>
      <c r="AX135" s="449">
        <f t="shared" si="175"/>
        <v>0</v>
      </c>
      <c r="AY135" s="449">
        <f t="shared" si="175"/>
        <v>0</v>
      </c>
      <c r="AZ135" s="449">
        <f t="shared" si="175"/>
        <v>0</v>
      </c>
      <c r="BA135" s="449">
        <f t="shared" si="175"/>
        <v>0</v>
      </c>
      <c r="BB135" s="449">
        <f t="shared" si="175"/>
        <v>0</v>
      </c>
      <c r="BC135" s="449">
        <f t="shared" si="175"/>
        <v>0</v>
      </c>
      <c r="BD135" s="449">
        <f t="shared" si="175"/>
        <v>0</v>
      </c>
      <c r="BE135" s="449">
        <f t="shared" si="175"/>
        <v>0</v>
      </c>
      <c r="BF135" s="449">
        <f t="shared" si="175"/>
        <v>0</v>
      </c>
      <c r="BG135" s="449">
        <f t="shared" si="175"/>
        <v>0</v>
      </c>
      <c r="BH135" s="400"/>
      <c r="BI135" s="449">
        <v>0</v>
      </c>
      <c r="BJ135" s="449">
        <v>0</v>
      </c>
      <c r="BK135" s="449">
        <v>0</v>
      </c>
      <c r="BL135" s="449">
        <v>0</v>
      </c>
      <c r="BM135" s="449">
        <v>0</v>
      </c>
      <c r="BN135" s="449">
        <v>0</v>
      </c>
      <c r="BO135" s="449">
        <v>0</v>
      </c>
      <c r="BP135" s="449">
        <v>0</v>
      </c>
      <c r="BQ135" s="449">
        <v>0</v>
      </c>
      <c r="BR135" s="449">
        <v>0</v>
      </c>
      <c r="BS135" s="449">
        <v>0</v>
      </c>
      <c r="BT135" s="449">
        <v>0</v>
      </c>
    </row>
    <row r="136" spans="1:72" ht="15" x14ac:dyDescent="0.25">
      <c r="A136" s="502" t="s">
        <v>210</v>
      </c>
      <c r="B136" s="502" t="s">
        <v>211</v>
      </c>
      <c r="C136" s="596"/>
      <c r="D136" s="500">
        <f t="shared" si="161"/>
        <v>6062</v>
      </c>
      <c r="E136" s="449">
        <v>6360</v>
      </c>
      <c r="F136" s="449">
        <f t="shared" si="162"/>
        <v>-298</v>
      </c>
      <c r="G136" s="421">
        <f t="shared" si="163"/>
        <v>-4.6855345911949682E-2</v>
      </c>
      <c r="H136" s="449">
        <v>6062</v>
      </c>
      <c r="I136" s="449">
        <f t="shared" si="164"/>
        <v>0</v>
      </c>
      <c r="J136" s="426">
        <f t="shared" si="165"/>
        <v>0</v>
      </c>
      <c r="K136" s="421"/>
      <c r="L136" s="449">
        <v>0</v>
      </c>
      <c r="M136" s="449">
        <v>278.98</v>
      </c>
      <c r="N136" s="449">
        <v>244.10000000000002</v>
      </c>
      <c r="O136" s="449">
        <v>232.4799999999999</v>
      </c>
      <c r="P136" s="449">
        <v>232.48000000000002</v>
      </c>
      <c r="Q136" s="449">
        <v>290.60000000000014</v>
      </c>
      <c r="R136" s="449">
        <f>($H136-SUM($L136:Q136))/R$694</f>
        <v>797.22666666666657</v>
      </c>
      <c r="S136" s="449">
        <f>($H136-SUM($L136:R136))/S$694</f>
        <v>797.22666666666669</v>
      </c>
      <c r="T136" s="449">
        <f>($H136-SUM($L136:S136))/T$694</f>
        <v>797.22666666666669</v>
      </c>
      <c r="U136" s="449">
        <f>($H136-SUM($L136:T136))/U$694</f>
        <v>797.2266666666668</v>
      </c>
      <c r="V136" s="449">
        <f>($H136-SUM($L136:U136))/V$694</f>
        <v>797.22666666666692</v>
      </c>
      <c r="W136" s="449">
        <f>($H136-SUM($L136:V136))/W$694</f>
        <v>797.22666666666737</v>
      </c>
      <c r="X136" s="449"/>
      <c r="Y136" s="449">
        <f t="shared" si="166"/>
        <v>6062</v>
      </c>
      <c r="Z136" s="531"/>
      <c r="AA136" s="449">
        <f t="shared" si="167"/>
        <v>505.16666666666669</v>
      </c>
      <c r="AB136" s="449">
        <f t="shared" si="167"/>
        <v>505.16666666666669</v>
      </c>
      <c r="AC136" s="449">
        <f t="shared" si="167"/>
        <v>505.16666666666669</v>
      </c>
      <c r="AD136" s="449">
        <f t="shared" si="167"/>
        <v>505.16666666666669</v>
      </c>
      <c r="AE136" s="449">
        <f t="shared" si="167"/>
        <v>505.16666666666669</v>
      </c>
      <c r="AF136" s="449">
        <f t="shared" si="167"/>
        <v>505.16666666666669</v>
      </c>
      <c r="AG136" s="449">
        <f t="shared" si="167"/>
        <v>505.16666666666669</v>
      </c>
      <c r="AH136" s="449">
        <f t="shared" si="167"/>
        <v>505.16666666666669</v>
      </c>
      <c r="AI136" s="449">
        <f t="shared" si="167"/>
        <v>505.16666666666669</v>
      </c>
      <c r="AJ136" s="449">
        <f t="shared" si="167"/>
        <v>505.16666666666669</v>
      </c>
      <c r="AK136" s="449">
        <f t="shared" si="167"/>
        <v>505.16666666666669</v>
      </c>
      <c r="AL136" s="449">
        <f t="shared" si="167"/>
        <v>505.16666666666669</v>
      </c>
      <c r="AN136" s="500">
        <f t="shared" si="168"/>
        <v>6062</v>
      </c>
      <c r="AO136" s="449">
        <f t="shared" si="169"/>
        <v>12487.919999999998</v>
      </c>
      <c r="AP136" s="449">
        <f t="shared" si="170"/>
        <v>6425.9199999999983</v>
      </c>
      <c r="AQ136" s="453">
        <f t="shared" si="171"/>
        <v>1.0600329924117451</v>
      </c>
      <c r="AR136" s="449">
        <f t="shared" si="172"/>
        <v>12487.919999999998</v>
      </c>
      <c r="AS136" s="449">
        <f t="shared" si="173"/>
        <v>0</v>
      </c>
      <c r="AT136" s="426">
        <f t="shared" si="174"/>
        <v>0</v>
      </c>
      <c r="AU136" s="421"/>
      <c r="AV136" s="449">
        <f t="shared" si="175"/>
        <v>0</v>
      </c>
      <c r="AW136" s="449">
        <f t="shared" si="175"/>
        <v>1040.6599999999999</v>
      </c>
      <c r="AX136" s="449">
        <f t="shared" si="175"/>
        <v>1040.6599999999999</v>
      </c>
      <c r="AY136" s="449">
        <f t="shared" si="175"/>
        <v>1040.6599999999999</v>
      </c>
      <c r="AZ136" s="449">
        <f t="shared" si="175"/>
        <v>1040.6599999999999</v>
      </c>
      <c r="BA136" s="449">
        <f t="shared" si="175"/>
        <v>1040.6599999999999</v>
      </c>
      <c r="BB136" s="449">
        <f t="shared" si="175"/>
        <v>1040.6599999999999</v>
      </c>
      <c r="BC136" s="449">
        <f t="shared" si="175"/>
        <v>1040.6599999999999</v>
      </c>
      <c r="BD136" s="449">
        <f t="shared" si="175"/>
        <v>1040.6599999999999</v>
      </c>
      <c r="BE136" s="449">
        <f t="shared" si="175"/>
        <v>1040.6599999999999</v>
      </c>
      <c r="BF136" s="449">
        <f t="shared" si="175"/>
        <v>1040.6599999999999</v>
      </c>
      <c r="BG136" s="449">
        <f t="shared" si="175"/>
        <v>2081.3199999999997</v>
      </c>
      <c r="BH136" s="400"/>
      <c r="BI136" s="449">
        <v>0</v>
      </c>
      <c r="BJ136" s="449">
        <f>SUM('FY19 Staffing V1-1 (3)'!$S$71:$S$78)/12</f>
        <v>1040.6599999999999</v>
      </c>
      <c r="BK136" s="449">
        <f>SUM('FY19 Staffing V1-1 (3)'!$S$71:$S$78)/12</f>
        <v>1040.6599999999999</v>
      </c>
      <c r="BL136" s="449">
        <f>SUM('FY19 Staffing V1-1 (3)'!$S$71:$S$78)/12</f>
        <v>1040.6599999999999</v>
      </c>
      <c r="BM136" s="449">
        <f>SUM('FY19 Staffing V1-1 (3)'!$S$71:$S$78)/12</f>
        <v>1040.6599999999999</v>
      </c>
      <c r="BN136" s="449">
        <f>SUM('FY19 Staffing V1-1 (3)'!$S$71:$S$78)/12</f>
        <v>1040.6599999999999</v>
      </c>
      <c r="BO136" s="449">
        <f>SUM('FY19 Staffing V1-1 (3)'!$S$71:$S$78)/12</f>
        <v>1040.6599999999999</v>
      </c>
      <c r="BP136" s="449">
        <f>SUM('FY19 Staffing V1-1 (3)'!$S$71:$S$78)/12</f>
        <v>1040.6599999999999</v>
      </c>
      <c r="BQ136" s="449">
        <f>SUM('FY19 Staffing V1-1 (3)'!$S$71:$S$78)/12</f>
        <v>1040.6599999999999</v>
      </c>
      <c r="BR136" s="449">
        <f>SUM('FY19 Staffing V1-1 (3)'!$S$71:$S$78)/12</f>
        <v>1040.6599999999999</v>
      </c>
      <c r="BS136" s="449">
        <f>SUM('FY19 Staffing V1-1 (3)'!$S$71:$S$78)/12</f>
        <v>1040.6599999999999</v>
      </c>
      <c r="BT136" s="449">
        <f>SUM('FY19 Staffing V1-1 (3)'!$S$71:$S$78)/12*2</f>
        <v>2081.3199999999997</v>
      </c>
    </row>
    <row r="137" spans="1:72" ht="15" x14ac:dyDescent="0.25">
      <c r="A137" s="502" t="s">
        <v>212</v>
      </c>
      <c r="B137" s="502" t="s">
        <v>213</v>
      </c>
      <c r="C137" s="596"/>
      <c r="D137" s="500">
        <f>SUM(L137:W137)</f>
        <v>77000</v>
      </c>
      <c r="E137" s="449">
        <v>32150</v>
      </c>
      <c r="F137" s="449">
        <f>IFERROR(D137-E137,0)</f>
        <v>44850</v>
      </c>
      <c r="G137" s="421">
        <f>IFERROR(F137/ABS(E137),0)</f>
        <v>1.3950233281493001</v>
      </c>
      <c r="H137" s="449">
        <v>77000</v>
      </c>
      <c r="I137" s="449">
        <f>IFERROR(D137-H137,0)</f>
        <v>0</v>
      </c>
      <c r="J137" s="426">
        <f>IFERROR(I137/ABS(H137),0)</f>
        <v>0</v>
      </c>
      <c r="K137" s="421"/>
      <c r="L137" s="449">
        <v>21976.44</v>
      </c>
      <c r="M137" s="449">
        <v>214.9800000000032</v>
      </c>
      <c r="N137" s="449">
        <v>0</v>
      </c>
      <c r="O137" s="449">
        <v>0</v>
      </c>
      <c r="P137" s="449">
        <v>615</v>
      </c>
      <c r="Q137" s="449">
        <v>1516.25</v>
      </c>
      <c r="R137" s="449">
        <f>($H137-SUM($L137:Q137))/R$694</f>
        <v>8779.5550000000003</v>
      </c>
      <c r="S137" s="449">
        <f>($H137-SUM($L137:R137))/S$694</f>
        <v>8779.5549999999985</v>
      </c>
      <c r="T137" s="449">
        <f>($H137-SUM($L137:S137))/T$694</f>
        <v>8779.5549999999985</v>
      </c>
      <c r="U137" s="449">
        <f>($H137-SUM($L137:T137))/U$694</f>
        <v>8779.5549999999985</v>
      </c>
      <c r="V137" s="449">
        <f>($H137-SUM($L137:U137))/V$694</f>
        <v>8779.5549999999967</v>
      </c>
      <c r="W137" s="449">
        <f>($H137-SUM($L137:V137))/W$694</f>
        <v>8779.554999999993</v>
      </c>
      <c r="X137" s="449"/>
      <c r="Y137" s="449">
        <f>SUM(L137:W137)</f>
        <v>77000</v>
      </c>
      <c r="Z137" s="531"/>
      <c r="AA137" s="449">
        <f t="shared" si="167"/>
        <v>6416.666666666667</v>
      </c>
      <c r="AB137" s="449">
        <f t="shared" si="167"/>
        <v>6416.666666666667</v>
      </c>
      <c r="AC137" s="449">
        <f t="shared" si="167"/>
        <v>6416.666666666667</v>
      </c>
      <c r="AD137" s="449">
        <f t="shared" si="167"/>
        <v>6416.666666666667</v>
      </c>
      <c r="AE137" s="449">
        <f t="shared" si="167"/>
        <v>6416.666666666667</v>
      </c>
      <c r="AF137" s="449">
        <f t="shared" si="167"/>
        <v>6416.666666666667</v>
      </c>
      <c r="AG137" s="449">
        <f t="shared" si="167"/>
        <v>6416.666666666667</v>
      </c>
      <c r="AH137" s="449">
        <f t="shared" si="167"/>
        <v>6416.666666666667</v>
      </c>
      <c r="AI137" s="449">
        <f t="shared" si="167"/>
        <v>6416.666666666667</v>
      </c>
      <c r="AJ137" s="449">
        <f t="shared" si="167"/>
        <v>6416.666666666667</v>
      </c>
      <c r="AK137" s="449">
        <f t="shared" si="167"/>
        <v>6416.666666666667</v>
      </c>
      <c r="AL137" s="449">
        <f t="shared" si="167"/>
        <v>6416.666666666667</v>
      </c>
      <c r="AN137" s="500">
        <f>SUM(L137:W137)</f>
        <v>77000</v>
      </c>
      <c r="AO137" s="449">
        <f t="shared" si="169"/>
        <v>46240</v>
      </c>
      <c r="AP137" s="449">
        <f>IFERROR(AO137-AN137,0)</f>
        <v>-30760</v>
      </c>
      <c r="AQ137" s="453">
        <f t="shared" si="171"/>
        <v>-0.39948051948051949</v>
      </c>
      <c r="AR137" s="449">
        <f>SUM(BI137:BT137)</f>
        <v>46240</v>
      </c>
      <c r="AS137" s="449">
        <f>IFERROR(AO137-AR137,0)</f>
        <v>0</v>
      </c>
      <c r="AT137" s="426">
        <f>IFERROR(AS137/ABS(AR137),0)</f>
        <v>0</v>
      </c>
      <c r="AU137" s="421"/>
      <c r="AV137" s="449">
        <f t="shared" si="175"/>
        <v>9248.0000000000036</v>
      </c>
      <c r="AW137" s="449">
        <f t="shared" si="175"/>
        <v>9248.0000000000036</v>
      </c>
      <c r="AX137" s="449">
        <f t="shared" si="175"/>
        <v>6165.3333333333348</v>
      </c>
      <c r="AY137" s="449">
        <f t="shared" si="175"/>
        <v>6165.3333333333348</v>
      </c>
      <c r="AZ137" s="449">
        <f t="shared" si="175"/>
        <v>6165.3333333333348</v>
      </c>
      <c r="BA137" s="449">
        <f t="shared" si="175"/>
        <v>1321.1428571428576</v>
      </c>
      <c r="BB137" s="449">
        <f t="shared" si="175"/>
        <v>1321.1428571428576</v>
      </c>
      <c r="BC137" s="449">
        <f t="shared" si="175"/>
        <v>1321.1428571428576</v>
      </c>
      <c r="BD137" s="449">
        <f t="shared" si="175"/>
        <v>1321.1428571428576</v>
      </c>
      <c r="BE137" s="449">
        <f t="shared" si="175"/>
        <v>1321.1428571428576</v>
      </c>
      <c r="BF137" s="449">
        <f t="shared" si="175"/>
        <v>1321.1428571428576</v>
      </c>
      <c r="BG137" s="449">
        <f t="shared" si="175"/>
        <v>1321.1428571428576</v>
      </c>
      <c r="BH137" s="400"/>
      <c r="BI137" s="449">
        <f>(IFERROR(($D137*1.12),0))*BI$696-BI140</f>
        <v>9248.0000000000036</v>
      </c>
      <c r="BJ137" s="449">
        <f t="shared" ref="BJ137:BT137" si="177">(IFERROR(($D137*1.12),0))*BJ$696-BJ140</f>
        <v>9248.0000000000036</v>
      </c>
      <c r="BK137" s="449">
        <f t="shared" si="177"/>
        <v>6165.3333333333348</v>
      </c>
      <c r="BL137" s="449">
        <f t="shared" si="177"/>
        <v>6165.3333333333348</v>
      </c>
      <c r="BM137" s="449">
        <f t="shared" si="177"/>
        <v>6165.3333333333348</v>
      </c>
      <c r="BN137" s="449">
        <f t="shared" si="177"/>
        <v>1321.1428571428576</v>
      </c>
      <c r="BO137" s="449">
        <f t="shared" si="177"/>
        <v>1321.1428571428576</v>
      </c>
      <c r="BP137" s="449">
        <f t="shared" si="177"/>
        <v>1321.1428571428576</v>
      </c>
      <c r="BQ137" s="449">
        <f t="shared" si="177"/>
        <v>1321.1428571428576</v>
      </c>
      <c r="BR137" s="449">
        <f t="shared" si="177"/>
        <v>1321.1428571428576</v>
      </c>
      <c r="BS137" s="449">
        <f t="shared" si="177"/>
        <v>1321.1428571428576</v>
      </c>
      <c r="BT137" s="449">
        <f t="shared" si="177"/>
        <v>1321.1428571428576</v>
      </c>
    </row>
    <row r="138" spans="1:72" ht="15" x14ac:dyDescent="0.25">
      <c r="A138" s="537" t="s">
        <v>214</v>
      </c>
      <c r="B138" s="537" t="s">
        <v>215</v>
      </c>
      <c r="C138" s="596"/>
      <c r="D138" s="500">
        <f>SUM(L138:W138)</f>
        <v>0</v>
      </c>
      <c r="E138" s="449">
        <v>0</v>
      </c>
      <c r="F138" s="449">
        <f>IFERROR(D138-E138,0)</f>
        <v>0</v>
      </c>
      <c r="G138" s="421">
        <f>IFERROR(F138/ABS(E138),0)</f>
        <v>0</v>
      </c>
      <c r="H138" s="449">
        <v>0</v>
      </c>
      <c r="I138" s="449">
        <f>IFERROR(D138-H138,0)</f>
        <v>0</v>
      </c>
      <c r="J138" s="426">
        <f>IFERROR(I138/ABS(H138),0)</f>
        <v>0</v>
      </c>
      <c r="K138" s="421"/>
      <c r="L138" s="449">
        <v>0</v>
      </c>
      <c r="M138" s="449">
        <v>0</v>
      </c>
      <c r="N138" s="449">
        <v>0</v>
      </c>
      <c r="O138" s="449">
        <v>0</v>
      </c>
      <c r="P138" s="449">
        <v>0</v>
      </c>
      <c r="Q138" s="449">
        <v>0</v>
      </c>
      <c r="R138" s="449">
        <f>($H138-SUM($L138:Q138))/R$694</f>
        <v>0</v>
      </c>
      <c r="S138" s="449">
        <f>($H138-SUM($L138:R138))/S$694</f>
        <v>0</v>
      </c>
      <c r="T138" s="449">
        <f>($H138-SUM($L138:S138))/T$694</f>
        <v>0</v>
      </c>
      <c r="U138" s="449">
        <f>($H138-SUM($L138:T138))/U$694</f>
        <v>0</v>
      </c>
      <c r="V138" s="449">
        <f>($H138-SUM($L138:U138))/V$694</f>
        <v>0</v>
      </c>
      <c r="W138" s="449">
        <f>($H138-SUM($L138:V138))/W$694</f>
        <v>0</v>
      </c>
      <c r="X138" s="449"/>
      <c r="Y138" s="449">
        <f>SUM(L138:W138)</f>
        <v>0</v>
      </c>
      <c r="Z138" s="531"/>
      <c r="AA138" s="449">
        <f t="shared" si="167"/>
        <v>0</v>
      </c>
      <c r="AB138" s="449">
        <f t="shared" si="167"/>
        <v>0</v>
      </c>
      <c r="AC138" s="449">
        <f t="shared" si="167"/>
        <v>0</v>
      </c>
      <c r="AD138" s="449">
        <f t="shared" si="167"/>
        <v>0</v>
      </c>
      <c r="AE138" s="449">
        <f t="shared" si="167"/>
        <v>0</v>
      </c>
      <c r="AF138" s="449">
        <f t="shared" si="167"/>
        <v>0</v>
      </c>
      <c r="AG138" s="449">
        <f t="shared" si="167"/>
        <v>0</v>
      </c>
      <c r="AH138" s="449">
        <f t="shared" si="167"/>
        <v>0</v>
      </c>
      <c r="AI138" s="449">
        <f t="shared" si="167"/>
        <v>0</v>
      </c>
      <c r="AJ138" s="449">
        <f t="shared" si="167"/>
        <v>0</v>
      </c>
      <c r="AK138" s="449">
        <f t="shared" si="167"/>
        <v>0</v>
      </c>
      <c r="AL138" s="449">
        <f t="shared" si="167"/>
        <v>0</v>
      </c>
      <c r="AN138" s="500">
        <f>SUM(L138:W138)</f>
        <v>0</v>
      </c>
      <c r="AO138" s="449">
        <f t="shared" si="169"/>
        <v>0</v>
      </c>
      <c r="AP138" s="449">
        <f>IFERROR(AO138-AN138,0)</f>
        <v>0</v>
      </c>
      <c r="AQ138" s="453" t="str">
        <f t="shared" si="171"/>
        <v>-</v>
      </c>
      <c r="AR138" s="449">
        <f>SUM(BI138:BT138)</f>
        <v>0</v>
      </c>
      <c r="AS138" s="449">
        <f>IFERROR(AO138-AR138,0)</f>
        <v>0</v>
      </c>
      <c r="AT138" s="426">
        <f>IFERROR(AS138/ABS(AR138),0)</f>
        <v>0</v>
      </c>
      <c r="AU138" s="421"/>
      <c r="AV138" s="449">
        <f t="shared" si="175"/>
        <v>0</v>
      </c>
      <c r="AW138" s="449">
        <f t="shared" si="175"/>
        <v>0</v>
      </c>
      <c r="AX138" s="449">
        <f t="shared" si="175"/>
        <v>0</v>
      </c>
      <c r="AY138" s="449">
        <f t="shared" si="175"/>
        <v>0</v>
      </c>
      <c r="AZ138" s="449">
        <f t="shared" si="175"/>
        <v>0</v>
      </c>
      <c r="BA138" s="449">
        <f t="shared" si="175"/>
        <v>0</v>
      </c>
      <c r="BB138" s="449">
        <f t="shared" si="175"/>
        <v>0</v>
      </c>
      <c r="BC138" s="449">
        <f t="shared" si="175"/>
        <v>0</v>
      </c>
      <c r="BD138" s="449">
        <f t="shared" si="175"/>
        <v>0</v>
      </c>
      <c r="BE138" s="449">
        <f t="shared" si="175"/>
        <v>0</v>
      </c>
      <c r="BF138" s="449">
        <f t="shared" si="175"/>
        <v>0</v>
      </c>
      <c r="BG138" s="449">
        <f t="shared" si="175"/>
        <v>0</v>
      </c>
      <c r="BH138" s="400"/>
      <c r="BI138" s="449">
        <f>(IFERROR((($H138/$H$5)*BI$5),0))*BI$696*0</f>
        <v>0</v>
      </c>
      <c r="BJ138" s="449">
        <f t="shared" ref="BJ138:BT138" si="178">(IFERROR((($H138/$H$5)*BJ$5),0))*BJ$696*0</f>
        <v>0</v>
      </c>
      <c r="BK138" s="449">
        <f t="shared" si="178"/>
        <v>0</v>
      </c>
      <c r="BL138" s="449">
        <f t="shared" si="178"/>
        <v>0</v>
      </c>
      <c r="BM138" s="449">
        <f t="shared" si="178"/>
        <v>0</v>
      </c>
      <c r="BN138" s="449">
        <f t="shared" si="178"/>
        <v>0</v>
      </c>
      <c r="BO138" s="449">
        <f t="shared" si="178"/>
        <v>0</v>
      </c>
      <c r="BP138" s="449">
        <f t="shared" si="178"/>
        <v>0</v>
      </c>
      <c r="BQ138" s="449">
        <f t="shared" si="178"/>
        <v>0</v>
      </c>
      <c r="BR138" s="449">
        <f t="shared" si="178"/>
        <v>0</v>
      </c>
      <c r="BS138" s="449">
        <f t="shared" si="178"/>
        <v>0</v>
      </c>
      <c r="BT138" s="449">
        <f t="shared" si="178"/>
        <v>0</v>
      </c>
    </row>
    <row r="139" spans="1:72" ht="15" x14ac:dyDescent="0.25">
      <c r="A139" s="537" t="s">
        <v>216</v>
      </c>
      <c r="B139" s="537" t="s">
        <v>217</v>
      </c>
      <c r="C139" s="596"/>
      <c r="D139" s="500">
        <f>SUM(L139:W139)</f>
        <v>0</v>
      </c>
      <c r="E139" s="449">
        <v>0</v>
      </c>
      <c r="F139" s="449">
        <f>IFERROR(D139-E139,0)</f>
        <v>0</v>
      </c>
      <c r="G139" s="421">
        <f>IFERROR(F139/ABS(E139),0)</f>
        <v>0</v>
      </c>
      <c r="H139" s="449">
        <v>0</v>
      </c>
      <c r="I139" s="449">
        <f>IFERROR(D139-H139,0)</f>
        <v>0</v>
      </c>
      <c r="J139" s="426">
        <f>IFERROR(I139/ABS(H139),0)</f>
        <v>0</v>
      </c>
      <c r="K139" s="421"/>
      <c r="L139" s="449">
        <v>0</v>
      </c>
      <c r="M139" s="449">
        <v>0</v>
      </c>
      <c r="N139" s="449">
        <v>0</v>
      </c>
      <c r="O139" s="449">
        <v>0</v>
      </c>
      <c r="P139" s="449">
        <v>0</v>
      </c>
      <c r="Q139" s="449">
        <v>0</v>
      </c>
      <c r="R139" s="449">
        <f>($H139-SUM($L139:Q139))/R$694</f>
        <v>0</v>
      </c>
      <c r="S139" s="449">
        <f>($H139-SUM($L139:R139))/S$694</f>
        <v>0</v>
      </c>
      <c r="T139" s="449">
        <f>($H139-SUM($L139:S139))/T$694</f>
        <v>0</v>
      </c>
      <c r="U139" s="449">
        <f>($H139-SUM($L139:T139))/U$694</f>
        <v>0</v>
      </c>
      <c r="V139" s="449">
        <f>($H139-SUM($L139:U139))/V$694</f>
        <v>0</v>
      </c>
      <c r="W139" s="449">
        <f>($H139-SUM($L139:V139))/W$694</f>
        <v>0</v>
      </c>
      <c r="X139" s="449"/>
      <c r="Y139" s="449">
        <f>SUM(L139:W139)</f>
        <v>0</v>
      </c>
      <c r="Z139" s="531"/>
      <c r="AA139" s="449">
        <f t="shared" si="167"/>
        <v>0</v>
      </c>
      <c r="AB139" s="449">
        <f t="shared" si="167"/>
        <v>0</v>
      </c>
      <c r="AC139" s="449">
        <f t="shared" si="167"/>
        <v>0</v>
      </c>
      <c r="AD139" s="449">
        <f t="shared" si="167"/>
        <v>0</v>
      </c>
      <c r="AE139" s="449">
        <f t="shared" si="167"/>
        <v>0</v>
      </c>
      <c r="AF139" s="449">
        <f t="shared" si="167"/>
        <v>0</v>
      </c>
      <c r="AG139" s="449">
        <f t="shared" si="167"/>
        <v>0</v>
      </c>
      <c r="AH139" s="449">
        <f t="shared" si="167"/>
        <v>0</v>
      </c>
      <c r="AI139" s="449">
        <f t="shared" si="167"/>
        <v>0</v>
      </c>
      <c r="AJ139" s="449">
        <f t="shared" si="167"/>
        <v>0</v>
      </c>
      <c r="AK139" s="449">
        <f t="shared" si="167"/>
        <v>0</v>
      </c>
      <c r="AL139" s="449">
        <f t="shared" si="167"/>
        <v>0</v>
      </c>
      <c r="AN139" s="500">
        <f>SUM(L139:W139)</f>
        <v>0</v>
      </c>
      <c r="AO139" s="449">
        <f>SUM(BI139:BT139)</f>
        <v>15228.915662650606</v>
      </c>
      <c r="AP139" s="449">
        <f>IFERROR(AO139-AN139,0)</f>
        <v>15228.915662650606</v>
      </c>
      <c r="AQ139" s="453" t="str">
        <f t="shared" si="171"/>
        <v>-</v>
      </c>
      <c r="AR139" s="449">
        <f>SUM(BI139:BT139)</f>
        <v>15228.915662650606</v>
      </c>
      <c r="AS139" s="449">
        <f>IFERROR(AO139-AR139,0)</f>
        <v>0</v>
      </c>
      <c r="AT139" s="426">
        <f>IFERROR(AS139/ABS(AR139),0)</f>
        <v>0</v>
      </c>
      <c r="AU139" s="421"/>
      <c r="AV139" s="449">
        <f t="shared" si="175"/>
        <v>1269.0763052208836</v>
      </c>
      <c r="AW139" s="449">
        <f t="shared" si="175"/>
        <v>1269.0763052208836</v>
      </c>
      <c r="AX139" s="449">
        <f t="shared" si="175"/>
        <v>1269.0763052208836</v>
      </c>
      <c r="AY139" s="449">
        <f t="shared" si="175"/>
        <v>1269.0763052208836</v>
      </c>
      <c r="AZ139" s="449">
        <f t="shared" si="175"/>
        <v>1269.0763052208836</v>
      </c>
      <c r="BA139" s="449">
        <f t="shared" si="175"/>
        <v>1269.0763052208836</v>
      </c>
      <c r="BB139" s="449">
        <f t="shared" si="175"/>
        <v>1269.0763052208836</v>
      </c>
      <c r="BC139" s="449">
        <f t="shared" si="175"/>
        <v>1269.0763052208836</v>
      </c>
      <c r="BD139" s="449">
        <f t="shared" si="175"/>
        <v>1269.0763052208836</v>
      </c>
      <c r="BE139" s="449">
        <f t="shared" si="175"/>
        <v>1269.0763052208836</v>
      </c>
      <c r="BF139" s="449">
        <f t="shared" si="175"/>
        <v>1269.0763052208836</v>
      </c>
      <c r="BG139" s="449">
        <f t="shared" si="175"/>
        <v>1269.0763052208836</v>
      </c>
      <c r="BH139" s="400"/>
      <c r="BI139" s="449">
        <f>$AO$47/12*(790/BI$5)</f>
        <v>1269.0763052208836</v>
      </c>
      <c r="BJ139" s="449">
        <f t="shared" ref="BJ139:BT139" si="179">$AO$47/12*(790/BJ$5)</f>
        <v>1269.0763052208836</v>
      </c>
      <c r="BK139" s="449">
        <f t="shared" si="179"/>
        <v>1269.0763052208836</v>
      </c>
      <c r="BL139" s="449">
        <f t="shared" si="179"/>
        <v>1269.0763052208836</v>
      </c>
      <c r="BM139" s="449">
        <f t="shared" si="179"/>
        <v>1269.0763052208836</v>
      </c>
      <c r="BN139" s="449">
        <f t="shared" si="179"/>
        <v>1269.0763052208836</v>
      </c>
      <c r="BO139" s="449">
        <f t="shared" si="179"/>
        <v>1269.0763052208836</v>
      </c>
      <c r="BP139" s="449">
        <f t="shared" si="179"/>
        <v>1269.0763052208836</v>
      </c>
      <c r="BQ139" s="449">
        <f t="shared" si="179"/>
        <v>1269.0763052208836</v>
      </c>
      <c r="BR139" s="449">
        <f t="shared" si="179"/>
        <v>1269.0763052208836</v>
      </c>
      <c r="BS139" s="449">
        <f t="shared" si="179"/>
        <v>1269.0763052208836</v>
      </c>
      <c r="BT139" s="449">
        <f t="shared" si="179"/>
        <v>1269.0763052208836</v>
      </c>
    </row>
    <row r="140" spans="1:72" ht="15" x14ac:dyDescent="0.25">
      <c r="A140" s="537" t="s">
        <v>218</v>
      </c>
      <c r="B140" s="537" t="s">
        <v>134</v>
      </c>
      <c r="C140" s="596"/>
      <c r="D140" s="500">
        <f>SUM(L140:W140)</f>
        <v>0</v>
      </c>
      <c r="E140" s="449">
        <v>0</v>
      </c>
      <c r="F140" s="449">
        <f>IFERROR(D140-E140,0)</f>
        <v>0</v>
      </c>
      <c r="G140" s="421">
        <f>IFERROR(F140/ABS(E140),0)</f>
        <v>0</v>
      </c>
      <c r="H140" s="449">
        <v>0</v>
      </c>
      <c r="I140" s="449">
        <f>IFERROR(D140-H140,0)</f>
        <v>0</v>
      </c>
      <c r="J140" s="426">
        <f>IFERROR(I140/ABS(H140),0)</f>
        <v>0</v>
      </c>
      <c r="K140" s="421"/>
      <c r="L140" s="449">
        <v>0</v>
      </c>
      <c r="M140" s="449">
        <v>0</v>
      </c>
      <c r="N140" s="449">
        <v>0</v>
      </c>
      <c r="O140" s="449">
        <v>0</v>
      </c>
      <c r="P140" s="449">
        <v>0</v>
      </c>
      <c r="Q140" s="449">
        <v>0</v>
      </c>
      <c r="R140" s="449">
        <f>($H140-SUM($L140:Q140))/R$694</f>
        <v>0</v>
      </c>
      <c r="S140" s="449">
        <f>($H140-SUM($L140:R140))/S$694</f>
        <v>0</v>
      </c>
      <c r="T140" s="449">
        <f>($H140-SUM($L140:S140))/T$694</f>
        <v>0</v>
      </c>
      <c r="U140" s="449">
        <f>($H140-SUM($L140:T140))/U$694</f>
        <v>0</v>
      </c>
      <c r="V140" s="449">
        <f>($H140-SUM($L140:U140))/V$694</f>
        <v>0</v>
      </c>
      <c r="W140" s="449">
        <f>($H140-SUM($L140:V140))/W$694</f>
        <v>0</v>
      </c>
      <c r="X140" s="449"/>
      <c r="Y140" s="449">
        <f>SUM(L140:W140)</f>
        <v>0</v>
      </c>
      <c r="Z140" s="531"/>
      <c r="AA140" s="449">
        <f t="shared" si="167"/>
        <v>0</v>
      </c>
      <c r="AB140" s="449">
        <f t="shared" si="167"/>
        <v>0</v>
      </c>
      <c r="AC140" s="449">
        <f t="shared" si="167"/>
        <v>0</v>
      </c>
      <c r="AD140" s="449">
        <f t="shared" si="167"/>
        <v>0</v>
      </c>
      <c r="AE140" s="449">
        <f t="shared" si="167"/>
        <v>0</v>
      </c>
      <c r="AF140" s="449">
        <f t="shared" si="167"/>
        <v>0</v>
      </c>
      <c r="AG140" s="449">
        <f t="shared" si="167"/>
        <v>0</v>
      </c>
      <c r="AH140" s="449">
        <f t="shared" si="167"/>
        <v>0</v>
      </c>
      <c r="AI140" s="449">
        <f t="shared" si="167"/>
        <v>0</v>
      </c>
      <c r="AJ140" s="449">
        <f t="shared" si="167"/>
        <v>0</v>
      </c>
      <c r="AK140" s="449">
        <f t="shared" si="167"/>
        <v>0</v>
      </c>
      <c r="AL140" s="449">
        <f t="shared" si="167"/>
        <v>0</v>
      </c>
      <c r="AN140" s="500">
        <f>SUM(L140:W140)</f>
        <v>0</v>
      </c>
      <c r="AO140" s="449">
        <f>SUM(BI140:BT140)</f>
        <v>40000.000000000007</v>
      </c>
      <c r="AP140" s="449">
        <f>IFERROR(AO140-AN140,0)</f>
        <v>40000.000000000007</v>
      </c>
      <c r="AQ140" s="453" t="str">
        <f t="shared" si="171"/>
        <v>-</v>
      </c>
      <c r="AR140" s="449">
        <f>SUM(BI140:BT140)</f>
        <v>40000.000000000007</v>
      </c>
      <c r="AS140" s="449">
        <f>IFERROR(AO140-AR140,0)</f>
        <v>0</v>
      </c>
      <c r="AT140" s="426">
        <f>IFERROR(AS140/ABS(AR140),0)</f>
        <v>0</v>
      </c>
      <c r="AU140" s="421"/>
      <c r="AV140" s="449">
        <f t="shared" ref="AV140:BG141" si="180">BI140</f>
        <v>8000</v>
      </c>
      <c r="AW140" s="449">
        <f t="shared" si="180"/>
        <v>8000</v>
      </c>
      <c r="AX140" s="449">
        <f t="shared" si="180"/>
        <v>5333.333333333333</v>
      </c>
      <c r="AY140" s="449">
        <f t="shared" si="180"/>
        <v>5333.333333333333</v>
      </c>
      <c r="AZ140" s="449">
        <f t="shared" si="180"/>
        <v>5333.333333333333</v>
      </c>
      <c r="BA140" s="449">
        <f t="shared" si="180"/>
        <v>1142.8571428571429</v>
      </c>
      <c r="BB140" s="449">
        <f t="shared" si="180"/>
        <v>1142.8571428571429</v>
      </c>
      <c r="BC140" s="449">
        <f t="shared" si="180"/>
        <v>1142.8571428571429</v>
      </c>
      <c r="BD140" s="449">
        <f t="shared" si="180"/>
        <v>1142.8571428571429</v>
      </c>
      <c r="BE140" s="449">
        <f t="shared" si="180"/>
        <v>1142.8571428571429</v>
      </c>
      <c r="BF140" s="449">
        <f t="shared" si="180"/>
        <v>1142.8571428571429</v>
      </c>
      <c r="BG140" s="449">
        <f t="shared" si="180"/>
        <v>1142.8571428571429</v>
      </c>
      <c r="BH140" s="400"/>
      <c r="BI140" s="449">
        <f>40000*BI696</f>
        <v>8000</v>
      </c>
      <c r="BJ140" s="449">
        <f t="shared" ref="BJ140:BT140" si="181">40000*BJ696</f>
        <v>8000</v>
      </c>
      <c r="BK140" s="449">
        <f t="shared" si="181"/>
        <v>5333.333333333333</v>
      </c>
      <c r="BL140" s="449">
        <f t="shared" si="181"/>
        <v>5333.333333333333</v>
      </c>
      <c r="BM140" s="449">
        <f t="shared" si="181"/>
        <v>5333.333333333333</v>
      </c>
      <c r="BN140" s="449">
        <f t="shared" si="181"/>
        <v>1142.8571428571429</v>
      </c>
      <c r="BO140" s="449">
        <f t="shared" si="181"/>
        <v>1142.8571428571429</v>
      </c>
      <c r="BP140" s="449">
        <f t="shared" si="181"/>
        <v>1142.8571428571429</v>
      </c>
      <c r="BQ140" s="449">
        <f t="shared" si="181"/>
        <v>1142.8571428571429</v>
      </c>
      <c r="BR140" s="449">
        <f t="shared" si="181"/>
        <v>1142.8571428571429</v>
      </c>
      <c r="BS140" s="449">
        <f t="shared" si="181"/>
        <v>1142.8571428571429</v>
      </c>
      <c r="BT140" s="449">
        <f t="shared" si="181"/>
        <v>1142.8571428571429</v>
      </c>
    </row>
    <row r="141" spans="1:72" ht="15" x14ac:dyDescent="0.25">
      <c r="A141" s="537" t="s">
        <v>219</v>
      </c>
      <c r="B141" s="537" t="s">
        <v>136</v>
      </c>
      <c r="C141" s="596"/>
      <c r="D141" s="500">
        <f>SUM(L141:W141)</f>
        <v>0</v>
      </c>
      <c r="E141" s="449">
        <v>0</v>
      </c>
      <c r="F141" s="449">
        <f>IFERROR(D141-E141,0)</f>
        <v>0</v>
      </c>
      <c r="G141" s="421">
        <f>IFERROR(F141/ABS(E141),0)</f>
        <v>0</v>
      </c>
      <c r="H141" s="449">
        <v>0</v>
      </c>
      <c r="I141" s="449">
        <f>IFERROR(D141-H141,0)</f>
        <v>0</v>
      </c>
      <c r="J141" s="426">
        <f>IFERROR(I141/ABS(H141),0)</f>
        <v>0</v>
      </c>
      <c r="K141" s="421"/>
      <c r="L141" s="449">
        <v>0</v>
      </c>
      <c r="M141" s="449">
        <v>0</v>
      </c>
      <c r="N141" s="449">
        <v>0</v>
      </c>
      <c r="O141" s="449">
        <v>0</v>
      </c>
      <c r="P141" s="449">
        <v>0</v>
      </c>
      <c r="Q141" s="449">
        <v>0</v>
      </c>
      <c r="R141" s="449">
        <f>($H141-SUM($L141:Q141))/R$694</f>
        <v>0</v>
      </c>
      <c r="S141" s="449">
        <f>($H141-SUM($L141:R141))/S$694</f>
        <v>0</v>
      </c>
      <c r="T141" s="449">
        <f>($H141-SUM($L141:S141))/T$694</f>
        <v>0</v>
      </c>
      <c r="U141" s="449">
        <f>($H141-SUM($L141:T141))/U$694</f>
        <v>0</v>
      </c>
      <c r="V141" s="449">
        <f>($H141-SUM($L141:U141))/V$694</f>
        <v>0</v>
      </c>
      <c r="W141" s="449">
        <f>($H141-SUM($L141:V141))/W$694</f>
        <v>0</v>
      </c>
      <c r="X141" s="449"/>
      <c r="Y141" s="449">
        <f>SUM(L141:W141)</f>
        <v>0</v>
      </c>
      <c r="Z141" s="531"/>
      <c r="AA141" s="449">
        <f t="shared" si="167"/>
        <v>0</v>
      </c>
      <c r="AB141" s="449">
        <f t="shared" si="167"/>
        <v>0</v>
      </c>
      <c r="AC141" s="449">
        <f t="shared" si="167"/>
        <v>0</v>
      </c>
      <c r="AD141" s="449">
        <f t="shared" si="167"/>
        <v>0</v>
      </c>
      <c r="AE141" s="449">
        <f t="shared" si="167"/>
        <v>0</v>
      </c>
      <c r="AF141" s="449">
        <f t="shared" si="167"/>
        <v>0</v>
      </c>
      <c r="AG141" s="449">
        <f t="shared" si="167"/>
        <v>0</v>
      </c>
      <c r="AH141" s="449">
        <f t="shared" si="167"/>
        <v>0</v>
      </c>
      <c r="AI141" s="449">
        <f t="shared" si="167"/>
        <v>0</v>
      </c>
      <c r="AJ141" s="449">
        <f t="shared" si="167"/>
        <v>0</v>
      </c>
      <c r="AK141" s="449">
        <f t="shared" si="167"/>
        <v>0</v>
      </c>
      <c r="AL141" s="449">
        <f t="shared" si="167"/>
        <v>0</v>
      </c>
      <c r="AN141" s="500">
        <f>SUM(L141:W141)</f>
        <v>0</v>
      </c>
      <c r="AO141" s="449">
        <f>SUM(BI141:BT141)</f>
        <v>20000</v>
      </c>
      <c r="AP141" s="449">
        <f>IFERROR(AO141-AN141,0)</f>
        <v>20000</v>
      </c>
      <c r="AQ141" s="453" t="str">
        <f t="shared" si="171"/>
        <v>-</v>
      </c>
      <c r="AR141" s="449">
        <f>SUM(BI141:BT141)</f>
        <v>20000</v>
      </c>
      <c r="AS141" s="449">
        <f>IFERROR(AO141-AR141,0)</f>
        <v>0</v>
      </c>
      <c r="AT141" s="426">
        <f>IFERROR(AS141/ABS(AR141),0)</f>
        <v>0</v>
      </c>
      <c r="AU141" s="421"/>
      <c r="AV141" s="449">
        <f t="shared" si="180"/>
        <v>20000</v>
      </c>
      <c r="AW141" s="449">
        <f t="shared" si="180"/>
        <v>0</v>
      </c>
      <c r="AX141" s="449">
        <f t="shared" si="180"/>
        <v>0</v>
      </c>
      <c r="AY141" s="449">
        <f t="shared" si="180"/>
        <v>0</v>
      </c>
      <c r="AZ141" s="449">
        <f t="shared" si="180"/>
        <v>0</v>
      </c>
      <c r="BA141" s="449">
        <f t="shared" si="180"/>
        <v>0</v>
      </c>
      <c r="BB141" s="449">
        <f t="shared" si="180"/>
        <v>0</v>
      </c>
      <c r="BC141" s="449">
        <f t="shared" si="180"/>
        <v>0</v>
      </c>
      <c r="BD141" s="449">
        <f t="shared" si="180"/>
        <v>0</v>
      </c>
      <c r="BE141" s="449">
        <f t="shared" si="180"/>
        <v>0</v>
      </c>
      <c r="BF141" s="449">
        <f t="shared" si="180"/>
        <v>0</v>
      </c>
      <c r="BG141" s="449">
        <f t="shared" si="180"/>
        <v>0</v>
      </c>
      <c r="BH141" s="400"/>
      <c r="BI141" s="449">
        <v>20000</v>
      </c>
      <c r="BJ141" s="449">
        <f t="shared" ref="BJ141:BT141" si="182">IFERROR((($H141/$H$5)*BJ$5)/12,0)</f>
        <v>0</v>
      </c>
      <c r="BK141" s="449">
        <f t="shared" si="182"/>
        <v>0</v>
      </c>
      <c r="BL141" s="449">
        <f t="shared" si="182"/>
        <v>0</v>
      </c>
      <c r="BM141" s="449">
        <f t="shared" si="182"/>
        <v>0</v>
      </c>
      <c r="BN141" s="449">
        <f t="shared" si="182"/>
        <v>0</v>
      </c>
      <c r="BO141" s="449">
        <f t="shared" si="182"/>
        <v>0</v>
      </c>
      <c r="BP141" s="449">
        <f t="shared" si="182"/>
        <v>0</v>
      </c>
      <c r="BQ141" s="449">
        <f t="shared" si="182"/>
        <v>0</v>
      </c>
      <c r="BR141" s="449">
        <f t="shared" si="182"/>
        <v>0</v>
      </c>
      <c r="BS141" s="449">
        <f t="shared" si="182"/>
        <v>0</v>
      </c>
      <c r="BT141" s="449">
        <f t="shared" si="182"/>
        <v>0</v>
      </c>
    </row>
    <row r="142" spans="1:72" ht="15" x14ac:dyDescent="0.25">
      <c r="A142" s="587"/>
      <c r="B142" s="502"/>
      <c r="C142" s="596"/>
      <c r="D142" s="500"/>
      <c r="E142" s="449"/>
      <c r="F142" s="449"/>
      <c r="G142" s="421"/>
      <c r="H142" s="449"/>
      <c r="I142" s="449"/>
      <c r="J142" s="426"/>
      <c r="K142" s="421"/>
      <c r="L142" s="449"/>
      <c r="M142" s="449"/>
      <c r="N142" s="449"/>
      <c r="O142" s="449"/>
      <c r="P142" s="449"/>
      <c r="Q142" s="449"/>
      <c r="R142" s="449"/>
      <c r="S142" s="449"/>
      <c r="T142" s="449"/>
      <c r="U142" s="449"/>
      <c r="V142" s="449"/>
      <c r="W142" s="449"/>
      <c r="X142" s="449"/>
      <c r="Y142" s="449"/>
      <c r="Z142" s="531"/>
      <c r="AA142" s="449"/>
      <c r="AB142" s="449"/>
      <c r="AC142" s="449"/>
      <c r="AD142" s="449"/>
      <c r="AE142" s="449"/>
      <c r="AF142" s="449"/>
      <c r="AG142" s="449"/>
      <c r="AH142" s="449"/>
      <c r="AI142" s="449"/>
      <c r="AJ142" s="449"/>
      <c r="AK142" s="449"/>
      <c r="AL142" s="449"/>
      <c r="AN142" s="500"/>
      <c r="AO142" s="449"/>
      <c r="AP142" s="449"/>
      <c r="AQ142" s="453"/>
      <c r="AR142" s="449"/>
      <c r="AS142" s="449"/>
      <c r="AT142" s="426"/>
      <c r="AU142" s="421"/>
      <c r="AV142" s="449"/>
      <c r="AW142" s="449"/>
      <c r="AX142" s="449"/>
      <c r="AY142" s="449"/>
      <c r="AZ142" s="449"/>
      <c r="BA142" s="449"/>
      <c r="BB142" s="449"/>
      <c r="BC142" s="449"/>
      <c r="BD142" s="449"/>
      <c r="BE142" s="449"/>
      <c r="BF142" s="449"/>
      <c r="BG142" s="449"/>
      <c r="BH142" s="531"/>
      <c r="BI142" s="449"/>
      <c r="BJ142" s="449"/>
      <c r="BK142" s="449"/>
      <c r="BL142" s="449"/>
      <c r="BM142" s="449"/>
      <c r="BN142" s="449"/>
      <c r="BO142" s="449"/>
      <c r="BP142" s="449"/>
      <c r="BQ142" s="449"/>
      <c r="BR142" s="449"/>
      <c r="BS142" s="449"/>
      <c r="BT142" s="449"/>
    </row>
    <row r="143" spans="1:72" ht="15.75" thickBot="1" x14ac:dyDescent="0.3">
      <c r="A143" s="526"/>
      <c r="B143" s="524" t="s">
        <v>220</v>
      </c>
      <c r="C143" s="596"/>
      <c r="D143" s="532">
        <f>SUM(D124:D142)</f>
        <v>283096</v>
      </c>
      <c r="E143" s="533">
        <f>SUM(E124:E142)</f>
        <v>247661</v>
      </c>
      <c r="F143" s="533">
        <f>IFERROR(D143-E143,0)</f>
        <v>35435</v>
      </c>
      <c r="G143" s="520">
        <f>IFERROR(F143/ABS(E143),0)</f>
        <v>0.14307864379131152</v>
      </c>
      <c r="H143" s="533">
        <f>SUM(H124:H142)</f>
        <v>283096</v>
      </c>
      <c r="I143" s="533">
        <f>IFERROR(D143-H143,0)</f>
        <v>0</v>
      </c>
      <c r="J143" s="521">
        <f>IFERROR(I143/ABS(H143),0)</f>
        <v>0</v>
      </c>
      <c r="K143" s="507"/>
      <c r="L143" s="533">
        <f t="shared" ref="L143:W143" si="183">SUM(L124:L142)</f>
        <v>21976.44</v>
      </c>
      <c r="M143" s="533">
        <f t="shared" si="183"/>
        <v>19297.710000000003</v>
      </c>
      <c r="N143" s="533">
        <f t="shared" si="183"/>
        <v>14679.920000000002</v>
      </c>
      <c r="O143" s="533">
        <f t="shared" si="183"/>
        <v>20878.959999999995</v>
      </c>
      <c r="P143" s="533">
        <f t="shared" si="183"/>
        <v>17755.37</v>
      </c>
      <c r="Q143" s="533">
        <f t="shared" si="183"/>
        <v>24409.930000000008</v>
      </c>
      <c r="R143" s="533">
        <f t="shared" si="183"/>
        <v>27349.611666666668</v>
      </c>
      <c r="S143" s="533">
        <f t="shared" si="183"/>
        <v>27349.611666666664</v>
      </c>
      <c r="T143" s="533">
        <f t="shared" si="183"/>
        <v>27349.611666666664</v>
      </c>
      <c r="U143" s="533">
        <f t="shared" si="183"/>
        <v>27349.611666666664</v>
      </c>
      <c r="V143" s="533">
        <f t="shared" si="183"/>
        <v>27349.611666666664</v>
      </c>
      <c r="W143" s="533">
        <f t="shared" si="183"/>
        <v>27349.611666666671</v>
      </c>
      <c r="X143" s="533"/>
      <c r="Y143" s="533">
        <f>SUM(L143:W143)</f>
        <v>283096</v>
      </c>
      <c r="Z143" s="534"/>
      <c r="AA143" s="533">
        <f t="shared" ref="AA143:AL143" si="184">SUM(AA124:AA142)</f>
        <v>23591.333333333336</v>
      </c>
      <c r="AB143" s="533">
        <f t="shared" si="184"/>
        <v>23591.333333333336</v>
      </c>
      <c r="AC143" s="533">
        <f t="shared" si="184"/>
        <v>23591.333333333336</v>
      </c>
      <c r="AD143" s="533">
        <f t="shared" si="184"/>
        <v>23591.333333333336</v>
      </c>
      <c r="AE143" s="533">
        <f t="shared" si="184"/>
        <v>23591.333333333336</v>
      </c>
      <c r="AF143" s="533">
        <f t="shared" si="184"/>
        <v>23591.333333333336</v>
      </c>
      <c r="AG143" s="533">
        <f t="shared" si="184"/>
        <v>23591.333333333336</v>
      </c>
      <c r="AH143" s="533">
        <f t="shared" si="184"/>
        <v>23591.333333333336</v>
      </c>
      <c r="AI143" s="533">
        <f t="shared" si="184"/>
        <v>23591.333333333336</v>
      </c>
      <c r="AJ143" s="533">
        <f t="shared" si="184"/>
        <v>23591.333333333336</v>
      </c>
      <c r="AK143" s="533">
        <f t="shared" si="184"/>
        <v>23591.333333333336</v>
      </c>
      <c r="AL143" s="533">
        <f t="shared" si="184"/>
        <v>23591.333333333336</v>
      </c>
      <c r="AN143" s="532">
        <f>SUM(AN124:AN142)</f>
        <v>283096</v>
      </c>
      <c r="AO143" s="533">
        <f>SUM(AO124:AO142)</f>
        <v>579267.16154894326</v>
      </c>
      <c r="AP143" s="533">
        <f>IFERROR(AO143-AN143,0)</f>
        <v>296171.16154894326</v>
      </c>
      <c r="AQ143" s="523">
        <f>IFERROR(AP143/ABS(AN143),"-")</f>
        <v>1.0461863168287198</v>
      </c>
      <c r="AR143" s="533">
        <f>SUM(AR124:AR142)</f>
        <v>579267.16154894326</v>
      </c>
      <c r="AS143" s="533">
        <f>IFERROR(AO143-AR143,0)</f>
        <v>0</v>
      </c>
      <c r="AT143" s="521">
        <f>IFERROR(AS143/ABS(AR143),0)</f>
        <v>0</v>
      </c>
      <c r="AU143" s="507"/>
      <c r="AV143" s="533">
        <f t="shared" ref="AV143:BG143" si="185">SUM(AV124:AV142)</f>
        <v>38517.076305220886</v>
      </c>
      <c r="AW143" s="533">
        <f t="shared" si="185"/>
        <v>53884.296035827552</v>
      </c>
      <c r="AX143" s="533">
        <f t="shared" si="185"/>
        <v>50851.270287566214</v>
      </c>
      <c r="AY143" s="533">
        <f t="shared" si="185"/>
        <v>56851.270287566214</v>
      </c>
      <c r="AZ143" s="533">
        <f t="shared" si="185"/>
        <v>50851.270287566214</v>
      </c>
      <c r="BA143" s="533">
        <f t="shared" si="185"/>
        <v>41816.603620899543</v>
      </c>
      <c r="BB143" s="533">
        <f t="shared" si="185"/>
        <v>41816.603620899543</v>
      </c>
      <c r="BC143" s="533">
        <f t="shared" si="185"/>
        <v>41816.603620899543</v>
      </c>
      <c r="BD143" s="533">
        <f t="shared" si="185"/>
        <v>41816.603620899543</v>
      </c>
      <c r="BE143" s="533">
        <f t="shared" si="185"/>
        <v>41816.603620899543</v>
      </c>
      <c r="BF143" s="533">
        <f t="shared" si="185"/>
        <v>41816.603620899543</v>
      </c>
      <c r="BG143" s="533">
        <f t="shared" si="185"/>
        <v>77412.356619798884</v>
      </c>
      <c r="BH143" s="534"/>
      <c r="BI143" s="533">
        <f t="shared" ref="BI143:BT143" si="186">SUM(BI124:BI142)</f>
        <v>38517.076305220886</v>
      </c>
      <c r="BJ143" s="533">
        <f t="shared" si="186"/>
        <v>53884.296035827552</v>
      </c>
      <c r="BK143" s="533">
        <f t="shared" si="186"/>
        <v>50851.270287566214</v>
      </c>
      <c r="BL143" s="533">
        <f t="shared" si="186"/>
        <v>56851.270287566214</v>
      </c>
      <c r="BM143" s="533">
        <f t="shared" si="186"/>
        <v>50851.270287566214</v>
      </c>
      <c r="BN143" s="533">
        <f t="shared" si="186"/>
        <v>41816.603620899543</v>
      </c>
      <c r="BO143" s="533">
        <f t="shared" si="186"/>
        <v>41816.603620899543</v>
      </c>
      <c r="BP143" s="533">
        <f t="shared" si="186"/>
        <v>41816.603620899543</v>
      </c>
      <c r="BQ143" s="533">
        <f t="shared" si="186"/>
        <v>41816.603620899543</v>
      </c>
      <c r="BR143" s="533">
        <f t="shared" si="186"/>
        <v>41816.603620899543</v>
      </c>
      <c r="BS143" s="533">
        <f t="shared" si="186"/>
        <v>41816.603620899543</v>
      </c>
      <c r="BT143" s="533">
        <f t="shared" si="186"/>
        <v>77412.356619798884</v>
      </c>
    </row>
    <row r="144" spans="1:72" ht="15.75" thickTop="1" x14ac:dyDescent="0.25">
      <c r="A144" s="587"/>
      <c r="B144" s="502"/>
      <c r="C144" s="596"/>
      <c r="D144" s="500"/>
      <c r="E144" s="449"/>
      <c r="F144" s="449"/>
      <c r="G144" s="421"/>
      <c r="H144" s="449"/>
      <c r="I144" s="449"/>
      <c r="J144" s="426"/>
      <c r="K144" s="421"/>
      <c r="L144" s="449"/>
      <c r="M144" s="449"/>
      <c r="N144" s="449"/>
      <c r="O144" s="449"/>
      <c r="P144" s="449"/>
      <c r="Q144" s="449"/>
      <c r="R144" s="449"/>
      <c r="S144" s="449"/>
      <c r="T144" s="449"/>
      <c r="U144" s="449"/>
      <c r="V144" s="449"/>
      <c r="W144" s="449"/>
      <c r="X144" s="449"/>
      <c r="Y144" s="449"/>
      <c r="Z144" s="531"/>
      <c r="AA144" s="449"/>
      <c r="AB144" s="449"/>
      <c r="AC144" s="449"/>
      <c r="AD144" s="449"/>
      <c r="AE144" s="449"/>
      <c r="AF144" s="449"/>
      <c r="AG144" s="449"/>
      <c r="AH144" s="449"/>
      <c r="AI144" s="449"/>
      <c r="AJ144" s="449"/>
      <c r="AK144" s="449"/>
      <c r="AL144" s="449"/>
      <c r="AN144" s="500"/>
      <c r="AO144" s="449"/>
      <c r="AP144" s="449"/>
      <c r="AQ144" s="453"/>
      <c r="AR144" s="449"/>
      <c r="AS144" s="449"/>
      <c r="AT144" s="426"/>
      <c r="AU144" s="421"/>
      <c r="AV144" s="449"/>
      <c r="AW144" s="449"/>
      <c r="AX144" s="449"/>
      <c r="AY144" s="449"/>
      <c r="AZ144" s="449"/>
      <c r="BA144" s="449"/>
      <c r="BB144" s="449"/>
      <c r="BC144" s="449"/>
      <c r="BD144" s="449"/>
      <c r="BE144" s="449"/>
      <c r="BF144" s="449"/>
      <c r="BG144" s="449"/>
      <c r="BH144" s="531"/>
      <c r="BI144" s="449"/>
      <c r="BJ144" s="449"/>
      <c r="BK144" s="449"/>
      <c r="BL144" s="449"/>
      <c r="BM144" s="449"/>
      <c r="BN144" s="449"/>
      <c r="BO144" s="449"/>
      <c r="BP144" s="449"/>
      <c r="BQ144" s="449"/>
      <c r="BR144" s="449"/>
      <c r="BS144" s="449"/>
      <c r="BT144" s="449"/>
    </row>
    <row r="145" spans="1:72" ht="15.75" x14ac:dyDescent="0.25">
      <c r="A145" s="587"/>
      <c r="B145" s="525" t="s">
        <v>221</v>
      </c>
      <c r="C145" s="596"/>
      <c r="D145" s="500"/>
      <c r="E145" s="449"/>
      <c r="F145" s="449"/>
      <c r="G145" s="421"/>
      <c r="H145" s="449"/>
      <c r="I145" s="449"/>
      <c r="J145" s="426"/>
      <c r="K145" s="421"/>
      <c r="L145" s="449"/>
      <c r="M145" s="449"/>
      <c r="N145" s="449"/>
      <c r="O145" s="449"/>
      <c r="P145" s="449"/>
      <c r="Q145" s="449"/>
      <c r="R145" s="449"/>
      <c r="S145" s="449"/>
      <c r="T145" s="449"/>
      <c r="U145" s="449"/>
      <c r="V145" s="449"/>
      <c r="W145" s="449"/>
      <c r="X145" s="449"/>
      <c r="Y145" s="449"/>
      <c r="Z145" s="531"/>
      <c r="AA145" s="449"/>
      <c r="AB145" s="449"/>
      <c r="AC145" s="449"/>
      <c r="AD145" s="449"/>
      <c r="AE145" s="449"/>
      <c r="AF145" s="449"/>
      <c r="AG145" s="449"/>
      <c r="AH145" s="449"/>
      <c r="AI145" s="449"/>
      <c r="AJ145" s="449"/>
      <c r="AK145" s="449"/>
      <c r="AL145" s="449"/>
      <c r="AN145" s="500"/>
      <c r="AO145" s="449"/>
      <c r="AP145" s="449"/>
      <c r="AQ145" s="453"/>
      <c r="AR145" s="449"/>
      <c r="AS145" s="449"/>
      <c r="AT145" s="426"/>
      <c r="AU145" s="421"/>
      <c r="AV145" s="449"/>
      <c r="AW145" s="449"/>
      <c r="AX145" s="449"/>
      <c r="AY145" s="449"/>
      <c r="AZ145" s="449"/>
      <c r="BA145" s="449"/>
      <c r="BB145" s="449"/>
      <c r="BC145" s="449"/>
      <c r="BD145" s="449"/>
      <c r="BE145" s="449"/>
      <c r="BF145" s="449"/>
      <c r="BG145" s="449"/>
      <c r="BH145" s="531"/>
      <c r="BI145" s="449"/>
      <c r="BJ145" s="449"/>
      <c r="BK145" s="449"/>
      <c r="BL145" s="449"/>
      <c r="BM145" s="449"/>
      <c r="BN145" s="449"/>
      <c r="BO145" s="449"/>
      <c r="BP145" s="449"/>
      <c r="BQ145" s="449"/>
      <c r="BR145" s="449"/>
      <c r="BS145" s="449"/>
      <c r="BT145" s="449"/>
    </row>
    <row r="146" spans="1:72" ht="6" customHeight="1" x14ac:dyDescent="0.25">
      <c r="A146" s="587"/>
      <c r="B146" s="502"/>
      <c r="C146" s="596"/>
      <c r="D146" s="500"/>
      <c r="E146" s="449"/>
      <c r="F146" s="449"/>
      <c r="G146" s="421"/>
      <c r="H146" s="449"/>
      <c r="I146" s="449"/>
      <c r="J146" s="426"/>
      <c r="K146" s="421"/>
      <c r="L146" s="449"/>
      <c r="M146" s="449"/>
      <c r="N146" s="449"/>
      <c r="O146" s="449"/>
      <c r="P146" s="449"/>
      <c r="Q146" s="449"/>
      <c r="R146" s="449"/>
      <c r="S146" s="449"/>
      <c r="T146" s="449"/>
      <c r="U146" s="449"/>
      <c r="V146" s="449"/>
      <c r="W146" s="449"/>
      <c r="X146" s="449"/>
      <c r="Y146" s="449"/>
      <c r="Z146" s="531"/>
      <c r="AA146" s="449"/>
      <c r="AB146" s="449"/>
      <c r="AC146" s="449"/>
      <c r="AD146" s="449"/>
      <c r="AE146" s="449"/>
      <c r="AF146" s="449"/>
      <c r="AG146" s="449"/>
      <c r="AH146" s="449"/>
      <c r="AI146" s="449"/>
      <c r="AJ146" s="449"/>
      <c r="AK146" s="449"/>
      <c r="AL146" s="449"/>
      <c r="AN146" s="500"/>
      <c r="AO146" s="449"/>
      <c r="AP146" s="449"/>
      <c r="AQ146" s="453"/>
      <c r="AR146" s="449"/>
      <c r="AS146" s="449"/>
      <c r="AT146" s="426"/>
      <c r="AU146" s="421"/>
      <c r="AV146" s="449"/>
      <c r="AW146" s="449"/>
      <c r="AX146" s="449"/>
      <c r="AY146" s="449"/>
      <c r="AZ146" s="449"/>
      <c r="BA146" s="449"/>
      <c r="BB146" s="449"/>
      <c r="BC146" s="449"/>
      <c r="BD146" s="449"/>
      <c r="BE146" s="449"/>
      <c r="BF146" s="449"/>
      <c r="BG146" s="449"/>
      <c r="BH146" s="531"/>
      <c r="BI146" s="449"/>
      <c r="BJ146" s="449"/>
      <c r="BK146" s="449"/>
      <c r="BL146" s="449"/>
      <c r="BM146" s="449"/>
      <c r="BN146" s="449"/>
      <c r="BO146" s="449"/>
      <c r="BP146" s="449"/>
      <c r="BQ146" s="449"/>
      <c r="BR146" s="449"/>
      <c r="BS146" s="449"/>
      <c r="BT146" s="449"/>
    </row>
    <row r="147" spans="1:72" ht="15" x14ac:dyDescent="0.25">
      <c r="A147" s="615" t="s">
        <v>222</v>
      </c>
      <c r="B147" s="502" t="s">
        <v>223</v>
      </c>
      <c r="C147" s="630"/>
      <c r="D147" s="500">
        <f t="shared" ref="D147:D225" si="187">SUM(L147:W147)</f>
        <v>73807</v>
      </c>
      <c r="E147" s="449">
        <v>34807</v>
      </c>
      <c r="F147" s="449">
        <f t="shared" ref="F147:F210" si="188">IFERROR(D147-E147,0)</f>
        <v>39000</v>
      </c>
      <c r="G147" s="421">
        <f t="shared" ref="G147:G225" si="189">IFERROR(F147/ABS(E147),0)</f>
        <v>1.1204642744275577</v>
      </c>
      <c r="H147" s="449">
        <v>73807</v>
      </c>
      <c r="I147" s="449">
        <f t="shared" ref="I147:I225" si="190">IFERROR(D147-H147,0)</f>
        <v>0</v>
      </c>
      <c r="J147" s="426">
        <f t="shared" ref="J147:J225" si="191">IFERROR(I147/ABS(H147),0)</f>
        <v>0</v>
      </c>
      <c r="K147" s="421"/>
      <c r="L147" s="449">
        <v>0.01</v>
      </c>
      <c r="M147" s="449">
        <v>6812.96</v>
      </c>
      <c r="N147" s="449">
        <v>5961.329999999999</v>
      </c>
      <c r="O147" s="449">
        <v>5677.4599999999991</v>
      </c>
      <c r="P147" s="449">
        <v>5677.4600000000028</v>
      </c>
      <c r="Q147" s="449">
        <v>7096.8299999999981</v>
      </c>
      <c r="R147" s="449">
        <f>($H147-SUM($L147:Q147))/R$694</f>
        <v>7096.8249999999998</v>
      </c>
      <c r="S147" s="449">
        <f>($H147-SUM($L147:R147))/S$694</f>
        <v>7096.8249999999998</v>
      </c>
      <c r="T147" s="449">
        <f>($H147-SUM($L147:S147))/T$694</f>
        <v>7096.8250000000007</v>
      </c>
      <c r="U147" s="449">
        <f>($H147-SUM($L147:T147))/U$694</f>
        <v>7096.8250000000016</v>
      </c>
      <c r="V147" s="449">
        <f>($H147-SUM($L147:U147))/V$694</f>
        <v>7096.8250000000007</v>
      </c>
      <c r="W147" s="449">
        <f>($H147-SUM($L147:V147))/W$694</f>
        <v>7096.8249999999971</v>
      </c>
      <c r="X147" s="449"/>
      <c r="Y147" s="449">
        <f t="shared" ref="Y147:Y225" si="192">SUM(L147:W147)</f>
        <v>73807</v>
      </c>
      <c r="Z147" s="531"/>
      <c r="AA147" s="449">
        <f t="shared" ref="AA147:AL162" si="193">IFERROR($H147/12,0)</f>
        <v>6150.583333333333</v>
      </c>
      <c r="AB147" s="449">
        <f t="shared" si="193"/>
        <v>6150.583333333333</v>
      </c>
      <c r="AC147" s="449">
        <f t="shared" si="193"/>
        <v>6150.583333333333</v>
      </c>
      <c r="AD147" s="449">
        <f t="shared" si="193"/>
        <v>6150.583333333333</v>
      </c>
      <c r="AE147" s="449">
        <f t="shared" si="193"/>
        <v>6150.583333333333</v>
      </c>
      <c r="AF147" s="449">
        <f t="shared" si="193"/>
        <v>6150.583333333333</v>
      </c>
      <c r="AG147" s="449">
        <f t="shared" si="193"/>
        <v>6150.583333333333</v>
      </c>
      <c r="AH147" s="449">
        <f t="shared" si="193"/>
        <v>6150.583333333333</v>
      </c>
      <c r="AI147" s="449">
        <f t="shared" si="193"/>
        <v>6150.583333333333</v>
      </c>
      <c r="AJ147" s="449">
        <f t="shared" si="193"/>
        <v>6150.583333333333</v>
      </c>
      <c r="AK147" s="449">
        <f t="shared" si="193"/>
        <v>6150.583333333333</v>
      </c>
      <c r="AL147" s="449">
        <f t="shared" si="193"/>
        <v>6150.583333333333</v>
      </c>
      <c r="AN147" s="500">
        <f t="shared" ref="AN147:AN190" si="194">SUM(L147:W147)</f>
        <v>73807</v>
      </c>
      <c r="AO147" s="449">
        <f t="shared" ref="AO147:AO225" si="195">SUM(BI147:BT147)</f>
        <v>117478.49369999999</v>
      </c>
      <c r="AP147" s="449">
        <f t="shared" ref="AP147:AP210" si="196">IFERROR(AO147-AN147,0)</f>
        <v>43671.493699999992</v>
      </c>
      <c r="AQ147" s="453">
        <f t="shared" ref="AQ147:AQ210" si="197">IFERROR(AP147/ABS(AN147),"-")</f>
        <v>0.59169853401438877</v>
      </c>
      <c r="AR147" s="449">
        <f t="shared" ref="AR147:AR176" si="198">SUM(BI147:BT147)</f>
        <v>117478.49369999999</v>
      </c>
      <c r="AS147" s="449">
        <f t="shared" ref="AS147:AS210" si="199">IFERROR(AO147-AR147,0)</f>
        <v>0</v>
      </c>
      <c r="AT147" s="426">
        <f t="shared" ref="AT147:AT225" si="200">IFERROR(AS147/ABS(AR147),0)</f>
        <v>0</v>
      </c>
      <c r="AU147" s="421"/>
      <c r="AV147" s="449">
        <f t="shared" ref="AV147:BG168" si="201">BI147</f>
        <v>0</v>
      </c>
      <c r="AW147" s="449">
        <f t="shared" si="201"/>
        <v>9789.8744749999987</v>
      </c>
      <c r="AX147" s="449">
        <f t="shared" si="201"/>
        <v>9789.8744749999987</v>
      </c>
      <c r="AY147" s="449">
        <f t="shared" si="201"/>
        <v>9789.8744749999987</v>
      </c>
      <c r="AZ147" s="449">
        <f t="shared" si="201"/>
        <v>9789.8744749999987</v>
      </c>
      <c r="BA147" s="449">
        <f t="shared" si="201"/>
        <v>9789.8744749999987</v>
      </c>
      <c r="BB147" s="449">
        <f t="shared" si="201"/>
        <v>9789.8744749999987</v>
      </c>
      <c r="BC147" s="449">
        <f t="shared" si="201"/>
        <v>9789.8744749999987</v>
      </c>
      <c r="BD147" s="449">
        <f t="shared" si="201"/>
        <v>9789.8744749999987</v>
      </c>
      <c r="BE147" s="449">
        <f t="shared" si="201"/>
        <v>9789.8744749999987</v>
      </c>
      <c r="BF147" s="449">
        <f t="shared" si="201"/>
        <v>9789.8744749999987</v>
      </c>
      <c r="BG147" s="449">
        <f t="shared" si="201"/>
        <v>19579.748949999997</v>
      </c>
      <c r="BH147" s="400"/>
      <c r="BI147" s="449">
        <v>0</v>
      </c>
      <c r="BJ147" s="449">
        <f>SUM('FY19 Staffing V1-1 (3)'!$P$89,'FY19 Staffing V1-1 (3)'!$P$95,'FY19 Staffing V1-1 (3)'!$P$255)/12</f>
        <v>9789.8744749999987</v>
      </c>
      <c r="BK147" s="449">
        <f>SUM('FY19 Staffing V1-1 (3)'!$P$89,'FY19 Staffing V1-1 (3)'!$P$95,'FY19 Staffing V1-1 (3)'!$P$255)/12</f>
        <v>9789.8744749999987</v>
      </c>
      <c r="BL147" s="449">
        <f>SUM('FY19 Staffing V1-1 (3)'!$P$89,'FY19 Staffing V1-1 (3)'!$P$95,'FY19 Staffing V1-1 (3)'!$P$255)/12</f>
        <v>9789.8744749999987</v>
      </c>
      <c r="BM147" s="449">
        <f>SUM('FY19 Staffing V1-1 (3)'!$P$89,'FY19 Staffing V1-1 (3)'!$P$95,'FY19 Staffing V1-1 (3)'!$P$255)/12</f>
        <v>9789.8744749999987</v>
      </c>
      <c r="BN147" s="449">
        <f>SUM('FY19 Staffing V1-1 (3)'!$P$89,'FY19 Staffing V1-1 (3)'!$P$95,'FY19 Staffing V1-1 (3)'!$P$255)/12</f>
        <v>9789.8744749999987</v>
      </c>
      <c r="BO147" s="449">
        <f>SUM('FY19 Staffing V1-1 (3)'!$P$89,'FY19 Staffing V1-1 (3)'!$P$95,'FY19 Staffing V1-1 (3)'!$P$255)/12</f>
        <v>9789.8744749999987</v>
      </c>
      <c r="BP147" s="449">
        <f>SUM('FY19 Staffing V1-1 (3)'!$P$89,'FY19 Staffing V1-1 (3)'!$P$95,'FY19 Staffing V1-1 (3)'!$P$255)/12</f>
        <v>9789.8744749999987</v>
      </c>
      <c r="BQ147" s="449">
        <f>SUM('FY19 Staffing V1-1 (3)'!$P$89,'FY19 Staffing V1-1 (3)'!$P$95,'FY19 Staffing V1-1 (3)'!$P$255)/12</f>
        <v>9789.8744749999987</v>
      </c>
      <c r="BR147" s="449">
        <f>SUM('FY19 Staffing V1-1 (3)'!$P$89,'FY19 Staffing V1-1 (3)'!$P$95,'FY19 Staffing V1-1 (3)'!$P$255)/12</f>
        <v>9789.8744749999987</v>
      </c>
      <c r="BS147" s="449">
        <f>SUM('FY19 Staffing V1-1 (3)'!$P$89,'FY19 Staffing V1-1 (3)'!$P$95,'FY19 Staffing V1-1 (3)'!$P$255)/12</f>
        <v>9789.8744749999987</v>
      </c>
      <c r="BT147" s="449">
        <f>SUM('FY19 Staffing V1-1 (3)'!$P$89,'FY19 Staffing V1-1 (3)'!$P$95,'FY19 Staffing V1-1 (3)'!$P$255)/12*2</f>
        <v>19579.748949999997</v>
      </c>
    </row>
    <row r="148" spans="1:72" ht="15" x14ac:dyDescent="0.25">
      <c r="A148" s="615" t="s">
        <v>224</v>
      </c>
      <c r="B148" s="502" t="s">
        <v>225</v>
      </c>
      <c r="C148" s="630"/>
      <c r="D148" s="500">
        <f t="shared" si="187"/>
        <v>225200</v>
      </c>
      <c r="E148" s="449">
        <v>192029</v>
      </c>
      <c r="F148" s="449">
        <f t="shared" si="188"/>
        <v>33171</v>
      </c>
      <c r="G148" s="421">
        <f t="shared" si="189"/>
        <v>0.17273953413286536</v>
      </c>
      <c r="H148" s="449">
        <v>225200</v>
      </c>
      <c r="I148" s="449">
        <f t="shared" si="190"/>
        <v>0</v>
      </c>
      <c r="J148" s="426">
        <f t="shared" si="191"/>
        <v>0</v>
      </c>
      <c r="K148" s="421"/>
      <c r="L148" s="449">
        <v>0</v>
      </c>
      <c r="M148" s="449">
        <v>10680</v>
      </c>
      <c r="N148" s="449">
        <v>9345</v>
      </c>
      <c r="O148" s="449">
        <v>8775.36</v>
      </c>
      <c r="P148" s="449">
        <v>8900</v>
      </c>
      <c r="Q148" s="449">
        <v>11125</v>
      </c>
      <c r="R148" s="449">
        <f>($H148-SUM($L148:Q148))/R$694</f>
        <v>29395.773333333334</v>
      </c>
      <c r="S148" s="449">
        <f>($H148-SUM($L148:R148))/S$694</f>
        <v>29395.773333333334</v>
      </c>
      <c r="T148" s="449">
        <f>($H148-SUM($L148:S148))/T$694</f>
        <v>29395.773333333334</v>
      </c>
      <c r="U148" s="449">
        <f>($H148-SUM($L148:T148))/U$694</f>
        <v>29395.773333333334</v>
      </c>
      <c r="V148" s="449">
        <f>($H148-SUM($L148:U148))/V$694</f>
        <v>29395.773333333331</v>
      </c>
      <c r="W148" s="449">
        <f>($H148-SUM($L148:V148))/W$694</f>
        <v>29395.773333333316</v>
      </c>
      <c r="X148" s="449"/>
      <c r="Y148" s="449">
        <f t="shared" si="192"/>
        <v>225200</v>
      </c>
      <c r="Z148" s="531"/>
      <c r="AA148" s="449">
        <f t="shared" si="193"/>
        <v>18766.666666666668</v>
      </c>
      <c r="AB148" s="449">
        <f t="shared" si="193"/>
        <v>18766.666666666668</v>
      </c>
      <c r="AC148" s="449">
        <f t="shared" si="193"/>
        <v>18766.666666666668</v>
      </c>
      <c r="AD148" s="449">
        <f t="shared" si="193"/>
        <v>18766.666666666668</v>
      </c>
      <c r="AE148" s="449">
        <f t="shared" si="193"/>
        <v>18766.666666666668</v>
      </c>
      <c r="AF148" s="449">
        <f t="shared" si="193"/>
        <v>18766.666666666668</v>
      </c>
      <c r="AG148" s="449">
        <f t="shared" si="193"/>
        <v>18766.666666666668</v>
      </c>
      <c r="AH148" s="449">
        <f t="shared" si="193"/>
        <v>18766.666666666668</v>
      </c>
      <c r="AI148" s="449">
        <f t="shared" si="193"/>
        <v>18766.666666666668</v>
      </c>
      <c r="AJ148" s="449">
        <f t="shared" si="193"/>
        <v>18766.666666666668</v>
      </c>
      <c r="AK148" s="449">
        <f t="shared" si="193"/>
        <v>18766.666666666668</v>
      </c>
      <c r="AL148" s="449">
        <f t="shared" si="193"/>
        <v>18766.666666666668</v>
      </c>
      <c r="AN148" s="500">
        <f t="shared" si="194"/>
        <v>225200</v>
      </c>
      <c r="AO148" s="449">
        <f t="shared" si="195"/>
        <v>300258.7492125</v>
      </c>
      <c r="AP148" s="449">
        <f t="shared" si="196"/>
        <v>75058.749212499999</v>
      </c>
      <c r="AQ148" s="453">
        <f t="shared" si="197"/>
        <v>0.33329817589920069</v>
      </c>
      <c r="AR148" s="449">
        <f t="shared" si="198"/>
        <v>300258.7492125</v>
      </c>
      <c r="AS148" s="449">
        <f t="shared" si="199"/>
        <v>0</v>
      </c>
      <c r="AT148" s="426">
        <f t="shared" si="200"/>
        <v>0</v>
      </c>
      <c r="AU148" s="421"/>
      <c r="AV148" s="449">
        <f t="shared" si="201"/>
        <v>0</v>
      </c>
      <c r="AW148" s="449">
        <f t="shared" si="201"/>
        <v>25021.562434374999</v>
      </c>
      <c r="AX148" s="449">
        <f t="shared" si="201"/>
        <v>25021.562434374999</v>
      </c>
      <c r="AY148" s="449">
        <f t="shared" si="201"/>
        <v>25021.562434374999</v>
      </c>
      <c r="AZ148" s="449">
        <f t="shared" si="201"/>
        <v>25021.562434374999</v>
      </c>
      <c r="BA148" s="449">
        <f t="shared" si="201"/>
        <v>25021.562434374999</v>
      </c>
      <c r="BB148" s="449">
        <f t="shared" si="201"/>
        <v>25021.562434374999</v>
      </c>
      <c r="BC148" s="449">
        <f t="shared" si="201"/>
        <v>25021.562434374999</v>
      </c>
      <c r="BD148" s="449">
        <f t="shared" si="201"/>
        <v>25021.562434374999</v>
      </c>
      <c r="BE148" s="449">
        <f t="shared" si="201"/>
        <v>25021.562434374999</v>
      </c>
      <c r="BF148" s="449">
        <f t="shared" si="201"/>
        <v>25021.562434374999</v>
      </c>
      <c r="BG148" s="449">
        <f t="shared" si="201"/>
        <v>50043.124868749997</v>
      </c>
      <c r="BH148" s="400"/>
      <c r="BI148" s="449">
        <v>0</v>
      </c>
      <c r="BJ148" s="449">
        <f>SUM('FY19 Staffing V1-1 (3)'!$P$90:$P$94,'FY19 Staffing V1-1 (3)'!$P$96:$P$97,'FY19 Staffing V1-1 (3)'!$P$256)/12</f>
        <v>25021.562434374999</v>
      </c>
      <c r="BK148" s="449">
        <f>SUM('FY19 Staffing V1-1 (3)'!$P$90:$P$94,'FY19 Staffing V1-1 (3)'!$P$96:$P$97,'FY19 Staffing V1-1 (3)'!$P$256)/12</f>
        <v>25021.562434374999</v>
      </c>
      <c r="BL148" s="449">
        <f>SUM('FY19 Staffing V1-1 (3)'!$P$90:$P$94,'FY19 Staffing V1-1 (3)'!$P$96:$P$97,'FY19 Staffing V1-1 (3)'!$P$256)/12</f>
        <v>25021.562434374999</v>
      </c>
      <c r="BM148" s="449">
        <f>SUM('FY19 Staffing V1-1 (3)'!$P$90:$P$94,'FY19 Staffing V1-1 (3)'!$P$96:$P$97,'FY19 Staffing V1-1 (3)'!$P$256)/12</f>
        <v>25021.562434374999</v>
      </c>
      <c r="BN148" s="449">
        <f>SUM('FY19 Staffing V1-1 (3)'!$P$90:$P$94,'FY19 Staffing V1-1 (3)'!$P$96:$P$97,'FY19 Staffing V1-1 (3)'!$P$256)/12</f>
        <v>25021.562434374999</v>
      </c>
      <c r="BO148" s="449">
        <f>SUM('FY19 Staffing V1-1 (3)'!$P$90:$P$94,'FY19 Staffing V1-1 (3)'!$P$96:$P$97,'FY19 Staffing V1-1 (3)'!$P$256)/12</f>
        <v>25021.562434374999</v>
      </c>
      <c r="BP148" s="449">
        <f>SUM('FY19 Staffing V1-1 (3)'!$P$90:$P$94,'FY19 Staffing V1-1 (3)'!$P$96:$P$97,'FY19 Staffing V1-1 (3)'!$P$256)/12</f>
        <v>25021.562434374999</v>
      </c>
      <c r="BQ148" s="449">
        <f>SUM('FY19 Staffing V1-1 (3)'!$P$90:$P$94,'FY19 Staffing V1-1 (3)'!$P$96:$P$97,'FY19 Staffing V1-1 (3)'!$P$256)/12</f>
        <v>25021.562434374999</v>
      </c>
      <c r="BR148" s="449">
        <f>SUM('FY19 Staffing V1-1 (3)'!$P$90:$P$94,'FY19 Staffing V1-1 (3)'!$P$96:$P$97,'FY19 Staffing V1-1 (3)'!$P$256)/12</f>
        <v>25021.562434374999</v>
      </c>
      <c r="BS148" s="449">
        <f>SUM('FY19 Staffing V1-1 (3)'!$P$90:$P$94,'FY19 Staffing V1-1 (3)'!$P$96:$P$97,'FY19 Staffing V1-1 (3)'!$P$256)/12</f>
        <v>25021.562434374999</v>
      </c>
      <c r="BT148" s="449">
        <f>SUM('FY19 Staffing V1-1 (3)'!$P$90:$P$94,'FY19 Staffing V1-1 (3)'!$P$96:$P$97,'FY19 Staffing V1-1 (3)'!$P$256)/12*2</f>
        <v>50043.124868749997</v>
      </c>
    </row>
    <row r="149" spans="1:72" ht="15" hidden="1" x14ac:dyDescent="0.25">
      <c r="A149" s="631" t="s">
        <v>226</v>
      </c>
      <c r="B149" s="632" t="s">
        <v>227</v>
      </c>
      <c r="C149" s="630"/>
      <c r="D149" s="500">
        <f t="shared" si="187"/>
        <v>5000</v>
      </c>
      <c r="E149" s="449">
        <v>5000</v>
      </c>
      <c r="F149" s="449">
        <f t="shared" si="188"/>
        <v>0</v>
      </c>
      <c r="G149" s="421">
        <f t="shared" si="189"/>
        <v>0</v>
      </c>
      <c r="H149" s="449">
        <v>5000</v>
      </c>
      <c r="I149" s="449">
        <f t="shared" si="190"/>
        <v>0</v>
      </c>
      <c r="J149" s="426">
        <f t="shared" si="191"/>
        <v>0</v>
      </c>
      <c r="K149" s="421"/>
      <c r="L149" s="449">
        <v>0</v>
      </c>
      <c r="M149" s="449">
        <v>0</v>
      </c>
      <c r="N149" s="449">
        <v>0</v>
      </c>
      <c r="O149" s="449">
        <v>0</v>
      </c>
      <c r="P149" s="449">
        <v>0</v>
      </c>
      <c r="Q149" s="449">
        <v>0</v>
      </c>
      <c r="R149" s="449">
        <f>($H149-SUM($L149:Q149))/R$694</f>
        <v>833.33333333333337</v>
      </c>
      <c r="S149" s="449">
        <f>($H149-SUM($L149:R149))/S$694</f>
        <v>833.33333333333337</v>
      </c>
      <c r="T149" s="449">
        <f>($H149-SUM($L149:S149))/T$694</f>
        <v>833.33333333333326</v>
      </c>
      <c r="U149" s="449">
        <f>($H149-SUM($L149:T149))/U$694</f>
        <v>833.33333333333337</v>
      </c>
      <c r="V149" s="449">
        <f>($H149-SUM($L149:U149))/V$694</f>
        <v>833.33333333333326</v>
      </c>
      <c r="W149" s="449">
        <f>($H149-SUM($L149:V149))/W$694</f>
        <v>833.33333333333303</v>
      </c>
      <c r="X149" s="449"/>
      <c r="Y149" s="449">
        <f t="shared" si="192"/>
        <v>5000</v>
      </c>
      <c r="Z149" s="531"/>
      <c r="AA149" s="449">
        <f t="shared" si="193"/>
        <v>416.66666666666669</v>
      </c>
      <c r="AB149" s="449">
        <f t="shared" si="193"/>
        <v>416.66666666666669</v>
      </c>
      <c r="AC149" s="449">
        <f t="shared" si="193"/>
        <v>416.66666666666669</v>
      </c>
      <c r="AD149" s="449">
        <f t="shared" si="193"/>
        <v>416.66666666666669</v>
      </c>
      <c r="AE149" s="449">
        <f t="shared" si="193"/>
        <v>416.66666666666669</v>
      </c>
      <c r="AF149" s="449">
        <f t="shared" si="193"/>
        <v>416.66666666666669</v>
      </c>
      <c r="AG149" s="449">
        <f t="shared" si="193"/>
        <v>416.66666666666669</v>
      </c>
      <c r="AH149" s="449">
        <f t="shared" si="193"/>
        <v>416.66666666666669</v>
      </c>
      <c r="AI149" s="449">
        <f t="shared" si="193"/>
        <v>416.66666666666669</v>
      </c>
      <c r="AJ149" s="449">
        <f t="shared" si="193"/>
        <v>416.66666666666669</v>
      </c>
      <c r="AK149" s="449">
        <f t="shared" si="193"/>
        <v>416.66666666666669</v>
      </c>
      <c r="AL149" s="449">
        <f t="shared" si="193"/>
        <v>416.66666666666669</v>
      </c>
      <c r="AN149" s="500">
        <f t="shared" si="194"/>
        <v>5000</v>
      </c>
      <c r="AO149" s="449">
        <f t="shared" si="195"/>
        <v>0</v>
      </c>
      <c r="AP149" s="449">
        <f t="shared" si="196"/>
        <v>-5000</v>
      </c>
      <c r="AQ149" s="453">
        <f t="shared" si="197"/>
        <v>-1</v>
      </c>
      <c r="AR149" s="449">
        <f t="shared" si="198"/>
        <v>0</v>
      </c>
      <c r="AS149" s="449">
        <f t="shared" si="199"/>
        <v>0</v>
      </c>
      <c r="AT149" s="426">
        <f t="shared" si="200"/>
        <v>0</v>
      </c>
      <c r="AU149" s="421"/>
      <c r="AV149" s="449">
        <f t="shared" si="201"/>
        <v>0</v>
      </c>
      <c r="AW149" s="449">
        <f t="shared" si="201"/>
        <v>0</v>
      </c>
      <c r="AX149" s="449">
        <f t="shared" si="201"/>
        <v>0</v>
      </c>
      <c r="AY149" s="449">
        <f t="shared" si="201"/>
        <v>0</v>
      </c>
      <c r="AZ149" s="449">
        <f t="shared" si="201"/>
        <v>0</v>
      </c>
      <c r="BA149" s="449">
        <f t="shared" si="201"/>
        <v>0</v>
      </c>
      <c r="BB149" s="449">
        <f t="shared" si="201"/>
        <v>0</v>
      </c>
      <c r="BC149" s="449">
        <f t="shared" si="201"/>
        <v>0</v>
      </c>
      <c r="BD149" s="449">
        <f t="shared" si="201"/>
        <v>0</v>
      </c>
      <c r="BE149" s="449">
        <f t="shared" si="201"/>
        <v>0</v>
      </c>
      <c r="BF149" s="449">
        <f t="shared" si="201"/>
        <v>0</v>
      </c>
      <c r="BG149" s="449">
        <f t="shared" si="201"/>
        <v>0</v>
      </c>
      <c r="BH149" s="400"/>
      <c r="BI149" s="449">
        <v>0</v>
      </c>
      <c r="BJ149" s="449">
        <v>0</v>
      </c>
      <c r="BK149" s="449">
        <v>0</v>
      </c>
      <c r="BL149" s="449">
        <v>0</v>
      </c>
      <c r="BM149" s="449">
        <v>0</v>
      </c>
      <c r="BN149" s="449">
        <v>0</v>
      </c>
      <c r="BO149" s="449">
        <v>0</v>
      </c>
      <c r="BP149" s="449">
        <v>0</v>
      </c>
      <c r="BQ149" s="449">
        <v>0</v>
      </c>
      <c r="BR149" s="449">
        <v>0</v>
      </c>
      <c r="BS149" s="449">
        <v>0</v>
      </c>
      <c r="BT149" s="449">
        <v>0</v>
      </c>
    </row>
    <row r="150" spans="1:72" ht="15" x14ac:dyDescent="0.25">
      <c r="A150" s="502" t="s">
        <v>228</v>
      </c>
      <c r="B150" s="502" t="s">
        <v>229</v>
      </c>
      <c r="C150" s="630"/>
      <c r="D150" s="500">
        <f t="shared" si="187"/>
        <v>84000</v>
      </c>
      <c r="E150" s="449">
        <v>24000</v>
      </c>
      <c r="F150" s="449">
        <f t="shared" si="188"/>
        <v>60000</v>
      </c>
      <c r="G150" s="421">
        <f t="shared" si="189"/>
        <v>2.5</v>
      </c>
      <c r="H150" s="449">
        <v>84000</v>
      </c>
      <c r="I150" s="449">
        <f t="shared" si="190"/>
        <v>0</v>
      </c>
      <c r="J150" s="426">
        <f t="shared" si="191"/>
        <v>0</v>
      </c>
      <c r="K150" s="421"/>
      <c r="L150" s="449">
        <v>0</v>
      </c>
      <c r="M150" s="449">
        <v>0</v>
      </c>
      <c r="N150" s="449">
        <v>0</v>
      </c>
      <c r="O150" s="449">
        <v>31500</v>
      </c>
      <c r="P150" s="449">
        <v>0</v>
      </c>
      <c r="Q150" s="449">
        <v>7500</v>
      </c>
      <c r="R150" s="449">
        <f>($H150-SUM($L150:Q150))/R$694</f>
        <v>7500</v>
      </c>
      <c r="S150" s="449">
        <f>($H150-SUM($L150:R150))/S$694</f>
        <v>7500</v>
      </c>
      <c r="T150" s="449">
        <f>($H150-SUM($L150:S150))/T$694</f>
        <v>7500</v>
      </c>
      <c r="U150" s="449">
        <f>($H150-SUM($L150:T150))/U$694</f>
        <v>7500</v>
      </c>
      <c r="V150" s="449">
        <f>($H150-SUM($L150:U150))/V$694</f>
        <v>7500</v>
      </c>
      <c r="W150" s="449">
        <f>($H150-SUM($L150:V150))/W$694</f>
        <v>7500</v>
      </c>
      <c r="X150" s="449"/>
      <c r="Y150" s="449">
        <f t="shared" si="192"/>
        <v>84000</v>
      </c>
      <c r="Z150" s="531"/>
      <c r="AA150" s="449">
        <f t="shared" si="193"/>
        <v>7000</v>
      </c>
      <c r="AB150" s="449">
        <f t="shared" si="193"/>
        <v>7000</v>
      </c>
      <c r="AC150" s="449">
        <f t="shared" si="193"/>
        <v>7000</v>
      </c>
      <c r="AD150" s="449">
        <f t="shared" si="193"/>
        <v>7000</v>
      </c>
      <c r="AE150" s="449">
        <f t="shared" si="193"/>
        <v>7000</v>
      </c>
      <c r="AF150" s="449">
        <f t="shared" si="193"/>
        <v>7000</v>
      </c>
      <c r="AG150" s="449">
        <f t="shared" si="193"/>
        <v>7000</v>
      </c>
      <c r="AH150" s="449">
        <f t="shared" si="193"/>
        <v>7000</v>
      </c>
      <c r="AI150" s="449">
        <f t="shared" si="193"/>
        <v>7000</v>
      </c>
      <c r="AJ150" s="449">
        <f t="shared" si="193"/>
        <v>7000</v>
      </c>
      <c r="AK150" s="449">
        <f t="shared" si="193"/>
        <v>7000</v>
      </c>
      <c r="AL150" s="449">
        <f t="shared" si="193"/>
        <v>7000</v>
      </c>
      <c r="AN150" s="500">
        <f t="shared" si="194"/>
        <v>84000</v>
      </c>
      <c r="AO150" s="449">
        <f t="shared" si="195"/>
        <v>0</v>
      </c>
      <c r="AP150" s="449">
        <f t="shared" si="196"/>
        <v>-84000</v>
      </c>
      <c r="AQ150" s="453">
        <f t="shared" si="197"/>
        <v>-1</v>
      </c>
      <c r="AR150" s="449">
        <f t="shared" si="198"/>
        <v>0</v>
      </c>
      <c r="AS150" s="449">
        <f t="shared" si="199"/>
        <v>0</v>
      </c>
      <c r="AT150" s="426">
        <f t="shared" si="200"/>
        <v>0</v>
      </c>
      <c r="AU150" s="421"/>
      <c r="AV150" s="449">
        <f t="shared" si="201"/>
        <v>0</v>
      </c>
      <c r="AW150" s="449">
        <f t="shared" si="201"/>
        <v>0</v>
      </c>
      <c r="AX150" s="449">
        <f t="shared" si="201"/>
        <v>0</v>
      </c>
      <c r="AY150" s="449">
        <f t="shared" si="201"/>
        <v>0</v>
      </c>
      <c r="AZ150" s="449">
        <f t="shared" si="201"/>
        <v>0</v>
      </c>
      <c r="BA150" s="449">
        <f t="shared" si="201"/>
        <v>0</v>
      </c>
      <c r="BB150" s="449">
        <f t="shared" si="201"/>
        <v>0</v>
      </c>
      <c r="BC150" s="449">
        <f t="shared" si="201"/>
        <v>0</v>
      </c>
      <c r="BD150" s="449">
        <f t="shared" si="201"/>
        <v>0</v>
      </c>
      <c r="BE150" s="449">
        <f t="shared" si="201"/>
        <v>0</v>
      </c>
      <c r="BF150" s="449">
        <f t="shared" si="201"/>
        <v>0</v>
      </c>
      <c r="BG150" s="449">
        <f t="shared" si="201"/>
        <v>0</v>
      </c>
      <c r="BH150" s="400"/>
      <c r="BI150" s="449">
        <v>0</v>
      </c>
      <c r="BJ150" s="449">
        <v>0</v>
      </c>
      <c r="BK150" s="449">
        <v>0</v>
      </c>
      <c r="BL150" s="449">
        <v>0</v>
      </c>
      <c r="BM150" s="449">
        <v>0</v>
      </c>
      <c r="BN150" s="449">
        <v>0</v>
      </c>
      <c r="BO150" s="449">
        <v>0</v>
      </c>
      <c r="BP150" s="449">
        <v>0</v>
      </c>
      <c r="BQ150" s="449">
        <v>0</v>
      </c>
      <c r="BR150" s="449">
        <v>0</v>
      </c>
      <c r="BS150" s="449">
        <v>0</v>
      </c>
      <c r="BT150" s="449">
        <v>0</v>
      </c>
    </row>
    <row r="151" spans="1:72" ht="15" x14ac:dyDescent="0.25">
      <c r="A151" s="502" t="s">
        <v>230</v>
      </c>
      <c r="B151" s="502" t="s">
        <v>231</v>
      </c>
      <c r="C151" s="630"/>
      <c r="D151" s="500">
        <f t="shared" si="187"/>
        <v>0</v>
      </c>
      <c r="E151" s="449">
        <v>60000</v>
      </c>
      <c r="F151" s="449">
        <f t="shared" si="188"/>
        <v>-60000</v>
      </c>
      <c r="G151" s="421">
        <f t="shared" si="189"/>
        <v>-1</v>
      </c>
      <c r="H151" s="449">
        <v>0</v>
      </c>
      <c r="I151" s="449">
        <f t="shared" si="190"/>
        <v>0</v>
      </c>
      <c r="J151" s="426">
        <f t="shared" si="191"/>
        <v>0</v>
      </c>
      <c r="K151" s="421"/>
      <c r="L151" s="449">
        <v>0</v>
      </c>
      <c r="M151" s="449">
        <v>0</v>
      </c>
      <c r="N151" s="449">
        <v>0</v>
      </c>
      <c r="O151" s="449">
        <v>0</v>
      </c>
      <c r="P151" s="449">
        <v>0</v>
      </c>
      <c r="Q151" s="449">
        <v>0</v>
      </c>
      <c r="R151" s="449">
        <f>($H151-SUM($L151:Q151))/R$694</f>
        <v>0</v>
      </c>
      <c r="S151" s="449">
        <f>($H151-SUM($L151:R151))/S$694</f>
        <v>0</v>
      </c>
      <c r="T151" s="449">
        <f>($H151-SUM($L151:S151))/T$694</f>
        <v>0</v>
      </c>
      <c r="U151" s="449">
        <f>($H151-SUM($L151:T151))/U$694</f>
        <v>0</v>
      </c>
      <c r="V151" s="449">
        <f>($H151-SUM($L151:U151))/V$694</f>
        <v>0</v>
      </c>
      <c r="W151" s="449">
        <f>($H151-SUM($L151:V151))/W$694</f>
        <v>0</v>
      </c>
      <c r="X151" s="449"/>
      <c r="Y151" s="449">
        <f t="shared" si="192"/>
        <v>0</v>
      </c>
      <c r="Z151" s="531"/>
      <c r="AA151" s="449">
        <f t="shared" si="193"/>
        <v>0</v>
      </c>
      <c r="AB151" s="449">
        <f t="shared" si="193"/>
        <v>0</v>
      </c>
      <c r="AC151" s="449">
        <f t="shared" si="193"/>
        <v>0</v>
      </c>
      <c r="AD151" s="449">
        <f t="shared" si="193"/>
        <v>0</v>
      </c>
      <c r="AE151" s="449">
        <f t="shared" si="193"/>
        <v>0</v>
      </c>
      <c r="AF151" s="449">
        <f t="shared" si="193"/>
        <v>0</v>
      </c>
      <c r="AG151" s="449">
        <f t="shared" si="193"/>
        <v>0</v>
      </c>
      <c r="AH151" s="449">
        <f t="shared" si="193"/>
        <v>0</v>
      </c>
      <c r="AI151" s="449">
        <f t="shared" si="193"/>
        <v>0</v>
      </c>
      <c r="AJ151" s="449">
        <f t="shared" si="193"/>
        <v>0</v>
      </c>
      <c r="AK151" s="449">
        <f t="shared" si="193"/>
        <v>0</v>
      </c>
      <c r="AL151" s="449">
        <f t="shared" si="193"/>
        <v>0</v>
      </c>
      <c r="AN151" s="500">
        <f t="shared" si="194"/>
        <v>0</v>
      </c>
      <c r="AO151" s="449">
        <f t="shared" si="195"/>
        <v>86000</v>
      </c>
      <c r="AP151" s="449">
        <f t="shared" si="196"/>
        <v>86000</v>
      </c>
      <c r="AQ151" s="453" t="str">
        <f t="shared" si="197"/>
        <v>-</v>
      </c>
      <c r="AR151" s="449">
        <f t="shared" si="198"/>
        <v>86000</v>
      </c>
      <c r="AS151" s="449">
        <f t="shared" si="199"/>
        <v>0</v>
      </c>
      <c r="AT151" s="426">
        <f t="shared" si="200"/>
        <v>0</v>
      </c>
      <c r="AU151" s="421"/>
      <c r="AV151" s="449">
        <f t="shared" si="201"/>
        <v>0</v>
      </c>
      <c r="AW151" s="449">
        <f t="shared" si="201"/>
        <v>0</v>
      </c>
      <c r="AX151" s="449">
        <f t="shared" si="201"/>
        <v>0</v>
      </c>
      <c r="AY151" s="449">
        <f t="shared" si="201"/>
        <v>43000</v>
      </c>
      <c r="AZ151" s="449">
        <f t="shared" si="201"/>
        <v>0</v>
      </c>
      <c r="BA151" s="449">
        <f t="shared" si="201"/>
        <v>0</v>
      </c>
      <c r="BB151" s="449">
        <f t="shared" si="201"/>
        <v>0</v>
      </c>
      <c r="BC151" s="449">
        <f t="shared" si="201"/>
        <v>0</v>
      </c>
      <c r="BD151" s="449">
        <f t="shared" si="201"/>
        <v>0</v>
      </c>
      <c r="BE151" s="449">
        <f t="shared" si="201"/>
        <v>43000</v>
      </c>
      <c r="BF151" s="449">
        <f t="shared" si="201"/>
        <v>0</v>
      </c>
      <c r="BG151" s="449">
        <f t="shared" si="201"/>
        <v>0</v>
      </c>
      <c r="BH151" s="400"/>
      <c r="BI151" s="449">
        <v>0</v>
      </c>
      <c r="BJ151" s="449">
        <v>0</v>
      </c>
      <c r="BK151" s="449">
        <v>0</v>
      </c>
      <c r="BL151" s="449">
        <f>SUM('FY19 Staffing V1-1 (3)'!$P$63,'FY19 Staffing V1-1 (3)'!$P$80)/2</f>
        <v>43000</v>
      </c>
      <c r="BM151" s="449">
        <v>0</v>
      </c>
      <c r="BN151" s="449">
        <v>0</v>
      </c>
      <c r="BO151" s="449">
        <v>0</v>
      </c>
      <c r="BP151" s="449">
        <v>0</v>
      </c>
      <c r="BQ151" s="449">
        <v>0</v>
      </c>
      <c r="BR151" s="449">
        <f>SUM('FY19 Staffing V1-1 (3)'!$P$63,'FY19 Staffing V1-1 (3)'!$P$80)/2</f>
        <v>43000</v>
      </c>
      <c r="BS151" s="449">
        <v>0</v>
      </c>
      <c r="BT151" s="449">
        <v>0</v>
      </c>
    </row>
    <row r="152" spans="1:72" ht="15" x14ac:dyDescent="0.25">
      <c r="A152" s="615" t="s">
        <v>232</v>
      </c>
      <c r="B152" s="502" t="s">
        <v>233</v>
      </c>
      <c r="C152" s="630"/>
      <c r="D152" s="500">
        <f t="shared" si="187"/>
        <v>6000</v>
      </c>
      <c r="E152" s="449">
        <v>6000</v>
      </c>
      <c r="F152" s="449">
        <f t="shared" si="188"/>
        <v>0</v>
      </c>
      <c r="G152" s="421">
        <f t="shared" si="189"/>
        <v>0</v>
      </c>
      <c r="H152" s="449">
        <v>6000</v>
      </c>
      <c r="I152" s="449">
        <f t="shared" si="190"/>
        <v>0</v>
      </c>
      <c r="J152" s="426">
        <f t="shared" si="191"/>
        <v>0</v>
      </c>
      <c r="K152" s="421"/>
      <c r="L152" s="449">
        <v>0</v>
      </c>
      <c r="M152" s="449">
        <v>0</v>
      </c>
      <c r="N152" s="449">
        <v>0</v>
      </c>
      <c r="O152" s="449">
        <v>6000</v>
      </c>
      <c r="P152" s="449">
        <v>0</v>
      </c>
      <c r="Q152" s="449">
        <v>0</v>
      </c>
      <c r="R152" s="449">
        <f>($H152-SUM($L152:Q152))/R$694</f>
        <v>0</v>
      </c>
      <c r="S152" s="449">
        <f>($H152-SUM($L152:R152))/S$694</f>
        <v>0</v>
      </c>
      <c r="T152" s="449">
        <f>($H152-SUM($L152:S152))/T$694</f>
        <v>0</v>
      </c>
      <c r="U152" s="449">
        <f>($H152-SUM($L152:T152))/U$694</f>
        <v>0</v>
      </c>
      <c r="V152" s="449">
        <f>($H152-SUM($L152:U152))/V$694</f>
        <v>0</v>
      </c>
      <c r="W152" s="449">
        <f>($H152-SUM($L152:V152))/W$694</f>
        <v>0</v>
      </c>
      <c r="X152" s="449"/>
      <c r="Y152" s="449">
        <f t="shared" si="192"/>
        <v>6000</v>
      </c>
      <c r="Z152" s="531"/>
      <c r="AA152" s="449">
        <f t="shared" si="193"/>
        <v>500</v>
      </c>
      <c r="AB152" s="449">
        <f t="shared" si="193"/>
        <v>500</v>
      </c>
      <c r="AC152" s="449">
        <f t="shared" si="193"/>
        <v>500</v>
      </c>
      <c r="AD152" s="449">
        <f t="shared" si="193"/>
        <v>500</v>
      </c>
      <c r="AE152" s="449">
        <f t="shared" si="193"/>
        <v>500</v>
      </c>
      <c r="AF152" s="449">
        <f t="shared" si="193"/>
        <v>500</v>
      </c>
      <c r="AG152" s="449">
        <f t="shared" si="193"/>
        <v>500</v>
      </c>
      <c r="AH152" s="449">
        <f t="shared" si="193"/>
        <v>500</v>
      </c>
      <c r="AI152" s="449">
        <f t="shared" si="193"/>
        <v>500</v>
      </c>
      <c r="AJ152" s="449">
        <f t="shared" si="193"/>
        <v>500</v>
      </c>
      <c r="AK152" s="449">
        <f t="shared" si="193"/>
        <v>500</v>
      </c>
      <c r="AL152" s="449">
        <f t="shared" si="193"/>
        <v>500</v>
      </c>
      <c r="AN152" s="500">
        <f t="shared" si="194"/>
        <v>6000</v>
      </c>
      <c r="AO152" s="449">
        <f t="shared" si="195"/>
        <v>9000</v>
      </c>
      <c r="AP152" s="449">
        <f t="shared" si="196"/>
        <v>3000</v>
      </c>
      <c r="AQ152" s="453">
        <f t="shared" si="197"/>
        <v>0.5</v>
      </c>
      <c r="AR152" s="449">
        <f t="shared" si="198"/>
        <v>9000</v>
      </c>
      <c r="AS152" s="449">
        <f t="shared" si="199"/>
        <v>0</v>
      </c>
      <c r="AT152" s="426">
        <f t="shared" si="200"/>
        <v>0</v>
      </c>
      <c r="AU152" s="421"/>
      <c r="AV152" s="449">
        <f t="shared" si="201"/>
        <v>0</v>
      </c>
      <c r="AW152" s="449">
        <f t="shared" si="201"/>
        <v>0</v>
      </c>
      <c r="AX152" s="449">
        <f t="shared" si="201"/>
        <v>0</v>
      </c>
      <c r="AY152" s="449">
        <f t="shared" si="201"/>
        <v>9000</v>
      </c>
      <c r="AZ152" s="449">
        <f t="shared" si="201"/>
        <v>0</v>
      </c>
      <c r="BA152" s="449">
        <f t="shared" si="201"/>
        <v>0</v>
      </c>
      <c r="BB152" s="449">
        <f t="shared" si="201"/>
        <v>0</v>
      </c>
      <c r="BC152" s="449">
        <f t="shared" si="201"/>
        <v>0</v>
      </c>
      <c r="BD152" s="449">
        <f t="shared" si="201"/>
        <v>0</v>
      </c>
      <c r="BE152" s="449">
        <f t="shared" si="201"/>
        <v>0</v>
      </c>
      <c r="BF152" s="449">
        <f t="shared" si="201"/>
        <v>0</v>
      </c>
      <c r="BG152" s="449">
        <f t="shared" si="201"/>
        <v>0</v>
      </c>
      <c r="BH152" s="400"/>
      <c r="BI152" s="449">
        <v>0</v>
      </c>
      <c r="BJ152" s="449">
        <v>0</v>
      </c>
      <c r="BK152" s="449">
        <v>0</v>
      </c>
      <c r="BL152" s="449">
        <f>SUM('FY19 Staffing V1-1 (3)'!$J$89,'FY19 Staffing V1-1 (3)'!$J$95,'FY19 Staffing V1-1 (3)'!$J$255)</f>
        <v>9000</v>
      </c>
      <c r="BM152" s="449">
        <v>0</v>
      </c>
      <c r="BN152" s="449">
        <v>0</v>
      </c>
      <c r="BO152" s="449">
        <v>0</v>
      </c>
      <c r="BP152" s="449">
        <v>0</v>
      </c>
      <c r="BQ152" s="449">
        <v>0</v>
      </c>
      <c r="BR152" s="449">
        <v>0</v>
      </c>
      <c r="BS152" s="449">
        <v>0</v>
      </c>
      <c r="BT152" s="449">
        <v>0</v>
      </c>
    </row>
    <row r="153" spans="1:72" ht="15" x14ac:dyDescent="0.25">
      <c r="A153" s="537" t="s">
        <v>234</v>
      </c>
      <c r="B153" s="537" t="s">
        <v>235</v>
      </c>
      <c r="C153" s="541"/>
      <c r="D153" s="500">
        <f>SUM(L153:W153)</f>
        <v>0</v>
      </c>
      <c r="E153" s="449">
        <v>0</v>
      </c>
      <c r="F153" s="449">
        <f t="shared" si="188"/>
        <v>0</v>
      </c>
      <c r="G153" s="421">
        <f t="shared" si="189"/>
        <v>0</v>
      </c>
      <c r="H153" s="449">
        <v>0</v>
      </c>
      <c r="I153" s="449">
        <f t="shared" si="190"/>
        <v>0</v>
      </c>
      <c r="J153" s="426">
        <f t="shared" si="191"/>
        <v>0</v>
      </c>
      <c r="K153" s="421"/>
      <c r="L153" s="449">
        <v>0</v>
      </c>
      <c r="M153" s="449">
        <v>0</v>
      </c>
      <c r="N153" s="449">
        <v>0</v>
      </c>
      <c r="O153" s="449">
        <v>0</v>
      </c>
      <c r="P153" s="449">
        <v>0</v>
      </c>
      <c r="Q153" s="449">
        <v>0</v>
      </c>
      <c r="R153" s="449">
        <f>($H153-SUM($L153:Q153))/R$694</f>
        <v>0</v>
      </c>
      <c r="S153" s="449">
        <f>($H153-SUM($L153:R153))/S$694</f>
        <v>0</v>
      </c>
      <c r="T153" s="449">
        <f>($H153-SUM($L153:S153))/T$694</f>
        <v>0</v>
      </c>
      <c r="U153" s="449">
        <f>($H153-SUM($L153:T153))/U$694</f>
        <v>0</v>
      </c>
      <c r="V153" s="449">
        <f>($H153-SUM($L153:U153))/V$694</f>
        <v>0</v>
      </c>
      <c r="W153" s="449">
        <f>($H153-SUM($L153:V153))/W$694</f>
        <v>0</v>
      </c>
      <c r="X153" s="449"/>
      <c r="Y153" s="449">
        <f t="shared" si="192"/>
        <v>0</v>
      </c>
      <c r="Z153" s="531"/>
      <c r="AA153" s="449">
        <f t="shared" si="193"/>
        <v>0</v>
      </c>
      <c r="AB153" s="449">
        <f t="shared" si="193"/>
        <v>0</v>
      </c>
      <c r="AC153" s="449">
        <f t="shared" si="193"/>
        <v>0</v>
      </c>
      <c r="AD153" s="449">
        <f t="shared" si="193"/>
        <v>0</v>
      </c>
      <c r="AE153" s="449">
        <f t="shared" si="193"/>
        <v>0</v>
      </c>
      <c r="AF153" s="449">
        <f t="shared" si="193"/>
        <v>0</v>
      </c>
      <c r="AG153" s="449">
        <f t="shared" si="193"/>
        <v>0</v>
      </c>
      <c r="AH153" s="449">
        <f t="shared" si="193"/>
        <v>0</v>
      </c>
      <c r="AI153" s="449">
        <f t="shared" si="193"/>
        <v>0</v>
      </c>
      <c r="AJ153" s="449">
        <f t="shared" si="193"/>
        <v>0</v>
      </c>
      <c r="AK153" s="449">
        <f t="shared" si="193"/>
        <v>0</v>
      </c>
      <c r="AL153" s="449">
        <f t="shared" si="193"/>
        <v>0</v>
      </c>
      <c r="AN153" s="500">
        <f>SUM(L153:W153)</f>
        <v>0</v>
      </c>
      <c r="AO153" s="449">
        <f>SUM(BI153:BT153)</f>
        <v>15000</v>
      </c>
      <c r="AP153" s="449">
        <f t="shared" si="196"/>
        <v>15000</v>
      </c>
      <c r="AQ153" s="453" t="str">
        <f t="shared" si="197"/>
        <v>-</v>
      </c>
      <c r="AR153" s="449">
        <f t="shared" si="198"/>
        <v>15000</v>
      </c>
      <c r="AS153" s="449">
        <f t="shared" si="199"/>
        <v>0</v>
      </c>
      <c r="AT153" s="426">
        <f t="shared" si="200"/>
        <v>0</v>
      </c>
      <c r="AU153" s="421"/>
      <c r="AV153" s="449">
        <f t="shared" si="201"/>
        <v>0</v>
      </c>
      <c r="AW153" s="449">
        <f t="shared" si="201"/>
        <v>0</v>
      </c>
      <c r="AX153" s="449">
        <f t="shared" si="201"/>
        <v>0</v>
      </c>
      <c r="AY153" s="449">
        <f t="shared" si="201"/>
        <v>15000</v>
      </c>
      <c r="AZ153" s="449">
        <f t="shared" si="201"/>
        <v>0</v>
      </c>
      <c r="BA153" s="449">
        <f t="shared" si="201"/>
        <v>0</v>
      </c>
      <c r="BB153" s="449">
        <f t="shared" si="201"/>
        <v>0</v>
      </c>
      <c r="BC153" s="449">
        <f t="shared" si="201"/>
        <v>0</v>
      </c>
      <c r="BD153" s="449">
        <f t="shared" si="201"/>
        <v>0</v>
      </c>
      <c r="BE153" s="449">
        <f t="shared" si="201"/>
        <v>0</v>
      </c>
      <c r="BF153" s="449">
        <f t="shared" si="201"/>
        <v>0</v>
      </c>
      <c r="BG153" s="449">
        <f t="shared" si="201"/>
        <v>0</v>
      </c>
      <c r="BH153" s="400"/>
      <c r="BI153" s="449">
        <v>0</v>
      </c>
      <c r="BJ153" s="449">
        <v>0</v>
      </c>
      <c r="BK153" s="449">
        <v>0</v>
      </c>
      <c r="BL153" s="449">
        <f>SUM('FY19 Staffing V1-1 (3)'!$J$90:$J$94,'FY19 Staffing V1-1 (3)'!$J$96:$J$97,'FY19 Staffing V1-1 (3)'!$J$256)</f>
        <v>15000</v>
      </c>
      <c r="BM153" s="449">
        <v>0</v>
      </c>
      <c r="BN153" s="449">
        <v>0</v>
      </c>
      <c r="BO153" s="449">
        <v>0</v>
      </c>
      <c r="BP153" s="449">
        <v>0</v>
      </c>
      <c r="BQ153" s="449">
        <v>0</v>
      </c>
      <c r="BR153" s="449">
        <v>0</v>
      </c>
      <c r="BS153" s="449">
        <v>0</v>
      </c>
      <c r="BT153" s="449">
        <v>0</v>
      </c>
    </row>
    <row r="154" spans="1:72" ht="15" hidden="1" x14ac:dyDescent="0.25">
      <c r="A154" s="502" t="s">
        <v>236</v>
      </c>
      <c r="B154" s="502" t="s">
        <v>237</v>
      </c>
      <c r="C154" s="541"/>
      <c r="D154" s="500">
        <f t="shared" si="187"/>
        <v>0</v>
      </c>
      <c r="E154" s="449">
        <v>0</v>
      </c>
      <c r="F154" s="449">
        <f t="shared" si="188"/>
        <v>0</v>
      </c>
      <c r="G154" s="421">
        <f t="shared" si="189"/>
        <v>0</v>
      </c>
      <c r="H154" s="449">
        <v>0</v>
      </c>
      <c r="I154" s="449">
        <f t="shared" si="190"/>
        <v>0</v>
      </c>
      <c r="J154" s="426">
        <f t="shared" si="191"/>
        <v>0</v>
      </c>
      <c r="K154" s="421"/>
      <c r="L154" s="449">
        <v>0</v>
      </c>
      <c r="M154" s="449">
        <v>0</v>
      </c>
      <c r="N154" s="449">
        <v>0</v>
      </c>
      <c r="O154" s="449">
        <v>0</v>
      </c>
      <c r="P154" s="449">
        <v>0</v>
      </c>
      <c r="Q154" s="449">
        <v>0</v>
      </c>
      <c r="R154" s="449">
        <f>($H154-SUM($L154:Q154))/R$694</f>
        <v>0</v>
      </c>
      <c r="S154" s="449">
        <f>($H154-SUM($L154:R154))/S$694</f>
        <v>0</v>
      </c>
      <c r="T154" s="449">
        <f>($H154-SUM($L154:S154))/T$694</f>
        <v>0</v>
      </c>
      <c r="U154" s="449">
        <f>($H154-SUM($L154:T154))/U$694</f>
        <v>0</v>
      </c>
      <c r="V154" s="449">
        <f>($H154-SUM($L154:U154))/V$694</f>
        <v>0</v>
      </c>
      <c r="W154" s="449">
        <f>($H154-SUM($L154:V154))/W$694</f>
        <v>0</v>
      </c>
      <c r="X154" s="449"/>
      <c r="Y154" s="449">
        <f t="shared" si="192"/>
        <v>0</v>
      </c>
      <c r="Z154" s="531"/>
      <c r="AA154" s="449">
        <f t="shared" si="193"/>
        <v>0</v>
      </c>
      <c r="AB154" s="449">
        <f t="shared" si="193"/>
        <v>0</v>
      </c>
      <c r="AC154" s="449">
        <f t="shared" si="193"/>
        <v>0</v>
      </c>
      <c r="AD154" s="449">
        <f t="shared" si="193"/>
        <v>0</v>
      </c>
      <c r="AE154" s="449">
        <f t="shared" si="193"/>
        <v>0</v>
      </c>
      <c r="AF154" s="449">
        <f t="shared" si="193"/>
        <v>0</v>
      </c>
      <c r="AG154" s="449">
        <f t="shared" si="193"/>
        <v>0</v>
      </c>
      <c r="AH154" s="449">
        <f t="shared" si="193"/>
        <v>0</v>
      </c>
      <c r="AI154" s="449">
        <f t="shared" si="193"/>
        <v>0</v>
      </c>
      <c r="AJ154" s="449">
        <f t="shared" si="193"/>
        <v>0</v>
      </c>
      <c r="AK154" s="449">
        <f t="shared" si="193"/>
        <v>0</v>
      </c>
      <c r="AL154" s="449">
        <f t="shared" si="193"/>
        <v>0</v>
      </c>
      <c r="AN154" s="500">
        <f t="shared" si="194"/>
        <v>0</v>
      </c>
      <c r="AO154" s="449">
        <f t="shared" si="195"/>
        <v>0</v>
      </c>
      <c r="AP154" s="449">
        <f t="shared" si="196"/>
        <v>0</v>
      </c>
      <c r="AQ154" s="453" t="str">
        <f t="shared" si="197"/>
        <v>-</v>
      </c>
      <c r="AR154" s="449">
        <f t="shared" si="198"/>
        <v>0</v>
      </c>
      <c r="AS154" s="449">
        <f t="shared" si="199"/>
        <v>0</v>
      </c>
      <c r="AT154" s="426">
        <f t="shared" si="200"/>
        <v>0</v>
      </c>
      <c r="AU154" s="421"/>
      <c r="AV154" s="449">
        <f t="shared" si="201"/>
        <v>0</v>
      </c>
      <c r="AW154" s="449">
        <f t="shared" si="201"/>
        <v>0</v>
      </c>
      <c r="AX154" s="449">
        <f t="shared" si="201"/>
        <v>0</v>
      </c>
      <c r="AY154" s="449">
        <f t="shared" si="201"/>
        <v>0</v>
      </c>
      <c r="AZ154" s="449">
        <f t="shared" si="201"/>
        <v>0</v>
      </c>
      <c r="BA154" s="449">
        <f t="shared" si="201"/>
        <v>0</v>
      </c>
      <c r="BB154" s="449">
        <f t="shared" si="201"/>
        <v>0</v>
      </c>
      <c r="BC154" s="449">
        <f t="shared" si="201"/>
        <v>0</v>
      </c>
      <c r="BD154" s="449">
        <f t="shared" si="201"/>
        <v>0</v>
      </c>
      <c r="BE154" s="449">
        <f t="shared" si="201"/>
        <v>0</v>
      </c>
      <c r="BF154" s="449">
        <f t="shared" si="201"/>
        <v>0</v>
      </c>
      <c r="BG154" s="449">
        <f t="shared" si="201"/>
        <v>0</v>
      </c>
      <c r="BH154" s="400"/>
      <c r="BI154" s="449">
        <v>0</v>
      </c>
      <c r="BJ154" s="449">
        <v>0</v>
      </c>
      <c r="BK154" s="449">
        <v>0</v>
      </c>
      <c r="BL154" s="449">
        <v>0</v>
      </c>
      <c r="BM154" s="449">
        <v>0</v>
      </c>
      <c r="BN154" s="449">
        <v>0</v>
      </c>
      <c r="BO154" s="449">
        <v>0</v>
      </c>
      <c r="BP154" s="449">
        <v>0</v>
      </c>
      <c r="BQ154" s="449">
        <v>0</v>
      </c>
      <c r="BR154" s="449">
        <v>0</v>
      </c>
      <c r="BS154" s="449">
        <v>0</v>
      </c>
      <c r="BT154" s="449">
        <v>0</v>
      </c>
    </row>
    <row r="155" spans="1:72" ht="15" x14ac:dyDescent="0.25">
      <c r="A155" s="502" t="s">
        <v>238</v>
      </c>
      <c r="B155" s="502" t="s">
        <v>239</v>
      </c>
      <c r="C155" s="541"/>
      <c r="D155" s="500">
        <f t="shared" si="187"/>
        <v>16059</v>
      </c>
      <c r="E155" s="449">
        <v>4059</v>
      </c>
      <c r="F155" s="449">
        <f t="shared" si="188"/>
        <v>12000</v>
      </c>
      <c r="G155" s="421">
        <f t="shared" si="189"/>
        <v>2.9563932002956395</v>
      </c>
      <c r="H155" s="449">
        <f>4059+12000</f>
        <v>16059</v>
      </c>
      <c r="I155" s="449">
        <f t="shared" si="190"/>
        <v>0</v>
      </c>
      <c r="J155" s="426">
        <f t="shared" si="191"/>
        <v>0</v>
      </c>
      <c r="K155" s="421"/>
      <c r="L155" s="449">
        <v>11.69</v>
      </c>
      <c r="M155" s="449">
        <v>1100.8799999999999</v>
      </c>
      <c r="N155" s="449">
        <v>728.2</v>
      </c>
      <c r="O155" s="449">
        <v>1445.4</v>
      </c>
      <c r="P155" s="449">
        <v>577.31999999999971</v>
      </c>
      <c r="Q155" s="449">
        <v>542.90999999999985</v>
      </c>
      <c r="R155" s="449">
        <f>($H155-SUM($L155:Q155))/R$694</f>
        <v>1942.1000000000001</v>
      </c>
      <c r="S155" s="449">
        <f>($H155-SUM($L155:R155))/S$694</f>
        <v>1942.1</v>
      </c>
      <c r="T155" s="449">
        <f>($H155-SUM($L155:S155))/T$694</f>
        <v>1942.1</v>
      </c>
      <c r="U155" s="449">
        <f>($H155-SUM($L155:T155))/U$694</f>
        <v>1942.0999999999997</v>
      </c>
      <c r="V155" s="449">
        <f>($H155-SUM($L155:U155))/V$694</f>
        <v>1942.0999999999995</v>
      </c>
      <c r="W155" s="449">
        <f>($H155-SUM($L155:V155))/W$694</f>
        <v>1942.0999999999985</v>
      </c>
      <c r="X155" s="449"/>
      <c r="Y155" s="449">
        <f t="shared" si="192"/>
        <v>16059</v>
      </c>
      <c r="Z155" s="531"/>
      <c r="AA155" s="449">
        <f t="shared" si="193"/>
        <v>1338.25</v>
      </c>
      <c r="AB155" s="449">
        <f t="shared" si="193"/>
        <v>1338.25</v>
      </c>
      <c r="AC155" s="449">
        <f t="shared" si="193"/>
        <v>1338.25</v>
      </c>
      <c r="AD155" s="449">
        <f t="shared" si="193"/>
        <v>1338.25</v>
      </c>
      <c r="AE155" s="449">
        <f t="shared" si="193"/>
        <v>1338.25</v>
      </c>
      <c r="AF155" s="449">
        <f t="shared" si="193"/>
        <v>1338.25</v>
      </c>
      <c r="AG155" s="449">
        <f t="shared" si="193"/>
        <v>1338.25</v>
      </c>
      <c r="AH155" s="449">
        <f t="shared" si="193"/>
        <v>1338.25</v>
      </c>
      <c r="AI155" s="449">
        <f t="shared" si="193"/>
        <v>1338.25</v>
      </c>
      <c r="AJ155" s="449">
        <f t="shared" si="193"/>
        <v>1338.25</v>
      </c>
      <c r="AK155" s="449">
        <f t="shared" si="193"/>
        <v>1338.25</v>
      </c>
      <c r="AL155" s="449">
        <f t="shared" si="193"/>
        <v>1338.25</v>
      </c>
      <c r="AN155" s="500">
        <f t="shared" si="194"/>
        <v>16059</v>
      </c>
      <c r="AO155" s="449">
        <f t="shared" si="195"/>
        <v>13850.109999999997</v>
      </c>
      <c r="AP155" s="449">
        <f t="shared" si="196"/>
        <v>-2208.8900000000031</v>
      </c>
      <c r="AQ155" s="453">
        <f t="shared" si="197"/>
        <v>-0.13754841521888056</v>
      </c>
      <c r="AR155" s="449">
        <f t="shared" si="198"/>
        <v>13850.109999999997</v>
      </c>
      <c r="AS155" s="449">
        <f t="shared" si="199"/>
        <v>0</v>
      </c>
      <c r="AT155" s="426">
        <f t="shared" si="200"/>
        <v>0</v>
      </c>
      <c r="AU155" s="421"/>
      <c r="AV155" s="449">
        <f t="shared" si="201"/>
        <v>0</v>
      </c>
      <c r="AW155" s="449">
        <f t="shared" si="201"/>
        <v>1154.1758333333332</v>
      </c>
      <c r="AX155" s="449">
        <f t="shared" si="201"/>
        <v>1154.1758333333332</v>
      </c>
      <c r="AY155" s="449">
        <f t="shared" si="201"/>
        <v>1154.1758333333332</v>
      </c>
      <c r="AZ155" s="449">
        <f t="shared" si="201"/>
        <v>1154.1758333333332</v>
      </c>
      <c r="BA155" s="449">
        <f t="shared" si="201"/>
        <v>1154.1758333333332</v>
      </c>
      <c r="BB155" s="449">
        <f t="shared" si="201"/>
        <v>1154.1758333333332</v>
      </c>
      <c r="BC155" s="449">
        <f t="shared" si="201"/>
        <v>1154.1758333333332</v>
      </c>
      <c r="BD155" s="449">
        <f t="shared" si="201"/>
        <v>1154.1758333333332</v>
      </c>
      <c r="BE155" s="449">
        <f t="shared" si="201"/>
        <v>1154.1758333333332</v>
      </c>
      <c r="BF155" s="449">
        <f t="shared" si="201"/>
        <v>1154.1758333333332</v>
      </c>
      <c r="BG155" s="449">
        <f t="shared" si="201"/>
        <v>2308.3516666666665</v>
      </c>
      <c r="BH155" s="400"/>
      <c r="BI155" s="449">
        <v>0</v>
      </c>
      <c r="BJ155" s="449">
        <f>SUM('FY19 Staffing V1-1 (3)'!$Q$89:$R$89,'FY19 Staffing V1-1 (3)'!$Q$95:$R$95,'FY19 Staffing V1-1 (3)'!$T$89:$U$89,'FY19 Staffing V1-1 (3)'!$T$95:$U$95,'FY19 Staffing V1-1 (3)'!$Q$255:$R$255,'FY19 Staffing V1-1 (3)'!$T$255:$U$255)/12</f>
        <v>1154.1758333333332</v>
      </c>
      <c r="BK155" s="449">
        <f>SUM('FY19 Staffing V1-1 (3)'!$Q$89:$R$89,'FY19 Staffing V1-1 (3)'!$Q$95:$R$95,'FY19 Staffing V1-1 (3)'!$T$89:$U$89,'FY19 Staffing V1-1 (3)'!$T$95:$U$95,'FY19 Staffing V1-1 (3)'!$Q$255:$R$255,'FY19 Staffing V1-1 (3)'!$T$255:$U$255)/12</f>
        <v>1154.1758333333332</v>
      </c>
      <c r="BL155" s="449">
        <f>SUM('FY19 Staffing V1-1 (3)'!$Q$89:$R$89,'FY19 Staffing V1-1 (3)'!$Q$95:$R$95,'FY19 Staffing V1-1 (3)'!$T$89:$U$89,'FY19 Staffing V1-1 (3)'!$T$95:$U$95,'FY19 Staffing V1-1 (3)'!$Q$255:$R$255,'FY19 Staffing V1-1 (3)'!$T$255:$U$255)/12</f>
        <v>1154.1758333333332</v>
      </c>
      <c r="BM155" s="449">
        <f>SUM('FY19 Staffing V1-1 (3)'!$Q$89:$R$89,'FY19 Staffing V1-1 (3)'!$Q$95:$R$95,'FY19 Staffing V1-1 (3)'!$T$89:$U$89,'FY19 Staffing V1-1 (3)'!$T$95:$U$95,'FY19 Staffing V1-1 (3)'!$Q$255:$R$255,'FY19 Staffing V1-1 (3)'!$T$255:$U$255)/12</f>
        <v>1154.1758333333332</v>
      </c>
      <c r="BN155" s="449">
        <f>SUM('FY19 Staffing V1-1 (3)'!$Q$89:$R$89,'FY19 Staffing V1-1 (3)'!$Q$95:$R$95,'FY19 Staffing V1-1 (3)'!$T$89:$U$89,'FY19 Staffing V1-1 (3)'!$T$95:$U$95,'FY19 Staffing V1-1 (3)'!$Q$255:$R$255,'FY19 Staffing V1-1 (3)'!$T$255:$U$255)/12</f>
        <v>1154.1758333333332</v>
      </c>
      <c r="BO155" s="449">
        <f>SUM('FY19 Staffing V1-1 (3)'!$Q$89:$R$89,'FY19 Staffing V1-1 (3)'!$Q$95:$R$95,'FY19 Staffing V1-1 (3)'!$T$89:$U$89,'FY19 Staffing V1-1 (3)'!$T$95:$U$95,'FY19 Staffing V1-1 (3)'!$Q$255:$R$255,'FY19 Staffing V1-1 (3)'!$T$255:$U$255)/12</f>
        <v>1154.1758333333332</v>
      </c>
      <c r="BP155" s="449">
        <f>SUM('FY19 Staffing V1-1 (3)'!$Q$89:$R$89,'FY19 Staffing V1-1 (3)'!$Q$95:$R$95,'FY19 Staffing V1-1 (3)'!$T$89:$U$89,'FY19 Staffing V1-1 (3)'!$T$95:$U$95,'FY19 Staffing V1-1 (3)'!$Q$255:$R$255,'FY19 Staffing V1-1 (3)'!$T$255:$U$255)/12</f>
        <v>1154.1758333333332</v>
      </c>
      <c r="BQ155" s="449">
        <f>SUM('FY19 Staffing V1-1 (3)'!$Q$89:$R$89,'FY19 Staffing V1-1 (3)'!$Q$95:$R$95,'FY19 Staffing V1-1 (3)'!$T$89:$U$89,'FY19 Staffing V1-1 (3)'!$T$95:$U$95,'FY19 Staffing V1-1 (3)'!$Q$255:$R$255,'FY19 Staffing V1-1 (3)'!$T$255:$U$255)/12</f>
        <v>1154.1758333333332</v>
      </c>
      <c r="BR155" s="449">
        <f>SUM('FY19 Staffing V1-1 (3)'!$Q$89:$R$89,'FY19 Staffing V1-1 (3)'!$Q$95:$R$95,'FY19 Staffing V1-1 (3)'!$T$89:$U$89,'FY19 Staffing V1-1 (3)'!$T$95:$U$95,'FY19 Staffing V1-1 (3)'!$Q$255:$R$255,'FY19 Staffing V1-1 (3)'!$T$255:$U$255)/12</f>
        <v>1154.1758333333332</v>
      </c>
      <c r="BS155" s="449">
        <f>SUM('FY19 Staffing V1-1 (3)'!$Q$89:$R$89,'FY19 Staffing V1-1 (3)'!$Q$95:$R$95,'FY19 Staffing V1-1 (3)'!$T$89:$U$89,'FY19 Staffing V1-1 (3)'!$T$95:$U$95,'FY19 Staffing V1-1 (3)'!$Q$255:$R$255,'FY19 Staffing V1-1 (3)'!$T$255:$U$255)/12</f>
        <v>1154.1758333333332</v>
      </c>
      <c r="BT155" s="449">
        <f>SUM('FY19 Staffing V1-1 (3)'!$Q$89:$R$89,'FY19 Staffing V1-1 (3)'!$Q$95:$R$95,'FY19 Staffing V1-1 (3)'!$T$89:$U$89,'FY19 Staffing V1-1 (3)'!$T$95:$U$95,'FY19 Staffing V1-1 (3)'!$Q$255:$R$255,'FY19 Staffing V1-1 (3)'!$T$255:$U$255)/12*2</f>
        <v>2308.3516666666665</v>
      </c>
    </row>
    <row r="156" spans="1:72" ht="15" x14ac:dyDescent="0.25">
      <c r="A156" s="502" t="s">
        <v>240</v>
      </c>
      <c r="B156" s="502" t="s">
        <v>241</v>
      </c>
      <c r="C156" s="541"/>
      <c r="D156" s="500">
        <f t="shared" si="187"/>
        <v>12695</v>
      </c>
      <c r="E156" s="449">
        <v>17774</v>
      </c>
      <c r="F156" s="449">
        <f t="shared" si="188"/>
        <v>-5079</v>
      </c>
      <c r="G156" s="421">
        <f t="shared" si="189"/>
        <v>-0.28575447282547539</v>
      </c>
      <c r="H156" s="449">
        <f>24695-12000</f>
        <v>12695</v>
      </c>
      <c r="I156" s="449">
        <f t="shared" si="190"/>
        <v>0</v>
      </c>
      <c r="J156" s="426">
        <f t="shared" si="191"/>
        <v>0</v>
      </c>
      <c r="K156" s="421"/>
      <c r="L156" s="449">
        <v>0</v>
      </c>
      <c r="M156" s="449">
        <v>1713.26</v>
      </c>
      <c r="N156" s="449">
        <v>1144.1200000000001</v>
      </c>
      <c r="O156" s="449">
        <v>1052.73</v>
      </c>
      <c r="P156" s="449">
        <v>823.82000000000016</v>
      </c>
      <c r="Q156" s="449">
        <v>851.04999999999927</v>
      </c>
      <c r="R156" s="449">
        <f>($H156-SUM($L156:Q156))/R$694</f>
        <v>1185.0033333333333</v>
      </c>
      <c r="S156" s="449">
        <f>($H156-SUM($L156:R156))/S$694</f>
        <v>1185.0033333333336</v>
      </c>
      <c r="T156" s="449">
        <f>($H156-SUM($L156:S156))/T$694</f>
        <v>1185.0033333333336</v>
      </c>
      <c r="U156" s="449">
        <f>($H156-SUM($L156:T156))/U$694</f>
        <v>1185.0033333333333</v>
      </c>
      <c r="V156" s="449">
        <f>($H156-SUM($L156:U156))/V$694</f>
        <v>1185.0033333333331</v>
      </c>
      <c r="W156" s="449">
        <f>($H156-SUM($L156:V156))/W$694</f>
        <v>1185.003333333334</v>
      </c>
      <c r="X156" s="449"/>
      <c r="Y156" s="449">
        <f t="shared" si="192"/>
        <v>12695</v>
      </c>
      <c r="Z156" s="531"/>
      <c r="AA156" s="449">
        <f t="shared" si="193"/>
        <v>1057.9166666666667</v>
      </c>
      <c r="AB156" s="449">
        <f t="shared" si="193"/>
        <v>1057.9166666666667</v>
      </c>
      <c r="AC156" s="449">
        <f t="shared" si="193"/>
        <v>1057.9166666666667</v>
      </c>
      <c r="AD156" s="449">
        <f t="shared" si="193"/>
        <v>1057.9166666666667</v>
      </c>
      <c r="AE156" s="449">
        <f t="shared" si="193"/>
        <v>1057.9166666666667</v>
      </c>
      <c r="AF156" s="449">
        <f t="shared" si="193"/>
        <v>1057.9166666666667</v>
      </c>
      <c r="AG156" s="449">
        <f t="shared" si="193"/>
        <v>1057.9166666666667</v>
      </c>
      <c r="AH156" s="449">
        <f t="shared" si="193"/>
        <v>1057.9166666666667</v>
      </c>
      <c r="AI156" s="449">
        <f t="shared" si="193"/>
        <v>1057.9166666666667</v>
      </c>
      <c r="AJ156" s="449">
        <f t="shared" si="193"/>
        <v>1057.9166666666667</v>
      </c>
      <c r="AK156" s="449">
        <f t="shared" si="193"/>
        <v>1057.9166666666667</v>
      </c>
      <c r="AL156" s="449">
        <f t="shared" si="193"/>
        <v>1057.9166666666667</v>
      </c>
      <c r="AN156" s="500">
        <f t="shared" si="194"/>
        <v>12695</v>
      </c>
      <c r="AO156" s="449">
        <f t="shared" si="195"/>
        <v>40800.799999999996</v>
      </c>
      <c r="AP156" s="449">
        <f t="shared" si="196"/>
        <v>28105.799999999996</v>
      </c>
      <c r="AQ156" s="453">
        <f t="shared" si="197"/>
        <v>2.2139267428121303</v>
      </c>
      <c r="AR156" s="449">
        <f t="shared" si="198"/>
        <v>40800.799999999996</v>
      </c>
      <c r="AS156" s="449">
        <f t="shared" si="199"/>
        <v>0</v>
      </c>
      <c r="AT156" s="426">
        <f t="shared" si="200"/>
        <v>0</v>
      </c>
      <c r="AU156" s="421"/>
      <c r="AV156" s="449">
        <f t="shared" si="201"/>
        <v>0</v>
      </c>
      <c r="AW156" s="449">
        <f t="shared" si="201"/>
        <v>3400.0666666666671</v>
      </c>
      <c r="AX156" s="449">
        <f t="shared" si="201"/>
        <v>3400.0666666666671</v>
      </c>
      <c r="AY156" s="449">
        <f t="shared" si="201"/>
        <v>3400.0666666666671</v>
      </c>
      <c r="AZ156" s="449">
        <f t="shared" si="201"/>
        <v>3400.0666666666671</v>
      </c>
      <c r="BA156" s="449">
        <f t="shared" si="201"/>
        <v>3400.0666666666671</v>
      </c>
      <c r="BB156" s="449">
        <f t="shared" si="201"/>
        <v>3400.0666666666671</v>
      </c>
      <c r="BC156" s="449">
        <f t="shared" si="201"/>
        <v>3400.0666666666671</v>
      </c>
      <c r="BD156" s="449">
        <f t="shared" si="201"/>
        <v>3400.0666666666671</v>
      </c>
      <c r="BE156" s="449">
        <f t="shared" si="201"/>
        <v>3400.0666666666671</v>
      </c>
      <c r="BF156" s="449">
        <f t="shared" si="201"/>
        <v>3400.0666666666671</v>
      </c>
      <c r="BG156" s="449">
        <f t="shared" si="201"/>
        <v>6800.1333333333341</v>
      </c>
      <c r="BH156" s="400"/>
      <c r="BI156" s="449">
        <v>0</v>
      </c>
      <c r="BJ156" s="449">
        <f>SUM('FY19 Staffing V1-1 (3)'!$Q$90:$R$94,'FY19 Staffing V1-1 (3)'!$Q$96:$R$97,'FY19 Staffing V1-1 (3)'!$T$90:$U$94,'FY19 Staffing V1-1 (3)'!$T$96:$U$97,'FY19 Staffing V1-1 (3)'!$Q$256:$R$256,'FY19 Staffing V1-1 (3)'!$T$256:$U$256)/12</f>
        <v>3400.0666666666671</v>
      </c>
      <c r="BK156" s="449">
        <f>SUM('FY19 Staffing V1-1 (3)'!$Q$90:$R$94,'FY19 Staffing V1-1 (3)'!$Q$96:$R$97,'FY19 Staffing V1-1 (3)'!$T$90:$U$94,'FY19 Staffing V1-1 (3)'!$T$96:$U$97,'FY19 Staffing V1-1 (3)'!$Q$256:$R$256,'FY19 Staffing V1-1 (3)'!$T$256:$U$256)/12</f>
        <v>3400.0666666666671</v>
      </c>
      <c r="BL156" s="449">
        <f>SUM('FY19 Staffing V1-1 (3)'!$Q$90:$R$94,'FY19 Staffing V1-1 (3)'!$Q$96:$R$97,'FY19 Staffing V1-1 (3)'!$T$90:$U$94,'FY19 Staffing V1-1 (3)'!$T$96:$U$97,'FY19 Staffing V1-1 (3)'!$Q$256:$R$256,'FY19 Staffing V1-1 (3)'!$T$256:$U$256)/12</f>
        <v>3400.0666666666671</v>
      </c>
      <c r="BM156" s="449">
        <f>SUM('FY19 Staffing V1-1 (3)'!$Q$90:$R$94,'FY19 Staffing V1-1 (3)'!$Q$96:$R$97,'FY19 Staffing V1-1 (3)'!$T$90:$U$94,'FY19 Staffing V1-1 (3)'!$T$96:$U$97,'FY19 Staffing V1-1 (3)'!$Q$256:$R$256,'FY19 Staffing V1-1 (3)'!$T$256:$U$256)/12</f>
        <v>3400.0666666666671</v>
      </c>
      <c r="BN156" s="449">
        <f>SUM('FY19 Staffing V1-1 (3)'!$Q$90:$R$94,'FY19 Staffing V1-1 (3)'!$Q$96:$R$97,'FY19 Staffing V1-1 (3)'!$T$90:$U$94,'FY19 Staffing V1-1 (3)'!$T$96:$U$97,'FY19 Staffing V1-1 (3)'!$Q$256:$R$256,'FY19 Staffing V1-1 (3)'!$T$256:$U$256)/12</f>
        <v>3400.0666666666671</v>
      </c>
      <c r="BO156" s="449">
        <f>SUM('FY19 Staffing V1-1 (3)'!$Q$90:$R$94,'FY19 Staffing V1-1 (3)'!$Q$96:$R$97,'FY19 Staffing V1-1 (3)'!$T$90:$U$94,'FY19 Staffing V1-1 (3)'!$T$96:$U$97,'FY19 Staffing V1-1 (3)'!$Q$256:$R$256,'FY19 Staffing V1-1 (3)'!$T$256:$U$256)/12</f>
        <v>3400.0666666666671</v>
      </c>
      <c r="BP156" s="449">
        <f>SUM('FY19 Staffing V1-1 (3)'!$Q$90:$R$94,'FY19 Staffing V1-1 (3)'!$Q$96:$R$97,'FY19 Staffing V1-1 (3)'!$T$90:$U$94,'FY19 Staffing V1-1 (3)'!$T$96:$U$97,'FY19 Staffing V1-1 (3)'!$Q$256:$R$256,'FY19 Staffing V1-1 (3)'!$T$256:$U$256)/12</f>
        <v>3400.0666666666671</v>
      </c>
      <c r="BQ156" s="449">
        <f>SUM('FY19 Staffing V1-1 (3)'!$Q$90:$R$94,'FY19 Staffing V1-1 (3)'!$Q$96:$R$97,'FY19 Staffing V1-1 (3)'!$T$90:$U$94,'FY19 Staffing V1-1 (3)'!$T$96:$U$97,'FY19 Staffing V1-1 (3)'!$Q$256:$R$256,'FY19 Staffing V1-1 (3)'!$T$256:$U$256)/12</f>
        <v>3400.0666666666671</v>
      </c>
      <c r="BR156" s="449">
        <f>SUM('FY19 Staffing V1-1 (3)'!$Q$90:$R$94,'FY19 Staffing V1-1 (3)'!$Q$96:$R$97,'FY19 Staffing V1-1 (3)'!$T$90:$U$94,'FY19 Staffing V1-1 (3)'!$T$96:$U$97,'FY19 Staffing V1-1 (3)'!$Q$256:$R$256,'FY19 Staffing V1-1 (3)'!$T$256:$U$256)/12</f>
        <v>3400.0666666666671</v>
      </c>
      <c r="BS156" s="449">
        <f>SUM('FY19 Staffing V1-1 (3)'!$Q$90:$R$94,'FY19 Staffing V1-1 (3)'!$Q$96:$R$97,'FY19 Staffing V1-1 (3)'!$T$90:$U$94,'FY19 Staffing V1-1 (3)'!$T$96:$U$97,'FY19 Staffing V1-1 (3)'!$Q$256:$R$256,'FY19 Staffing V1-1 (3)'!$T$256:$U$256)/12</f>
        <v>3400.0666666666671</v>
      </c>
      <c r="BT156" s="449">
        <f>SUM('FY19 Staffing V1-1 (3)'!$Q$90:$R$94,'FY19 Staffing V1-1 (3)'!$Q$96:$R$97,'FY19 Staffing V1-1 (3)'!$T$90:$U$94,'FY19 Staffing V1-1 (3)'!$T$96:$U$97,'FY19 Staffing V1-1 (3)'!$Q$256:$R$256,'FY19 Staffing V1-1 (3)'!$T$256:$U$256)/12*2</f>
        <v>6800.1333333333341</v>
      </c>
    </row>
    <row r="157" spans="1:72" ht="15" x14ac:dyDescent="0.25">
      <c r="A157" s="502" t="s">
        <v>242</v>
      </c>
      <c r="B157" s="502" t="s">
        <v>243</v>
      </c>
      <c r="C157" s="541"/>
      <c r="D157" s="500">
        <f t="shared" si="187"/>
        <v>6044</v>
      </c>
      <c r="E157" s="449">
        <v>6044</v>
      </c>
      <c r="F157" s="449">
        <f t="shared" si="188"/>
        <v>0</v>
      </c>
      <c r="G157" s="421">
        <f t="shared" si="189"/>
        <v>0</v>
      </c>
      <c r="H157" s="449">
        <v>6044</v>
      </c>
      <c r="I157" s="449">
        <f t="shared" si="190"/>
        <v>0</v>
      </c>
      <c r="J157" s="426">
        <f t="shared" si="191"/>
        <v>0</v>
      </c>
      <c r="K157" s="421"/>
      <c r="L157" s="449">
        <v>0</v>
      </c>
      <c r="M157" s="449">
        <v>0</v>
      </c>
      <c r="N157" s="449">
        <v>0</v>
      </c>
      <c r="O157" s="449">
        <v>3938.79</v>
      </c>
      <c r="P157" s="449">
        <v>0</v>
      </c>
      <c r="Q157" s="449">
        <v>809.23999999999978</v>
      </c>
      <c r="R157" s="449">
        <f>($H157-SUM($L157:Q157))/R$694</f>
        <v>215.99500000000003</v>
      </c>
      <c r="S157" s="449">
        <f>($H157-SUM($L157:R157))/S$694</f>
        <v>215.99500000000006</v>
      </c>
      <c r="T157" s="449">
        <f>($H157-SUM($L157:S157))/T$694</f>
        <v>215.99500000000012</v>
      </c>
      <c r="U157" s="449">
        <f>($H157-SUM($L157:T157))/U$694</f>
        <v>215.9950000000002</v>
      </c>
      <c r="V157" s="449">
        <f>($H157-SUM($L157:U157))/V$694</f>
        <v>215.99500000000035</v>
      </c>
      <c r="W157" s="449">
        <f>($H157-SUM($L157:V157))/W$694</f>
        <v>215.9950000000008</v>
      </c>
      <c r="X157" s="449"/>
      <c r="Y157" s="449">
        <f t="shared" si="192"/>
        <v>6044</v>
      </c>
      <c r="Z157" s="531"/>
      <c r="AA157" s="449">
        <f t="shared" si="193"/>
        <v>503.66666666666669</v>
      </c>
      <c r="AB157" s="449">
        <f t="shared" si="193"/>
        <v>503.66666666666669</v>
      </c>
      <c r="AC157" s="449">
        <f t="shared" si="193"/>
        <v>503.66666666666669</v>
      </c>
      <c r="AD157" s="449">
        <f t="shared" si="193"/>
        <v>503.66666666666669</v>
      </c>
      <c r="AE157" s="449">
        <f t="shared" si="193"/>
        <v>503.66666666666669</v>
      </c>
      <c r="AF157" s="449">
        <f t="shared" si="193"/>
        <v>503.66666666666669</v>
      </c>
      <c r="AG157" s="449">
        <f t="shared" si="193"/>
        <v>503.66666666666669</v>
      </c>
      <c r="AH157" s="449">
        <f t="shared" si="193"/>
        <v>503.66666666666669</v>
      </c>
      <c r="AI157" s="449">
        <f t="shared" si="193"/>
        <v>503.66666666666669</v>
      </c>
      <c r="AJ157" s="449">
        <f t="shared" si="193"/>
        <v>503.66666666666669</v>
      </c>
      <c r="AK157" s="449">
        <f t="shared" si="193"/>
        <v>503.66666666666669</v>
      </c>
      <c r="AL157" s="449">
        <f t="shared" si="193"/>
        <v>503.66666666666669</v>
      </c>
      <c r="AN157" s="500">
        <f t="shared" si="194"/>
        <v>6044</v>
      </c>
      <c r="AO157" s="449">
        <f t="shared" si="195"/>
        <v>0</v>
      </c>
      <c r="AP157" s="449">
        <f t="shared" si="196"/>
        <v>-6044</v>
      </c>
      <c r="AQ157" s="453">
        <f t="shared" si="197"/>
        <v>-1</v>
      </c>
      <c r="AR157" s="449">
        <f t="shared" si="198"/>
        <v>0</v>
      </c>
      <c r="AS157" s="449">
        <f t="shared" si="199"/>
        <v>0</v>
      </c>
      <c r="AT157" s="426">
        <f t="shared" si="200"/>
        <v>0</v>
      </c>
      <c r="AU157" s="421"/>
      <c r="AV157" s="449">
        <f t="shared" si="201"/>
        <v>0</v>
      </c>
      <c r="AW157" s="449">
        <f t="shared" si="201"/>
        <v>0</v>
      </c>
      <c r="AX157" s="449">
        <f t="shared" si="201"/>
        <v>0</v>
      </c>
      <c r="AY157" s="449">
        <f t="shared" si="201"/>
        <v>0</v>
      </c>
      <c r="AZ157" s="449">
        <f t="shared" si="201"/>
        <v>0</v>
      </c>
      <c r="BA157" s="449">
        <f t="shared" si="201"/>
        <v>0</v>
      </c>
      <c r="BB157" s="449">
        <f t="shared" si="201"/>
        <v>0</v>
      </c>
      <c r="BC157" s="449">
        <f t="shared" si="201"/>
        <v>0</v>
      </c>
      <c r="BD157" s="449">
        <f t="shared" si="201"/>
        <v>0</v>
      </c>
      <c r="BE157" s="449">
        <f t="shared" si="201"/>
        <v>0</v>
      </c>
      <c r="BF157" s="449">
        <f t="shared" si="201"/>
        <v>0</v>
      </c>
      <c r="BG157" s="449">
        <f t="shared" si="201"/>
        <v>0</v>
      </c>
      <c r="BH157" s="400"/>
      <c r="BI157" s="449">
        <v>0</v>
      </c>
      <c r="BJ157" s="449">
        <v>0</v>
      </c>
      <c r="BK157" s="449">
        <v>0</v>
      </c>
      <c r="BL157" s="449">
        <v>0</v>
      </c>
      <c r="BM157" s="449">
        <v>0</v>
      </c>
      <c r="BN157" s="449">
        <v>0</v>
      </c>
      <c r="BO157" s="449">
        <v>0</v>
      </c>
      <c r="BP157" s="449">
        <v>0</v>
      </c>
      <c r="BQ157" s="449">
        <v>0</v>
      </c>
      <c r="BR157" s="449">
        <v>0</v>
      </c>
      <c r="BS157" s="449">
        <v>0</v>
      </c>
      <c r="BT157" s="449">
        <v>0</v>
      </c>
    </row>
    <row r="158" spans="1:72" ht="15" x14ac:dyDescent="0.25">
      <c r="A158" s="537" t="s">
        <v>244</v>
      </c>
      <c r="B158" s="537" t="s">
        <v>245</v>
      </c>
      <c r="C158" s="541"/>
      <c r="D158" s="500">
        <f>SUM(L158:W158)</f>
        <v>0</v>
      </c>
      <c r="E158" s="449">
        <v>0</v>
      </c>
      <c r="F158" s="449">
        <f t="shared" si="188"/>
        <v>0</v>
      </c>
      <c r="G158" s="421">
        <f t="shared" si="189"/>
        <v>0</v>
      </c>
      <c r="H158" s="449">
        <v>0</v>
      </c>
      <c r="I158" s="449">
        <f t="shared" si="190"/>
        <v>0</v>
      </c>
      <c r="J158" s="426">
        <f t="shared" si="191"/>
        <v>0</v>
      </c>
      <c r="K158" s="421"/>
      <c r="L158" s="449">
        <v>0</v>
      </c>
      <c r="M158" s="449">
        <v>0</v>
      </c>
      <c r="N158" s="449">
        <v>0</v>
      </c>
      <c r="O158" s="449">
        <v>0</v>
      </c>
      <c r="P158" s="449">
        <v>0</v>
      </c>
      <c r="Q158" s="449">
        <v>0</v>
      </c>
      <c r="R158" s="449">
        <f>($H158-SUM($L158:Q158))/R$694</f>
        <v>0</v>
      </c>
      <c r="S158" s="449">
        <f>($H158-SUM($L158:R158))/S$694</f>
        <v>0</v>
      </c>
      <c r="T158" s="449">
        <f>($H158-SUM($L158:S158))/T$694</f>
        <v>0</v>
      </c>
      <c r="U158" s="449">
        <f>($H158-SUM($L158:T158))/U$694</f>
        <v>0</v>
      </c>
      <c r="V158" s="449">
        <f>($H158-SUM($L158:U158))/V$694</f>
        <v>0</v>
      </c>
      <c r="W158" s="449">
        <f>($H158-SUM($L158:V158))/W$694</f>
        <v>0</v>
      </c>
      <c r="X158" s="449"/>
      <c r="Y158" s="449">
        <f t="shared" si="192"/>
        <v>0</v>
      </c>
      <c r="Z158" s="531"/>
      <c r="AA158" s="449">
        <f t="shared" si="193"/>
        <v>0</v>
      </c>
      <c r="AB158" s="449">
        <f t="shared" si="193"/>
        <v>0</v>
      </c>
      <c r="AC158" s="449">
        <f t="shared" si="193"/>
        <v>0</v>
      </c>
      <c r="AD158" s="449">
        <f t="shared" si="193"/>
        <v>0</v>
      </c>
      <c r="AE158" s="449">
        <f t="shared" si="193"/>
        <v>0</v>
      </c>
      <c r="AF158" s="449">
        <f t="shared" si="193"/>
        <v>0</v>
      </c>
      <c r="AG158" s="449">
        <f t="shared" si="193"/>
        <v>0</v>
      </c>
      <c r="AH158" s="449">
        <f t="shared" si="193"/>
        <v>0</v>
      </c>
      <c r="AI158" s="449">
        <f t="shared" si="193"/>
        <v>0</v>
      </c>
      <c r="AJ158" s="449">
        <f t="shared" si="193"/>
        <v>0</v>
      </c>
      <c r="AK158" s="449">
        <f t="shared" si="193"/>
        <v>0</v>
      </c>
      <c r="AL158" s="449">
        <f t="shared" si="193"/>
        <v>0</v>
      </c>
      <c r="AN158" s="500">
        <f t="shared" si="194"/>
        <v>0</v>
      </c>
      <c r="AO158" s="449">
        <f t="shared" si="195"/>
        <v>6579</v>
      </c>
      <c r="AP158" s="449">
        <f t="shared" si="196"/>
        <v>6579</v>
      </c>
      <c r="AQ158" s="453" t="str">
        <f t="shared" si="197"/>
        <v>-</v>
      </c>
      <c r="AR158" s="449">
        <f t="shared" si="198"/>
        <v>6579</v>
      </c>
      <c r="AS158" s="449">
        <f t="shared" si="199"/>
        <v>0</v>
      </c>
      <c r="AT158" s="426">
        <f t="shared" si="200"/>
        <v>0</v>
      </c>
      <c r="AU158" s="421"/>
      <c r="AV158" s="449">
        <f t="shared" si="201"/>
        <v>0</v>
      </c>
      <c r="AW158" s="449">
        <f t="shared" si="201"/>
        <v>0</v>
      </c>
      <c r="AX158" s="449">
        <f t="shared" si="201"/>
        <v>0</v>
      </c>
      <c r="AY158" s="449">
        <f t="shared" si="201"/>
        <v>3289.5</v>
      </c>
      <c r="AZ158" s="449">
        <f t="shared" si="201"/>
        <v>0</v>
      </c>
      <c r="BA158" s="449">
        <f t="shared" si="201"/>
        <v>0</v>
      </c>
      <c r="BB158" s="449">
        <f t="shared" si="201"/>
        <v>0</v>
      </c>
      <c r="BC158" s="449">
        <f t="shared" si="201"/>
        <v>0</v>
      </c>
      <c r="BD158" s="449">
        <f t="shared" si="201"/>
        <v>0</v>
      </c>
      <c r="BE158" s="449">
        <f t="shared" si="201"/>
        <v>3289.5</v>
      </c>
      <c r="BF158" s="449">
        <f t="shared" si="201"/>
        <v>0</v>
      </c>
      <c r="BG158" s="449">
        <f t="shared" si="201"/>
        <v>0</v>
      </c>
      <c r="BH158" s="400"/>
      <c r="BI158" s="449">
        <v>0</v>
      </c>
      <c r="BJ158" s="449">
        <v>0</v>
      </c>
      <c r="BK158" s="449">
        <v>0</v>
      </c>
      <c r="BL158" s="449">
        <f>SUM('FY19 Staffing V1-1 (3)'!$Q$63:$R$63,'FY19 Staffing V1-1 (3)'!$T$63:$U$63,'FY19 Staffing V1-1 (3)'!$Q$80:$R$80,'FY19 Staffing V1-1 (3)'!$T$80:$U$80)/2</f>
        <v>3289.5</v>
      </c>
      <c r="BM158" s="449">
        <v>0</v>
      </c>
      <c r="BN158" s="449">
        <v>0</v>
      </c>
      <c r="BO158" s="449">
        <v>0</v>
      </c>
      <c r="BP158" s="449">
        <v>0</v>
      </c>
      <c r="BQ158" s="449">
        <v>0</v>
      </c>
      <c r="BR158" s="449">
        <f>SUM('FY19 Staffing V1-1 (3)'!$Q$63:$R$63,'FY19 Staffing V1-1 (3)'!$T$63:$U$63,'FY19 Staffing V1-1 (3)'!$Q$80:$R$80,'FY19 Staffing V1-1 (3)'!$T$80:$U$80)/2</f>
        <v>3289.5</v>
      </c>
      <c r="BS158" s="449">
        <v>0</v>
      </c>
      <c r="BT158" s="449">
        <v>0</v>
      </c>
    </row>
    <row r="159" spans="1:72" ht="15" x14ac:dyDescent="0.25">
      <c r="A159" s="502" t="s">
        <v>246</v>
      </c>
      <c r="B159" s="502" t="s">
        <v>247</v>
      </c>
      <c r="C159" s="541"/>
      <c r="D159" s="500">
        <f t="shared" si="187"/>
        <v>20038</v>
      </c>
      <c r="E159" s="449">
        <v>5038</v>
      </c>
      <c r="F159" s="449">
        <f t="shared" si="188"/>
        <v>15000</v>
      </c>
      <c r="G159" s="421">
        <f t="shared" si="189"/>
        <v>2.9773719730051607</v>
      </c>
      <c r="H159" s="449">
        <f>5038+15000</f>
        <v>20038</v>
      </c>
      <c r="I159" s="449">
        <f t="shared" si="190"/>
        <v>0</v>
      </c>
      <c r="J159" s="426">
        <f t="shared" si="191"/>
        <v>0</v>
      </c>
      <c r="K159" s="421"/>
      <c r="L159" s="449">
        <v>54.8</v>
      </c>
      <c r="M159" s="449">
        <v>1043.6500000000001</v>
      </c>
      <c r="N159" s="449">
        <v>1708.8300000000002</v>
      </c>
      <c r="O159" s="449">
        <v>-621.0300000000002</v>
      </c>
      <c r="P159" s="449">
        <v>715.01000000000022</v>
      </c>
      <c r="Q159" s="449">
        <v>769.94999999999982</v>
      </c>
      <c r="R159" s="449">
        <f>($H159-SUM($L159:Q159))/R$694</f>
        <v>2727.7983333333336</v>
      </c>
      <c r="S159" s="449">
        <f>($H159-SUM($L159:R159))/S$694</f>
        <v>2727.7983333333332</v>
      </c>
      <c r="T159" s="449">
        <f>($H159-SUM($L159:S159))/T$694</f>
        <v>2727.7983333333332</v>
      </c>
      <c r="U159" s="449">
        <f>($H159-SUM($L159:T159))/U$694</f>
        <v>2727.7983333333336</v>
      </c>
      <c r="V159" s="449">
        <f>($H159-SUM($L159:U159))/V$694</f>
        <v>2727.7983333333332</v>
      </c>
      <c r="W159" s="449">
        <f>($H159-SUM($L159:V159))/W$694</f>
        <v>2727.7983333333323</v>
      </c>
      <c r="X159" s="449"/>
      <c r="Y159" s="449">
        <f t="shared" si="192"/>
        <v>20038</v>
      </c>
      <c r="Z159" s="531"/>
      <c r="AA159" s="449">
        <f t="shared" si="193"/>
        <v>1669.8333333333333</v>
      </c>
      <c r="AB159" s="449">
        <f t="shared" si="193"/>
        <v>1669.8333333333333</v>
      </c>
      <c r="AC159" s="449">
        <f t="shared" si="193"/>
        <v>1669.8333333333333</v>
      </c>
      <c r="AD159" s="449">
        <f t="shared" si="193"/>
        <v>1669.8333333333333</v>
      </c>
      <c r="AE159" s="449">
        <f t="shared" si="193"/>
        <v>1669.8333333333333</v>
      </c>
      <c r="AF159" s="449">
        <f t="shared" si="193"/>
        <v>1669.8333333333333</v>
      </c>
      <c r="AG159" s="449">
        <f t="shared" si="193"/>
        <v>1669.8333333333333</v>
      </c>
      <c r="AH159" s="449">
        <f t="shared" si="193"/>
        <v>1669.8333333333333</v>
      </c>
      <c r="AI159" s="449">
        <f t="shared" si="193"/>
        <v>1669.8333333333333</v>
      </c>
      <c r="AJ159" s="449">
        <f t="shared" si="193"/>
        <v>1669.8333333333333</v>
      </c>
      <c r="AK159" s="449">
        <f t="shared" si="193"/>
        <v>1669.8333333333333</v>
      </c>
      <c r="AL159" s="449">
        <f t="shared" si="193"/>
        <v>1669.8333333333333</v>
      </c>
      <c r="AN159" s="500">
        <f t="shared" si="194"/>
        <v>20038</v>
      </c>
      <c r="AO159" s="449">
        <f t="shared" si="195"/>
        <v>17927.218138619999</v>
      </c>
      <c r="AP159" s="449">
        <f t="shared" si="196"/>
        <v>-2110.7818613800009</v>
      </c>
      <c r="AQ159" s="453">
        <f t="shared" si="197"/>
        <v>-0.10533894906577507</v>
      </c>
      <c r="AR159" s="449">
        <f t="shared" si="198"/>
        <v>17927.218138619999</v>
      </c>
      <c r="AS159" s="449">
        <f t="shared" si="199"/>
        <v>0</v>
      </c>
      <c r="AT159" s="426">
        <f t="shared" si="200"/>
        <v>0</v>
      </c>
      <c r="AU159" s="421"/>
      <c r="AV159" s="449">
        <f t="shared" si="201"/>
        <v>0</v>
      </c>
      <c r="AW159" s="449">
        <f t="shared" si="201"/>
        <v>1493.9348448850003</v>
      </c>
      <c r="AX159" s="449">
        <f t="shared" si="201"/>
        <v>1493.9348448850003</v>
      </c>
      <c r="AY159" s="449">
        <f t="shared" si="201"/>
        <v>1493.9348448850003</v>
      </c>
      <c r="AZ159" s="449">
        <f t="shared" si="201"/>
        <v>1493.9348448850003</v>
      </c>
      <c r="BA159" s="449">
        <f t="shared" si="201"/>
        <v>1493.9348448850003</v>
      </c>
      <c r="BB159" s="449">
        <f t="shared" si="201"/>
        <v>1493.9348448850003</v>
      </c>
      <c r="BC159" s="449">
        <f t="shared" si="201"/>
        <v>1493.9348448850003</v>
      </c>
      <c r="BD159" s="449">
        <f t="shared" si="201"/>
        <v>1493.9348448850003</v>
      </c>
      <c r="BE159" s="449">
        <f t="shared" si="201"/>
        <v>1493.9348448850003</v>
      </c>
      <c r="BF159" s="449">
        <f t="shared" si="201"/>
        <v>1493.9348448850003</v>
      </c>
      <c r="BG159" s="449">
        <f t="shared" si="201"/>
        <v>2987.8696897700006</v>
      </c>
      <c r="BH159" s="400"/>
      <c r="BI159" s="449">
        <v>0</v>
      </c>
      <c r="BJ159" s="449">
        <f>SUM('FY19 Staffing V1-1 (3)'!$W$89,'FY19 Staffing V1-1 (3)'!$W$95,'FY19 Staffing V1-1 (3)'!$W$255)/12</f>
        <v>1493.9348448850003</v>
      </c>
      <c r="BK159" s="449">
        <f>SUM('FY19 Staffing V1-1 (3)'!$W$89,'FY19 Staffing V1-1 (3)'!$W$95,'FY19 Staffing V1-1 (3)'!$W$255)/12</f>
        <v>1493.9348448850003</v>
      </c>
      <c r="BL159" s="449">
        <f>SUM('FY19 Staffing V1-1 (3)'!$W$89,'FY19 Staffing V1-1 (3)'!$W$95,'FY19 Staffing V1-1 (3)'!$W$255)/12</f>
        <v>1493.9348448850003</v>
      </c>
      <c r="BM159" s="449">
        <f>SUM('FY19 Staffing V1-1 (3)'!$W$89,'FY19 Staffing V1-1 (3)'!$W$95,'FY19 Staffing V1-1 (3)'!$W$255)/12</f>
        <v>1493.9348448850003</v>
      </c>
      <c r="BN159" s="449">
        <f>SUM('FY19 Staffing V1-1 (3)'!$W$89,'FY19 Staffing V1-1 (3)'!$W$95,'FY19 Staffing V1-1 (3)'!$W$255)/12</f>
        <v>1493.9348448850003</v>
      </c>
      <c r="BO159" s="449">
        <f>SUM('FY19 Staffing V1-1 (3)'!$W$89,'FY19 Staffing V1-1 (3)'!$W$95,'FY19 Staffing V1-1 (3)'!$W$255)/12</f>
        <v>1493.9348448850003</v>
      </c>
      <c r="BP159" s="449">
        <f>SUM('FY19 Staffing V1-1 (3)'!$W$89,'FY19 Staffing V1-1 (3)'!$W$95,'FY19 Staffing V1-1 (3)'!$W$255)/12</f>
        <v>1493.9348448850003</v>
      </c>
      <c r="BQ159" s="449">
        <f>SUM('FY19 Staffing V1-1 (3)'!$W$89,'FY19 Staffing V1-1 (3)'!$W$95,'FY19 Staffing V1-1 (3)'!$W$255)/12</f>
        <v>1493.9348448850003</v>
      </c>
      <c r="BR159" s="449">
        <f>SUM('FY19 Staffing V1-1 (3)'!$W$89,'FY19 Staffing V1-1 (3)'!$W$95,'FY19 Staffing V1-1 (3)'!$W$255)/12</f>
        <v>1493.9348448850003</v>
      </c>
      <c r="BS159" s="449">
        <f>SUM('FY19 Staffing V1-1 (3)'!$W$89,'FY19 Staffing V1-1 (3)'!$W$95,'FY19 Staffing V1-1 (3)'!$W$255)/12</f>
        <v>1493.9348448850003</v>
      </c>
      <c r="BT159" s="449">
        <f>SUM('FY19 Staffing V1-1 (3)'!$W$89,'FY19 Staffing V1-1 (3)'!$W$95,'FY19 Staffing V1-1 (3)'!$W$255)/12*2</f>
        <v>2987.8696897700006</v>
      </c>
    </row>
    <row r="160" spans="1:72" ht="15" hidden="1" x14ac:dyDescent="0.25">
      <c r="A160" s="502" t="s">
        <v>248</v>
      </c>
      <c r="B160" s="502" t="s">
        <v>249</v>
      </c>
      <c r="C160" s="541"/>
      <c r="D160" s="500">
        <f t="shared" si="187"/>
        <v>0</v>
      </c>
      <c r="E160" s="449">
        <v>0</v>
      </c>
      <c r="F160" s="449">
        <f t="shared" si="188"/>
        <v>0</v>
      </c>
      <c r="G160" s="421">
        <f t="shared" si="189"/>
        <v>0</v>
      </c>
      <c r="H160" s="449">
        <v>0</v>
      </c>
      <c r="I160" s="449">
        <f t="shared" si="190"/>
        <v>0</v>
      </c>
      <c r="J160" s="426">
        <f t="shared" si="191"/>
        <v>0</v>
      </c>
      <c r="K160" s="421"/>
      <c r="L160" s="449">
        <v>0</v>
      </c>
      <c r="M160" s="449">
        <v>0</v>
      </c>
      <c r="N160" s="449">
        <v>0</v>
      </c>
      <c r="O160" s="449">
        <v>0</v>
      </c>
      <c r="P160" s="449">
        <v>0</v>
      </c>
      <c r="Q160" s="449">
        <v>0</v>
      </c>
      <c r="R160" s="449">
        <f>($H160-SUM($L160:Q160))/R$694</f>
        <v>0</v>
      </c>
      <c r="S160" s="449">
        <f>($H160-SUM($L160:R160))/S$694</f>
        <v>0</v>
      </c>
      <c r="T160" s="449">
        <f>($H160-SUM($L160:S160))/T$694</f>
        <v>0</v>
      </c>
      <c r="U160" s="449">
        <f>($H160-SUM($L160:T160))/U$694</f>
        <v>0</v>
      </c>
      <c r="V160" s="449">
        <f>($H160-SUM($L160:U160))/V$694</f>
        <v>0</v>
      </c>
      <c r="W160" s="449">
        <f>($H160-SUM($L160:V160))/W$694</f>
        <v>0</v>
      </c>
      <c r="X160" s="449"/>
      <c r="Y160" s="449">
        <f t="shared" si="192"/>
        <v>0</v>
      </c>
      <c r="Z160" s="531"/>
      <c r="AA160" s="449">
        <f t="shared" si="193"/>
        <v>0</v>
      </c>
      <c r="AB160" s="449">
        <f t="shared" si="193"/>
        <v>0</v>
      </c>
      <c r="AC160" s="449">
        <f t="shared" si="193"/>
        <v>0</v>
      </c>
      <c r="AD160" s="449">
        <f t="shared" si="193"/>
        <v>0</v>
      </c>
      <c r="AE160" s="449">
        <f t="shared" si="193"/>
        <v>0</v>
      </c>
      <c r="AF160" s="449">
        <f t="shared" si="193"/>
        <v>0</v>
      </c>
      <c r="AG160" s="449">
        <f t="shared" si="193"/>
        <v>0</v>
      </c>
      <c r="AH160" s="449">
        <f t="shared" si="193"/>
        <v>0</v>
      </c>
      <c r="AI160" s="449">
        <f t="shared" si="193"/>
        <v>0</v>
      </c>
      <c r="AJ160" s="449">
        <f t="shared" si="193"/>
        <v>0</v>
      </c>
      <c r="AK160" s="449">
        <f t="shared" si="193"/>
        <v>0</v>
      </c>
      <c r="AL160" s="449">
        <f t="shared" si="193"/>
        <v>0</v>
      </c>
      <c r="AN160" s="500">
        <f t="shared" si="194"/>
        <v>0</v>
      </c>
      <c r="AO160" s="449">
        <f t="shared" si="195"/>
        <v>0</v>
      </c>
      <c r="AP160" s="449">
        <f t="shared" si="196"/>
        <v>0</v>
      </c>
      <c r="AQ160" s="453" t="str">
        <f t="shared" si="197"/>
        <v>-</v>
      </c>
      <c r="AR160" s="449">
        <f t="shared" si="198"/>
        <v>0</v>
      </c>
      <c r="AS160" s="449">
        <f t="shared" si="199"/>
        <v>0</v>
      </c>
      <c r="AT160" s="426">
        <f t="shared" si="200"/>
        <v>0</v>
      </c>
      <c r="AU160" s="421"/>
      <c r="AV160" s="449">
        <f t="shared" si="201"/>
        <v>0</v>
      </c>
      <c r="AW160" s="449">
        <f t="shared" si="201"/>
        <v>0</v>
      </c>
      <c r="AX160" s="449">
        <f t="shared" si="201"/>
        <v>0</v>
      </c>
      <c r="AY160" s="449">
        <f t="shared" si="201"/>
        <v>0</v>
      </c>
      <c r="AZ160" s="449">
        <f t="shared" si="201"/>
        <v>0</v>
      </c>
      <c r="BA160" s="449">
        <f t="shared" si="201"/>
        <v>0</v>
      </c>
      <c r="BB160" s="449">
        <f t="shared" si="201"/>
        <v>0</v>
      </c>
      <c r="BC160" s="449">
        <f t="shared" si="201"/>
        <v>0</v>
      </c>
      <c r="BD160" s="449">
        <f t="shared" si="201"/>
        <v>0</v>
      </c>
      <c r="BE160" s="449">
        <f t="shared" si="201"/>
        <v>0</v>
      </c>
      <c r="BF160" s="449">
        <f t="shared" si="201"/>
        <v>0</v>
      </c>
      <c r="BG160" s="449">
        <f t="shared" si="201"/>
        <v>0</v>
      </c>
      <c r="BH160" s="400"/>
      <c r="BI160" s="449">
        <v>0</v>
      </c>
      <c r="BJ160" s="449">
        <v>0</v>
      </c>
      <c r="BK160" s="449">
        <v>0</v>
      </c>
      <c r="BL160" s="449">
        <v>0</v>
      </c>
      <c r="BM160" s="449">
        <v>0</v>
      </c>
      <c r="BN160" s="449">
        <v>0</v>
      </c>
      <c r="BO160" s="449">
        <v>0</v>
      </c>
      <c r="BP160" s="449">
        <v>0</v>
      </c>
      <c r="BQ160" s="449">
        <v>0</v>
      </c>
      <c r="BR160" s="449">
        <v>0</v>
      </c>
      <c r="BS160" s="449">
        <v>0</v>
      </c>
      <c r="BT160" s="449">
        <v>0</v>
      </c>
    </row>
    <row r="161" spans="1:72" ht="15" x14ac:dyDescent="0.25">
      <c r="A161" s="502" t="s">
        <v>250</v>
      </c>
      <c r="B161" s="502" t="s">
        <v>251</v>
      </c>
      <c r="C161" s="541"/>
      <c r="D161" s="500">
        <f t="shared" si="187"/>
        <v>20473</v>
      </c>
      <c r="E161" s="449">
        <v>27077</v>
      </c>
      <c r="F161" s="449">
        <f t="shared" si="188"/>
        <v>-6604</v>
      </c>
      <c r="G161" s="421">
        <f t="shared" si="189"/>
        <v>-0.24389703438342505</v>
      </c>
      <c r="H161" s="449">
        <f>35473-15000</f>
        <v>20473</v>
      </c>
      <c r="I161" s="449">
        <f t="shared" si="190"/>
        <v>0</v>
      </c>
      <c r="J161" s="426">
        <f t="shared" si="191"/>
        <v>0</v>
      </c>
      <c r="K161" s="421"/>
      <c r="L161" s="449">
        <v>0</v>
      </c>
      <c r="M161" s="449">
        <v>0</v>
      </c>
      <c r="N161" s="449">
        <v>0</v>
      </c>
      <c r="O161" s="449">
        <v>2133.88</v>
      </c>
      <c r="P161" s="449">
        <v>3150.6499999999996</v>
      </c>
      <c r="Q161" s="449">
        <v>1128.4300000000003</v>
      </c>
      <c r="R161" s="449">
        <f>($H161-SUM($L161:Q161))/R$694</f>
        <v>2343.34</v>
      </c>
      <c r="S161" s="449">
        <f>($H161-SUM($L161:R161))/S$694</f>
        <v>2343.34</v>
      </c>
      <c r="T161" s="449">
        <f>($H161-SUM($L161:S161))/T$694</f>
        <v>2343.34</v>
      </c>
      <c r="U161" s="449">
        <f>($H161-SUM($L161:T161))/U$694</f>
        <v>2343.34</v>
      </c>
      <c r="V161" s="449">
        <f>($H161-SUM($L161:U161))/V$694</f>
        <v>2343.34</v>
      </c>
      <c r="W161" s="449">
        <f>($H161-SUM($L161:V161))/W$694</f>
        <v>2343.34</v>
      </c>
      <c r="X161" s="449"/>
      <c r="Y161" s="449">
        <f t="shared" si="192"/>
        <v>20473</v>
      </c>
      <c r="Z161" s="531"/>
      <c r="AA161" s="449">
        <f t="shared" si="193"/>
        <v>1706.0833333333333</v>
      </c>
      <c r="AB161" s="449">
        <f t="shared" si="193"/>
        <v>1706.0833333333333</v>
      </c>
      <c r="AC161" s="449">
        <f t="shared" si="193"/>
        <v>1706.0833333333333</v>
      </c>
      <c r="AD161" s="449">
        <f t="shared" si="193"/>
        <v>1706.0833333333333</v>
      </c>
      <c r="AE161" s="449">
        <f t="shared" si="193"/>
        <v>1706.0833333333333</v>
      </c>
      <c r="AF161" s="449">
        <f t="shared" si="193"/>
        <v>1706.0833333333333</v>
      </c>
      <c r="AG161" s="449">
        <f t="shared" si="193"/>
        <v>1706.0833333333333</v>
      </c>
      <c r="AH161" s="449">
        <f t="shared" si="193"/>
        <v>1706.0833333333333</v>
      </c>
      <c r="AI161" s="449">
        <f t="shared" si="193"/>
        <v>1706.0833333333333</v>
      </c>
      <c r="AJ161" s="449">
        <f t="shared" si="193"/>
        <v>1706.0833333333333</v>
      </c>
      <c r="AK161" s="449">
        <f t="shared" si="193"/>
        <v>1706.0833333333333</v>
      </c>
      <c r="AL161" s="449">
        <f t="shared" si="193"/>
        <v>1706.0833333333333</v>
      </c>
      <c r="AN161" s="500">
        <f t="shared" si="194"/>
        <v>20473</v>
      </c>
      <c r="AO161" s="449">
        <f t="shared" si="195"/>
        <v>45819.48512982751</v>
      </c>
      <c r="AP161" s="449">
        <f t="shared" si="196"/>
        <v>25346.48512982751</v>
      </c>
      <c r="AQ161" s="453">
        <f t="shared" si="197"/>
        <v>1.2380445039724275</v>
      </c>
      <c r="AR161" s="449">
        <f t="shared" si="198"/>
        <v>45819.48512982751</v>
      </c>
      <c r="AS161" s="449">
        <f t="shared" si="199"/>
        <v>0</v>
      </c>
      <c r="AT161" s="426">
        <f t="shared" si="200"/>
        <v>0</v>
      </c>
      <c r="AU161" s="421"/>
      <c r="AV161" s="449">
        <f t="shared" si="201"/>
        <v>0</v>
      </c>
      <c r="AW161" s="449">
        <f t="shared" si="201"/>
        <v>3818.2904274856251</v>
      </c>
      <c r="AX161" s="449">
        <f t="shared" si="201"/>
        <v>3818.2904274856251</v>
      </c>
      <c r="AY161" s="449">
        <f t="shared" si="201"/>
        <v>3818.2904274856251</v>
      </c>
      <c r="AZ161" s="449">
        <f t="shared" si="201"/>
        <v>3818.2904274856251</v>
      </c>
      <c r="BA161" s="449">
        <f t="shared" si="201"/>
        <v>3818.2904274856251</v>
      </c>
      <c r="BB161" s="449">
        <f t="shared" si="201"/>
        <v>3818.2904274856251</v>
      </c>
      <c r="BC161" s="449">
        <f t="shared" si="201"/>
        <v>3818.2904274856251</v>
      </c>
      <c r="BD161" s="449">
        <f t="shared" si="201"/>
        <v>3818.2904274856251</v>
      </c>
      <c r="BE161" s="449">
        <f t="shared" si="201"/>
        <v>3818.2904274856251</v>
      </c>
      <c r="BF161" s="449">
        <f t="shared" si="201"/>
        <v>3818.2904274856251</v>
      </c>
      <c r="BG161" s="449">
        <f t="shared" si="201"/>
        <v>7636.5808549712501</v>
      </c>
      <c r="BH161" s="400"/>
      <c r="BI161" s="449">
        <v>0</v>
      </c>
      <c r="BJ161" s="449">
        <f>SUM('FY19 Staffing V1-1 (3)'!$W$90:$W$94,'FY19 Staffing V1-1 (3)'!$W$96:$W$97,'FY19 Staffing V1-1 (3)'!$W$256)/12</f>
        <v>3818.2904274856251</v>
      </c>
      <c r="BK161" s="449">
        <f>SUM('FY19 Staffing V1-1 (3)'!$W$90:$W$94,'FY19 Staffing V1-1 (3)'!$W$96:$W$97,'FY19 Staffing V1-1 (3)'!$W$256)/12</f>
        <v>3818.2904274856251</v>
      </c>
      <c r="BL161" s="449">
        <f>SUM('FY19 Staffing V1-1 (3)'!$W$90:$W$94,'FY19 Staffing V1-1 (3)'!$W$96:$W$97,'FY19 Staffing V1-1 (3)'!$W$256)/12</f>
        <v>3818.2904274856251</v>
      </c>
      <c r="BM161" s="449">
        <f>SUM('FY19 Staffing V1-1 (3)'!$W$90:$W$94,'FY19 Staffing V1-1 (3)'!$W$96:$W$97,'FY19 Staffing V1-1 (3)'!$W$256)/12</f>
        <v>3818.2904274856251</v>
      </c>
      <c r="BN161" s="449">
        <f>SUM('FY19 Staffing V1-1 (3)'!$W$90:$W$94,'FY19 Staffing V1-1 (3)'!$W$96:$W$97,'FY19 Staffing V1-1 (3)'!$W$256)/12</f>
        <v>3818.2904274856251</v>
      </c>
      <c r="BO161" s="449">
        <f>SUM('FY19 Staffing V1-1 (3)'!$W$90:$W$94,'FY19 Staffing V1-1 (3)'!$W$96:$W$97,'FY19 Staffing V1-1 (3)'!$W$256)/12</f>
        <v>3818.2904274856251</v>
      </c>
      <c r="BP161" s="449">
        <f>SUM('FY19 Staffing V1-1 (3)'!$W$90:$W$94,'FY19 Staffing V1-1 (3)'!$W$96:$W$97,'FY19 Staffing V1-1 (3)'!$W$256)/12</f>
        <v>3818.2904274856251</v>
      </c>
      <c r="BQ161" s="449">
        <f>SUM('FY19 Staffing V1-1 (3)'!$W$90:$W$94,'FY19 Staffing V1-1 (3)'!$W$96:$W$97,'FY19 Staffing V1-1 (3)'!$W$256)/12</f>
        <v>3818.2904274856251</v>
      </c>
      <c r="BR161" s="449">
        <f>SUM('FY19 Staffing V1-1 (3)'!$W$90:$W$94,'FY19 Staffing V1-1 (3)'!$W$96:$W$97,'FY19 Staffing V1-1 (3)'!$W$256)/12</f>
        <v>3818.2904274856251</v>
      </c>
      <c r="BS161" s="449">
        <f>SUM('FY19 Staffing V1-1 (3)'!$W$90:$W$94,'FY19 Staffing V1-1 (3)'!$W$96:$W$97,'FY19 Staffing V1-1 (3)'!$W$256)/12</f>
        <v>3818.2904274856251</v>
      </c>
      <c r="BT161" s="449">
        <f>SUM('FY19 Staffing V1-1 (3)'!$W$90:$W$94,'FY19 Staffing V1-1 (3)'!$W$96:$W$97,'FY19 Staffing V1-1 (3)'!$W$256)/12*2</f>
        <v>7636.5808549712501</v>
      </c>
    </row>
    <row r="162" spans="1:72" ht="15" hidden="1" x14ac:dyDescent="0.25">
      <c r="A162" s="502" t="s">
        <v>252</v>
      </c>
      <c r="B162" s="502" t="s">
        <v>253</v>
      </c>
      <c r="C162" s="541"/>
      <c r="D162" s="500">
        <f t="shared" si="187"/>
        <v>0</v>
      </c>
      <c r="E162" s="449">
        <v>0</v>
      </c>
      <c r="F162" s="449">
        <f t="shared" si="188"/>
        <v>0</v>
      </c>
      <c r="G162" s="421">
        <f t="shared" si="189"/>
        <v>0</v>
      </c>
      <c r="H162" s="449">
        <v>0</v>
      </c>
      <c r="I162" s="449">
        <f t="shared" si="190"/>
        <v>0</v>
      </c>
      <c r="J162" s="426">
        <f t="shared" si="191"/>
        <v>0</v>
      </c>
      <c r="K162" s="421"/>
      <c r="L162" s="449">
        <v>0</v>
      </c>
      <c r="M162" s="449">
        <v>0</v>
      </c>
      <c r="N162" s="449">
        <v>0</v>
      </c>
      <c r="O162" s="449">
        <v>0</v>
      </c>
      <c r="P162" s="449">
        <v>0</v>
      </c>
      <c r="Q162" s="449">
        <v>0</v>
      </c>
      <c r="R162" s="449">
        <f>($H162-SUM($L162:Q162))/R$694</f>
        <v>0</v>
      </c>
      <c r="S162" s="449">
        <f>($H162-SUM($L162:R162))/S$694</f>
        <v>0</v>
      </c>
      <c r="T162" s="449">
        <f>($H162-SUM($L162:S162))/T$694</f>
        <v>0</v>
      </c>
      <c r="U162" s="449">
        <f>($H162-SUM($L162:T162))/U$694</f>
        <v>0</v>
      </c>
      <c r="V162" s="449">
        <f>($H162-SUM($L162:U162))/V$694</f>
        <v>0</v>
      </c>
      <c r="W162" s="449">
        <f>($H162-SUM($L162:V162))/W$694</f>
        <v>0</v>
      </c>
      <c r="X162" s="449"/>
      <c r="Y162" s="449">
        <f t="shared" si="192"/>
        <v>0</v>
      </c>
      <c r="Z162" s="531"/>
      <c r="AA162" s="449">
        <f t="shared" si="193"/>
        <v>0</v>
      </c>
      <c r="AB162" s="449">
        <f t="shared" si="193"/>
        <v>0</v>
      </c>
      <c r="AC162" s="449">
        <f t="shared" si="193"/>
        <v>0</v>
      </c>
      <c r="AD162" s="449">
        <f t="shared" si="193"/>
        <v>0</v>
      </c>
      <c r="AE162" s="449">
        <f t="shared" si="193"/>
        <v>0</v>
      </c>
      <c r="AF162" s="449">
        <f t="shared" si="193"/>
        <v>0</v>
      </c>
      <c r="AG162" s="449">
        <f t="shared" si="193"/>
        <v>0</v>
      </c>
      <c r="AH162" s="449">
        <f t="shared" si="193"/>
        <v>0</v>
      </c>
      <c r="AI162" s="449">
        <f t="shared" si="193"/>
        <v>0</v>
      </c>
      <c r="AJ162" s="449">
        <f t="shared" si="193"/>
        <v>0</v>
      </c>
      <c r="AK162" s="449">
        <f t="shared" si="193"/>
        <v>0</v>
      </c>
      <c r="AL162" s="449">
        <f t="shared" si="193"/>
        <v>0</v>
      </c>
      <c r="AN162" s="500">
        <f t="shared" si="194"/>
        <v>0</v>
      </c>
      <c r="AO162" s="449">
        <f t="shared" si="195"/>
        <v>0</v>
      </c>
      <c r="AP162" s="449">
        <f t="shared" si="196"/>
        <v>0</v>
      </c>
      <c r="AQ162" s="453" t="str">
        <f t="shared" si="197"/>
        <v>-</v>
      </c>
      <c r="AR162" s="449">
        <f t="shared" si="198"/>
        <v>0</v>
      </c>
      <c r="AS162" s="449">
        <f t="shared" si="199"/>
        <v>0</v>
      </c>
      <c r="AT162" s="426">
        <f t="shared" si="200"/>
        <v>0</v>
      </c>
      <c r="AU162" s="421"/>
      <c r="AV162" s="449">
        <f t="shared" si="201"/>
        <v>0</v>
      </c>
      <c r="AW162" s="449">
        <f t="shared" si="201"/>
        <v>0</v>
      </c>
      <c r="AX162" s="449">
        <f t="shared" si="201"/>
        <v>0</v>
      </c>
      <c r="AY162" s="449">
        <f t="shared" si="201"/>
        <v>0</v>
      </c>
      <c r="AZ162" s="449">
        <f t="shared" si="201"/>
        <v>0</v>
      </c>
      <c r="BA162" s="449">
        <f t="shared" si="201"/>
        <v>0</v>
      </c>
      <c r="BB162" s="449">
        <f t="shared" si="201"/>
        <v>0</v>
      </c>
      <c r="BC162" s="449">
        <f t="shared" si="201"/>
        <v>0</v>
      </c>
      <c r="BD162" s="449">
        <f t="shared" si="201"/>
        <v>0</v>
      </c>
      <c r="BE162" s="449">
        <f t="shared" si="201"/>
        <v>0</v>
      </c>
      <c r="BF162" s="449">
        <f t="shared" si="201"/>
        <v>0</v>
      </c>
      <c r="BG162" s="449">
        <f t="shared" si="201"/>
        <v>0</v>
      </c>
      <c r="BH162" s="400"/>
      <c r="BI162" s="449">
        <v>0</v>
      </c>
      <c r="BJ162" s="449">
        <v>0</v>
      </c>
      <c r="BK162" s="449">
        <v>0</v>
      </c>
      <c r="BL162" s="449">
        <v>0</v>
      </c>
      <c r="BM162" s="449">
        <v>0</v>
      </c>
      <c r="BN162" s="449">
        <v>0</v>
      </c>
      <c r="BO162" s="449">
        <v>0</v>
      </c>
      <c r="BP162" s="449">
        <v>0</v>
      </c>
      <c r="BQ162" s="449">
        <v>0</v>
      </c>
      <c r="BR162" s="449">
        <v>0</v>
      </c>
      <c r="BS162" s="449">
        <v>0</v>
      </c>
      <c r="BT162" s="449">
        <v>0</v>
      </c>
    </row>
    <row r="163" spans="1:72" ht="15" x14ac:dyDescent="0.25">
      <c r="A163" s="502" t="s">
        <v>254</v>
      </c>
      <c r="B163" s="502" t="s">
        <v>255</v>
      </c>
      <c r="C163" s="541"/>
      <c r="D163" s="500">
        <f t="shared" si="187"/>
        <v>1392</v>
      </c>
      <c r="E163" s="449">
        <v>1392</v>
      </c>
      <c r="F163" s="449">
        <f t="shared" si="188"/>
        <v>0</v>
      </c>
      <c r="G163" s="421">
        <f t="shared" si="189"/>
        <v>0</v>
      </c>
      <c r="H163" s="449">
        <v>1392</v>
      </c>
      <c r="I163" s="449">
        <f t="shared" si="190"/>
        <v>0</v>
      </c>
      <c r="J163" s="426">
        <f t="shared" si="191"/>
        <v>0</v>
      </c>
      <c r="K163" s="421"/>
      <c r="L163" s="449">
        <v>0</v>
      </c>
      <c r="M163" s="449">
        <v>0</v>
      </c>
      <c r="N163" s="449">
        <v>0</v>
      </c>
      <c r="O163" s="449">
        <v>120</v>
      </c>
      <c r="P163" s="449">
        <v>0</v>
      </c>
      <c r="Q163" s="449">
        <v>0</v>
      </c>
      <c r="R163" s="449">
        <f>($H163-SUM($L163:Q163))/R$694</f>
        <v>212</v>
      </c>
      <c r="S163" s="449">
        <f>($H163-SUM($L163:R163))/S$694</f>
        <v>212</v>
      </c>
      <c r="T163" s="449">
        <f>($H163-SUM($L163:S163))/T$694</f>
        <v>212</v>
      </c>
      <c r="U163" s="449">
        <f>($H163-SUM($L163:T163))/U$694</f>
        <v>212</v>
      </c>
      <c r="V163" s="449">
        <f>($H163-SUM($L163:U163))/V$694</f>
        <v>212</v>
      </c>
      <c r="W163" s="449">
        <f>($H163-SUM($L163:V163))/W$694</f>
        <v>212</v>
      </c>
      <c r="X163" s="449"/>
      <c r="Y163" s="449">
        <f t="shared" si="192"/>
        <v>1392</v>
      </c>
      <c r="Z163" s="531"/>
      <c r="AA163" s="449">
        <f t="shared" ref="AA163:AL178" si="202">IFERROR($H163/12,0)</f>
        <v>116</v>
      </c>
      <c r="AB163" s="449">
        <f t="shared" si="202"/>
        <v>116</v>
      </c>
      <c r="AC163" s="449">
        <f t="shared" si="202"/>
        <v>116</v>
      </c>
      <c r="AD163" s="449">
        <f t="shared" si="202"/>
        <v>116</v>
      </c>
      <c r="AE163" s="449">
        <f t="shared" si="202"/>
        <v>116</v>
      </c>
      <c r="AF163" s="449">
        <f t="shared" si="202"/>
        <v>116</v>
      </c>
      <c r="AG163" s="449">
        <f t="shared" si="202"/>
        <v>116</v>
      </c>
      <c r="AH163" s="449">
        <f t="shared" si="202"/>
        <v>116</v>
      </c>
      <c r="AI163" s="449">
        <f t="shared" si="202"/>
        <v>116</v>
      </c>
      <c r="AJ163" s="449">
        <f t="shared" si="202"/>
        <v>116</v>
      </c>
      <c r="AK163" s="449">
        <f t="shared" si="202"/>
        <v>116</v>
      </c>
      <c r="AL163" s="449">
        <f t="shared" si="202"/>
        <v>116</v>
      </c>
      <c r="AN163" s="500">
        <f t="shared" si="194"/>
        <v>1392</v>
      </c>
      <c r="AO163" s="449">
        <f t="shared" si="195"/>
        <v>4699.1400000000012</v>
      </c>
      <c r="AP163" s="449">
        <f t="shared" si="196"/>
        <v>3307.1400000000012</v>
      </c>
      <c r="AQ163" s="453">
        <f t="shared" si="197"/>
        <v>2.3758189655172424</v>
      </c>
      <c r="AR163" s="449">
        <f t="shared" si="198"/>
        <v>4699.1400000000012</v>
      </c>
      <c r="AS163" s="449">
        <f t="shared" si="199"/>
        <v>0</v>
      </c>
      <c r="AT163" s="426">
        <f t="shared" si="200"/>
        <v>0</v>
      </c>
      <c r="AU163" s="421"/>
      <c r="AV163" s="449">
        <f t="shared" si="201"/>
        <v>0</v>
      </c>
      <c r="AW163" s="449">
        <f t="shared" si="201"/>
        <v>391.59500000000003</v>
      </c>
      <c r="AX163" s="449">
        <f t="shared" si="201"/>
        <v>391.59500000000003</v>
      </c>
      <c r="AY163" s="449">
        <f t="shared" si="201"/>
        <v>391.59500000000003</v>
      </c>
      <c r="AZ163" s="449">
        <f t="shared" si="201"/>
        <v>391.59500000000003</v>
      </c>
      <c r="BA163" s="449">
        <f t="shared" si="201"/>
        <v>391.59500000000003</v>
      </c>
      <c r="BB163" s="449">
        <f t="shared" si="201"/>
        <v>391.59500000000003</v>
      </c>
      <c r="BC163" s="449">
        <f t="shared" si="201"/>
        <v>391.59500000000003</v>
      </c>
      <c r="BD163" s="449">
        <f t="shared" si="201"/>
        <v>391.59500000000003</v>
      </c>
      <c r="BE163" s="449">
        <f t="shared" si="201"/>
        <v>391.59500000000003</v>
      </c>
      <c r="BF163" s="449">
        <f t="shared" si="201"/>
        <v>391.59500000000003</v>
      </c>
      <c r="BG163" s="449">
        <f t="shared" si="201"/>
        <v>783.19</v>
      </c>
      <c r="BH163" s="400"/>
      <c r="BI163" s="449">
        <v>0</v>
      </c>
      <c r="BJ163" s="449">
        <f>SUM('FY19 Staffing V1-1 (3)'!$S$89,'FY19 Staffing V1-1 (3)'!$S$95,'FY19 Staffing V1-1 (3)'!$S$255)/12</f>
        <v>391.59500000000003</v>
      </c>
      <c r="BK163" s="449">
        <f>SUM('FY19 Staffing V1-1 (3)'!$S$89,'FY19 Staffing V1-1 (3)'!$S$95,'FY19 Staffing V1-1 (3)'!$S$255)/12</f>
        <v>391.59500000000003</v>
      </c>
      <c r="BL163" s="449">
        <f>SUM('FY19 Staffing V1-1 (3)'!$S$89,'FY19 Staffing V1-1 (3)'!$S$95,'FY19 Staffing V1-1 (3)'!$S$255)/12</f>
        <v>391.59500000000003</v>
      </c>
      <c r="BM163" s="449">
        <f>SUM('FY19 Staffing V1-1 (3)'!$S$89,'FY19 Staffing V1-1 (3)'!$S$95,'FY19 Staffing V1-1 (3)'!$S$255)/12</f>
        <v>391.59500000000003</v>
      </c>
      <c r="BN163" s="449">
        <f>SUM('FY19 Staffing V1-1 (3)'!$S$89,'FY19 Staffing V1-1 (3)'!$S$95,'FY19 Staffing V1-1 (3)'!$S$255)/12</f>
        <v>391.59500000000003</v>
      </c>
      <c r="BO163" s="449">
        <f>SUM('FY19 Staffing V1-1 (3)'!$S$89,'FY19 Staffing V1-1 (3)'!$S$95,'FY19 Staffing V1-1 (3)'!$S$255)/12</f>
        <v>391.59500000000003</v>
      </c>
      <c r="BP163" s="449">
        <f>SUM('FY19 Staffing V1-1 (3)'!$S$89,'FY19 Staffing V1-1 (3)'!$S$95,'FY19 Staffing V1-1 (3)'!$S$255)/12</f>
        <v>391.59500000000003</v>
      </c>
      <c r="BQ163" s="449">
        <f>SUM('FY19 Staffing V1-1 (3)'!$S$89,'FY19 Staffing V1-1 (3)'!$S$95,'FY19 Staffing V1-1 (3)'!$S$255)/12</f>
        <v>391.59500000000003</v>
      </c>
      <c r="BR163" s="449">
        <f>SUM('FY19 Staffing V1-1 (3)'!$S$89,'FY19 Staffing V1-1 (3)'!$S$95,'FY19 Staffing V1-1 (3)'!$S$255)/12</f>
        <v>391.59500000000003</v>
      </c>
      <c r="BS163" s="449">
        <f>SUM('FY19 Staffing V1-1 (3)'!$S$89,'FY19 Staffing V1-1 (3)'!$S$95,'FY19 Staffing V1-1 (3)'!$S$255)/12</f>
        <v>391.59500000000003</v>
      </c>
      <c r="BT163" s="449">
        <f>SUM('FY19 Staffing V1-1 (3)'!$S$89,'FY19 Staffing V1-1 (3)'!$S$95,'FY19 Staffing V1-1 (3)'!$S$255)/12*2</f>
        <v>783.19</v>
      </c>
    </row>
    <row r="164" spans="1:72" ht="15" x14ac:dyDescent="0.25">
      <c r="A164" s="502" t="s">
        <v>256</v>
      </c>
      <c r="B164" s="502" t="s">
        <v>257</v>
      </c>
      <c r="C164" s="541"/>
      <c r="D164" s="500">
        <f t="shared" si="187"/>
        <v>10568</v>
      </c>
      <c r="E164" s="449">
        <v>7681</v>
      </c>
      <c r="F164" s="449">
        <f t="shared" si="188"/>
        <v>2887</v>
      </c>
      <c r="G164" s="421">
        <f t="shared" si="189"/>
        <v>0.37586251790131492</v>
      </c>
      <c r="H164" s="449">
        <v>10568</v>
      </c>
      <c r="I164" s="449">
        <f t="shared" si="190"/>
        <v>0</v>
      </c>
      <c r="J164" s="426">
        <f t="shared" si="191"/>
        <v>0</v>
      </c>
      <c r="K164" s="421"/>
      <c r="L164" s="449">
        <v>0</v>
      </c>
      <c r="M164" s="449">
        <v>152.11000000000001</v>
      </c>
      <c r="N164" s="449">
        <v>133.09999999999997</v>
      </c>
      <c r="O164" s="449">
        <v>126.76000000000005</v>
      </c>
      <c r="P164" s="449">
        <v>126.75999999999999</v>
      </c>
      <c r="Q164" s="449">
        <v>158.44999999999993</v>
      </c>
      <c r="R164" s="449">
        <f>($H164-SUM($L164:Q164))/R$694</f>
        <v>1645.1366666666665</v>
      </c>
      <c r="S164" s="449">
        <f>($H164-SUM($L164:R164))/S$694</f>
        <v>1645.1366666666668</v>
      </c>
      <c r="T164" s="449">
        <f>($H164-SUM($L164:S164))/T$694</f>
        <v>1645.1366666666668</v>
      </c>
      <c r="U164" s="449">
        <f>($H164-SUM($L164:T164))/U$694</f>
        <v>1645.1366666666665</v>
      </c>
      <c r="V164" s="449">
        <f>($H164-SUM($L164:U164))/V$694</f>
        <v>1645.1366666666668</v>
      </c>
      <c r="W164" s="449">
        <f>($H164-SUM($L164:V164))/W$694</f>
        <v>1645.1366666666672</v>
      </c>
      <c r="X164" s="449"/>
      <c r="Y164" s="449">
        <f t="shared" si="192"/>
        <v>10568</v>
      </c>
      <c r="Z164" s="531"/>
      <c r="AA164" s="449">
        <f t="shared" si="202"/>
        <v>880.66666666666663</v>
      </c>
      <c r="AB164" s="449">
        <f t="shared" si="202"/>
        <v>880.66666666666663</v>
      </c>
      <c r="AC164" s="449">
        <f t="shared" si="202"/>
        <v>880.66666666666663</v>
      </c>
      <c r="AD164" s="449">
        <f t="shared" si="202"/>
        <v>880.66666666666663</v>
      </c>
      <c r="AE164" s="449">
        <f t="shared" si="202"/>
        <v>880.66666666666663</v>
      </c>
      <c r="AF164" s="449">
        <f t="shared" si="202"/>
        <v>880.66666666666663</v>
      </c>
      <c r="AG164" s="449">
        <f t="shared" si="202"/>
        <v>880.66666666666663</v>
      </c>
      <c r="AH164" s="449">
        <f t="shared" si="202"/>
        <v>880.66666666666663</v>
      </c>
      <c r="AI164" s="449">
        <f t="shared" si="202"/>
        <v>880.66666666666663</v>
      </c>
      <c r="AJ164" s="449">
        <f t="shared" si="202"/>
        <v>880.66666666666663</v>
      </c>
      <c r="AK164" s="449">
        <f t="shared" si="202"/>
        <v>880.66666666666663</v>
      </c>
      <c r="AL164" s="449">
        <f t="shared" si="202"/>
        <v>880.66666666666663</v>
      </c>
      <c r="AN164" s="500">
        <f t="shared" si="194"/>
        <v>10568</v>
      </c>
      <c r="AO164" s="449">
        <f t="shared" si="195"/>
        <v>12010.35</v>
      </c>
      <c r="AP164" s="449">
        <f t="shared" si="196"/>
        <v>1442.3500000000004</v>
      </c>
      <c r="AQ164" s="453">
        <f t="shared" si="197"/>
        <v>0.13648277819833463</v>
      </c>
      <c r="AR164" s="449">
        <f t="shared" si="198"/>
        <v>12010.35</v>
      </c>
      <c r="AS164" s="449">
        <f t="shared" si="199"/>
        <v>0</v>
      </c>
      <c r="AT164" s="426">
        <f t="shared" si="200"/>
        <v>0</v>
      </c>
      <c r="AU164" s="421"/>
      <c r="AV164" s="449">
        <f t="shared" si="201"/>
        <v>0</v>
      </c>
      <c r="AW164" s="449">
        <f t="shared" si="201"/>
        <v>1000.8625000000002</v>
      </c>
      <c r="AX164" s="449">
        <f t="shared" si="201"/>
        <v>1000.8625000000002</v>
      </c>
      <c r="AY164" s="449">
        <f t="shared" si="201"/>
        <v>1000.8625000000002</v>
      </c>
      <c r="AZ164" s="449">
        <f t="shared" si="201"/>
        <v>1000.8625000000002</v>
      </c>
      <c r="BA164" s="449">
        <f t="shared" si="201"/>
        <v>1000.8625000000002</v>
      </c>
      <c r="BB164" s="449">
        <f t="shared" si="201"/>
        <v>1000.8625000000002</v>
      </c>
      <c r="BC164" s="449">
        <f t="shared" si="201"/>
        <v>1000.8625000000002</v>
      </c>
      <c r="BD164" s="449">
        <f t="shared" si="201"/>
        <v>1000.8625000000002</v>
      </c>
      <c r="BE164" s="449">
        <f t="shared" si="201"/>
        <v>1000.8625000000002</v>
      </c>
      <c r="BF164" s="449">
        <f t="shared" si="201"/>
        <v>1000.8625000000002</v>
      </c>
      <c r="BG164" s="449">
        <f t="shared" si="201"/>
        <v>2001.7250000000004</v>
      </c>
      <c r="BH164" s="400"/>
      <c r="BI164" s="449">
        <v>0</v>
      </c>
      <c r="BJ164" s="449">
        <f>SUM('FY19 Staffing V1-1 (3)'!$S$90:$S$94,'FY19 Staffing V1-1 (3)'!$S$96:$S$97,'FY19 Staffing V1-1 (3)'!$S$256)/12</f>
        <v>1000.8625000000002</v>
      </c>
      <c r="BK164" s="449">
        <f>SUM('FY19 Staffing V1-1 (3)'!$S$90:$S$94,'FY19 Staffing V1-1 (3)'!$S$96:$S$97,'FY19 Staffing V1-1 (3)'!$S$256)/12</f>
        <v>1000.8625000000002</v>
      </c>
      <c r="BL164" s="449">
        <f>SUM('FY19 Staffing V1-1 (3)'!$S$90:$S$94,'FY19 Staffing V1-1 (3)'!$S$96:$S$97,'FY19 Staffing V1-1 (3)'!$S$256)/12</f>
        <v>1000.8625000000002</v>
      </c>
      <c r="BM164" s="449">
        <f>SUM('FY19 Staffing V1-1 (3)'!$S$90:$S$94,'FY19 Staffing V1-1 (3)'!$S$96:$S$97,'FY19 Staffing V1-1 (3)'!$S$256)/12</f>
        <v>1000.8625000000002</v>
      </c>
      <c r="BN164" s="449">
        <f>SUM('FY19 Staffing V1-1 (3)'!$S$90:$S$94,'FY19 Staffing V1-1 (3)'!$S$96:$S$97,'FY19 Staffing V1-1 (3)'!$S$256)/12</f>
        <v>1000.8625000000002</v>
      </c>
      <c r="BO164" s="449">
        <f>SUM('FY19 Staffing V1-1 (3)'!$S$90:$S$94,'FY19 Staffing V1-1 (3)'!$S$96:$S$97,'FY19 Staffing V1-1 (3)'!$S$256)/12</f>
        <v>1000.8625000000002</v>
      </c>
      <c r="BP164" s="449">
        <f>SUM('FY19 Staffing V1-1 (3)'!$S$90:$S$94,'FY19 Staffing V1-1 (3)'!$S$96:$S$97,'FY19 Staffing V1-1 (3)'!$S$256)/12</f>
        <v>1000.8625000000002</v>
      </c>
      <c r="BQ164" s="449">
        <f>SUM('FY19 Staffing V1-1 (3)'!$S$90:$S$94,'FY19 Staffing V1-1 (3)'!$S$96:$S$97,'FY19 Staffing V1-1 (3)'!$S$256)/12</f>
        <v>1000.8625000000002</v>
      </c>
      <c r="BR164" s="449">
        <f>SUM('FY19 Staffing V1-1 (3)'!$S$90:$S$94,'FY19 Staffing V1-1 (3)'!$S$96:$S$97,'FY19 Staffing V1-1 (3)'!$S$256)/12</f>
        <v>1000.8625000000002</v>
      </c>
      <c r="BS164" s="449">
        <f>SUM('FY19 Staffing V1-1 (3)'!$S$90:$S$94,'FY19 Staffing V1-1 (3)'!$S$96:$S$97,'FY19 Staffing V1-1 (3)'!$S$256)/12</f>
        <v>1000.8625000000002</v>
      </c>
      <c r="BT164" s="449">
        <f>SUM('FY19 Staffing V1-1 (3)'!$S$90:$S$94,'FY19 Staffing V1-1 (3)'!$S$96:$S$97,'FY19 Staffing V1-1 (3)'!$S$256)/12*2</f>
        <v>2001.7250000000004</v>
      </c>
    </row>
    <row r="165" spans="1:72" ht="15" x14ac:dyDescent="0.25">
      <c r="A165" s="502" t="s">
        <v>258</v>
      </c>
      <c r="B165" s="502" t="s">
        <v>259</v>
      </c>
      <c r="C165" s="541"/>
      <c r="D165" s="500">
        <f t="shared" si="187"/>
        <v>396</v>
      </c>
      <c r="E165" s="449">
        <v>396</v>
      </c>
      <c r="F165" s="449">
        <f t="shared" si="188"/>
        <v>0</v>
      </c>
      <c r="G165" s="421">
        <f t="shared" si="189"/>
        <v>0</v>
      </c>
      <c r="H165" s="449">
        <v>396</v>
      </c>
      <c r="I165" s="449">
        <f t="shared" si="190"/>
        <v>0</v>
      </c>
      <c r="J165" s="426">
        <f t="shared" si="191"/>
        <v>0</v>
      </c>
      <c r="K165" s="421"/>
      <c r="L165" s="449">
        <v>0</v>
      </c>
      <c r="M165" s="449">
        <v>0</v>
      </c>
      <c r="N165" s="449">
        <v>0</v>
      </c>
      <c r="O165" s="449">
        <v>240</v>
      </c>
      <c r="P165" s="449">
        <v>0</v>
      </c>
      <c r="Q165" s="449">
        <v>117.19999999999999</v>
      </c>
      <c r="R165" s="449">
        <f>($H165-SUM($L165:Q165))/R$694</f>
        <v>6.4666666666666686</v>
      </c>
      <c r="S165" s="449">
        <f>($H165-SUM($L165:R165))/S$694</f>
        <v>6.4666666666666739</v>
      </c>
      <c r="T165" s="449">
        <f>($H165-SUM($L165:S165))/T$694</f>
        <v>6.4666666666666686</v>
      </c>
      <c r="U165" s="449">
        <f>($H165-SUM($L165:T165))/U$694</f>
        <v>6.4666666666666588</v>
      </c>
      <c r="V165" s="449">
        <f>($H165-SUM($L165:U165))/V$694</f>
        <v>6.4666666666666686</v>
      </c>
      <c r="W165" s="449">
        <f>($H165-SUM($L165:V165))/W$694</f>
        <v>6.466666666666697</v>
      </c>
      <c r="X165" s="449"/>
      <c r="Y165" s="449">
        <f t="shared" si="192"/>
        <v>396</v>
      </c>
      <c r="Z165" s="531"/>
      <c r="AA165" s="449">
        <f t="shared" si="202"/>
        <v>33</v>
      </c>
      <c r="AB165" s="449">
        <f t="shared" si="202"/>
        <v>33</v>
      </c>
      <c r="AC165" s="449">
        <f t="shared" si="202"/>
        <v>33</v>
      </c>
      <c r="AD165" s="449">
        <f t="shared" si="202"/>
        <v>33</v>
      </c>
      <c r="AE165" s="449">
        <f t="shared" si="202"/>
        <v>33</v>
      </c>
      <c r="AF165" s="449">
        <f t="shared" si="202"/>
        <v>33</v>
      </c>
      <c r="AG165" s="449">
        <f t="shared" si="202"/>
        <v>33</v>
      </c>
      <c r="AH165" s="449">
        <f t="shared" si="202"/>
        <v>33</v>
      </c>
      <c r="AI165" s="449">
        <f t="shared" si="202"/>
        <v>33</v>
      </c>
      <c r="AJ165" s="449">
        <f t="shared" si="202"/>
        <v>33</v>
      </c>
      <c r="AK165" s="449">
        <f t="shared" si="202"/>
        <v>33</v>
      </c>
      <c r="AL165" s="449">
        <f t="shared" si="202"/>
        <v>33</v>
      </c>
      <c r="AN165" s="500">
        <f t="shared" si="194"/>
        <v>396</v>
      </c>
      <c r="AO165" s="449">
        <f t="shared" si="195"/>
        <v>0</v>
      </c>
      <c r="AP165" s="449">
        <f t="shared" si="196"/>
        <v>-396</v>
      </c>
      <c r="AQ165" s="453">
        <f t="shared" si="197"/>
        <v>-1</v>
      </c>
      <c r="AR165" s="449">
        <f t="shared" si="198"/>
        <v>0</v>
      </c>
      <c r="AS165" s="449">
        <f t="shared" si="199"/>
        <v>0</v>
      </c>
      <c r="AT165" s="426">
        <f t="shared" si="200"/>
        <v>0</v>
      </c>
      <c r="AU165" s="421"/>
      <c r="AV165" s="449">
        <f t="shared" si="201"/>
        <v>0</v>
      </c>
      <c r="AW165" s="449">
        <f t="shared" si="201"/>
        <v>0</v>
      </c>
      <c r="AX165" s="449">
        <f t="shared" si="201"/>
        <v>0</v>
      </c>
      <c r="AY165" s="449">
        <f t="shared" si="201"/>
        <v>0</v>
      </c>
      <c r="AZ165" s="449">
        <f t="shared" si="201"/>
        <v>0</v>
      </c>
      <c r="BA165" s="449">
        <f t="shared" si="201"/>
        <v>0</v>
      </c>
      <c r="BB165" s="449">
        <f t="shared" si="201"/>
        <v>0</v>
      </c>
      <c r="BC165" s="449">
        <f t="shared" si="201"/>
        <v>0</v>
      </c>
      <c r="BD165" s="449">
        <f t="shared" si="201"/>
        <v>0</v>
      </c>
      <c r="BE165" s="449">
        <f t="shared" si="201"/>
        <v>0</v>
      </c>
      <c r="BF165" s="449">
        <f t="shared" si="201"/>
        <v>0</v>
      </c>
      <c r="BG165" s="449">
        <f t="shared" si="201"/>
        <v>0</v>
      </c>
      <c r="BH165" s="400"/>
      <c r="BI165" s="449">
        <v>0</v>
      </c>
      <c r="BJ165" s="449">
        <v>0</v>
      </c>
      <c r="BK165" s="449">
        <v>0</v>
      </c>
      <c r="BL165" s="449">
        <v>0</v>
      </c>
      <c r="BM165" s="449">
        <v>0</v>
      </c>
      <c r="BN165" s="449">
        <v>0</v>
      </c>
      <c r="BO165" s="449">
        <v>0</v>
      </c>
      <c r="BP165" s="449">
        <v>0</v>
      </c>
      <c r="BQ165" s="449">
        <v>0</v>
      </c>
      <c r="BR165" s="449">
        <v>0</v>
      </c>
      <c r="BS165" s="449">
        <v>0</v>
      </c>
      <c r="BT165" s="449">
        <v>0</v>
      </c>
    </row>
    <row r="166" spans="1:72" ht="15" x14ac:dyDescent="0.25">
      <c r="A166" s="537" t="s">
        <v>260</v>
      </c>
      <c r="B166" s="537" t="s">
        <v>261</v>
      </c>
      <c r="C166" s="541"/>
      <c r="D166" s="500">
        <f t="shared" si="187"/>
        <v>0</v>
      </c>
      <c r="E166" s="449">
        <v>0</v>
      </c>
      <c r="F166" s="449">
        <f t="shared" si="188"/>
        <v>0</v>
      </c>
      <c r="G166" s="421">
        <f t="shared" si="189"/>
        <v>0</v>
      </c>
      <c r="H166" s="449">
        <v>0</v>
      </c>
      <c r="I166" s="449">
        <f t="shared" si="190"/>
        <v>0</v>
      </c>
      <c r="J166" s="426">
        <f t="shared" si="191"/>
        <v>0</v>
      </c>
      <c r="K166" s="421"/>
      <c r="L166" s="449">
        <v>0</v>
      </c>
      <c r="M166" s="449">
        <v>0</v>
      </c>
      <c r="N166" s="449">
        <v>0</v>
      </c>
      <c r="O166" s="449">
        <v>0</v>
      </c>
      <c r="P166" s="449">
        <v>0</v>
      </c>
      <c r="Q166" s="449">
        <v>0</v>
      </c>
      <c r="R166" s="449">
        <f>($H166-SUM($L166:Q166))/R$694</f>
        <v>0</v>
      </c>
      <c r="S166" s="449">
        <f>($H166-SUM($L166:R166))/S$694</f>
        <v>0</v>
      </c>
      <c r="T166" s="449">
        <f>($H166-SUM($L166:S166))/T$694</f>
        <v>0</v>
      </c>
      <c r="U166" s="449">
        <f>($H166-SUM($L166:T166))/U$694</f>
        <v>0</v>
      </c>
      <c r="V166" s="449">
        <f>($H166-SUM($L166:U166))/V$694</f>
        <v>0</v>
      </c>
      <c r="W166" s="449">
        <f>($H166-SUM($L166:V166))/W$694</f>
        <v>0</v>
      </c>
      <c r="X166" s="449"/>
      <c r="Y166" s="449">
        <f t="shared" si="192"/>
        <v>0</v>
      </c>
      <c r="Z166" s="531"/>
      <c r="AA166" s="449">
        <f t="shared" si="202"/>
        <v>0</v>
      </c>
      <c r="AB166" s="449">
        <f t="shared" si="202"/>
        <v>0</v>
      </c>
      <c r="AC166" s="449">
        <f t="shared" si="202"/>
        <v>0</v>
      </c>
      <c r="AD166" s="449">
        <f t="shared" si="202"/>
        <v>0</v>
      </c>
      <c r="AE166" s="449">
        <f t="shared" si="202"/>
        <v>0</v>
      </c>
      <c r="AF166" s="449">
        <f t="shared" si="202"/>
        <v>0</v>
      </c>
      <c r="AG166" s="449">
        <f t="shared" si="202"/>
        <v>0</v>
      </c>
      <c r="AH166" s="449">
        <f t="shared" si="202"/>
        <v>0</v>
      </c>
      <c r="AI166" s="449">
        <f t="shared" si="202"/>
        <v>0</v>
      </c>
      <c r="AJ166" s="449">
        <f t="shared" si="202"/>
        <v>0</v>
      </c>
      <c r="AK166" s="449">
        <f t="shared" si="202"/>
        <v>0</v>
      </c>
      <c r="AL166" s="449">
        <f t="shared" si="202"/>
        <v>0</v>
      </c>
      <c r="AN166" s="500">
        <f t="shared" si="194"/>
        <v>0</v>
      </c>
      <c r="AO166" s="449">
        <f t="shared" si="195"/>
        <v>860</v>
      </c>
      <c r="AP166" s="449">
        <f t="shared" si="196"/>
        <v>860</v>
      </c>
      <c r="AQ166" s="453" t="str">
        <f t="shared" si="197"/>
        <v>-</v>
      </c>
      <c r="AR166" s="449">
        <f t="shared" si="198"/>
        <v>860</v>
      </c>
      <c r="AS166" s="449">
        <f t="shared" si="199"/>
        <v>0</v>
      </c>
      <c r="AT166" s="426">
        <f t="shared" si="200"/>
        <v>0</v>
      </c>
      <c r="AU166" s="421"/>
      <c r="AV166" s="449">
        <f t="shared" si="201"/>
        <v>0</v>
      </c>
      <c r="AW166" s="449">
        <f t="shared" si="201"/>
        <v>0</v>
      </c>
      <c r="AX166" s="449">
        <f t="shared" si="201"/>
        <v>0</v>
      </c>
      <c r="AY166" s="449">
        <f t="shared" si="201"/>
        <v>430</v>
      </c>
      <c r="AZ166" s="449">
        <f t="shared" si="201"/>
        <v>0</v>
      </c>
      <c r="BA166" s="449">
        <f t="shared" si="201"/>
        <v>0</v>
      </c>
      <c r="BB166" s="449">
        <f t="shared" si="201"/>
        <v>0</v>
      </c>
      <c r="BC166" s="449">
        <f t="shared" si="201"/>
        <v>0</v>
      </c>
      <c r="BD166" s="449">
        <f t="shared" si="201"/>
        <v>0</v>
      </c>
      <c r="BE166" s="449">
        <f t="shared" si="201"/>
        <v>430</v>
      </c>
      <c r="BF166" s="449">
        <f t="shared" si="201"/>
        <v>0</v>
      </c>
      <c r="BG166" s="449">
        <f t="shared" si="201"/>
        <v>0</v>
      </c>
      <c r="BH166" s="400"/>
      <c r="BI166" s="449">
        <v>0</v>
      </c>
      <c r="BJ166" s="449">
        <v>0</v>
      </c>
      <c r="BK166" s="449">
        <v>0</v>
      </c>
      <c r="BL166" s="449">
        <f>SUM('FY19 Staffing V1-1 (3)'!$S$63,'FY19 Staffing V1-1 (3)'!$S$80)/2</f>
        <v>430</v>
      </c>
      <c r="BM166" s="449">
        <v>0</v>
      </c>
      <c r="BN166" s="449">
        <v>0</v>
      </c>
      <c r="BO166" s="449">
        <v>0</v>
      </c>
      <c r="BP166" s="449">
        <v>0</v>
      </c>
      <c r="BQ166" s="449">
        <v>0</v>
      </c>
      <c r="BR166" s="449">
        <f>SUM('FY19 Staffing V1-1 (3)'!$S$63,'FY19 Staffing V1-1 (3)'!$S$80)/2</f>
        <v>430</v>
      </c>
      <c r="BS166" s="449">
        <v>0</v>
      </c>
      <c r="BT166" s="449">
        <v>0</v>
      </c>
    </row>
    <row r="167" spans="1:72" ht="15" x14ac:dyDescent="0.25">
      <c r="A167" s="502" t="s">
        <v>262</v>
      </c>
      <c r="B167" s="502" t="s">
        <v>263</v>
      </c>
      <c r="C167" s="538" t="s">
        <v>264</v>
      </c>
      <c r="D167" s="500">
        <f t="shared" si="187"/>
        <v>37000</v>
      </c>
      <c r="E167" s="449">
        <v>36973</v>
      </c>
      <c r="F167" s="449">
        <f t="shared" si="188"/>
        <v>27</v>
      </c>
      <c r="G167" s="421">
        <f t="shared" si="189"/>
        <v>7.3026262407702917E-4</v>
      </c>
      <c r="H167" s="449">
        <v>37000</v>
      </c>
      <c r="I167" s="449">
        <f t="shared" si="190"/>
        <v>0</v>
      </c>
      <c r="J167" s="426">
        <f t="shared" si="191"/>
        <v>0</v>
      </c>
      <c r="K167" s="421"/>
      <c r="L167" s="449">
        <v>8552.4</v>
      </c>
      <c r="M167" s="449">
        <v>0</v>
      </c>
      <c r="N167" s="449">
        <v>0</v>
      </c>
      <c r="O167" s="449">
        <v>0</v>
      </c>
      <c r="P167" s="449">
        <v>0</v>
      </c>
      <c r="Q167" s="449">
        <v>0</v>
      </c>
      <c r="R167" s="449">
        <f>($H167-SUM($L167:Q167))/R$694</f>
        <v>4741.2666666666664</v>
      </c>
      <c r="S167" s="449">
        <f>($H167-SUM($L167:R167))/S$694</f>
        <v>4741.2666666666673</v>
      </c>
      <c r="T167" s="449">
        <f>($H167-SUM($L167:S167))/T$694</f>
        <v>4741.2666666666664</v>
      </c>
      <c r="U167" s="449">
        <f>($H167-SUM($L167:T167))/U$694</f>
        <v>4741.2666666666664</v>
      </c>
      <c r="V167" s="449">
        <f>($H167-SUM($L167:U167))/V$694</f>
        <v>4741.2666666666664</v>
      </c>
      <c r="W167" s="449">
        <f>($H167-SUM($L167:V167))/W$694</f>
        <v>4741.2666666666664</v>
      </c>
      <c r="X167" s="449"/>
      <c r="Y167" s="449">
        <f t="shared" si="192"/>
        <v>37000</v>
      </c>
      <c r="Z167" s="531"/>
      <c r="AA167" s="449">
        <f t="shared" si="202"/>
        <v>3083.3333333333335</v>
      </c>
      <c r="AB167" s="449">
        <f t="shared" si="202"/>
        <v>3083.3333333333335</v>
      </c>
      <c r="AC167" s="449">
        <f t="shared" si="202"/>
        <v>3083.3333333333335</v>
      </c>
      <c r="AD167" s="449">
        <f t="shared" si="202"/>
        <v>3083.3333333333335</v>
      </c>
      <c r="AE167" s="449">
        <f t="shared" si="202"/>
        <v>3083.3333333333335</v>
      </c>
      <c r="AF167" s="449">
        <f t="shared" si="202"/>
        <v>3083.3333333333335</v>
      </c>
      <c r="AG167" s="449">
        <f t="shared" si="202"/>
        <v>3083.3333333333335</v>
      </c>
      <c r="AH167" s="449">
        <f t="shared" si="202"/>
        <v>3083.3333333333335</v>
      </c>
      <c r="AI167" s="449">
        <f t="shared" si="202"/>
        <v>3083.3333333333335</v>
      </c>
      <c r="AJ167" s="449">
        <f t="shared" si="202"/>
        <v>3083.3333333333335</v>
      </c>
      <c r="AK167" s="449">
        <f t="shared" si="202"/>
        <v>3083.3333333333335</v>
      </c>
      <c r="AL167" s="449">
        <f t="shared" si="202"/>
        <v>3083.3333333333335</v>
      </c>
      <c r="AN167" s="500">
        <f t="shared" si="194"/>
        <v>37000</v>
      </c>
      <c r="AO167" s="449">
        <f t="shared" si="195"/>
        <v>40685.140562248998</v>
      </c>
      <c r="AP167" s="449">
        <f t="shared" si="196"/>
        <v>3685.1405622489983</v>
      </c>
      <c r="AQ167" s="453">
        <f t="shared" si="197"/>
        <v>9.9598393574297256E-2</v>
      </c>
      <c r="AR167" s="449">
        <f t="shared" si="198"/>
        <v>40685.140562248998</v>
      </c>
      <c r="AS167" s="449">
        <f t="shared" si="199"/>
        <v>0</v>
      </c>
      <c r="AT167" s="426">
        <f t="shared" si="200"/>
        <v>0</v>
      </c>
      <c r="AU167" s="421"/>
      <c r="AV167" s="449">
        <f t="shared" si="201"/>
        <v>3390.4283801874167</v>
      </c>
      <c r="AW167" s="449">
        <f t="shared" si="201"/>
        <v>3390.4283801874167</v>
      </c>
      <c r="AX167" s="449">
        <f t="shared" si="201"/>
        <v>3390.4283801874167</v>
      </c>
      <c r="AY167" s="449">
        <f t="shared" si="201"/>
        <v>3390.4283801874167</v>
      </c>
      <c r="AZ167" s="449">
        <f t="shared" si="201"/>
        <v>3390.4283801874167</v>
      </c>
      <c r="BA167" s="449">
        <f t="shared" si="201"/>
        <v>3390.4283801874167</v>
      </c>
      <c r="BB167" s="449">
        <f t="shared" si="201"/>
        <v>3390.4283801874167</v>
      </c>
      <c r="BC167" s="449">
        <f t="shared" si="201"/>
        <v>3390.4283801874167</v>
      </c>
      <c r="BD167" s="449">
        <f t="shared" si="201"/>
        <v>3390.4283801874167</v>
      </c>
      <c r="BE167" s="449">
        <f t="shared" si="201"/>
        <v>3390.4283801874167</v>
      </c>
      <c r="BF167" s="449">
        <f t="shared" si="201"/>
        <v>3390.4283801874167</v>
      </c>
      <c r="BG167" s="449">
        <f t="shared" si="201"/>
        <v>3390.4283801874167</v>
      </c>
      <c r="BH167" s="400"/>
      <c r="BI167" s="449">
        <f t="shared" ref="BI167:BT168" si="203">IFERROR((($H167/$H$5)*BI$5)/12,0)</f>
        <v>3390.4283801874167</v>
      </c>
      <c r="BJ167" s="449">
        <f t="shared" si="203"/>
        <v>3390.4283801874167</v>
      </c>
      <c r="BK167" s="449">
        <f t="shared" si="203"/>
        <v>3390.4283801874167</v>
      </c>
      <c r="BL167" s="449">
        <f t="shared" si="203"/>
        <v>3390.4283801874167</v>
      </c>
      <c r="BM167" s="449">
        <f t="shared" si="203"/>
        <v>3390.4283801874167</v>
      </c>
      <c r="BN167" s="449">
        <f t="shared" si="203"/>
        <v>3390.4283801874167</v>
      </c>
      <c r="BO167" s="449">
        <f t="shared" si="203"/>
        <v>3390.4283801874167</v>
      </c>
      <c r="BP167" s="449">
        <f t="shared" si="203"/>
        <v>3390.4283801874167</v>
      </c>
      <c r="BQ167" s="449">
        <f t="shared" si="203"/>
        <v>3390.4283801874167</v>
      </c>
      <c r="BR167" s="449">
        <f t="shared" si="203"/>
        <v>3390.4283801874167</v>
      </c>
      <c r="BS167" s="449">
        <f t="shared" si="203"/>
        <v>3390.4283801874167</v>
      </c>
      <c r="BT167" s="449">
        <f t="shared" si="203"/>
        <v>3390.4283801874167</v>
      </c>
    </row>
    <row r="168" spans="1:72" ht="15" x14ac:dyDescent="0.25">
      <c r="A168" s="502" t="s">
        <v>265</v>
      </c>
      <c r="B168" s="502" t="s">
        <v>266</v>
      </c>
      <c r="C168" s="543" t="s">
        <v>267</v>
      </c>
      <c r="D168" s="500">
        <f t="shared" si="187"/>
        <v>1000</v>
      </c>
      <c r="E168" s="449">
        <v>563</v>
      </c>
      <c r="F168" s="449">
        <f t="shared" si="188"/>
        <v>437</v>
      </c>
      <c r="G168" s="421">
        <f t="shared" si="189"/>
        <v>0.77619893428063946</v>
      </c>
      <c r="H168" s="449">
        <v>1000</v>
      </c>
      <c r="I168" s="449">
        <f t="shared" si="190"/>
        <v>0</v>
      </c>
      <c r="J168" s="426">
        <f t="shared" si="191"/>
        <v>0</v>
      </c>
      <c r="K168" s="421"/>
      <c r="L168" s="449">
        <v>0</v>
      </c>
      <c r="M168" s="449">
        <v>0</v>
      </c>
      <c r="N168" s="449">
        <v>0</v>
      </c>
      <c r="O168" s="449">
        <v>0</v>
      </c>
      <c r="P168" s="449">
        <v>0</v>
      </c>
      <c r="Q168" s="449">
        <v>0</v>
      </c>
      <c r="R168" s="449">
        <f>($H168-SUM($L168:Q168))/R$694</f>
        <v>166.66666666666666</v>
      </c>
      <c r="S168" s="449">
        <f>($H168-SUM($L168:R168))/S$694</f>
        <v>166.66666666666669</v>
      </c>
      <c r="T168" s="449">
        <f>($H168-SUM($L168:S168))/T$694</f>
        <v>166.66666666666666</v>
      </c>
      <c r="U168" s="449">
        <f>($H168-SUM($L168:T168))/U$694</f>
        <v>166.66666666666666</v>
      </c>
      <c r="V168" s="449">
        <f>($H168-SUM($L168:U168))/V$694</f>
        <v>166.66666666666669</v>
      </c>
      <c r="W168" s="449">
        <f>($H168-SUM($L168:V168))/W$694</f>
        <v>166.66666666666674</v>
      </c>
      <c r="X168" s="449"/>
      <c r="Y168" s="449">
        <f t="shared" si="192"/>
        <v>1000</v>
      </c>
      <c r="Z168" s="531"/>
      <c r="AA168" s="449">
        <f t="shared" si="202"/>
        <v>83.333333333333329</v>
      </c>
      <c r="AB168" s="449">
        <f t="shared" si="202"/>
        <v>83.333333333333329</v>
      </c>
      <c r="AC168" s="449">
        <f t="shared" si="202"/>
        <v>83.333333333333329</v>
      </c>
      <c r="AD168" s="449">
        <f t="shared" si="202"/>
        <v>83.333333333333329</v>
      </c>
      <c r="AE168" s="449">
        <f t="shared" si="202"/>
        <v>83.333333333333329</v>
      </c>
      <c r="AF168" s="449">
        <f t="shared" si="202"/>
        <v>83.333333333333329</v>
      </c>
      <c r="AG168" s="449">
        <f t="shared" si="202"/>
        <v>83.333333333333329</v>
      </c>
      <c r="AH168" s="449">
        <f t="shared" si="202"/>
        <v>83.333333333333329</v>
      </c>
      <c r="AI168" s="449">
        <f t="shared" si="202"/>
        <v>83.333333333333329</v>
      </c>
      <c r="AJ168" s="449">
        <f t="shared" si="202"/>
        <v>83.333333333333329</v>
      </c>
      <c r="AK168" s="449">
        <f t="shared" si="202"/>
        <v>83.333333333333329</v>
      </c>
      <c r="AL168" s="449">
        <f t="shared" si="202"/>
        <v>83.333333333333329</v>
      </c>
      <c r="AN168" s="500">
        <f t="shared" si="194"/>
        <v>1000</v>
      </c>
      <c r="AO168" s="449">
        <f t="shared" si="195"/>
        <v>1099.5983935742972</v>
      </c>
      <c r="AP168" s="449">
        <f t="shared" si="196"/>
        <v>99.598393574297233</v>
      </c>
      <c r="AQ168" s="453">
        <f t="shared" si="197"/>
        <v>9.9598393574297228E-2</v>
      </c>
      <c r="AR168" s="449">
        <f t="shared" si="198"/>
        <v>1099.5983935742972</v>
      </c>
      <c r="AS168" s="449">
        <f t="shared" si="199"/>
        <v>0</v>
      </c>
      <c r="AT168" s="426">
        <f t="shared" si="200"/>
        <v>0</v>
      </c>
      <c r="AU168" s="421"/>
      <c r="AV168" s="449">
        <f t="shared" si="201"/>
        <v>91.633199464524765</v>
      </c>
      <c r="AW168" s="449">
        <f t="shared" si="201"/>
        <v>91.633199464524765</v>
      </c>
      <c r="AX168" s="449">
        <f t="shared" si="201"/>
        <v>91.633199464524765</v>
      </c>
      <c r="AY168" s="449">
        <f t="shared" ref="AY168:BG196" si="204">BL168</f>
        <v>91.633199464524765</v>
      </c>
      <c r="AZ168" s="449">
        <f t="shared" si="204"/>
        <v>91.633199464524765</v>
      </c>
      <c r="BA168" s="449">
        <f t="shared" si="204"/>
        <v>91.633199464524765</v>
      </c>
      <c r="BB168" s="449">
        <f t="shared" si="204"/>
        <v>91.633199464524765</v>
      </c>
      <c r="BC168" s="449">
        <f t="shared" si="204"/>
        <v>91.633199464524765</v>
      </c>
      <c r="BD168" s="449">
        <f t="shared" si="204"/>
        <v>91.633199464524765</v>
      </c>
      <c r="BE168" s="449">
        <f t="shared" si="204"/>
        <v>91.633199464524765</v>
      </c>
      <c r="BF168" s="449">
        <f t="shared" si="204"/>
        <v>91.633199464524765</v>
      </c>
      <c r="BG168" s="449">
        <f t="shared" si="204"/>
        <v>91.633199464524765</v>
      </c>
      <c r="BH168" s="400"/>
      <c r="BI168" s="449">
        <f t="shared" si="203"/>
        <v>91.633199464524765</v>
      </c>
      <c r="BJ168" s="449">
        <f t="shared" si="203"/>
        <v>91.633199464524765</v>
      </c>
      <c r="BK168" s="449">
        <f t="shared" si="203"/>
        <v>91.633199464524765</v>
      </c>
      <c r="BL168" s="449">
        <f t="shared" si="203"/>
        <v>91.633199464524765</v>
      </c>
      <c r="BM168" s="449">
        <f t="shared" si="203"/>
        <v>91.633199464524765</v>
      </c>
      <c r="BN168" s="449">
        <f t="shared" si="203"/>
        <v>91.633199464524765</v>
      </c>
      <c r="BO168" s="449">
        <f t="shared" si="203"/>
        <v>91.633199464524765</v>
      </c>
      <c r="BP168" s="449">
        <f t="shared" si="203"/>
        <v>91.633199464524765</v>
      </c>
      <c r="BQ168" s="449">
        <f t="shared" si="203"/>
        <v>91.633199464524765</v>
      </c>
      <c r="BR168" s="449">
        <f t="shared" si="203"/>
        <v>91.633199464524765</v>
      </c>
      <c r="BS168" s="449">
        <f t="shared" si="203"/>
        <v>91.633199464524765</v>
      </c>
      <c r="BT168" s="449">
        <f t="shared" si="203"/>
        <v>91.633199464524765</v>
      </c>
    </row>
    <row r="169" spans="1:72" ht="15" x14ac:dyDescent="0.25">
      <c r="A169" s="612" t="s">
        <v>268</v>
      </c>
      <c r="B169" s="502" t="s">
        <v>1437</v>
      </c>
      <c r="C169" s="596"/>
      <c r="D169" s="500">
        <f t="shared" si="187"/>
        <v>21000</v>
      </c>
      <c r="E169" s="449">
        <v>6430</v>
      </c>
      <c r="F169" s="449">
        <f t="shared" si="188"/>
        <v>14570</v>
      </c>
      <c r="G169" s="421">
        <f t="shared" si="189"/>
        <v>2.2659409020217729</v>
      </c>
      <c r="H169" s="449">
        <v>21000</v>
      </c>
      <c r="I169" s="449">
        <f t="shared" si="190"/>
        <v>0</v>
      </c>
      <c r="J169" s="426">
        <f t="shared" si="191"/>
        <v>0</v>
      </c>
      <c r="K169" s="421"/>
      <c r="L169" s="449">
        <v>277.51</v>
      </c>
      <c r="M169" s="449">
        <v>2906.5</v>
      </c>
      <c r="N169" s="449">
        <v>180.91999999999962</v>
      </c>
      <c r="O169" s="449">
        <v>0</v>
      </c>
      <c r="P169" s="449">
        <v>406.78999999999996</v>
      </c>
      <c r="Q169" s="449">
        <v>0</v>
      </c>
      <c r="R169" s="449">
        <f>($H169-SUM($L169:Q169))/R$694</f>
        <v>2871.3799999999997</v>
      </c>
      <c r="S169" s="449">
        <f>($H169-SUM($L169:R169))/S$694</f>
        <v>2871.38</v>
      </c>
      <c r="T169" s="449">
        <f>($H169-SUM($L169:S169))/T$694</f>
        <v>2871.38</v>
      </c>
      <c r="U169" s="449">
        <f>($H169-SUM($L169:T169))/U$694</f>
        <v>2871.3799999999997</v>
      </c>
      <c r="V169" s="449">
        <f>($H169-SUM($L169:U169))/V$694</f>
        <v>2871.38</v>
      </c>
      <c r="W169" s="449">
        <f>($H169-SUM($L169:V169))/W$694</f>
        <v>2871.380000000001</v>
      </c>
      <c r="X169" s="449"/>
      <c r="Y169" s="449">
        <f t="shared" si="192"/>
        <v>21000</v>
      </c>
      <c r="Z169" s="531"/>
      <c r="AA169" s="449">
        <f t="shared" si="202"/>
        <v>1750</v>
      </c>
      <c r="AB169" s="449">
        <f t="shared" si="202"/>
        <v>1750</v>
      </c>
      <c r="AC169" s="449">
        <f t="shared" si="202"/>
        <v>1750</v>
      </c>
      <c r="AD169" s="449">
        <f t="shared" si="202"/>
        <v>1750</v>
      </c>
      <c r="AE169" s="449">
        <f t="shared" si="202"/>
        <v>1750</v>
      </c>
      <c r="AF169" s="449">
        <f t="shared" si="202"/>
        <v>1750</v>
      </c>
      <c r="AG169" s="449">
        <f t="shared" si="202"/>
        <v>1750</v>
      </c>
      <c r="AH169" s="449">
        <f t="shared" si="202"/>
        <v>1750</v>
      </c>
      <c r="AI169" s="449">
        <f t="shared" si="202"/>
        <v>1750</v>
      </c>
      <c r="AJ169" s="449">
        <f t="shared" si="202"/>
        <v>1750</v>
      </c>
      <c r="AK169" s="449">
        <f t="shared" si="202"/>
        <v>1750</v>
      </c>
      <c r="AL169" s="449">
        <f t="shared" si="202"/>
        <v>1750</v>
      </c>
      <c r="AN169" s="500">
        <f t="shared" si="194"/>
        <v>21000</v>
      </c>
      <c r="AO169" s="449">
        <f t="shared" si="195"/>
        <v>23091.566265060253</v>
      </c>
      <c r="AP169" s="449">
        <f t="shared" si="196"/>
        <v>2091.5662650602535</v>
      </c>
      <c r="AQ169" s="453">
        <f t="shared" si="197"/>
        <v>9.9598393574297783E-2</v>
      </c>
      <c r="AR169" s="449">
        <f t="shared" si="198"/>
        <v>23091.566265060253</v>
      </c>
      <c r="AS169" s="449">
        <f t="shared" si="199"/>
        <v>0</v>
      </c>
      <c r="AT169" s="426">
        <f t="shared" si="200"/>
        <v>0</v>
      </c>
      <c r="AU169" s="421"/>
      <c r="AV169" s="449">
        <f t="shared" ref="AV169:BA225" si="205">BI169</f>
        <v>4618.3132530120483</v>
      </c>
      <c r="AW169" s="449">
        <f t="shared" si="205"/>
        <v>4618.3132530120483</v>
      </c>
      <c r="AX169" s="449">
        <f t="shared" si="205"/>
        <v>3078.8755020080325</v>
      </c>
      <c r="AY169" s="449">
        <f t="shared" si="204"/>
        <v>3078.8755020080325</v>
      </c>
      <c r="AZ169" s="449">
        <f t="shared" si="204"/>
        <v>3078.8755020080325</v>
      </c>
      <c r="BA169" s="449">
        <f t="shared" si="204"/>
        <v>659.75903614457832</v>
      </c>
      <c r="BB169" s="449">
        <f t="shared" si="204"/>
        <v>659.75903614457832</v>
      </c>
      <c r="BC169" s="449">
        <f t="shared" si="204"/>
        <v>659.75903614457832</v>
      </c>
      <c r="BD169" s="449">
        <f t="shared" si="204"/>
        <v>659.75903614457832</v>
      </c>
      <c r="BE169" s="449">
        <f t="shared" si="204"/>
        <v>659.75903614457832</v>
      </c>
      <c r="BF169" s="449">
        <f t="shared" si="204"/>
        <v>659.75903614457832</v>
      </c>
      <c r="BG169" s="449">
        <f t="shared" si="204"/>
        <v>659.75903614457832</v>
      </c>
      <c r="BH169" s="400"/>
      <c r="BI169" s="449">
        <f t="shared" ref="BI169:BT169" si="206">(IFERROR((($H169/$H$5)*BI$5),0))*BI$696</f>
        <v>4618.3132530120483</v>
      </c>
      <c r="BJ169" s="449">
        <f t="shared" si="206"/>
        <v>4618.3132530120483</v>
      </c>
      <c r="BK169" s="449">
        <f t="shared" si="206"/>
        <v>3078.8755020080325</v>
      </c>
      <c r="BL169" s="449">
        <f t="shared" si="206"/>
        <v>3078.8755020080325</v>
      </c>
      <c r="BM169" s="449">
        <f t="shared" si="206"/>
        <v>3078.8755020080325</v>
      </c>
      <c r="BN169" s="449">
        <f t="shared" si="206"/>
        <v>659.75903614457832</v>
      </c>
      <c r="BO169" s="449">
        <f t="shared" si="206"/>
        <v>659.75903614457832</v>
      </c>
      <c r="BP169" s="449">
        <f t="shared" si="206"/>
        <v>659.75903614457832</v>
      </c>
      <c r="BQ169" s="449">
        <f t="shared" si="206"/>
        <v>659.75903614457832</v>
      </c>
      <c r="BR169" s="449">
        <f t="shared" si="206"/>
        <v>659.75903614457832</v>
      </c>
      <c r="BS169" s="449">
        <f t="shared" si="206"/>
        <v>659.75903614457832</v>
      </c>
      <c r="BT169" s="449">
        <f t="shared" si="206"/>
        <v>659.75903614457832</v>
      </c>
    </row>
    <row r="170" spans="1:72" ht="15" x14ac:dyDescent="0.25">
      <c r="A170" s="612" t="s">
        <v>269</v>
      </c>
      <c r="B170" s="502" t="s">
        <v>270</v>
      </c>
      <c r="C170" s="596"/>
      <c r="D170" s="500">
        <f t="shared" si="187"/>
        <v>1183.2</v>
      </c>
      <c r="E170" s="449">
        <v>0</v>
      </c>
      <c r="F170" s="449">
        <f t="shared" si="188"/>
        <v>1183.2</v>
      </c>
      <c r="G170" s="421">
        <f t="shared" si="189"/>
        <v>0</v>
      </c>
      <c r="H170" s="449">
        <v>0</v>
      </c>
      <c r="I170" s="449">
        <f t="shared" si="190"/>
        <v>1183.2</v>
      </c>
      <c r="J170" s="426">
        <f t="shared" si="191"/>
        <v>0</v>
      </c>
      <c r="K170" s="421"/>
      <c r="L170" s="449">
        <v>0</v>
      </c>
      <c r="M170" s="449">
        <v>6639.88</v>
      </c>
      <c r="N170" s="449">
        <v>-5456.68</v>
      </c>
      <c r="O170" s="449">
        <v>2.2737367544323206E-13</v>
      </c>
      <c r="P170" s="449">
        <v>0</v>
      </c>
      <c r="Q170" s="449">
        <v>0</v>
      </c>
      <c r="R170" s="449">
        <v>0</v>
      </c>
      <c r="S170" s="449">
        <v>0</v>
      </c>
      <c r="T170" s="449">
        <v>0</v>
      </c>
      <c r="U170" s="449">
        <v>0</v>
      </c>
      <c r="V170" s="449">
        <v>0</v>
      </c>
      <c r="W170" s="449">
        <v>0</v>
      </c>
      <c r="X170" s="449"/>
      <c r="Y170" s="449">
        <f t="shared" si="192"/>
        <v>1183.2</v>
      </c>
      <c r="Z170" s="531"/>
      <c r="AA170" s="449">
        <f t="shared" si="202"/>
        <v>0</v>
      </c>
      <c r="AB170" s="449">
        <f t="shared" si="202"/>
        <v>0</v>
      </c>
      <c r="AC170" s="449">
        <f t="shared" si="202"/>
        <v>0</v>
      </c>
      <c r="AD170" s="449">
        <f t="shared" si="202"/>
        <v>0</v>
      </c>
      <c r="AE170" s="449">
        <f t="shared" si="202"/>
        <v>0</v>
      </c>
      <c r="AF170" s="449">
        <f t="shared" si="202"/>
        <v>0</v>
      </c>
      <c r="AG170" s="449">
        <f t="shared" si="202"/>
        <v>0</v>
      </c>
      <c r="AH170" s="449">
        <f t="shared" si="202"/>
        <v>0</v>
      </c>
      <c r="AI170" s="449">
        <f t="shared" si="202"/>
        <v>0</v>
      </c>
      <c r="AJ170" s="449">
        <f t="shared" si="202"/>
        <v>0</v>
      </c>
      <c r="AK170" s="449">
        <f t="shared" si="202"/>
        <v>0</v>
      </c>
      <c r="AL170" s="449">
        <f t="shared" si="202"/>
        <v>0</v>
      </c>
      <c r="AN170" s="500">
        <f t="shared" si="194"/>
        <v>1183.2</v>
      </c>
      <c r="AO170" s="449">
        <f t="shared" si="195"/>
        <v>0</v>
      </c>
      <c r="AP170" s="449">
        <f t="shared" si="196"/>
        <v>-1183.2</v>
      </c>
      <c r="AQ170" s="453">
        <f t="shared" si="197"/>
        <v>-1</v>
      </c>
      <c r="AR170" s="449">
        <f t="shared" si="198"/>
        <v>0</v>
      </c>
      <c r="AS170" s="449">
        <f t="shared" si="199"/>
        <v>0</v>
      </c>
      <c r="AT170" s="426">
        <f t="shared" si="200"/>
        <v>0</v>
      </c>
      <c r="AU170" s="421"/>
      <c r="AV170" s="449">
        <f t="shared" si="205"/>
        <v>0</v>
      </c>
      <c r="AW170" s="449">
        <f t="shared" si="205"/>
        <v>0</v>
      </c>
      <c r="AX170" s="449">
        <f t="shared" si="205"/>
        <v>0</v>
      </c>
      <c r="AY170" s="449">
        <f t="shared" si="204"/>
        <v>0</v>
      </c>
      <c r="AZ170" s="449">
        <f t="shared" si="204"/>
        <v>0</v>
      </c>
      <c r="BA170" s="449">
        <f t="shared" si="204"/>
        <v>0</v>
      </c>
      <c r="BB170" s="449">
        <f t="shared" si="204"/>
        <v>0</v>
      </c>
      <c r="BC170" s="449">
        <f t="shared" si="204"/>
        <v>0</v>
      </c>
      <c r="BD170" s="449">
        <f t="shared" si="204"/>
        <v>0</v>
      </c>
      <c r="BE170" s="449">
        <f t="shared" si="204"/>
        <v>0</v>
      </c>
      <c r="BF170" s="449">
        <f t="shared" si="204"/>
        <v>0</v>
      </c>
      <c r="BG170" s="449">
        <f t="shared" si="204"/>
        <v>0</v>
      </c>
      <c r="BH170" s="400"/>
      <c r="BI170" s="449">
        <f>(IFERROR((($H170/$H$5)*BI$5),0))*BI$696*0</f>
        <v>0</v>
      </c>
      <c r="BJ170" s="449">
        <f t="shared" ref="BJ170:BT170" si="207">(IFERROR((($H170/$H$5)*BJ$5),0))*BJ$696*0</f>
        <v>0</v>
      </c>
      <c r="BK170" s="449">
        <f t="shared" si="207"/>
        <v>0</v>
      </c>
      <c r="BL170" s="449">
        <f t="shared" si="207"/>
        <v>0</v>
      </c>
      <c r="BM170" s="449">
        <f t="shared" si="207"/>
        <v>0</v>
      </c>
      <c r="BN170" s="449">
        <f t="shared" si="207"/>
        <v>0</v>
      </c>
      <c r="BO170" s="449">
        <f t="shared" si="207"/>
        <v>0</v>
      </c>
      <c r="BP170" s="449">
        <f t="shared" si="207"/>
        <v>0</v>
      </c>
      <c r="BQ170" s="449">
        <f t="shared" si="207"/>
        <v>0</v>
      </c>
      <c r="BR170" s="449">
        <f t="shared" si="207"/>
        <v>0</v>
      </c>
      <c r="BS170" s="449">
        <f t="shared" si="207"/>
        <v>0</v>
      </c>
      <c r="BT170" s="449">
        <f t="shared" si="207"/>
        <v>0</v>
      </c>
    </row>
    <row r="171" spans="1:72" ht="15" x14ac:dyDescent="0.25">
      <c r="A171" s="612" t="s">
        <v>271</v>
      </c>
      <c r="B171" s="502" t="s">
        <v>1438</v>
      </c>
      <c r="C171" s="596"/>
      <c r="D171" s="500">
        <f t="shared" si="187"/>
        <v>19304.79</v>
      </c>
      <c r="E171" s="449">
        <v>0</v>
      </c>
      <c r="F171" s="449">
        <f t="shared" si="188"/>
        <v>19304.79</v>
      </c>
      <c r="G171" s="421">
        <f t="shared" si="189"/>
        <v>0</v>
      </c>
      <c r="H171" s="449">
        <v>0</v>
      </c>
      <c r="I171" s="449">
        <f t="shared" si="190"/>
        <v>19304.79</v>
      </c>
      <c r="J171" s="426">
        <f t="shared" si="191"/>
        <v>0</v>
      </c>
      <c r="K171" s="421"/>
      <c r="L171" s="449">
        <v>3966</v>
      </c>
      <c r="M171" s="449">
        <v>9522.64</v>
      </c>
      <c r="N171" s="449">
        <v>1938.7300000000014</v>
      </c>
      <c r="O171" s="449">
        <v>0</v>
      </c>
      <c r="P171" s="449">
        <v>3877.42</v>
      </c>
      <c r="Q171" s="449">
        <v>0</v>
      </c>
      <c r="R171" s="449">
        <v>0</v>
      </c>
      <c r="S171" s="449">
        <v>0</v>
      </c>
      <c r="T171" s="449">
        <v>0</v>
      </c>
      <c r="U171" s="449">
        <v>0</v>
      </c>
      <c r="V171" s="449">
        <v>0</v>
      </c>
      <c r="W171" s="449">
        <v>0</v>
      </c>
      <c r="X171" s="449"/>
      <c r="Y171" s="449">
        <f t="shared" si="192"/>
        <v>19304.79</v>
      </c>
      <c r="Z171" s="531"/>
      <c r="AA171" s="449">
        <f t="shared" si="202"/>
        <v>0</v>
      </c>
      <c r="AB171" s="449">
        <f t="shared" si="202"/>
        <v>0</v>
      </c>
      <c r="AC171" s="449">
        <f t="shared" si="202"/>
        <v>0</v>
      </c>
      <c r="AD171" s="449">
        <f t="shared" si="202"/>
        <v>0</v>
      </c>
      <c r="AE171" s="449">
        <f t="shared" si="202"/>
        <v>0</v>
      </c>
      <c r="AF171" s="449">
        <f t="shared" si="202"/>
        <v>0</v>
      </c>
      <c r="AG171" s="449">
        <f t="shared" si="202"/>
        <v>0</v>
      </c>
      <c r="AH171" s="449">
        <f t="shared" si="202"/>
        <v>0</v>
      </c>
      <c r="AI171" s="449">
        <f t="shared" si="202"/>
        <v>0</v>
      </c>
      <c r="AJ171" s="449">
        <f t="shared" si="202"/>
        <v>0</v>
      </c>
      <c r="AK171" s="449">
        <f t="shared" si="202"/>
        <v>0</v>
      </c>
      <c r="AL171" s="449">
        <f t="shared" si="202"/>
        <v>0</v>
      </c>
      <c r="AN171" s="500">
        <f t="shared" si="194"/>
        <v>19304.79</v>
      </c>
      <c r="AO171" s="449">
        <f t="shared" si="195"/>
        <v>21227.516072289163</v>
      </c>
      <c r="AP171" s="449">
        <f t="shared" si="196"/>
        <v>1922.7260722891624</v>
      </c>
      <c r="AQ171" s="453">
        <f t="shared" si="197"/>
        <v>9.9598393574297478E-2</v>
      </c>
      <c r="AR171" s="449">
        <f t="shared" si="198"/>
        <v>21227.516072289163</v>
      </c>
      <c r="AS171" s="449">
        <f t="shared" si="199"/>
        <v>0</v>
      </c>
      <c r="AT171" s="426">
        <f t="shared" si="200"/>
        <v>0</v>
      </c>
      <c r="AU171" s="421"/>
      <c r="AV171" s="449">
        <f t="shared" si="205"/>
        <v>4245.5032144578317</v>
      </c>
      <c r="AW171" s="449">
        <f t="shared" si="205"/>
        <v>4245.5032144578317</v>
      </c>
      <c r="AX171" s="449">
        <f t="shared" si="205"/>
        <v>2830.3354763052212</v>
      </c>
      <c r="AY171" s="449">
        <f t="shared" si="204"/>
        <v>2830.3354763052212</v>
      </c>
      <c r="AZ171" s="449">
        <f t="shared" si="204"/>
        <v>2830.3354763052212</v>
      </c>
      <c r="BA171" s="449">
        <f t="shared" si="204"/>
        <v>606.50045920826165</v>
      </c>
      <c r="BB171" s="449">
        <f t="shared" si="204"/>
        <v>606.50045920826165</v>
      </c>
      <c r="BC171" s="449">
        <f t="shared" si="204"/>
        <v>606.50045920826165</v>
      </c>
      <c r="BD171" s="449">
        <f t="shared" si="204"/>
        <v>606.50045920826165</v>
      </c>
      <c r="BE171" s="449">
        <f t="shared" si="204"/>
        <v>606.50045920826165</v>
      </c>
      <c r="BF171" s="449">
        <f t="shared" si="204"/>
        <v>606.50045920826165</v>
      </c>
      <c r="BG171" s="449">
        <f t="shared" si="204"/>
        <v>606.50045920826165</v>
      </c>
      <c r="BH171" s="400"/>
      <c r="BI171" s="449">
        <f t="shared" ref="BI171:BT171" si="208">(IFERROR((($D171/$H$5)*BI$5),0))*BI$696</f>
        <v>4245.5032144578317</v>
      </c>
      <c r="BJ171" s="449">
        <f t="shared" si="208"/>
        <v>4245.5032144578317</v>
      </c>
      <c r="BK171" s="449">
        <f t="shared" si="208"/>
        <v>2830.3354763052212</v>
      </c>
      <c r="BL171" s="449">
        <f t="shared" si="208"/>
        <v>2830.3354763052212</v>
      </c>
      <c r="BM171" s="449">
        <f t="shared" si="208"/>
        <v>2830.3354763052212</v>
      </c>
      <c r="BN171" s="449">
        <f t="shared" si="208"/>
        <v>606.50045920826165</v>
      </c>
      <c r="BO171" s="449">
        <f t="shared" si="208"/>
        <v>606.50045920826165</v>
      </c>
      <c r="BP171" s="449">
        <f t="shared" si="208"/>
        <v>606.50045920826165</v>
      </c>
      <c r="BQ171" s="449">
        <f t="shared" si="208"/>
        <v>606.50045920826165</v>
      </c>
      <c r="BR171" s="449">
        <f t="shared" si="208"/>
        <v>606.50045920826165</v>
      </c>
      <c r="BS171" s="449">
        <f t="shared" si="208"/>
        <v>606.50045920826165</v>
      </c>
      <c r="BT171" s="449">
        <f t="shared" si="208"/>
        <v>606.50045920826165</v>
      </c>
    </row>
    <row r="172" spans="1:72" ht="15" x14ac:dyDescent="0.25">
      <c r="A172" s="612" t="s">
        <v>272</v>
      </c>
      <c r="B172" s="537" t="s">
        <v>273</v>
      </c>
      <c r="C172" s="541"/>
      <c r="D172" s="500">
        <f>SUM(L172:W172)</f>
        <v>0</v>
      </c>
      <c r="E172" s="449">
        <v>0</v>
      </c>
      <c r="F172" s="449">
        <f t="shared" si="188"/>
        <v>0</v>
      </c>
      <c r="G172" s="421">
        <f t="shared" si="189"/>
        <v>0</v>
      </c>
      <c r="H172" s="449">
        <v>0</v>
      </c>
      <c r="I172" s="449">
        <f t="shared" si="190"/>
        <v>0</v>
      </c>
      <c r="J172" s="426">
        <f t="shared" si="191"/>
        <v>0</v>
      </c>
      <c r="K172" s="421"/>
      <c r="L172" s="449">
        <v>0</v>
      </c>
      <c r="M172" s="449">
        <v>0</v>
      </c>
      <c r="N172" s="449">
        <v>0</v>
      </c>
      <c r="O172" s="449">
        <v>0</v>
      </c>
      <c r="P172" s="449">
        <v>0</v>
      </c>
      <c r="Q172" s="449">
        <v>0</v>
      </c>
      <c r="R172" s="449">
        <f>($H172-SUM($L172:Q172))/R$694</f>
        <v>0</v>
      </c>
      <c r="S172" s="449">
        <f>($H172-SUM($L172:R172))/S$694</f>
        <v>0</v>
      </c>
      <c r="T172" s="449">
        <f>($H172-SUM($L172:S172))/T$694</f>
        <v>0</v>
      </c>
      <c r="U172" s="449">
        <f>($H172-SUM($L172:T172))/U$694</f>
        <v>0</v>
      </c>
      <c r="V172" s="449">
        <f>($H172-SUM($L172:U172))/V$694</f>
        <v>0</v>
      </c>
      <c r="W172" s="449">
        <f>($H172-SUM($L172:V172))/W$694</f>
        <v>0</v>
      </c>
      <c r="X172" s="449"/>
      <c r="Y172" s="449">
        <f t="shared" si="192"/>
        <v>0</v>
      </c>
      <c r="Z172" s="531"/>
      <c r="AA172" s="449">
        <f t="shared" si="202"/>
        <v>0</v>
      </c>
      <c r="AB172" s="449">
        <f t="shared" si="202"/>
        <v>0</v>
      </c>
      <c r="AC172" s="449">
        <f t="shared" si="202"/>
        <v>0</v>
      </c>
      <c r="AD172" s="449">
        <f t="shared" si="202"/>
        <v>0</v>
      </c>
      <c r="AE172" s="449">
        <f t="shared" si="202"/>
        <v>0</v>
      </c>
      <c r="AF172" s="449">
        <f t="shared" si="202"/>
        <v>0</v>
      </c>
      <c r="AG172" s="449">
        <f t="shared" si="202"/>
        <v>0</v>
      </c>
      <c r="AH172" s="449">
        <f t="shared" si="202"/>
        <v>0</v>
      </c>
      <c r="AI172" s="449">
        <f t="shared" si="202"/>
        <v>0</v>
      </c>
      <c r="AJ172" s="449">
        <f t="shared" si="202"/>
        <v>0</v>
      </c>
      <c r="AK172" s="449">
        <f t="shared" si="202"/>
        <v>0</v>
      </c>
      <c r="AL172" s="449">
        <f t="shared" si="202"/>
        <v>0</v>
      </c>
      <c r="AN172" s="500">
        <f t="shared" si="194"/>
        <v>0</v>
      </c>
      <c r="AO172" s="449">
        <f t="shared" si="195"/>
        <v>0</v>
      </c>
      <c r="AP172" s="449">
        <f t="shared" si="196"/>
        <v>0</v>
      </c>
      <c r="AQ172" s="453" t="str">
        <f t="shared" si="197"/>
        <v>-</v>
      </c>
      <c r="AR172" s="449">
        <f t="shared" si="198"/>
        <v>0</v>
      </c>
      <c r="AS172" s="449">
        <f t="shared" si="199"/>
        <v>0</v>
      </c>
      <c r="AT172" s="426">
        <f t="shared" si="200"/>
        <v>0</v>
      </c>
      <c r="AU172" s="421"/>
      <c r="AV172" s="449">
        <f t="shared" si="205"/>
        <v>0</v>
      </c>
      <c r="AW172" s="449">
        <f t="shared" si="205"/>
        <v>0</v>
      </c>
      <c r="AX172" s="449">
        <f t="shared" si="205"/>
        <v>0</v>
      </c>
      <c r="AY172" s="449">
        <f t="shared" si="204"/>
        <v>0</v>
      </c>
      <c r="AZ172" s="449">
        <f t="shared" si="204"/>
        <v>0</v>
      </c>
      <c r="BA172" s="449">
        <f t="shared" si="204"/>
        <v>0</v>
      </c>
      <c r="BB172" s="449">
        <f t="shared" si="204"/>
        <v>0</v>
      </c>
      <c r="BC172" s="449">
        <f t="shared" si="204"/>
        <v>0</v>
      </c>
      <c r="BD172" s="449">
        <f t="shared" si="204"/>
        <v>0</v>
      </c>
      <c r="BE172" s="449">
        <f t="shared" si="204"/>
        <v>0</v>
      </c>
      <c r="BF172" s="449">
        <f t="shared" si="204"/>
        <v>0</v>
      </c>
      <c r="BG172" s="449">
        <f t="shared" si="204"/>
        <v>0</v>
      </c>
      <c r="BH172" s="400"/>
      <c r="BI172" s="449">
        <f t="shared" ref="BI172:BT176" si="209">(IFERROR((($H172/$H$5)*BI$5),0))*BI$696</f>
        <v>0</v>
      </c>
      <c r="BJ172" s="449">
        <f t="shared" si="209"/>
        <v>0</v>
      </c>
      <c r="BK172" s="449">
        <f t="shared" si="209"/>
        <v>0</v>
      </c>
      <c r="BL172" s="449">
        <f t="shared" si="209"/>
        <v>0</v>
      </c>
      <c r="BM172" s="449">
        <f t="shared" si="209"/>
        <v>0</v>
      </c>
      <c r="BN172" s="449">
        <f t="shared" si="209"/>
        <v>0</v>
      </c>
      <c r="BO172" s="449">
        <f t="shared" si="209"/>
        <v>0</v>
      </c>
      <c r="BP172" s="449">
        <f t="shared" si="209"/>
        <v>0</v>
      </c>
      <c r="BQ172" s="449">
        <f t="shared" si="209"/>
        <v>0</v>
      </c>
      <c r="BR172" s="449">
        <f t="shared" si="209"/>
        <v>0</v>
      </c>
      <c r="BS172" s="449">
        <f t="shared" si="209"/>
        <v>0</v>
      </c>
      <c r="BT172" s="449">
        <f t="shared" si="209"/>
        <v>0</v>
      </c>
    </row>
    <row r="173" spans="1:72" ht="15" x14ac:dyDescent="0.25">
      <c r="A173" s="612" t="s">
        <v>274</v>
      </c>
      <c r="B173" s="502" t="s">
        <v>134</v>
      </c>
      <c r="C173" s="596"/>
      <c r="D173" s="500">
        <f t="shared" si="187"/>
        <v>8000</v>
      </c>
      <c r="E173" s="449">
        <v>965</v>
      </c>
      <c r="F173" s="449">
        <f t="shared" si="188"/>
        <v>7035</v>
      </c>
      <c r="G173" s="421">
        <f t="shared" si="189"/>
        <v>7.2901554404145079</v>
      </c>
      <c r="H173" s="449">
        <v>8000</v>
      </c>
      <c r="I173" s="449">
        <f t="shared" si="190"/>
        <v>0</v>
      </c>
      <c r="J173" s="426">
        <f t="shared" si="191"/>
        <v>0</v>
      </c>
      <c r="K173" s="421"/>
      <c r="L173" s="449">
        <v>0</v>
      </c>
      <c r="M173" s="449">
        <v>0</v>
      </c>
      <c r="N173" s="449">
        <v>0</v>
      </c>
      <c r="O173" s="449">
        <v>0</v>
      </c>
      <c r="P173" s="449">
        <v>0</v>
      </c>
      <c r="Q173" s="449">
        <v>0</v>
      </c>
      <c r="R173" s="449">
        <f>($H173-SUM($L173:Q173))/R$694</f>
        <v>1333.3333333333333</v>
      </c>
      <c r="S173" s="449">
        <f>($H173-SUM($L173:R173))/S$694</f>
        <v>1333.3333333333335</v>
      </c>
      <c r="T173" s="449">
        <f>($H173-SUM($L173:S173))/T$694</f>
        <v>1333.3333333333333</v>
      </c>
      <c r="U173" s="449">
        <f>($H173-SUM($L173:T173))/U$694</f>
        <v>1333.3333333333333</v>
      </c>
      <c r="V173" s="449">
        <f>($H173-SUM($L173:U173))/V$694</f>
        <v>1333.3333333333335</v>
      </c>
      <c r="W173" s="449">
        <f>($H173-SUM($L173:V173))/W$694</f>
        <v>1333.3333333333339</v>
      </c>
      <c r="X173" s="449"/>
      <c r="Y173" s="449">
        <f t="shared" si="192"/>
        <v>8000</v>
      </c>
      <c r="Z173" s="531"/>
      <c r="AA173" s="449">
        <f t="shared" si="202"/>
        <v>666.66666666666663</v>
      </c>
      <c r="AB173" s="449">
        <f t="shared" si="202"/>
        <v>666.66666666666663</v>
      </c>
      <c r="AC173" s="449">
        <f t="shared" si="202"/>
        <v>666.66666666666663</v>
      </c>
      <c r="AD173" s="449">
        <f t="shared" si="202"/>
        <v>666.66666666666663</v>
      </c>
      <c r="AE173" s="449">
        <f t="shared" si="202"/>
        <v>666.66666666666663</v>
      </c>
      <c r="AF173" s="449">
        <f t="shared" si="202"/>
        <v>666.66666666666663</v>
      </c>
      <c r="AG173" s="449">
        <f t="shared" si="202"/>
        <v>666.66666666666663</v>
      </c>
      <c r="AH173" s="449">
        <f t="shared" si="202"/>
        <v>666.66666666666663</v>
      </c>
      <c r="AI173" s="449">
        <f t="shared" si="202"/>
        <v>666.66666666666663</v>
      </c>
      <c r="AJ173" s="449">
        <f t="shared" si="202"/>
        <v>666.66666666666663</v>
      </c>
      <c r="AK173" s="449">
        <f t="shared" si="202"/>
        <v>666.66666666666663</v>
      </c>
      <c r="AL173" s="449">
        <f t="shared" si="202"/>
        <v>666.66666666666663</v>
      </c>
      <c r="AN173" s="500">
        <f t="shared" si="194"/>
        <v>8000</v>
      </c>
      <c r="AO173" s="449">
        <f t="shared" si="195"/>
        <v>8796.7871485943779</v>
      </c>
      <c r="AP173" s="449">
        <f t="shared" si="196"/>
        <v>796.78714859437787</v>
      </c>
      <c r="AQ173" s="453">
        <f t="shared" si="197"/>
        <v>9.9598393574297228E-2</v>
      </c>
      <c r="AR173" s="449">
        <f t="shared" si="198"/>
        <v>8796.7871485943779</v>
      </c>
      <c r="AS173" s="449">
        <f t="shared" si="199"/>
        <v>0</v>
      </c>
      <c r="AT173" s="426">
        <f t="shared" si="200"/>
        <v>0</v>
      </c>
      <c r="AU173" s="421"/>
      <c r="AV173" s="449">
        <f t="shared" si="205"/>
        <v>1759.3574297188757</v>
      </c>
      <c r="AW173" s="449">
        <f t="shared" si="205"/>
        <v>1759.3574297188757</v>
      </c>
      <c r="AX173" s="449">
        <f t="shared" si="205"/>
        <v>1172.904953145917</v>
      </c>
      <c r="AY173" s="449">
        <f t="shared" si="204"/>
        <v>1172.904953145917</v>
      </c>
      <c r="AZ173" s="449">
        <f t="shared" si="204"/>
        <v>1172.904953145917</v>
      </c>
      <c r="BA173" s="449">
        <f t="shared" si="204"/>
        <v>251.33677567412508</v>
      </c>
      <c r="BB173" s="449">
        <f t="shared" si="204"/>
        <v>251.33677567412508</v>
      </c>
      <c r="BC173" s="449">
        <f t="shared" si="204"/>
        <v>251.33677567412508</v>
      </c>
      <c r="BD173" s="449">
        <f t="shared" si="204"/>
        <v>251.33677567412508</v>
      </c>
      <c r="BE173" s="449">
        <f t="shared" si="204"/>
        <v>251.33677567412508</v>
      </c>
      <c r="BF173" s="449">
        <f t="shared" si="204"/>
        <v>251.33677567412508</v>
      </c>
      <c r="BG173" s="449">
        <f t="shared" si="204"/>
        <v>251.33677567412508</v>
      </c>
      <c r="BH173" s="400"/>
      <c r="BI173" s="449">
        <f t="shared" si="209"/>
        <v>1759.3574297188757</v>
      </c>
      <c r="BJ173" s="449">
        <f t="shared" si="209"/>
        <v>1759.3574297188757</v>
      </c>
      <c r="BK173" s="449">
        <f t="shared" si="209"/>
        <v>1172.904953145917</v>
      </c>
      <c r="BL173" s="449">
        <f t="shared" si="209"/>
        <v>1172.904953145917</v>
      </c>
      <c r="BM173" s="449">
        <f t="shared" si="209"/>
        <v>1172.904953145917</v>
      </c>
      <c r="BN173" s="449">
        <f t="shared" si="209"/>
        <v>251.33677567412508</v>
      </c>
      <c r="BO173" s="449">
        <f t="shared" si="209"/>
        <v>251.33677567412508</v>
      </c>
      <c r="BP173" s="449">
        <f t="shared" si="209"/>
        <v>251.33677567412508</v>
      </c>
      <c r="BQ173" s="449">
        <f t="shared" si="209"/>
        <v>251.33677567412508</v>
      </c>
      <c r="BR173" s="449">
        <f t="shared" si="209"/>
        <v>251.33677567412508</v>
      </c>
      <c r="BS173" s="449">
        <f t="shared" si="209"/>
        <v>251.33677567412508</v>
      </c>
      <c r="BT173" s="449">
        <f t="shared" si="209"/>
        <v>251.33677567412508</v>
      </c>
    </row>
    <row r="174" spans="1:72" ht="15" x14ac:dyDescent="0.25">
      <c r="A174" s="612" t="s">
        <v>275</v>
      </c>
      <c r="B174" s="537" t="s">
        <v>276</v>
      </c>
      <c r="C174" s="541"/>
      <c r="D174" s="500">
        <f t="shared" si="187"/>
        <v>0</v>
      </c>
      <c r="E174" s="449">
        <v>0</v>
      </c>
      <c r="F174" s="449">
        <f t="shared" si="188"/>
        <v>0</v>
      </c>
      <c r="G174" s="421">
        <f t="shared" si="189"/>
        <v>0</v>
      </c>
      <c r="H174" s="449">
        <v>0</v>
      </c>
      <c r="I174" s="449">
        <f t="shared" si="190"/>
        <v>0</v>
      </c>
      <c r="J174" s="426">
        <f t="shared" si="191"/>
        <v>0</v>
      </c>
      <c r="K174" s="421"/>
      <c r="L174" s="449">
        <v>0</v>
      </c>
      <c r="M174" s="449">
        <v>0</v>
      </c>
      <c r="N174" s="449">
        <v>0</v>
      </c>
      <c r="O174" s="449">
        <v>0</v>
      </c>
      <c r="P174" s="449">
        <v>0</v>
      </c>
      <c r="Q174" s="449">
        <v>0</v>
      </c>
      <c r="R174" s="449">
        <f>($H174-SUM($L174:Q174))/R$694</f>
        <v>0</v>
      </c>
      <c r="S174" s="449">
        <f>($H174-SUM($L174:R174))/S$694</f>
        <v>0</v>
      </c>
      <c r="T174" s="449">
        <f>($H174-SUM($L174:S174))/T$694</f>
        <v>0</v>
      </c>
      <c r="U174" s="449">
        <f>($H174-SUM($L174:T174))/U$694</f>
        <v>0</v>
      </c>
      <c r="V174" s="449">
        <f>($H174-SUM($L174:U174))/V$694</f>
        <v>0</v>
      </c>
      <c r="W174" s="449">
        <f>($H174-SUM($L174:V174))/W$694</f>
        <v>0</v>
      </c>
      <c r="X174" s="449"/>
      <c r="Y174" s="449">
        <f t="shared" si="192"/>
        <v>0</v>
      </c>
      <c r="Z174" s="531"/>
      <c r="AA174" s="449">
        <f t="shared" si="202"/>
        <v>0</v>
      </c>
      <c r="AB174" s="449">
        <f t="shared" si="202"/>
        <v>0</v>
      </c>
      <c r="AC174" s="449">
        <f t="shared" si="202"/>
        <v>0</v>
      </c>
      <c r="AD174" s="449">
        <f t="shared" si="202"/>
        <v>0</v>
      </c>
      <c r="AE174" s="449">
        <f t="shared" si="202"/>
        <v>0</v>
      </c>
      <c r="AF174" s="449">
        <f t="shared" si="202"/>
        <v>0</v>
      </c>
      <c r="AG174" s="449">
        <f t="shared" si="202"/>
        <v>0</v>
      </c>
      <c r="AH174" s="449">
        <f t="shared" si="202"/>
        <v>0</v>
      </c>
      <c r="AI174" s="449">
        <f t="shared" si="202"/>
        <v>0</v>
      </c>
      <c r="AJ174" s="449">
        <f t="shared" si="202"/>
        <v>0</v>
      </c>
      <c r="AK174" s="449">
        <f t="shared" si="202"/>
        <v>0</v>
      </c>
      <c r="AL174" s="449">
        <f t="shared" si="202"/>
        <v>0</v>
      </c>
      <c r="AN174" s="500">
        <f t="shared" si="194"/>
        <v>0</v>
      </c>
      <c r="AO174" s="449">
        <f t="shared" si="195"/>
        <v>0</v>
      </c>
      <c r="AP174" s="449">
        <f t="shared" si="196"/>
        <v>0</v>
      </c>
      <c r="AQ174" s="453" t="str">
        <f t="shared" si="197"/>
        <v>-</v>
      </c>
      <c r="AR174" s="449">
        <f t="shared" si="198"/>
        <v>0</v>
      </c>
      <c r="AS174" s="449">
        <f t="shared" si="199"/>
        <v>0</v>
      </c>
      <c r="AT174" s="426">
        <f t="shared" si="200"/>
        <v>0</v>
      </c>
      <c r="AU174" s="421"/>
      <c r="AV174" s="449">
        <f t="shared" si="205"/>
        <v>0</v>
      </c>
      <c r="AW174" s="449">
        <f t="shared" si="205"/>
        <v>0</v>
      </c>
      <c r="AX174" s="449">
        <f t="shared" si="205"/>
        <v>0</v>
      </c>
      <c r="AY174" s="449">
        <f t="shared" si="204"/>
        <v>0</v>
      </c>
      <c r="AZ174" s="449">
        <f t="shared" si="204"/>
        <v>0</v>
      </c>
      <c r="BA174" s="449">
        <f t="shared" si="204"/>
        <v>0</v>
      </c>
      <c r="BB174" s="449">
        <f t="shared" si="204"/>
        <v>0</v>
      </c>
      <c r="BC174" s="449">
        <f t="shared" si="204"/>
        <v>0</v>
      </c>
      <c r="BD174" s="449">
        <f t="shared" si="204"/>
        <v>0</v>
      </c>
      <c r="BE174" s="449">
        <f t="shared" si="204"/>
        <v>0</v>
      </c>
      <c r="BF174" s="449">
        <f t="shared" si="204"/>
        <v>0</v>
      </c>
      <c r="BG174" s="449">
        <f t="shared" si="204"/>
        <v>0</v>
      </c>
      <c r="BH174" s="400"/>
      <c r="BI174" s="449">
        <f t="shared" si="209"/>
        <v>0</v>
      </c>
      <c r="BJ174" s="449">
        <f t="shared" si="209"/>
        <v>0</v>
      </c>
      <c r="BK174" s="449">
        <f t="shared" si="209"/>
        <v>0</v>
      </c>
      <c r="BL174" s="449">
        <f t="shared" si="209"/>
        <v>0</v>
      </c>
      <c r="BM174" s="449">
        <f t="shared" si="209"/>
        <v>0</v>
      </c>
      <c r="BN174" s="449">
        <f t="shared" si="209"/>
        <v>0</v>
      </c>
      <c r="BO174" s="449">
        <f t="shared" si="209"/>
        <v>0</v>
      </c>
      <c r="BP174" s="449">
        <f t="shared" si="209"/>
        <v>0</v>
      </c>
      <c r="BQ174" s="449">
        <f t="shared" si="209"/>
        <v>0</v>
      </c>
      <c r="BR174" s="449">
        <f t="shared" si="209"/>
        <v>0</v>
      </c>
      <c r="BS174" s="449">
        <f t="shared" si="209"/>
        <v>0</v>
      </c>
      <c r="BT174" s="449">
        <f t="shared" si="209"/>
        <v>0</v>
      </c>
    </row>
    <row r="175" spans="1:72" ht="15" x14ac:dyDescent="0.25">
      <c r="A175" s="502" t="s">
        <v>277</v>
      </c>
      <c r="B175" s="502" t="s">
        <v>278</v>
      </c>
      <c r="C175" s="596"/>
      <c r="D175" s="500">
        <f t="shared" si="187"/>
        <v>0</v>
      </c>
      <c r="E175" s="449">
        <v>0</v>
      </c>
      <c r="F175" s="449">
        <f t="shared" si="188"/>
        <v>0</v>
      </c>
      <c r="G175" s="421">
        <f t="shared" si="189"/>
        <v>0</v>
      </c>
      <c r="H175" s="449">
        <v>0</v>
      </c>
      <c r="I175" s="449">
        <f t="shared" si="190"/>
        <v>0</v>
      </c>
      <c r="J175" s="426">
        <f t="shared" si="191"/>
        <v>0</v>
      </c>
      <c r="K175" s="421"/>
      <c r="L175" s="449">
        <v>0</v>
      </c>
      <c r="M175" s="449">
        <v>0</v>
      </c>
      <c r="N175" s="449">
        <v>0</v>
      </c>
      <c r="O175" s="449">
        <v>0</v>
      </c>
      <c r="P175" s="449">
        <v>0</v>
      </c>
      <c r="Q175" s="449">
        <v>0</v>
      </c>
      <c r="R175" s="449">
        <f>($H175-SUM($L175:Q175))/R$694</f>
        <v>0</v>
      </c>
      <c r="S175" s="449">
        <f>($H175-SUM($L175:R175))/S$694</f>
        <v>0</v>
      </c>
      <c r="T175" s="449">
        <f>($H175-SUM($L175:S175))/T$694</f>
        <v>0</v>
      </c>
      <c r="U175" s="449">
        <f>($H175-SUM($L175:T175))/U$694</f>
        <v>0</v>
      </c>
      <c r="V175" s="449">
        <f>($H175-SUM($L175:U175))/V$694</f>
        <v>0</v>
      </c>
      <c r="W175" s="449">
        <f>($H175-SUM($L175:V175))/W$694</f>
        <v>0</v>
      </c>
      <c r="X175" s="449"/>
      <c r="Y175" s="449">
        <f t="shared" si="192"/>
        <v>0</v>
      </c>
      <c r="Z175" s="531"/>
      <c r="AA175" s="449">
        <f t="shared" si="202"/>
        <v>0</v>
      </c>
      <c r="AB175" s="449">
        <f t="shared" si="202"/>
        <v>0</v>
      </c>
      <c r="AC175" s="449">
        <f t="shared" si="202"/>
        <v>0</v>
      </c>
      <c r="AD175" s="449">
        <f t="shared" si="202"/>
        <v>0</v>
      </c>
      <c r="AE175" s="449">
        <f t="shared" si="202"/>
        <v>0</v>
      </c>
      <c r="AF175" s="449">
        <f t="shared" si="202"/>
        <v>0</v>
      </c>
      <c r="AG175" s="449">
        <f t="shared" si="202"/>
        <v>0</v>
      </c>
      <c r="AH175" s="449">
        <f t="shared" si="202"/>
        <v>0</v>
      </c>
      <c r="AI175" s="449">
        <f t="shared" si="202"/>
        <v>0</v>
      </c>
      <c r="AJ175" s="449">
        <f t="shared" si="202"/>
        <v>0</v>
      </c>
      <c r="AK175" s="449">
        <f t="shared" si="202"/>
        <v>0</v>
      </c>
      <c r="AL175" s="449">
        <f t="shared" si="202"/>
        <v>0</v>
      </c>
      <c r="AN175" s="500">
        <f t="shared" si="194"/>
        <v>0</v>
      </c>
      <c r="AO175" s="449">
        <f t="shared" si="195"/>
        <v>0</v>
      </c>
      <c r="AP175" s="449">
        <f t="shared" si="196"/>
        <v>0</v>
      </c>
      <c r="AQ175" s="453" t="str">
        <f t="shared" si="197"/>
        <v>-</v>
      </c>
      <c r="AR175" s="449">
        <f t="shared" si="198"/>
        <v>0</v>
      </c>
      <c r="AS175" s="449">
        <f t="shared" si="199"/>
        <v>0</v>
      </c>
      <c r="AT175" s="426">
        <f t="shared" si="200"/>
        <v>0</v>
      </c>
      <c r="AU175" s="421"/>
      <c r="AV175" s="449">
        <f t="shared" si="205"/>
        <v>0</v>
      </c>
      <c r="AW175" s="449">
        <f t="shared" si="205"/>
        <v>0</v>
      </c>
      <c r="AX175" s="449">
        <f t="shared" si="205"/>
        <v>0</v>
      </c>
      <c r="AY175" s="449">
        <f t="shared" si="204"/>
        <v>0</v>
      </c>
      <c r="AZ175" s="449">
        <f t="shared" si="204"/>
        <v>0</v>
      </c>
      <c r="BA175" s="449">
        <f t="shared" si="204"/>
        <v>0</v>
      </c>
      <c r="BB175" s="449">
        <f t="shared" si="204"/>
        <v>0</v>
      </c>
      <c r="BC175" s="449">
        <f t="shared" si="204"/>
        <v>0</v>
      </c>
      <c r="BD175" s="449">
        <f t="shared" si="204"/>
        <v>0</v>
      </c>
      <c r="BE175" s="449">
        <f t="shared" si="204"/>
        <v>0</v>
      </c>
      <c r="BF175" s="449">
        <f t="shared" si="204"/>
        <v>0</v>
      </c>
      <c r="BG175" s="449">
        <f t="shared" si="204"/>
        <v>0</v>
      </c>
      <c r="BH175" s="400"/>
      <c r="BI175" s="449">
        <f t="shared" si="209"/>
        <v>0</v>
      </c>
      <c r="BJ175" s="449">
        <f t="shared" si="209"/>
        <v>0</v>
      </c>
      <c r="BK175" s="449">
        <f t="shared" si="209"/>
        <v>0</v>
      </c>
      <c r="BL175" s="449">
        <f t="shared" si="209"/>
        <v>0</v>
      </c>
      <c r="BM175" s="449">
        <f t="shared" si="209"/>
        <v>0</v>
      </c>
      <c r="BN175" s="449">
        <f t="shared" si="209"/>
        <v>0</v>
      </c>
      <c r="BO175" s="449">
        <f t="shared" si="209"/>
        <v>0</v>
      </c>
      <c r="BP175" s="449">
        <f t="shared" si="209"/>
        <v>0</v>
      </c>
      <c r="BQ175" s="449">
        <f t="shared" si="209"/>
        <v>0</v>
      </c>
      <c r="BR175" s="449">
        <f t="shared" si="209"/>
        <v>0</v>
      </c>
      <c r="BS175" s="449">
        <f t="shared" si="209"/>
        <v>0</v>
      </c>
      <c r="BT175" s="449">
        <f t="shared" si="209"/>
        <v>0</v>
      </c>
    </row>
    <row r="176" spans="1:72" ht="15" x14ac:dyDescent="0.25">
      <c r="A176" s="537" t="s">
        <v>279</v>
      </c>
      <c r="B176" s="537" t="s">
        <v>280</v>
      </c>
      <c r="C176" s="541"/>
      <c r="D176" s="500">
        <f t="shared" si="187"/>
        <v>0</v>
      </c>
      <c r="E176" s="449">
        <v>0</v>
      </c>
      <c r="F176" s="449">
        <f t="shared" si="188"/>
        <v>0</v>
      </c>
      <c r="G176" s="421">
        <f t="shared" si="189"/>
        <v>0</v>
      </c>
      <c r="H176" s="449">
        <v>0</v>
      </c>
      <c r="I176" s="449">
        <f t="shared" si="190"/>
        <v>0</v>
      </c>
      <c r="J176" s="426">
        <f t="shared" si="191"/>
        <v>0</v>
      </c>
      <c r="K176" s="421"/>
      <c r="L176" s="449">
        <v>0</v>
      </c>
      <c r="M176" s="449">
        <v>0</v>
      </c>
      <c r="N176" s="449">
        <v>0</v>
      </c>
      <c r="O176" s="449">
        <v>0</v>
      </c>
      <c r="P176" s="449">
        <v>0</v>
      </c>
      <c r="Q176" s="449">
        <v>0</v>
      </c>
      <c r="R176" s="449">
        <f>($H176-SUM($L176:Q176))/R$694</f>
        <v>0</v>
      </c>
      <c r="S176" s="449">
        <f>($H176-SUM($L176:R176))/S$694</f>
        <v>0</v>
      </c>
      <c r="T176" s="449">
        <f>($H176-SUM($L176:S176))/T$694</f>
        <v>0</v>
      </c>
      <c r="U176" s="449">
        <f>($H176-SUM($L176:T176))/U$694</f>
        <v>0</v>
      </c>
      <c r="V176" s="449">
        <f>($H176-SUM($L176:U176))/V$694</f>
        <v>0</v>
      </c>
      <c r="W176" s="449">
        <f>($H176-SUM($L176:V176))/W$694</f>
        <v>0</v>
      </c>
      <c r="X176" s="449"/>
      <c r="Y176" s="449">
        <f t="shared" si="192"/>
        <v>0</v>
      </c>
      <c r="Z176" s="531"/>
      <c r="AA176" s="449">
        <f t="shared" si="202"/>
        <v>0</v>
      </c>
      <c r="AB176" s="449">
        <f t="shared" si="202"/>
        <v>0</v>
      </c>
      <c r="AC176" s="449">
        <f t="shared" si="202"/>
        <v>0</v>
      </c>
      <c r="AD176" s="449">
        <f t="shared" si="202"/>
        <v>0</v>
      </c>
      <c r="AE176" s="449">
        <f t="shared" si="202"/>
        <v>0</v>
      </c>
      <c r="AF176" s="449">
        <f t="shared" si="202"/>
        <v>0</v>
      </c>
      <c r="AG176" s="449">
        <f t="shared" si="202"/>
        <v>0</v>
      </c>
      <c r="AH176" s="449">
        <f t="shared" si="202"/>
        <v>0</v>
      </c>
      <c r="AI176" s="449">
        <f t="shared" si="202"/>
        <v>0</v>
      </c>
      <c r="AJ176" s="449">
        <f t="shared" si="202"/>
        <v>0</v>
      </c>
      <c r="AK176" s="449">
        <f t="shared" si="202"/>
        <v>0</v>
      </c>
      <c r="AL176" s="449">
        <f t="shared" si="202"/>
        <v>0</v>
      </c>
      <c r="AN176" s="500">
        <f t="shared" si="194"/>
        <v>0</v>
      </c>
      <c r="AO176" s="449">
        <f t="shared" si="195"/>
        <v>0</v>
      </c>
      <c r="AP176" s="449">
        <f t="shared" si="196"/>
        <v>0</v>
      </c>
      <c r="AQ176" s="453" t="str">
        <f t="shared" si="197"/>
        <v>-</v>
      </c>
      <c r="AR176" s="449">
        <f t="shared" si="198"/>
        <v>0</v>
      </c>
      <c r="AS176" s="449">
        <f t="shared" si="199"/>
        <v>0</v>
      </c>
      <c r="AT176" s="426">
        <f t="shared" si="200"/>
        <v>0</v>
      </c>
      <c r="AU176" s="421"/>
      <c r="AV176" s="449">
        <f t="shared" si="205"/>
        <v>0</v>
      </c>
      <c r="AW176" s="449">
        <f t="shared" si="205"/>
        <v>0</v>
      </c>
      <c r="AX176" s="449">
        <f t="shared" si="205"/>
        <v>0</v>
      </c>
      <c r="AY176" s="449">
        <f t="shared" si="204"/>
        <v>0</v>
      </c>
      <c r="AZ176" s="449">
        <f t="shared" si="204"/>
        <v>0</v>
      </c>
      <c r="BA176" s="449">
        <f t="shared" si="204"/>
        <v>0</v>
      </c>
      <c r="BB176" s="449">
        <f t="shared" si="204"/>
        <v>0</v>
      </c>
      <c r="BC176" s="449">
        <f t="shared" si="204"/>
        <v>0</v>
      </c>
      <c r="BD176" s="449">
        <f t="shared" si="204"/>
        <v>0</v>
      </c>
      <c r="BE176" s="449">
        <f t="shared" si="204"/>
        <v>0</v>
      </c>
      <c r="BF176" s="449">
        <f t="shared" si="204"/>
        <v>0</v>
      </c>
      <c r="BG176" s="449">
        <f t="shared" si="204"/>
        <v>0</v>
      </c>
      <c r="BH176" s="400"/>
      <c r="BI176" s="449">
        <f t="shared" si="209"/>
        <v>0</v>
      </c>
      <c r="BJ176" s="449">
        <f t="shared" si="209"/>
        <v>0</v>
      </c>
      <c r="BK176" s="449">
        <f t="shared" si="209"/>
        <v>0</v>
      </c>
      <c r="BL176" s="449">
        <f t="shared" si="209"/>
        <v>0</v>
      </c>
      <c r="BM176" s="449">
        <f t="shared" si="209"/>
        <v>0</v>
      </c>
      <c r="BN176" s="449">
        <f t="shared" si="209"/>
        <v>0</v>
      </c>
      <c r="BO176" s="449">
        <f t="shared" si="209"/>
        <v>0</v>
      </c>
      <c r="BP176" s="449">
        <f t="shared" si="209"/>
        <v>0</v>
      </c>
      <c r="BQ176" s="449">
        <f t="shared" si="209"/>
        <v>0</v>
      </c>
      <c r="BR176" s="449">
        <f t="shared" si="209"/>
        <v>0</v>
      </c>
      <c r="BS176" s="449">
        <f t="shared" si="209"/>
        <v>0</v>
      </c>
      <c r="BT176" s="449">
        <f t="shared" si="209"/>
        <v>0</v>
      </c>
    </row>
    <row r="177" spans="1:72" ht="15" x14ac:dyDescent="0.25">
      <c r="A177" s="612" t="s">
        <v>281</v>
      </c>
      <c r="B177" s="502" t="s">
        <v>282</v>
      </c>
      <c r="C177" s="596"/>
      <c r="D177" s="500">
        <f t="shared" si="187"/>
        <v>0</v>
      </c>
      <c r="E177" s="449">
        <v>0</v>
      </c>
      <c r="F177" s="449">
        <f t="shared" si="188"/>
        <v>0</v>
      </c>
      <c r="G177" s="421">
        <f t="shared" si="189"/>
        <v>0</v>
      </c>
      <c r="H177" s="449"/>
      <c r="I177" s="449">
        <f t="shared" si="190"/>
        <v>0</v>
      </c>
      <c r="J177" s="426">
        <f t="shared" si="191"/>
        <v>0</v>
      </c>
      <c r="K177" s="421"/>
      <c r="L177" s="449">
        <v>0</v>
      </c>
      <c r="M177" s="449">
        <v>0</v>
      </c>
      <c r="N177" s="449">
        <v>0</v>
      </c>
      <c r="O177" s="449">
        <v>0</v>
      </c>
      <c r="P177" s="449">
        <v>0</v>
      </c>
      <c r="Q177" s="449">
        <v>0</v>
      </c>
      <c r="R177" s="449">
        <f>($H177-SUM($L177:Q177))/R$694</f>
        <v>0</v>
      </c>
      <c r="S177" s="449">
        <f>($H177-SUM($L177:R177))/S$694</f>
        <v>0</v>
      </c>
      <c r="T177" s="449">
        <f>($H177-SUM($L177:S177))/T$694</f>
        <v>0</v>
      </c>
      <c r="U177" s="449">
        <f>($H177-SUM($L177:T177))/U$694</f>
        <v>0</v>
      </c>
      <c r="V177" s="449">
        <f>($H177-SUM($L177:U177))/V$694</f>
        <v>0</v>
      </c>
      <c r="W177" s="449">
        <f>($H177-SUM($L177:V177))/W$694</f>
        <v>0</v>
      </c>
      <c r="X177" s="449"/>
      <c r="Y177" s="449">
        <f t="shared" si="192"/>
        <v>0</v>
      </c>
      <c r="Z177" s="531"/>
      <c r="AA177" s="449">
        <f t="shared" si="202"/>
        <v>0</v>
      </c>
      <c r="AB177" s="449">
        <f t="shared" si="202"/>
        <v>0</v>
      </c>
      <c r="AC177" s="449">
        <f t="shared" si="202"/>
        <v>0</v>
      </c>
      <c r="AD177" s="449">
        <f t="shared" si="202"/>
        <v>0</v>
      </c>
      <c r="AE177" s="449">
        <f t="shared" si="202"/>
        <v>0</v>
      </c>
      <c r="AF177" s="449">
        <f t="shared" si="202"/>
        <v>0</v>
      </c>
      <c r="AG177" s="449">
        <f t="shared" si="202"/>
        <v>0</v>
      </c>
      <c r="AH177" s="449">
        <f t="shared" si="202"/>
        <v>0</v>
      </c>
      <c r="AI177" s="449">
        <f t="shared" si="202"/>
        <v>0</v>
      </c>
      <c r="AJ177" s="449">
        <f t="shared" si="202"/>
        <v>0</v>
      </c>
      <c r="AK177" s="449">
        <f t="shared" si="202"/>
        <v>0</v>
      </c>
      <c r="AL177" s="449">
        <f t="shared" si="202"/>
        <v>0</v>
      </c>
      <c r="AN177" s="500">
        <f t="shared" si="194"/>
        <v>0</v>
      </c>
      <c r="AO177" s="449">
        <f t="shared" si="195"/>
        <v>0</v>
      </c>
      <c r="AP177" s="449">
        <f t="shared" si="196"/>
        <v>0</v>
      </c>
      <c r="AQ177" s="453" t="str">
        <f t="shared" si="197"/>
        <v>-</v>
      </c>
      <c r="AR177" s="449">
        <f>SUM(BI177:BT177)</f>
        <v>0</v>
      </c>
      <c r="AS177" s="449">
        <f t="shared" si="199"/>
        <v>0</v>
      </c>
      <c r="AT177" s="426">
        <f t="shared" si="200"/>
        <v>0</v>
      </c>
      <c r="AU177" s="421"/>
      <c r="AV177" s="449">
        <f t="shared" si="205"/>
        <v>0</v>
      </c>
      <c r="AW177" s="449">
        <f t="shared" si="205"/>
        <v>0</v>
      </c>
      <c r="AX177" s="449">
        <f t="shared" si="205"/>
        <v>0</v>
      </c>
      <c r="AY177" s="449">
        <f t="shared" si="204"/>
        <v>0</v>
      </c>
      <c r="AZ177" s="449">
        <f t="shared" si="204"/>
        <v>0</v>
      </c>
      <c r="BA177" s="449">
        <f t="shared" si="204"/>
        <v>0</v>
      </c>
      <c r="BB177" s="449">
        <f t="shared" si="204"/>
        <v>0</v>
      </c>
      <c r="BC177" s="449">
        <f t="shared" si="204"/>
        <v>0</v>
      </c>
      <c r="BD177" s="449">
        <f t="shared" si="204"/>
        <v>0</v>
      </c>
      <c r="BE177" s="449">
        <f t="shared" si="204"/>
        <v>0</v>
      </c>
      <c r="BF177" s="449">
        <f t="shared" si="204"/>
        <v>0</v>
      </c>
      <c r="BG177" s="449">
        <f t="shared" si="204"/>
        <v>0</v>
      </c>
      <c r="BH177" s="400"/>
      <c r="BI177" s="449">
        <f t="shared" ref="BI177:BT179" si="210">IFERROR((($H177/$H$5)*BI$5)/12,0)</f>
        <v>0</v>
      </c>
      <c r="BJ177" s="449">
        <f t="shared" si="210"/>
        <v>0</v>
      </c>
      <c r="BK177" s="449">
        <f t="shared" si="210"/>
        <v>0</v>
      </c>
      <c r="BL177" s="449">
        <f t="shared" si="210"/>
        <v>0</v>
      </c>
      <c r="BM177" s="449">
        <f t="shared" si="210"/>
        <v>0</v>
      </c>
      <c r="BN177" s="449">
        <f t="shared" si="210"/>
        <v>0</v>
      </c>
      <c r="BO177" s="449">
        <f t="shared" si="210"/>
        <v>0</v>
      </c>
      <c r="BP177" s="449">
        <f t="shared" si="210"/>
        <v>0</v>
      </c>
      <c r="BQ177" s="449">
        <f t="shared" si="210"/>
        <v>0</v>
      </c>
      <c r="BR177" s="449">
        <f t="shared" si="210"/>
        <v>0</v>
      </c>
      <c r="BS177" s="449">
        <f t="shared" si="210"/>
        <v>0</v>
      </c>
      <c r="BT177" s="449">
        <f t="shared" si="210"/>
        <v>0</v>
      </c>
    </row>
    <row r="178" spans="1:72" ht="15" x14ac:dyDescent="0.25">
      <c r="A178" s="612" t="s">
        <v>283</v>
      </c>
      <c r="B178" s="537" t="s">
        <v>284</v>
      </c>
      <c r="C178" s="541"/>
      <c r="D178" s="500">
        <f>SUM(L178:W178)</f>
        <v>0</v>
      </c>
      <c r="E178" s="449">
        <v>0</v>
      </c>
      <c r="F178" s="449">
        <f t="shared" si="188"/>
        <v>0</v>
      </c>
      <c r="G178" s="421">
        <f t="shared" si="189"/>
        <v>0</v>
      </c>
      <c r="H178" s="449">
        <v>0</v>
      </c>
      <c r="I178" s="449">
        <f t="shared" si="190"/>
        <v>0</v>
      </c>
      <c r="J178" s="426">
        <f t="shared" si="191"/>
        <v>0</v>
      </c>
      <c r="K178" s="421"/>
      <c r="L178" s="449">
        <v>0</v>
      </c>
      <c r="M178" s="449">
        <v>0</v>
      </c>
      <c r="N178" s="449">
        <v>0</v>
      </c>
      <c r="O178" s="449">
        <v>0</v>
      </c>
      <c r="P178" s="449">
        <v>0</v>
      </c>
      <c r="Q178" s="449">
        <v>0</v>
      </c>
      <c r="R178" s="449">
        <f>($H178-SUM($L178:Q178))/R$694</f>
        <v>0</v>
      </c>
      <c r="S178" s="449">
        <f>($H178-SUM($L178:R178))/S$694</f>
        <v>0</v>
      </c>
      <c r="T178" s="449">
        <f>($H178-SUM($L178:S178))/T$694</f>
        <v>0</v>
      </c>
      <c r="U178" s="449">
        <f>($H178-SUM($L178:T178))/U$694</f>
        <v>0</v>
      </c>
      <c r="V178" s="449">
        <f>($H178-SUM($L178:U178))/V$694</f>
        <v>0</v>
      </c>
      <c r="W178" s="449">
        <f>($H178-SUM($L178:V178))/W$694</f>
        <v>0</v>
      </c>
      <c r="X178" s="449"/>
      <c r="Y178" s="449">
        <f t="shared" si="192"/>
        <v>0</v>
      </c>
      <c r="Z178" s="531"/>
      <c r="AA178" s="449">
        <f t="shared" si="202"/>
        <v>0</v>
      </c>
      <c r="AB178" s="449">
        <f t="shared" si="202"/>
        <v>0</v>
      </c>
      <c r="AC178" s="449">
        <f t="shared" si="202"/>
        <v>0</v>
      </c>
      <c r="AD178" s="449">
        <f t="shared" si="202"/>
        <v>0</v>
      </c>
      <c r="AE178" s="449">
        <f t="shared" si="202"/>
        <v>0</v>
      </c>
      <c r="AF178" s="449">
        <f t="shared" si="202"/>
        <v>0</v>
      </c>
      <c r="AG178" s="449">
        <f t="shared" si="202"/>
        <v>0</v>
      </c>
      <c r="AH178" s="449">
        <f t="shared" si="202"/>
        <v>0</v>
      </c>
      <c r="AI178" s="449">
        <f t="shared" si="202"/>
        <v>0</v>
      </c>
      <c r="AJ178" s="449">
        <f t="shared" si="202"/>
        <v>0</v>
      </c>
      <c r="AK178" s="449">
        <f t="shared" si="202"/>
        <v>0</v>
      </c>
      <c r="AL178" s="449">
        <f t="shared" si="202"/>
        <v>0</v>
      </c>
      <c r="AN178" s="500">
        <f t="shared" si="194"/>
        <v>0</v>
      </c>
      <c r="AO178" s="449">
        <f t="shared" si="195"/>
        <v>0</v>
      </c>
      <c r="AP178" s="449">
        <f t="shared" si="196"/>
        <v>0</v>
      </c>
      <c r="AQ178" s="453" t="str">
        <f t="shared" si="197"/>
        <v>-</v>
      </c>
      <c r="AR178" s="449">
        <f t="shared" ref="AR178:AR240" si="211">SUM(BI178:BT178)</f>
        <v>0</v>
      </c>
      <c r="AS178" s="449">
        <f t="shared" si="199"/>
        <v>0</v>
      </c>
      <c r="AT178" s="426">
        <f t="shared" si="200"/>
        <v>0</v>
      </c>
      <c r="AU178" s="421"/>
      <c r="AV178" s="449">
        <f t="shared" si="205"/>
        <v>0</v>
      </c>
      <c r="AW178" s="449">
        <f t="shared" si="205"/>
        <v>0</v>
      </c>
      <c r="AX178" s="449">
        <f t="shared" si="205"/>
        <v>0</v>
      </c>
      <c r="AY178" s="449">
        <f t="shared" si="204"/>
        <v>0</v>
      </c>
      <c r="AZ178" s="449">
        <f t="shared" si="204"/>
        <v>0</v>
      </c>
      <c r="BA178" s="449">
        <f t="shared" si="204"/>
        <v>0</v>
      </c>
      <c r="BB178" s="449">
        <f t="shared" si="204"/>
        <v>0</v>
      </c>
      <c r="BC178" s="449">
        <f t="shared" si="204"/>
        <v>0</v>
      </c>
      <c r="BD178" s="449">
        <f t="shared" si="204"/>
        <v>0</v>
      </c>
      <c r="BE178" s="449">
        <f t="shared" si="204"/>
        <v>0</v>
      </c>
      <c r="BF178" s="449">
        <f t="shared" si="204"/>
        <v>0</v>
      </c>
      <c r="BG178" s="449">
        <f t="shared" si="204"/>
        <v>0</v>
      </c>
      <c r="BH178" s="400"/>
      <c r="BI178" s="449">
        <f t="shared" si="210"/>
        <v>0</v>
      </c>
      <c r="BJ178" s="449">
        <f t="shared" si="210"/>
        <v>0</v>
      </c>
      <c r="BK178" s="449">
        <f t="shared" si="210"/>
        <v>0</v>
      </c>
      <c r="BL178" s="449">
        <f t="shared" si="210"/>
        <v>0</v>
      </c>
      <c r="BM178" s="449">
        <f t="shared" si="210"/>
        <v>0</v>
      </c>
      <c r="BN178" s="449">
        <f t="shared" si="210"/>
        <v>0</v>
      </c>
      <c r="BO178" s="449">
        <f t="shared" si="210"/>
        <v>0</v>
      </c>
      <c r="BP178" s="449">
        <f t="shared" si="210"/>
        <v>0</v>
      </c>
      <c r="BQ178" s="449">
        <f t="shared" si="210"/>
        <v>0</v>
      </c>
      <c r="BR178" s="449">
        <f t="shared" si="210"/>
        <v>0</v>
      </c>
      <c r="BS178" s="449">
        <f t="shared" si="210"/>
        <v>0</v>
      </c>
      <c r="BT178" s="449">
        <f t="shared" si="210"/>
        <v>0</v>
      </c>
    </row>
    <row r="179" spans="1:72" ht="15" x14ac:dyDescent="0.25">
      <c r="A179" s="612" t="s">
        <v>285</v>
      </c>
      <c r="B179" s="612" t="s">
        <v>286</v>
      </c>
      <c r="C179" s="596"/>
      <c r="D179" s="500">
        <f t="shared" si="187"/>
        <v>0</v>
      </c>
      <c r="E179" s="449">
        <v>0</v>
      </c>
      <c r="F179" s="449">
        <f t="shared" si="188"/>
        <v>0</v>
      </c>
      <c r="G179" s="421">
        <f t="shared" si="189"/>
        <v>0</v>
      </c>
      <c r="H179" s="449">
        <v>0</v>
      </c>
      <c r="I179" s="449">
        <f t="shared" si="190"/>
        <v>0</v>
      </c>
      <c r="J179" s="426">
        <f t="shared" si="191"/>
        <v>0</v>
      </c>
      <c r="K179" s="421"/>
      <c r="L179" s="449">
        <v>66507.77</v>
      </c>
      <c r="M179" s="449">
        <v>0</v>
      </c>
      <c r="N179" s="449">
        <v>0</v>
      </c>
      <c r="O179" s="449">
        <v>0</v>
      </c>
      <c r="P179" s="449">
        <v>-66507.77</v>
      </c>
      <c r="Q179" s="449">
        <v>0</v>
      </c>
      <c r="R179" s="449">
        <f>($H179-SUM($L179:Q179))/R$694</f>
        <v>0</v>
      </c>
      <c r="S179" s="449">
        <f>($H179-SUM($L179:R179))/S$694</f>
        <v>0</v>
      </c>
      <c r="T179" s="449">
        <f>($H179-SUM($L179:S179))/T$694</f>
        <v>0</v>
      </c>
      <c r="U179" s="449">
        <f>($H179-SUM($L179:T179))/U$694</f>
        <v>0</v>
      </c>
      <c r="V179" s="449">
        <f>($H179-SUM($L179:U179))/V$694</f>
        <v>0</v>
      </c>
      <c r="W179" s="449">
        <f>($H179-SUM($L179:V179))/W$694</f>
        <v>0</v>
      </c>
      <c r="X179" s="449"/>
      <c r="Y179" s="449">
        <f t="shared" si="192"/>
        <v>0</v>
      </c>
      <c r="Z179" s="531"/>
      <c r="AA179" s="449">
        <f t="shared" ref="AA179:AL197" si="212">IFERROR($H179/12,0)</f>
        <v>0</v>
      </c>
      <c r="AB179" s="449">
        <f t="shared" si="212"/>
        <v>0</v>
      </c>
      <c r="AC179" s="449">
        <f t="shared" si="212"/>
        <v>0</v>
      </c>
      <c r="AD179" s="449">
        <f t="shared" si="212"/>
        <v>0</v>
      </c>
      <c r="AE179" s="449">
        <f t="shared" si="212"/>
        <v>0</v>
      </c>
      <c r="AF179" s="449">
        <f t="shared" si="212"/>
        <v>0</v>
      </c>
      <c r="AG179" s="449">
        <f t="shared" si="212"/>
        <v>0</v>
      </c>
      <c r="AH179" s="449">
        <f t="shared" si="212"/>
        <v>0</v>
      </c>
      <c r="AI179" s="449">
        <f t="shared" si="212"/>
        <v>0</v>
      </c>
      <c r="AJ179" s="449">
        <f t="shared" si="212"/>
        <v>0</v>
      </c>
      <c r="AK179" s="449">
        <f t="shared" si="212"/>
        <v>0</v>
      </c>
      <c r="AL179" s="449">
        <f t="shared" si="212"/>
        <v>0</v>
      </c>
      <c r="AN179" s="500">
        <f t="shared" si="194"/>
        <v>0</v>
      </c>
      <c r="AO179" s="449">
        <f t="shared" si="195"/>
        <v>0</v>
      </c>
      <c r="AP179" s="449">
        <f t="shared" si="196"/>
        <v>0</v>
      </c>
      <c r="AQ179" s="453" t="str">
        <f t="shared" si="197"/>
        <v>-</v>
      </c>
      <c r="AR179" s="449">
        <f t="shared" si="211"/>
        <v>0</v>
      </c>
      <c r="AS179" s="449">
        <f t="shared" si="199"/>
        <v>0</v>
      </c>
      <c r="AT179" s="426">
        <f t="shared" si="200"/>
        <v>0</v>
      </c>
      <c r="AU179" s="421"/>
      <c r="AV179" s="449">
        <f t="shared" si="205"/>
        <v>0</v>
      </c>
      <c r="AW179" s="449">
        <f t="shared" si="205"/>
        <v>0</v>
      </c>
      <c r="AX179" s="449">
        <f t="shared" si="205"/>
        <v>0</v>
      </c>
      <c r="AY179" s="449">
        <f t="shared" si="204"/>
        <v>0</v>
      </c>
      <c r="AZ179" s="449">
        <f t="shared" si="204"/>
        <v>0</v>
      </c>
      <c r="BA179" s="449">
        <f t="shared" si="204"/>
        <v>0</v>
      </c>
      <c r="BB179" s="449">
        <f t="shared" si="204"/>
        <v>0</v>
      </c>
      <c r="BC179" s="449">
        <f t="shared" si="204"/>
        <v>0</v>
      </c>
      <c r="BD179" s="449">
        <f t="shared" si="204"/>
        <v>0</v>
      </c>
      <c r="BE179" s="449">
        <f t="shared" si="204"/>
        <v>0</v>
      </c>
      <c r="BF179" s="449">
        <f t="shared" si="204"/>
        <v>0</v>
      </c>
      <c r="BG179" s="449">
        <f t="shared" si="204"/>
        <v>0</v>
      </c>
      <c r="BH179" s="400"/>
      <c r="BI179" s="449">
        <f t="shared" si="210"/>
        <v>0</v>
      </c>
      <c r="BJ179" s="449">
        <f t="shared" si="210"/>
        <v>0</v>
      </c>
      <c r="BK179" s="449">
        <f t="shared" si="210"/>
        <v>0</v>
      </c>
      <c r="BL179" s="449">
        <f t="shared" si="210"/>
        <v>0</v>
      </c>
      <c r="BM179" s="449">
        <f t="shared" si="210"/>
        <v>0</v>
      </c>
      <c r="BN179" s="449">
        <f t="shared" si="210"/>
        <v>0</v>
      </c>
      <c r="BO179" s="449">
        <f t="shared" si="210"/>
        <v>0</v>
      </c>
      <c r="BP179" s="449">
        <f t="shared" si="210"/>
        <v>0</v>
      </c>
      <c r="BQ179" s="449">
        <f t="shared" si="210"/>
        <v>0</v>
      </c>
      <c r="BR179" s="449">
        <f t="shared" si="210"/>
        <v>0</v>
      </c>
      <c r="BS179" s="449">
        <f t="shared" si="210"/>
        <v>0</v>
      </c>
      <c r="BT179" s="449">
        <f t="shared" si="210"/>
        <v>0</v>
      </c>
    </row>
    <row r="180" spans="1:72" ht="15" x14ac:dyDescent="0.25">
      <c r="A180" s="612" t="s">
        <v>287</v>
      </c>
      <c r="B180" s="612" t="s">
        <v>288</v>
      </c>
      <c r="C180" s="596"/>
      <c r="D180" s="500">
        <f t="shared" si="187"/>
        <v>68000</v>
      </c>
      <c r="E180" s="449">
        <v>23700</v>
      </c>
      <c r="F180" s="449">
        <f t="shared" si="188"/>
        <v>44300</v>
      </c>
      <c r="G180" s="421">
        <f t="shared" si="189"/>
        <v>1.869198312236287</v>
      </c>
      <c r="H180" s="449">
        <v>68000</v>
      </c>
      <c r="I180" s="449">
        <f t="shared" si="190"/>
        <v>0</v>
      </c>
      <c r="J180" s="426">
        <f t="shared" si="191"/>
        <v>0</v>
      </c>
      <c r="K180" s="421"/>
      <c r="L180" s="449">
        <v>0</v>
      </c>
      <c r="M180" s="449">
        <v>0</v>
      </c>
      <c r="N180" s="449">
        <v>0</v>
      </c>
      <c r="O180" s="449">
        <v>0</v>
      </c>
      <c r="P180" s="449">
        <v>66507.77</v>
      </c>
      <c r="Q180" s="449">
        <v>0</v>
      </c>
      <c r="R180" s="449">
        <f>($H180-SUM($L180:Q180))/R$694</f>
        <v>248.70499999999933</v>
      </c>
      <c r="S180" s="449">
        <f>($H180-SUM($L180:R180))/S$694</f>
        <v>248.70499999999885</v>
      </c>
      <c r="T180" s="449">
        <f>($H180-SUM($L180:S180))/T$694</f>
        <v>248.70499999999811</v>
      </c>
      <c r="U180" s="449">
        <f>($H180-SUM($L180:T180))/U$694</f>
        <v>248.70499999999689</v>
      </c>
      <c r="V180" s="449">
        <f>($H180-SUM($L180:U180))/V$694</f>
        <v>248.70499999999447</v>
      </c>
      <c r="W180" s="449">
        <f>($H180-SUM($L180:V180))/W$694</f>
        <v>248.70499999998719</v>
      </c>
      <c r="X180" s="449"/>
      <c r="Y180" s="449">
        <f t="shared" si="192"/>
        <v>68000</v>
      </c>
      <c r="Z180" s="531"/>
      <c r="AA180" s="449">
        <f t="shared" si="212"/>
        <v>5666.666666666667</v>
      </c>
      <c r="AB180" s="449">
        <f t="shared" si="212"/>
        <v>5666.666666666667</v>
      </c>
      <c r="AC180" s="449">
        <f t="shared" si="212"/>
        <v>5666.666666666667</v>
      </c>
      <c r="AD180" s="449">
        <f t="shared" si="212"/>
        <v>5666.666666666667</v>
      </c>
      <c r="AE180" s="449">
        <f t="shared" si="212"/>
        <v>5666.666666666667</v>
      </c>
      <c r="AF180" s="449">
        <f t="shared" si="212"/>
        <v>5666.666666666667</v>
      </c>
      <c r="AG180" s="449">
        <f t="shared" si="212"/>
        <v>5666.666666666667</v>
      </c>
      <c r="AH180" s="449">
        <f t="shared" si="212"/>
        <v>5666.666666666667</v>
      </c>
      <c r="AI180" s="449">
        <f t="shared" si="212"/>
        <v>5666.666666666667</v>
      </c>
      <c r="AJ180" s="449">
        <f t="shared" si="212"/>
        <v>5666.666666666667</v>
      </c>
      <c r="AK180" s="449">
        <f t="shared" si="212"/>
        <v>5666.666666666667</v>
      </c>
      <c r="AL180" s="449">
        <f t="shared" si="212"/>
        <v>5666.666666666667</v>
      </c>
      <c r="AN180" s="500">
        <f t="shared" si="194"/>
        <v>68000</v>
      </c>
      <c r="AO180" s="449">
        <f t="shared" si="195"/>
        <v>0</v>
      </c>
      <c r="AP180" s="449">
        <f t="shared" si="196"/>
        <v>-68000</v>
      </c>
      <c r="AQ180" s="453">
        <f t="shared" si="197"/>
        <v>-1</v>
      </c>
      <c r="AR180" s="449">
        <f t="shared" si="211"/>
        <v>0</v>
      </c>
      <c r="AS180" s="449">
        <f t="shared" si="199"/>
        <v>0</v>
      </c>
      <c r="AT180" s="426">
        <f t="shared" si="200"/>
        <v>0</v>
      </c>
      <c r="AU180" s="421"/>
      <c r="AV180" s="449">
        <f t="shared" si="205"/>
        <v>0</v>
      </c>
      <c r="AW180" s="449">
        <f t="shared" si="205"/>
        <v>0</v>
      </c>
      <c r="AX180" s="449">
        <f t="shared" si="205"/>
        <v>0</v>
      </c>
      <c r="AY180" s="449">
        <f t="shared" si="204"/>
        <v>0</v>
      </c>
      <c r="AZ180" s="449">
        <f t="shared" si="204"/>
        <v>0</v>
      </c>
      <c r="BA180" s="449">
        <f t="shared" si="204"/>
        <v>0</v>
      </c>
      <c r="BB180" s="449">
        <f t="shared" si="204"/>
        <v>0</v>
      </c>
      <c r="BC180" s="449">
        <f t="shared" si="204"/>
        <v>0</v>
      </c>
      <c r="BD180" s="449">
        <f t="shared" si="204"/>
        <v>0</v>
      </c>
      <c r="BE180" s="449">
        <f t="shared" si="204"/>
        <v>0</v>
      </c>
      <c r="BF180" s="449">
        <f t="shared" si="204"/>
        <v>0</v>
      </c>
      <c r="BG180" s="449">
        <f t="shared" si="204"/>
        <v>0</v>
      </c>
      <c r="BH180" s="400"/>
      <c r="BI180" s="449">
        <f>(IFERROR((($H180/$H$5)*BI$5),0))*BI$696*0</f>
        <v>0</v>
      </c>
      <c r="BJ180" s="449">
        <f t="shared" ref="BJ180:BT180" si="213">(IFERROR((($H180/$H$5)*BJ$5),0))*BJ$696*0</f>
        <v>0</v>
      </c>
      <c r="BK180" s="449">
        <f t="shared" si="213"/>
        <v>0</v>
      </c>
      <c r="BL180" s="449">
        <f t="shared" si="213"/>
        <v>0</v>
      </c>
      <c r="BM180" s="449">
        <f t="shared" si="213"/>
        <v>0</v>
      </c>
      <c r="BN180" s="449">
        <f t="shared" si="213"/>
        <v>0</v>
      </c>
      <c r="BO180" s="449">
        <f t="shared" si="213"/>
        <v>0</v>
      </c>
      <c r="BP180" s="449">
        <f t="shared" si="213"/>
        <v>0</v>
      </c>
      <c r="BQ180" s="449">
        <f t="shared" si="213"/>
        <v>0</v>
      </c>
      <c r="BR180" s="449">
        <f t="shared" si="213"/>
        <v>0</v>
      </c>
      <c r="BS180" s="449">
        <f t="shared" si="213"/>
        <v>0</v>
      </c>
      <c r="BT180" s="449">
        <f t="shared" si="213"/>
        <v>0</v>
      </c>
    </row>
    <row r="181" spans="1:72" ht="15" x14ac:dyDescent="0.25">
      <c r="A181" s="612" t="s">
        <v>289</v>
      </c>
      <c r="B181" s="612" t="s">
        <v>290</v>
      </c>
      <c r="C181" s="541"/>
      <c r="D181" s="500">
        <f t="shared" si="187"/>
        <v>0</v>
      </c>
      <c r="E181" s="449">
        <v>0</v>
      </c>
      <c r="F181" s="449">
        <f t="shared" si="188"/>
        <v>0</v>
      </c>
      <c r="G181" s="421">
        <f t="shared" si="189"/>
        <v>0</v>
      </c>
      <c r="H181" s="449">
        <v>0</v>
      </c>
      <c r="I181" s="449">
        <f t="shared" si="190"/>
        <v>0</v>
      </c>
      <c r="J181" s="426">
        <f t="shared" si="191"/>
        <v>0</v>
      </c>
      <c r="K181" s="421"/>
      <c r="L181" s="449">
        <v>0</v>
      </c>
      <c r="M181" s="449">
        <v>0</v>
      </c>
      <c r="N181" s="449">
        <v>0</v>
      </c>
      <c r="O181" s="449">
        <v>0</v>
      </c>
      <c r="P181" s="449">
        <v>0</v>
      </c>
      <c r="Q181" s="449">
        <v>0</v>
      </c>
      <c r="R181" s="449">
        <f>($H181-SUM($L181:Q181))/R$694</f>
        <v>0</v>
      </c>
      <c r="S181" s="449">
        <f>($H181-SUM($L181:R181))/S$694</f>
        <v>0</v>
      </c>
      <c r="T181" s="449">
        <f>($H181-SUM($L181:S181))/T$694</f>
        <v>0</v>
      </c>
      <c r="U181" s="449">
        <f>($H181-SUM($L181:T181))/U$694</f>
        <v>0</v>
      </c>
      <c r="V181" s="449">
        <f>($H181-SUM($L181:U181))/V$694</f>
        <v>0</v>
      </c>
      <c r="W181" s="449">
        <f>($H181-SUM($L181:V181))/W$694</f>
        <v>0</v>
      </c>
      <c r="X181" s="449"/>
      <c r="Y181" s="449">
        <f t="shared" si="192"/>
        <v>0</v>
      </c>
      <c r="Z181" s="531"/>
      <c r="AA181" s="449">
        <f t="shared" si="212"/>
        <v>0</v>
      </c>
      <c r="AB181" s="449">
        <f t="shared" si="212"/>
        <v>0</v>
      </c>
      <c r="AC181" s="449">
        <f t="shared" si="212"/>
        <v>0</v>
      </c>
      <c r="AD181" s="449">
        <f t="shared" si="212"/>
        <v>0</v>
      </c>
      <c r="AE181" s="449">
        <f t="shared" si="212"/>
        <v>0</v>
      </c>
      <c r="AF181" s="449">
        <f t="shared" si="212"/>
        <v>0</v>
      </c>
      <c r="AG181" s="449">
        <f t="shared" si="212"/>
        <v>0</v>
      </c>
      <c r="AH181" s="449">
        <f t="shared" si="212"/>
        <v>0</v>
      </c>
      <c r="AI181" s="449">
        <f t="shared" si="212"/>
        <v>0</v>
      </c>
      <c r="AJ181" s="449">
        <f t="shared" si="212"/>
        <v>0</v>
      </c>
      <c r="AK181" s="449">
        <f t="shared" si="212"/>
        <v>0</v>
      </c>
      <c r="AL181" s="449">
        <f t="shared" si="212"/>
        <v>0</v>
      </c>
      <c r="AN181" s="500">
        <f t="shared" si="194"/>
        <v>0</v>
      </c>
      <c r="AO181" s="449">
        <f t="shared" si="195"/>
        <v>0</v>
      </c>
      <c r="AP181" s="449">
        <f t="shared" si="196"/>
        <v>0</v>
      </c>
      <c r="AQ181" s="453" t="str">
        <f t="shared" si="197"/>
        <v>-</v>
      </c>
      <c r="AR181" s="449">
        <f t="shared" si="211"/>
        <v>0</v>
      </c>
      <c r="AS181" s="449">
        <f t="shared" si="199"/>
        <v>0</v>
      </c>
      <c r="AT181" s="426">
        <f t="shared" si="200"/>
        <v>0</v>
      </c>
      <c r="AU181" s="421"/>
      <c r="AV181" s="449">
        <f t="shared" si="205"/>
        <v>0</v>
      </c>
      <c r="AW181" s="449">
        <f t="shared" si="205"/>
        <v>0</v>
      </c>
      <c r="AX181" s="449">
        <f t="shared" si="205"/>
        <v>0</v>
      </c>
      <c r="AY181" s="449">
        <f t="shared" si="204"/>
        <v>0</v>
      </c>
      <c r="AZ181" s="449">
        <f t="shared" si="204"/>
        <v>0</v>
      </c>
      <c r="BA181" s="449">
        <f t="shared" si="204"/>
        <v>0</v>
      </c>
      <c r="BB181" s="449">
        <f t="shared" si="204"/>
        <v>0</v>
      </c>
      <c r="BC181" s="449">
        <f t="shared" si="204"/>
        <v>0</v>
      </c>
      <c r="BD181" s="449">
        <f t="shared" si="204"/>
        <v>0</v>
      </c>
      <c r="BE181" s="449">
        <f t="shared" si="204"/>
        <v>0</v>
      </c>
      <c r="BF181" s="449">
        <f t="shared" si="204"/>
        <v>0</v>
      </c>
      <c r="BG181" s="449">
        <f t="shared" si="204"/>
        <v>0</v>
      </c>
      <c r="BH181" s="400"/>
      <c r="BI181" s="449">
        <f t="shared" ref="BI181:BT184" si="214">IFERROR((($H181/$H$5)*BI$5)/12,0)</f>
        <v>0</v>
      </c>
      <c r="BJ181" s="449">
        <f t="shared" si="214"/>
        <v>0</v>
      </c>
      <c r="BK181" s="449">
        <f t="shared" si="214"/>
        <v>0</v>
      </c>
      <c r="BL181" s="449">
        <f t="shared" si="214"/>
        <v>0</v>
      </c>
      <c r="BM181" s="449">
        <f t="shared" si="214"/>
        <v>0</v>
      </c>
      <c r="BN181" s="449">
        <f t="shared" si="214"/>
        <v>0</v>
      </c>
      <c r="BO181" s="449">
        <f t="shared" si="214"/>
        <v>0</v>
      </c>
      <c r="BP181" s="449">
        <f t="shared" si="214"/>
        <v>0</v>
      </c>
      <c r="BQ181" s="449">
        <f t="shared" si="214"/>
        <v>0</v>
      </c>
      <c r="BR181" s="449">
        <f t="shared" si="214"/>
        <v>0</v>
      </c>
      <c r="BS181" s="449">
        <f t="shared" si="214"/>
        <v>0</v>
      </c>
      <c r="BT181" s="449">
        <f t="shared" si="214"/>
        <v>0</v>
      </c>
    </row>
    <row r="182" spans="1:72" ht="15" x14ac:dyDescent="0.25">
      <c r="A182" s="612" t="s">
        <v>291</v>
      </c>
      <c r="B182" s="612" t="s">
        <v>292</v>
      </c>
      <c r="C182" s="541"/>
      <c r="D182" s="500">
        <f t="shared" si="187"/>
        <v>0</v>
      </c>
      <c r="E182" s="449">
        <v>0</v>
      </c>
      <c r="F182" s="449">
        <f t="shared" si="188"/>
        <v>0</v>
      </c>
      <c r="G182" s="421">
        <f t="shared" si="189"/>
        <v>0</v>
      </c>
      <c r="H182" s="449">
        <v>0</v>
      </c>
      <c r="I182" s="449">
        <f t="shared" si="190"/>
        <v>0</v>
      </c>
      <c r="J182" s="426">
        <f t="shared" si="191"/>
        <v>0</v>
      </c>
      <c r="K182" s="421"/>
      <c r="L182" s="449">
        <v>0</v>
      </c>
      <c r="M182" s="449">
        <v>0</v>
      </c>
      <c r="N182" s="449">
        <v>0</v>
      </c>
      <c r="O182" s="449">
        <v>0</v>
      </c>
      <c r="P182" s="449">
        <v>0</v>
      </c>
      <c r="Q182" s="449">
        <v>0</v>
      </c>
      <c r="R182" s="449">
        <f>($H182-SUM($L182:Q182))/R$694</f>
        <v>0</v>
      </c>
      <c r="S182" s="449">
        <f>($H182-SUM($L182:R182))/S$694</f>
        <v>0</v>
      </c>
      <c r="T182" s="449">
        <f>($H182-SUM($L182:S182))/T$694</f>
        <v>0</v>
      </c>
      <c r="U182" s="449">
        <f>($H182-SUM($L182:T182))/U$694</f>
        <v>0</v>
      </c>
      <c r="V182" s="449">
        <f>($H182-SUM($L182:U182))/V$694</f>
        <v>0</v>
      </c>
      <c r="W182" s="449">
        <f>($H182-SUM($L182:V182))/W$694</f>
        <v>0</v>
      </c>
      <c r="X182" s="449"/>
      <c r="Y182" s="449">
        <f t="shared" si="192"/>
        <v>0</v>
      </c>
      <c r="Z182" s="531"/>
      <c r="AA182" s="449">
        <f t="shared" si="212"/>
        <v>0</v>
      </c>
      <c r="AB182" s="449">
        <f t="shared" si="212"/>
        <v>0</v>
      </c>
      <c r="AC182" s="449">
        <f t="shared" si="212"/>
        <v>0</v>
      </c>
      <c r="AD182" s="449">
        <f t="shared" si="212"/>
        <v>0</v>
      </c>
      <c r="AE182" s="449">
        <f t="shared" si="212"/>
        <v>0</v>
      </c>
      <c r="AF182" s="449">
        <f t="shared" si="212"/>
        <v>0</v>
      </c>
      <c r="AG182" s="449">
        <f t="shared" si="212"/>
        <v>0</v>
      </c>
      <c r="AH182" s="449">
        <f t="shared" si="212"/>
        <v>0</v>
      </c>
      <c r="AI182" s="449">
        <f t="shared" si="212"/>
        <v>0</v>
      </c>
      <c r="AJ182" s="449">
        <f t="shared" si="212"/>
        <v>0</v>
      </c>
      <c r="AK182" s="449">
        <f t="shared" si="212"/>
        <v>0</v>
      </c>
      <c r="AL182" s="449">
        <f t="shared" si="212"/>
        <v>0</v>
      </c>
      <c r="AN182" s="500">
        <f t="shared" si="194"/>
        <v>0</v>
      </c>
      <c r="AO182" s="449">
        <f t="shared" si="195"/>
        <v>0</v>
      </c>
      <c r="AP182" s="449">
        <f t="shared" si="196"/>
        <v>0</v>
      </c>
      <c r="AQ182" s="453" t="str">
        <f t="shared" si="197"/>
        <v>-</v>
      </c>
      <c r="AR182" s="449">
        <f t="shared" si="211"/>
        <v>0</v>
      </c>
      <c r="AS182" s="449">
        <f t="shared" si="199"/>
        <v>0</v>
      </c>
      <c r="AT182" s="426">
        <f t="shared" si="200"/>
        <v>0</v>
      </c>
      <c r="AU182" s="421"/>
      <c r="AV182" s="449">
        <f t="shared" si="205"/>
        <v>0</v>
      </c>
      <c r="AW182" s="449">
        <f t="shared" si="205"/>
        <v>0</v>
      </c>
      <c r="AX182" s="449">
        <f t="shared" si="205"/>
        <v>0</v>
      </c>
      <c r="AY182" s="449">
        <f t="shared" si="204"/>
        <v>0</v>
      </c>
      <c r="AZ182" s="449">
        <f t="shared" si="204"/>
        <v>0</v>
      </c>
      <c r="BA182" s="449">
        <f t="shared" si="204"/>
        <v>0</v>
      </c>
      <c r="BB182" s="449">
        <f t="shared" si="204"/>
        <v>0</v>
      </c>
      <c r="BC182" s="449">
        <f t="shared" si="204"/>
        <v>0</v>
      </c>
      <c r="BD182" s="449">
        <f t="shared" si="204"/>
        <v>0</v>
      </c>
      <c r="BE182" s="449">
        <f t="shared" si="204"/>
        <v>0</v>
      </c>
      <c r="BF182" s="449">
        <f t="shared" si="204"/>
        <v>0</v>
      </c>
      <c r="BG182" s="449">
        <f t="shared" si="204"/>
        <v>0</v>
      </c>
      <c r="BH182" s="400"/>
      <c r="BI182" s="449">
        <f t="shared" si="214"/>
        <v>0</v>
      </c>
      <c r="BJ182" s="449">
        <f t="shared" si="214"/>
        <v>0</v>
      </c>
      <c r="BK182" s="449">
        <f t="shared" si="214"/>
        <v>0</v>
      </c>
      <c r="BL182" s="449">
        <f t="shared" si="214"/>
        <v>0</v>
      </c>
      <c r="BM182" s="449">
        <f t="shared" si="214"/>
        <v>0</v>
      </c>
      <c r="BN182" s="449">
        <f t="shared" si="214"/>
        <v>0</v>
      </c>
      <c r="BO182" s="449">
        <f t="shared" si="214"/>
        <v>0</v>
      </c>
      <c r="BP182" s="449">
        <f t="shared" si="214"/>
        <v>0</v>
      </c>
      <c r="BQ182" s="449">
        <f t="shared" si="214"/>
        <v>0</v>
      </c>
      <c r="BR182" s="449">
        <f t="shared" si="214"/>
        <v>0</v>
      </c>
      <c r="BS182" s="449">
        <f t="shared" si="214"/>
        <v>0</v>
      </c>
      <c r="BT182" s="449">
        <f t="shared" si="214"/>
        <v>0</v>
      </c>
    </row>
    <row r="183" spans="1:72" ht="15" x14ac:dyDescent="0.25">
      <c r="A183" s="612" t="s">
        <v>293</v>
      </c>
      <c r="B183" s="612" t="s">
        <v>294</v>
      </c>
      <c r="C183" s="596"/>
      <c r="D183" s="500">
        <f t="shared" si="187"/>
        <v>6000</v>
      </c>
      <c r="E183" s="449">
        <v>0</v>
      </c>
      <c r="F183" s="449">
        <f t="shared" si="188"/>
        <v>6000</v>
      </c>
      <c r="G183" s="421">
        <f t="shared" si="189"/>
        <v>0</v>
      </c>
      <c r="H183" s="449">
        <v>6000</v>
      </c>
      <c r="I183" s="449">
        <f t="shared" si="190"/>
        <v>0</v>
      </c>
      <c r="J183" s="426">
        <f t="shared" si="191"/>
        <v>0</v>
      </c>
      <c r="K183" s="421"/>
      <c r="L183" s="449">
        <v>4380</v>
      </c>
      <c r="M183" s="449">
        <v>0</v>
      </c>
      <c r="N183" s="449">
        <v>33.6899999999996</v>
      </c>
      <c r="O183" s="449">
        <v>0</v>
      </c>
      <c r="P183" s="449">
        <v>28982.000000000004</v>
      </c>
      <c r="Q183" s="449">
        <v>-28982</v>
      </c>
      <c r="R183" s="449">
        <f>($H183-SUM($L183:Q183))/R$694</f>
        <v>264.38499999999959</v>
      </c>
      <c r="S183" s="449">
        <f>($H183-SUM($L183:R183))/S$694</f>
        <v>264.38499999999965</v>
      </c>
      <c r="T183" s="449">
        <f>($H183-SUM($L183:S183))/T$694</f>
        <v>264.38499999999976</v>
      </c>
      <c r="U183" s="449">
        <f>($H183-SUM($L183:T183))/U$694</f>
        <v>264.38499999999959</v>
      </c>
      <c r="V183" s="449">
        <f>($H183-SUM($L183:U183))/V$694</f>
        <v>264.38499999999976</v>
      </c>
      <c r="W183" s="449">
        <f>($H183-SUM($L183:V183))/W$694</f>
        <v>264.38500000000022</v>
      </c>
      <c r="X183" s="449"/>
      <c r="Y183" s="449">
        <f t="shared" si="192"/>
        <v>6000</v>
      </c>
      <c r="Z183" s="531"/>
      <c r="AA183" s="449">
        <f t="shared" si="212"/>
        <v>500</v>
      </c>
      <c r="AB183" s="449">
        <f t="shared" si="212"/>
        <v>500</v>
      </c>
      <c r="AC183" s="449">
        <f t="shared" si="212"/>
        <v>500</v>
      </c>
      <c r="AD183" s="449">
        <f t="shared" si="212"/>
        <v>500</v>
      </c>
      <c r="AE183" s="449">
        <f t="shared" si="212"/>
        <v>500</v>
      </c>
      <c r="AF183" s="449">
        <f t="shared" si="212"/>
        <v>500</v>
      </c>
      <c r="AG183" s="449">
        <f t="shared" si="212"/>
        <v>500</v>
      </c>
      <c r="AH183" s="449">
        <f t="shared" si="212"/>
        <v>500</v>
      </c>
      <c r="AI183" s="449">
        <f t="shared" si="212"/>
        <v>500</v>
      </c>
      <c r="AJ183" s="449">
        <f t="shared" si="212"/>
        <v>500</v>
      </c>
      <c r="AK183" s="449">
        <f t="shared" si="212"/>
        <v>500</v>
      </c>
      <c r="AL183" s="449">
        <f t="shared" si="212"/>
        <v>500</v>
      </c>
      <c r="AN183" s="500">
        <f t="shared" si="194"/>
        <v>6000</v>
      </c>
      <c r="AO183" s="449">
        <f t="shared" si="195"/>
        <v>6597.5903614457829</v>
      </c>
      <c r="AP183" s="449">
        <f t="shared" si="196"/>
        <v>597.59036144578295</v>
      </c>
      <c r="AQ183" s="453">
        <f t="shared" si="197"/>
        <v>9.9598393574297159E-2</v>
      </c>
      <c r="AR183" s="449">
        <f t="shared" si="211"/>
        <v>6597.5903614457829</v>
      </c>
      <c r="AS183" s="449">
        <f t="shared" si="199"/>
        <v>0</v>
      </c>
      <c r="AT183" s="426">
        <f t="shared" si="200"/>
        <v>0</v>
      </c>
      <c r="AU183" s="421"/>
      <c r="AV183" s="449">
        <f t="shared" si="205"/>
        <v>549.79919678714862</v>
      </c>
      <c r="AW183" s="449">
        <f t="shared" si="205"/>
        <v>549.79919678714862</v>
      </c>
      <c r="AX183" s="449">
        <f t="shared" si="205"/>
        <v>549.79919678714862</v>
      </c>
      <c r="AY183" s="449">
        <f t="shared" si="204"/>
        <v>549.79919678714862</v>
      </c>
      <c r="AZ183" s="449">
        <f t="shared" si="204"/>
        <v>549.79919678714862</v>
      </c>
      <c r="BA183" s="449">
        <f t="shared" si="204"/>
        <v>549.79919678714862</v>
      </c>
      <c r="BB183" s="449">
        <f t="shared" si="204"/>
        <v>549.79919678714862</v>
      </c>
      <c r="BC183" s="449">
        <f t="shared" si="204"/>
        <v>549.79919678714862</v>
      </c>
      <c r="BD183" s="449">
        <f t="shared" si="204"/>
        <v>549.79919678714862</v>
      </c>
      <c r="BE183" s="449">
        <f t="shared" si="204"/>
        <v>549.79919678714862</v>
      </c>
      <c r="BF183" s="449">
        <f t="shared" si="204"/>
        <v>549.79919678714862</v>
      </c>
      <c r="BG183" s="449">
        <f t="shared" si="204"/>
        <v>549.79919678714862</v>
      </c>
      <c r="BH183" s="400"/>
      <c r="BI183" s="449">
        <f t="shared" si="214"/>
        <v>549.79919678714862</v>
      </c>
      <c r="BJ183" s="449">
        <f t="shared" si="214"/>
        <v>549.79919678714862</v>
      </c>
      <c r="BK183" s="449">
        <f t="shared" si="214"/>
        <v>549.79919678714862</v>
      </c>
      <c r="BL183" s="449">
        <f t="shared" si="214"/>
        <v>549.79919678714862</v>
      </c>
      <c r="BM183" s="449">
        <f t="shared" si="214"/>
        <v>549.79919678714862</v>
      </c>
      <c r="BN183" s="449">
        <f t="shared" si="214"/>
        <v>549.79919678714862</v>
      </c>
      <c r="BO183" s="449">
        <f t="shared" si="214"/>
        <v>549.79919678714862</v>
      </c>
      <c r="BP183" s="449">
        <f t="shared" si="214"/>
        <v>549.79919678714862</v>
      </c>
      <c r="BQ183" s="449">
        <f t="shared" si="214"/>
        <v>549.79919678714862</v>
      </c>
      <c r="BR183" s="449">
        <f t="shared" si="214"/>
        <v>549.79919678714862</v>
      </c>
      <c r="BS183" s="449">
        <f t="shared" si="214"/>
        <v>549.79919678714862</v>
      </c>
      <c r="BT183" s="449">
        <f t="shared" si="214"/>
        <v>549.79919678714862</v>
      </c>
    </row>
    <row r="184" spans="1:72" ht="15" x14ac:dyDescent="0.25">
      <c r="A184" s="612" t="s">
        <v>295</v>
      </c>
      <c r="B184" s="612" t="s">
        <v>296</v>
      </c>
      <c r="C184" s="541"/>
      <c r="D184" s="500">
        <f>SUM(L184:W184)</f>
        <v>0</v>
      </c>
      <c r="E184" s="449">
        <v>0</v>
      </c>
      <c r="F184" s="449">
        <f t="shared" si="188"/>
        <v>0</v>
      </c>
      <c r="G184" s="421">
        <f t="shared" si="189"/>
        <v>0</v>
      </c>
      <c r="H184" s="449">
        <v>0</v>
      </c>
      <c r="I184" s="449">
        <f t="shared" si="190"/>
        <v>0</v>
      </c>
      <c r="J184" s="426">
        <f t="shared" si="191"/>
        <v>0</v>
      </c>
      <c r="K184" s="421"/>
      <c r="L184" s="449">
        <v>0</v>
      </c>
      <c r="M184" s="449">
        <v>0</v>
      </c>
      <c r="N184" s="449">
        <v>0</v>
      </c>
      <c r="O184" s="449">
        <v>0</v>
      </c>
      <c r="P184" s="449">
        <v>0</v>
      </c>
      <c r="Q184" s="449">
        <v>0</v>
      </c>
      <c r="R184" s="449">
        <f>($H184-SUM($L184:Q184))/R$694</f>
        <v>0</v>
      </c>
      <c r="S184" s="449">
        <f>($H184-SUM($L184:R184))/S$694</f>
        <v>0</v>
      </c>
      <c r="T184" s="449">
        <f>($H184-SUM($L184:S184))/T$694</f>
        <v>0</v>
      </c>
      <c r="U184" s="449">
        <f>($H184-SUM($L184:T184))/U$694</f>
        <v>0</v>
      </c>
      <c r="V184" s="449">
        <f>($H184-SUM($L184:U184))/V$694</f>
        <v>0</v>
      </c>
      <c r="W184" s="449">
        <f>($H184-SUM($L184:V184))/W$694</f>
        <v>0</v>
      </c>
      <c r="X184" s="449"/>
      <c r="Y184" s="449">
        <f t="shared" si="192"/>
        <v>0</v>
      </c>
      <c r="Z184" s="531"/>
      <c r="AA184" s="449">
        <f t="shared" si="212"/>
        <v>0</v>
      </c>
      <c r="AB184" s="449">
        <f t="shared" si="212"/>
        <v>0</v>
      </c>
      <c r="AC184" s="449">
        <f t="shared" si="212"/>
        <v>0</v>
      </c>
      <c r="AD184" s="449">
        <f t="shared" si="212"/>
        <v>0</v>
      </c>
      <c r="AE184" s="449">
        <f t="shared" si="212"/>
        <v>0</v>
      </c>
      <c r="AF184" s="449">
        <f t="shared" si="212"/>
        <v>0</v>
      </c>
      <c r="AG184" s="449">
        <f t="shared" si="212"/>
        <v>0</v>
      </c>
      <c r="AH184" s="449">
        <f t="shared" si="212"/>
        <v>0</v>
      </c>
      <c r="AI184" s="449">
        <f t="shared" si="212"/>
        <v>0</v>
      </c>
      <c r="AJ184" s="449">
        <f t="shared" si="212"/>
        <v>0</v>
      </c>
      <c r="AK184" s="449">
        <f t="shared" si="212"/>
        <v>0</v>
      </c>
      <c r="AL184" s="449">
        <f t="shared" si="212"/>
        <v>0</v>
      </c>
      <c r="AN184" s="500">
        <f>SUM(L184:W184)</f>
        <v>0</v>
      </c>
      <c r="AO184" s="449">
        <f>SUM(BI184:BT184)</f>
        <v>0</v>
      </c>
      <c r="AP184" s="449">
        <f t="shared" si="196"/>
        <v>0</v>
      </c>
      <c r="AQ184" s="453" t="str">
        <f t="shared" si="197"/>
        <v>-</v>
      </c>
      <c r="AR184" s="449">
        <f t="shared" si="211"/>
        <v>0</v>
      </c>
      <c r="AS184" s="449">
        <f t="shared" si="199"/>
        <v>0</v>
      </c>
      <c r="AT184" s="426">
        <f t="shared" si="200"/>
        <v>0</v>
      </c>
      <c r="AU184" s="421"/>
      <c r="AV184" s="449">
        <f t="shared" si="205"/>
        <v>0</v>
      </c>
      <c r="AW184" s="449">
        <f t="shared" si="205"/>
        <v>0</v>
      </c>
      <c r="AX184" s="449">
        <f t="shared" si="205"/>
        <v>0</v>
      </c>
      <c r="AY184" s="449">
        <f t="shared" si="204"/>
        <v>0</v>
      </c>
      <c r="AZ184" s="449">
        <f t="shared" si="204"/>
        <v>0</v>
      </c>
      <c r="BA184" s="449">
        <f t="shared" si="204"/>
        <v>0</v>
      </c>
      <c r="BB184" s="449">
        <f t="shared" si="204"/>
        <v>0</v>
      </c>
      <c r="BC184" s="449">
        <f t="shared" si="204"/>
        <v>0</v>
      </c>
      <c r="BD184" s="449">
        <f t="shared" si="204"/>
        <v>0</v>
      </c>
      <c r="BE184" s="449">
        <f t="shared" si="204"/>
        <v>0</v>
      </c>
      <c r="BF184" s="449">
        <f t="shared" si="204"/>
        <v>0</v>
      </c>
      <c r="BG184" s="449">
        <f t="shared" si="204"/>
        <v>0</v>
      </c>
      <c r="BH184" s="400"/>
      <c r="BI184" s="449">
        <f t="shared" si="214"/>
        <v>0</v>
      </c>
      <c r="BJ184" s="449">
        <f t="shared" si="214"/>
        <v>0</v>
      </c>
      <c r="BK184" s="449">
        <f t="shared" si="214"/>
        <v>0</v>
      </c>
      <c r="BL184" s="449">
        <f t="shared" si="214"/>
        <v>0</v>
      </c>
      <c r="BM184" s="449">
        <f t="shared" si="214"/>
        <v>0</v>
      </c>
      <c r="BN184" s="449">
        <f t="shared" si="214"/>
        <v>0</v>
      </c>
      <c r="BO184" s="449">
        <f t="shared" si="214"/>
        <v>0</v>
      </c>
      <c r="BP184" s="449">
        <f t="shared" si="214"/>
        <v>0</v>
      </c>
      <c r="BQ184" s="449">
        <f t="shared" si="214"/>
        <v>0</v>
      </c>
      <c r="BR184" s="449">
        <f t="shared" si="214"/>
        <v>0</v>
      </c>
      <c r="BS184" s="449">
        <f t="shared" si="214"/>
        <v>0</v>
      </c>
      <c r="BT184" s="449">
        <f t="shared" si="214"/>
        <v>0</v>
      </c>
    </row>
    <row r="185" spans="1:72" ht="15" x14ac:dyDescent="0.25">
      <c r="A185" s="612" t="s">
        <v>297</v>
      </c>
      <c r="B185" s="612" t="s">
        <v>298</v>
      </c>
      <c r="C185" s="596"/>
      <c r="D185" s="500">
        <f t="shared" si="187"/>
        <v>6639.88</v>
      </c>
      <c r="E185" s="449">
        <v>0</v>
      </c>
      <c r="F185" s="449">
        <f t="shared" si="188"/>
        <v>6639.88</v>
      </c>
      <c r="G185" s="421">
        <f t="shared" si="189"/>
        <v>0</v>
      </c>
      <c r="H185" s="449">
        <v>2000</v>
      </c>
      <c r="I185" s="449">
        <f t="shared" si="190"/>
        <v>4639.88</v>
      </c>
      <c r="J185" s="426">
        <f t="shared" si="191"/>
        <v>2.3199399999999999</v>
      </c>
      <c r="K185" s="421"/>
      <c r="L185" s="449">
        <v>411.88</v>
      </c>
      <c r="M185" s="449">
        <v>6228</v>
      </c>
      <c r="N185" s="449">
        <v>0</v>
      </c>
      <c r="O185" s="449">
        <v>0</v>
      </c>
      <c r="P185" s="449">
        <v>0</v>
      </c>
      <c r="Q185" s="449">
        <v>0</v>
      </c>
      <c r="R185" s="449">
        <v>0</v>
      </c>
      <c r="S185" s="449">
        <v>0</v>
      </c>
      <c r="T185" s="449">
        <v>0</v>
      </c>
      <c r="U185" s="449">
        <v>0</v>
      </c>
      <c r="V185" s="449">
        <v>0</v>
      </c>
      <c r="W185" s="449">
        <v>0</v>
      </c>
      <c r="X185" s="449"/>
      <c r="Y185" s="449">
        <f t="shared" si="192"/>
        <v>6639.88</v>
      </c>
      <c r="Z185" s="531"/>
      <c r="AA185" s="449">
        <f t="shared" si="212"/>
        <v>166.66666666666666</v>
      </c>
      <c r="AB185" s="449">
        <f t="shared" si="212"/>
        <v>166.66666666666666</v>
      </c>
      <c r="AC185" s="449">
        <f t="shared" si="212"/>
        <v>166.66666666666666</v>
      </c>
      <c r="AD185" s="449">
        <f t="shared" si="212"/>
        <v>166.66666666666666</v>
      </c>
      <c r="AE185" s="449">
        <f t="shared" si="212"/>
        <v>166.66666666666666</v>
      </c>
      <c r="AF185" s="449">
        <f t="shared" si="212"/>
        <v>166.66666666666666</v>
      </c>
      <c r="AG185" s="449">
        <f t="shared" si="212"/>
        <v>166.66666666666666</v>
      </c>
      <c r="AH185" s="449">
        <f t="shared" si="212"/>
        <v>166.66666666666666</v>
      </c>
      <c r="AI185" s="449">
        <f t="shared" si="212"/>
        <v>166.66666666666666</v>
      </c>
      <c r="AJ185" s="449">
        <f t="shared" si="212"/>
        <v>166.66666666666666</v>
      </c>
      <c r="AK185" s="449">
        <f t="shared" si="212"/>
        <v>166.66666666666666</v>
      </c>
      <c r="AL185" s="449">
        <f t="shared" si="212"/>
        <v>166.66666666666666</v>
      </c>
      <c r="AN185" s="500">
        <f t="shared" si="194"/>
        <v>6639.88</v>
      </c>
      <c r="AO185" s="449">
        <f>SUM(BI185:BT185)</f>
        <v>0</v>
      </c>
      <c r="AP185" s="449">
        <f t="shared" si="196"/>
        <v>-6639.88</v>
      </c>
      <c r="AQ185" s="453">
        <f t="shared" si="197"/>
        <v>-1</v>
      </c>
      <c r="AR185" s="449">
        <f t="shared" si="211"/>
        <v>0</v>
      </c>
      <c r="AS185" s="449">
        <f t="shared" si="199"/>
        <v>0</v>
      </c>
      <c r="AT185" s="426">
        <f t="shared" si="200"/>
        <v>0</v>
      </c>
      <c r="AU185" s="421"/>
      <c r="AV185" s="449">
        <f t="shared" si="205"/>
        <v>0</v>
      </c>
      <c r="AW185" s="449">
        <f t="shared" si="205"/>
        <v>0</v>
      </c>
      <c r="AX185" s="449">
        <f t="shared" si="205"/>
        <v>0</v>
      </c>
      <c r="AY185" s="449">
        <f t="shared" si="204"/>
        <v>0</v>
      </c>
      <c r="AZ185" s="449">
        <f t="shared" si="204"/>
        <v>0</v>
      </c>
      <c r="BA185" s="449">
        <f t="shared" si="204"/>
        <v>0</v>
      </c>
      <c r="BB185" s="449">
        <f t="shared" si="204"/>
        <v>0</v>
      </c>
      <c r="BC185" s="449">
        <f t="shared" si="204"/>
        <v>0</v>
      </c>
      <c r="BD185" s="449">
        <f t="shared" si="204"/>
        <v>0</v>
      </c>
      <c r="BE185" s="449">
        <f t="shared" si="204"/>
        <v>0</v>
      </c>
      <c r="BF185" s="449">
        <f t="shared" si="204"/>
        <v>0</v>
      </c>
      <c r="BG185" s="449">
        <f t="shared" si="204"/>
        <v>0</v>
      </c>
      <c r="BH185" s="400"/>
      <c r="BI185" s="449">
        <f>(IFERROR((($H185/$H$5)*BI$5),0))*BI$696*0</f>
        <v>0</v>
      </c>
      <c r="BJ185" s="449">
        <f t="shared" ref="BJ185:BT185" si="215">(IFERROR((($H185/$H$5)*BJ$5),0))*BJ$696*0</f>
        <v>0</v>
      </c>
      <c r="BK185" s="449">
        <f t="shared" si="215"/>
        <v>0</v>
      </c>
      <c r="BL185" s="449">
        <f t="shared" si="215"/>
        <v>0</v>
      </c>
      <c r="BM185" s="449">
        <f t="shared" si="215"/>
        <v>0</v>
      </c>
      <c r="BN185" s="449">
        <f t="shared" si="215"/>
        <v>0</v>
      </c>
      <c r="BO185" s="449">
        <f t="shared" si="215"/>
        <v>0</v>
      </c>
      <c r="BP185" s="449">
        <f t="shared" si="215"/>
        <v>0</v>
      </c>
      <c r="BQ185" s="449">
        <f t="shared" si="215"/>
        <v>0</v>
      </c>
      <c r="BR185" s="449">
        <f t="shared" si="215"/>
        <v>0</v>
      </c>
      <c r="BS185" s="449">
        <f t="shared" si="215"/>
        <v>0</v>
      </c>
      <c r="BT185" s="449">
        <f t="shared" si="215"/>
        <v>0</v>
      </c>
    </row>
    <row r="186" spans="1:72" ht="15" x14ac:dyDescent="0.25">
      <c r="A186" s="612" t="s">
        <v>299</v>
      </c>
      <c r="B186" s="612" t="s">
        <v>300</v>
      </c>
      <c r="C186" s="541"/>
      <c r="D186" s="500">
        <f t="shared" si="187"/>
        <v>0</v>
      </c>
      <c r="E186" s="449">
        <v>0</v>
      </c>
      <c r="F186" s="449">
        <f t="shared" si="188"/>
        <v>0</v>
      </c>
      <c r="G186" s="421">
        <f t="shared" si="189"/>
        <v>0</v>
      </c>
      <c r="H186" s="449">
        <v>0</v>
      </c>
      <c r="I186" s="449">
        <f t="shared" si="190"/>
        <v>0</v>
      </c>
      <c r="J186" s="426">
        <f t="shared" si="191"/>
        <v>0</v>
      </c>
      <c r="K186" s="421"/>
      <c r="L186" s="449">
        <v>0</v>
      </c>
      <c r="M186" s="449">
        <v>0</v>
      </c>
      <c r="N186" s="449">
        <v>0</v>
      </c>
      <c r="O186" s="449">
        <v>0</v>
      </c>
      <c r="P186" s="449">
        <v>0</v>
      </c>
      <c r="Q186" s="449">
        <v>0</v>
      </c>
      <c r="R186" s="449">
        <f>($H186-SUM($L186:Q186))/R$694</f>
        <v>0</v>
      </c>
      <c r="S186" s="449">
        <f>($H186-SUM($L186:R186))/S$694</f>
        <v>0</v>
      </c>
      <c r="T186" s="449">
        <f>($H186-SUM($L186:S186))/T$694</f>
        <v>0</v>
      </c>
      <c r="U186" s="449">
        <f>($H186-SUM($L186:T186))/U$694</f>
        <v>0</v>
      </c>
      <c r="V186" s="449">
        <f>($H186-SUM($L186:U186))/V$694</f>
        <v>0</v>
      </c>
      <c r="W186" s="449">
        <f>($H186-SUM($L186:V186))/W$694</f>
        <v>0</v>
      </c>
      <c r="X186" s="449"/>
      <c r="Y186" s="449">
        <f t="shared" si="192"/>
        <v>0</v>
      </c>
      <c r="Z186" s="531"/>
      <c r="AA186" s="449">
        <f t="shared" si="212"/>
        <v>0</v>
      </c>
      <c r="AB186" s="449">
        <f t="shared" si="212"/>
        <v>0</v>
      </c>
      <c r="AC186" s="449">
        <f t="shared" si="212"/>
        <v>0</v>
      </c>
      <c r="AD186" s="449">
        <f t="shared" si="212"/>
        <v>0</v>
      </c>
      <c r="AE186" s="449">
        <f t="shared" si="212"/>
        <v>0</v>
      </c>
      <c r="AF186" s="449">
        <f t="shared" si="212"/>
        <v>0</v>
      </c>
      <c r="AG186" s="449">
        <f t="shared" si="212"/>
        <v>0</v>
      </c>
      <c r="AH186" s="449">
        <f t="shared" si="212"/>
        <v>0</v>
      </c>
      <c r="AI186" s="449">
        <f t="shared" si="212"/>
        <v>0</v>
      </c>
      <c r="AJ186" s="449">
        <f t="shared" si="212"/>
        <v>0</v>
      </c>
      <c r="AK186" s="449">
        <f t="shared" si="212"/>
        <v>0</v>
      </c>
      <c r="AL186" s="449">
        <f t="shared" si="212"/>
        <v>0</v>
      </c>
      <c r="AN186" s="500">
        <f t="shared" si="194"/>
        <v>0</v>
      </c>
      <c r="AO186" s="449">
        <f t="shared" si="195"/>
        <v>0</v>
      </c>
      <c r="AP186" s="449">
        <f t="shared" si="196"/>
        <v>0</v>
      </c>
      <c r="AQ186" s="453" t="str">
        <f t="shared" si="197"/>
        <v>-</v>
      </c>
      <c r="AR186" s="449">
        <f t="shared" si="211"/>
        <v>0</v>
      </c>
      <c r="AS186" s="449">
        <f t="shared" si="199"/>
        <v>0</v>
      </c>
      <c r="AT186" s="426">
        <f t="shared" si="200"/>
        <v>0</v>
      </c>
      <c r="AU186" s="421"/>
      <c r="AV186" s="449">
        <f t="shared" si="205"/>
        <v>0</v>
      </c>
      <c r="AW186" s="449">
        <f t="shared" si="205"/>
        <v>0</v>
      </c>
      <c r="AX186" s="449">
        <f t="shared" si="205"/>
        <v>0</v>
      </c>
      <c r="AY186" s="449">
        <f t="shared" si="204"/>
        <v>0</v>
      </c>
      <c r="AZ186" s="449">
        <f t="shared" si="204"/>
        <v>0</v>
      </c>
      <c r="BA186" s="449">
        <f t="shared" si="204"/>
        <v>0</v>
      </c>
      <c r="BB186" s="449">
        <f t="shared" si="204"/>
        <v>0</v>
      </c>
      <c r="BC186" s="449">
        <f t="shared" si="204"/>
        <v>0</v>
      </c>
      <c r="BD186" s="449">
        <f t="shared" si="204"/>
        <v>0</v>
      </c>
      <c r="BE186" s="449">
        <f t="shared" si="204"/>
        <v>0</v>
      </c>
      <c r="BF186" s="449">
        <f t="shared" si="204"/>
        <v>0</v>
      </c>
      <c r="BG186" s="449">
        <f t="shared" si="204"/>
        <v>0</v>
      </c>
      <c r="BH186" s="400"/>
      <c r="BI186" s="449">
        <f t="shared" ref="BI186:BT186" si="216">IFERROR((($H186/$H$5)*BI$5)/12,0)</f>
        <v>0</v>
      </c>
      <c r="BJ186" s="449">
        <f t="shared" si="216"/>
        <v>0</v>
      </c>
      <c r="BK186" s="449">
        <f t="shared" si="216"/>
        <v>0</v>
      </c>
      <c r="BL186" s="449">
        <f t="shared" si="216"/>
        <v>0</v>
      </c>
      <c r="BM186" s="449">
        <f t="shared" si="216"/>
        <v>0</v>
      </c>
      <c r="BN186" s="449">
        <f t="shared" si="216"/>
        <v>0</v>
      </c>
      <c r="BO186" s="449">
        <f t="shared" si="216"/>
        <v>0</v>
      </c>
      <c r="BP186" s="449">
        <f t="shared" si="216"/>
        <v>0</v>
      </c>
      <c r="BQ186" s="449">
        <f t="shared" si="216"/>
        <v>0</v>
      </c>
      <c r="BR186" s="449">
        <f t="shared" si="216"/>
        <v>0</v>
      </c>
      <c r="BS186" s="449">
        <f t="shared" si="216"/>
        <v>0</v>
      </c>
      <c r="BT186" s="449">
        <f t="shared" si="216"/>
        <v>0</v>
      </c>
    </row>
    <row r="187" spans="1:72" ht="15" x14ac:dyDescent="0.25">
      <c r="A187" s="502" t="s">
        <v>301</v>
      </c>
      <c r="B187" s="502" t="s">
        <v>302</v>
      </c>
      <c r="C187" s="538"/>
      <c r="D187" s="500">
        <f t="shared" si="187"/>
        <v>3065.4</v>
      </c>
      <c r="E187" s="449">
        <v>1608</v>
      </c>
      <c r="F187" s="449">
        <f t="shared" si="188"/>
        <v>1457.4</v>
      </c>
      <c r="G187" s="421">
        <f t="shared" si="189"/>
        <v>0.9063432835820896</v>
      </c>
      <c r="H187" s="449">
        <v>1608</v>
      </c>
      <c r="I187" s="449">
        <f t="shared" si="190"/>
        <v>1457.4</v>
      </c>
      <c r="J187" s="426">
        <f t="shared" si="191"/>
        <v>0.9063432835820896</v>
      </c>
      <c r="K187" s="421"/>
      <c r="L187" s="449">
        <v>0</v>
      </c>
      <c r="M187" s="449">
        <v>3065.4</v>
      </c>
      <c r="N187" s="449">
        <v>0</v>
      </c>
      <c r="O187" s="449">
        <v>0</v>
      </c>
      <c r="P187" s="449">
        <v>0</v>
      </c>
      <c r="Q187" s="449">
        <v>0</v>
      </c>
      <c r="R187" s="449">
        <v>0</v>
      </c>
      <c r="S187" s="449">
        <v>0</v>
      </c>
      <c r="T187" s="449">
        <v>0</v>
      </c>
      <c r="U187" s="449">
        <v>0</v>
      </c>
      <c r="V187" s="449">
        <v>0</v>
      </c>
      <c r="W187" s="449">
        <v>0</v>
      </c>
      <c r="X187" s="449"/>
      <c r="Y187" s="449">
        <f t="shared" si="192"/>
        <v>3065.4</v>
      </c>
      <c r="Z187" s="531"/>
      <c r="AA187" s="449">
        <f t="shared" si="212"/>
        <v>134</v>
      </c>
      <c r="AB187" s="449">
        <f t="shared" si="212"/>
        <v>134</v>
      </c>
      <c r="AC187" s="449">
        <f t="shared" si="212"/>
        <v>134</v>
      </c>
      <c r="AD187" s="449">
        <f t="shared" si="212"/>
        <v>134</v>
      </c>
      <c r="AE187" s="449">
        <f t="shared" si="212"/>
        <v>134</v>
      </c>
      <c r="AF187" s="449">
        <f t="shared" si="212"/>
        <v>134</v>
      </c>
      <c r="AG187" s="449">
        <f t="shared" si="212"/>
        <v>134</v>
      </c>
      <c r="AH187" s="449">
        <f t="shared" si="212"/>
        <v>134</v>
      </c>
      <c r="AI187" s="449">
        <f t="shared" si="212"/>
        <v>134</v>
      </c>
      <c r="AJ187" s="449">
        <f t="shared" si="212"/>
        <v>134</v>
      </c>
      <c r="AK187" s="449">
        <f t="shared" si="212"/>
        <v>134</v>
      </c>
      <c r="AL187" s="449">
        <f t="shared" si="212"/>
        <v>134</v>
      </c>
      <c r="AN187" s="500">
        <f t="shared" si="194"/>
        <v>3065.4</v>
      </c>
      <c r="AO187" s="449">
        <f t="shared" si="195"/>
        <v>3370.7089156626516</v>
      </c>
      <c r="AP187" s="449">
        <f t="shared" si="196"/>
        <v>305.30891566265154</v>
      </c>
      <c r="AQ187" s="453">
        <f t="shared" si="197"/>
        <v>9.9598393574297492E-2</v>
      </c>
      <c r="AR187" s="449">
        <f t="shared" si="211"/>
        <v>3370.7089156626516</v>
      </c>
      <c r="AS187" s="449">
        <f t="shared" si="199"/>
        <v>0</v>
      </c>
      <c r="AT187" s="426">
        <f t="shared" si="200"/>
        <v>0</v>
      </c>
      <c r="AU187" s="421"/>
      <c r="AV187" s="449">
        <f t="shared" si="205"/>
        <v>280.89240963855423</v>
      </c>
      <c r="AW187" s="449">
        <f t="shared" si="205"/>
        <v>280.89240963855423</v>
      </c>
      <c r="AX187" s="449">
        <f t="shared" si="205"/>
        <v>280.89240963855423</v>
      </c>
      <c r="AY187" s="449">
        <f t="shared" si="204"/>
        <v>280.89240963855423</v>
      </c>
      <c r="AZ187" s="449">
        <f t="shared" si="204"/>
        <v>280.89240963855423</v>
      </c>
      <c r="BA187" s="449">
        <f t="shared" si="204"/>
        <v>280.89240963855423</v>
      </c>
      <c r="BB187" s="449">
        <f t="shared" si="204"/>
        <v>280.89240963855423</v>
      </c>
      <c r="BC187" s="449">
        <f t="shared" si="204"/>
        <v>280.89240963855423</v>
      </c>
      <c r="BD187" s="449">
        <f t="shared" si="204"/>
        <v>280.89240963855423</v>
      </c>
      <c r="BE187" s="449">
        <f t="shared" si="204"/>
        <v>280.89240963855423</v>
      </c>
      <c r="BF187" s="449">
        <f t="shared" si="204"/>
        <v>280.89240963855423</v>
      </c>
      <c r="BG187" s="449">
        <f t="shared" si="204"/>
        <v>280.89240963855423</v>
      </c>
      <c r="BH187" s="400"/>
      <c r="BI187" s="449">
        <f t="shared" ref="BI187:BT187" si="217">IFERROR((($D187/$H$5)*BI$5)/12,0)</f>
        <v>280.89240963855423</v>
      </c>
      <c r="BJ187" s="449">
        <f t="shared" si="217"/>
        <v>280.89240963855423</v>
      </c>
      <c r="BK187" s="449">
        <f t="shared" si="217"/>
        <v>280.89240963855423</v>
      </c>
      <c r="BL187" s="449">
        <f t="shared" si="217"/>
        <v>280.89240963855423</v>
      </c>
      <c r="BM187" s="449">
        <f t="shared" si="217"/>
        <v>280.89240963855423</v>
      </c>
      <c r="BN187" s="449">
        <f t="shared" si="217"/>
        <v>280.89240963855423</v>
      </c>
      <c r="BO187" s="449">
        <f t="shared" si="217"/>
        <v>280.89240963855423</v>
      </c>
      <c r="BP187" s="449">
        <f t="shared" si="217"/>
        <v>280.89240963855423</v>
      </c>
      <c r="BQ187" s="449">
        <f t="shared" si="217"/>
        <v>280.89240963855423</v>
      </c>
      <c r="BR187" s="449">
        <f t="shared" si="217"/>
        <v>280.89240963855423</v>
      </c>
      <c r="BS187" s="449">
        <f t="shared" si="217"/>
        <v>280.89240963855423</v>
      </c>
      <c r="BT187" s="449">
        <f t="shared" si="217"/>
        <v>280.89240963855423</v>
      </c>
    </row>
    <row r="188" spans="1:72" ht="15" x14ac:dyDescent="0.25">
      <c r="A188" s="537" t="s">
        <v>303</v>
      </c>
      <c r="B188" s="537" t="s">
        <v>304</v>
      </c>
      <c r="C188" s="541"/>
      <c r="D188" s="500">
        <f>SUM(L188:W188)</f>
        <v>0</v>
      </c>
      <c r="E188" s="449">
        <v>0</v>
      </c>
      <c r="F188" s="449">
        <f t="shared" si="188"/>
        <v>0</v>
      </c>
      <c r="G188" s="421">
        <f t="shared" si="189"/>
        <v>0</v>
      </c>
      <c r="H188" s="449">
        <v>0</v>
      </c>
      <c r="I188" s="449">
        <f t="shared" si="190"/>
        <v>0</v>
      </c>
      <c r="J188" s="426">
        <f t="shared" si="191"/>
        <v>0</v>
      </c>
      <c r="K188" s="421"/>
      <c r="L188" s="449">
        <v>0</v>
      </c>
      <c r="M188" s="449">
        <v>0</v>
      </c>
      <c r="N188" s="449">
        <v>0</v>
      </c>
      <c r="O188" s="449">
        <v>0</v>
      </c>
      <c r="P188" s="449">
        <v>0</v>
      </c>
      <c r="Q188" s="449">
        <v>0</v>
      </c>
      <c r="R188" s="449">
        <f>($H188-SUM($L188:Q188))/R$694</f>
        <v>0</v>
      </c>
      <c r="S188" s="449">
        <f>($H188-SUM($L188:R188))/S$694</f>
        <v>0</v>
      </c>
      <c r="T188" s="449">
        <f>($H188-SUM($L188:S188))/T$694</f>
        <v>0</v>
      </c>
      <c r="U188" s="449">
        <f>($H188-SUM($L188:T188))/U$694</f>
        <v>0</v>
      </c>
      <c r="V188" s="449">
        <f>($H188-SUM($L188:U188))/V$694</f>
        <v>0</v>
      </c>
      <c r="W188" s="449">
        <f>($H188-SUM($L188:V188))/W$694</f>
        <v>0</v>
      </c>
      <c r="X188" s="449"/>
      <c r="Y188" s="449">
        <f t="shared" si="192"/>
        <v>0</v>
      </c>
      <c r="Z188" s="531"/>
      <c r="AA188" s="449">
        <f t="shared" si="212"/>
        <v>0</v>
      </c>
      <c r="AB188" s="449">
        <f t="shared" si="212"/>
        <v>0</v>
      </c>
      <c r="AC188" s="449">
        <f t="shared" si="212"/>
        <v>0</v>
      </c>
      <c r="AD188" s="449">
        <f t="shared" si="212"/>
        <v>0</v>
      </c>
      <c r="AE188" s="449">
        <f t="shared" si="212"/>
        <v>0</v>
      </c>
      <c r="AF188" s="449">
        <f t="shared" si="212"/>
        <v>0</v>
      </c>
      <c r="AG188" s="449">
        <f t="shared" si="212"/>
        <v>0</v>
      </c>
      <c r="AH188" s="449">
        <f t="shared" si="212"/>
        <v>0</v>
      </c>
      <c r="AI188" s="449">
        <f t="shared" si="212"/>
        <v>0</v>
      </c>
      <c r="AJ188" s="449">
        <f t="shared" si="212"/>
        <v>0</v>
      </c>
      <c r="AK188" s="449">
        <f t="shared" si="212"/>
        <v>0</v>
      </c>
      <c r="AL188" s="449">
        <f t="shared" si="212"/>
        <v>0</v>
      </c>
      <c r="AN188" s="500">
        <f>SUM(L188:W188)</f>
        <v>0</v>
      </c>
      <c r="AO188" s="449">
        <f>SUM(BI188:BT188)</f>
        <v>0</v>
      </c>
      <c r="AP188" s="449">
        <f t="shared" si="196"/>
        <v>0</v>
      </c>
      <c r="AQ188" s="453" t="str">
        <f t="shared" si="197"/>
        <v>-</v>
      </c>
      <c r="AR188" s="449">
        <f t="shared" si="211"/>
        <v>0</v>
      </c>
      <c r="AS188" s="449">
        <f t="shared" si="199"/>
        <v>0</v>
      </c>
      <c r="AT188" s="426">
        <f t="shared" si="200"/>
        <v>0</v>
      </c>
      <c r="AU188" s="421"/>
      <c r="AV188" s="449">
        <f t="shared" si="205"/>
        <v>0</v>
      </c>
      <c r="AW188" s="449">
        <f t="shared" si="205"/>
        <v>0</v>
      </c>
      <c r="AX188" s="449">
        <f t="shared" si="205"/>
        <v>0</v>
      </c>
      <c r="AY188" s="449">
        <f t="shared" si="204"/>
        <v>0</v>
      </c>
      <c r="AZ188" s="449">
        <f t="shared" si="204"/>
        <v>0</v>
      </c>
      <c r="BA188" s="449">
        <f t="shared" si="204"/>
        <v>0</v>
      </c>
      <c r="BB188" s="449">
        <f t="shared" si="204"/>
        <v>0</v>
      </c>
      <c r="BC188" s="449">
        <f t="shared" si="204"/>
        <v>0</v>
      </c>
      <c r="BD188" s="449">
        <f t="shared" si="204"/>
        <v>0</v>
      </c>
      <c r="BE188" s="449">
        <f t="shared" si="204"/>
        <v>0</v>
      </c>
      <c r="BF188" s="449">
        <f t="shared" si="204"/>
        <v>0</v>
      </c>
      <c r="BG188" s="449">
        <f t="shared" si="204"/>
        <v>0</v>
      </c>
      <c r="BH188" s="400"/>
      <c r="BI188" s="449">
        <f t="shared" ref="BI188:BT188" si="218">IFERROR((($H188/$H$5)*BI$5)/12,0)</f>
        <v>0</v>
      </c>
      <c r="BJ188" s="449">
        <f t="shared" si="218"/>
        <v>0</v>
      </c>
      <c r="BK188" s="449">
        <f t="shared" si="218"/>
        <v>0</v>
      </c>
      <c r="BL188" s="449">
        <f t="shared" si="218"/>
        <v>0</v>
      </c>
      <c r="BM188" s="449">
        <f t="shared" si="218"/>
        <v>0</v>
      </c>
      <c r="BN188" s="449">
        <f t="shared" si="218"/>
        <v>0</v>
      </c>
      <c r="BO188" s="449">
        <f t="shared" si="218"/>
        <v>0</v>
      </c>
      <c r="BP188" s="449">
        <f t="shared" si="218"/>
        <v>0</v>
      </c>
      <c r="BQ188" s="449">
        <f t="shared" si="218"/>
        <v>0</v>
      </c>
      <c r="BR188" s="449">
        <f t="shared" si="218"/>
        <v>0</v>
      </c>
      <c r="BS188" s="449">
        <f t="shared" si="218"/>
        <v>0</v>
      </c>
      <c r="BT188" s="449">
        <f t="shared" si="218"/>
        <v>0</v>
      </c>
    </row>
    <row r="189" spans="1:72" ht="15" x14ac:dyDescent="0.25">
      <c r="A189" s="502" t="s">
        <v>305</v>
      </c>
      <c r="B189" s="612" t="s">
        <v>306</v>
      </c>
      <c r="C189" s="596"/>
      <c r="D189" s="500">
        <f t="shared" si="187"/>
        <v>1816.19</v>
      </c>
      <c r="E189" s="449">
        <v>0</v>
      </c>
      <c r="F189" s="449">
        <f t="shared" si="188"/>
        <v>1816.19</v>
      </c>
      <c r="G189" s="421">
        <f t="shared" si="189"/>
        <v>0</v>
      </c>
      <c r="H189" s="449">
        <v>0</v>
      </c>
      <c r="I189" s="449">
        <f t="shared" si="190"/>
        <v>1816.19</v>
      </c>
      <c r="J189" s="426">
        <f t="shared" si="191"/>
        <v>0</v>
      </c>
      <c r="K189" s="421"/>
      <c r="L189" s="449">
        <v>1569.45</v>
      </c>
      <c r="M189" s="449">
        <v>0</v>
      </c>
      <c r="N189" s="449">
        <v>246.74</v>
      </c>
      <c r="O189" s="449">
        <v>0</v>
      </c>
      <c r="P189" s="449">
        <v>0</v>
      </c>
      <c r="Q189" s="449">
        <v>0</v>
      </c>
      <c r="R189" s="449">
        <v>0</v>
      </c>
      <c r="S189" s="449">
        <v>0</v>
      </c>
      <c r="T189" s="449">
        <v>0</v>
      </c>
      <c r="U189" s="449">
        <v>0</v>
      </c>
      <c r="V189" s="449">
        <v>0</v>
      </c>
      <c r="W189" s="449">
        <v>0</v>
      </c>
      <c r="X189" s="449"/>
      <c r="Y189" s="449">
        <f t="shared" si="192"/>
        <v>1816.19</v>
      </c>
      <c r="Z189" s="531"/>
      <c r="AA189" s="449">
        <f t="shared" si="212"/>
        <v>0</v>
      </c>
      <c r="AB189" s="449">
        <f t="shared" si="212"/>
        <v>0</v>
      </c>
      <c r="AC189" s="449">
        <f t="shared" si="212"/>
        <v>0</v>
      </c>
      <c r="AD189" s="449">
        <f t="shared" si="212"/>
        <v>0</v>
      </c>
      <c r="AE189" s="449">
        <f t="shared" si="212"/>
        <v>0</v>
      </c>
      <c r="AF189" s="449">
        <f t="shared" si="212"/>
        <v>0</v>
      </c>
      <c r="AG189" s="449">
        <f t="shared" si="212"/>
        <v>0</v>
      </c>
      <c r="AH189" s="449">
        <f t="shared" si="212"/>
        <v>0</v>
      </c>
      <c r="AI189" s="449">
        <f t="shared" si="212"/>
        <v>0</v>
      </c>
      <c r="AJ189" s="449">
        <f t="shared" si="212"/>
        <v>0</v>
      </c>
      <c r="AK189" s="449">
        <f t="shared" si="212"/>
        <v>0</v>
      </c>
      <c r="AL189" s="449">
        <f t="shared" si="212"/>
        <v>0</v>
      </c>
      <c r="AN189" s="500">
        <f t="shared" si="194"/>
        <v>1816.19</v>
      </c>
      <c r="AO189" s="449">
        <f t="shared" si="195"/>
        <v>1997.0796064257036</v>
      </c>
      <c r="AP189" s="449">
        <f t="shared" si="196"/>
        <v>180.88960642570351</v>
      </c>
      <c r="AQ189" s="453">
        <f t="shared" si="197"/>
        <v>9.9598393574297561E-2</v>
      </c>
      <c r="AR189" s="449">
        <f t="shared" si="211"/>
        <v>1997.0796064257036</v>
      </c>
      <c r="AS189" s="449">
        <f t="shared" si="199"/>
        <v>0</v>
      </c>
      <c r="AT189" s="426">
        <f t="shared" si="200"/>
        <v>0</v>
      </c>
      <c r="AU189" s="421"/>
      <c r="AV189" s="449">
        <f t="shared" si="205"/>
        <v>399.4159212851406</v>
      </c>
      <c r="AW189" s="449">
        <f t="shared" si="205"/>
        <v>399.4159212851406</v>
      </c>
      <c r="AX189" s="449">
        <f t="shared" si="205"/>
        <v>266.2772808567604</v>
      </c>
      <c r="AY189" s="449">
        <f t="shared" si="204"/>
        <v>266.2772808567604</v>
      </c>
      <c r="AZ189" s="449">
        <f t="shared" si="204"/>
        <v>266.2772808567604</v>
      </c>
      <c r="BA189" s="449">
        <f t="shared" si="204"/>
        <v>57.059417326448653</v>
      </c>
      <c r="BB189" s="449">
        <f t="shared" si="204"/>
        <v>57.059417326448653</v>
      </c>
      <c r="BC189" s="449">
        <f t="shared" si="204"/>
        <v>57.059417326448653</v>
      </c>
      <c r="BD189" s="449">
        <f t="shared" si="204"/>
        <v>57.059417326448653</v>
      </c>
      <c r="BE189" s="449">
        <f t="shared" si="204"/>
        <v>57.059417326448653</v>
      </c>
      <c r="BF189" s="449">
        <f t="shared" si="204"/>
        <v>57.059417326448653</v>
      </c>
      <c r="BG189" s="449">
        <f t="shared" si="204"/>
        <v>57.059417326448653</v>
      </c>
      <c r="BH189" s="400"/>
      <c r="BI189" s="449">
        <f t="shared" ref="BI189:BT190" si="219">(IFERROR((($D189/$H$5)*BI$5),0))*BI$696</f>
        <v>399.4159212851406</v>
      </c>
      <c r="BJ189" s="449">
        <f t="shared" si="219"/>
        <v>399.4159212851406</v>
      </c>
      <c r="BK189" s="449">
        <f t="shared" si="219"/>
        <v>266.2772808567604</v>
      </c>
      <c r="BL189" s="449">
        <f t="shared" si="219"/>
        <v>266.2772808567604</v>
      </c>
      <c r="BM189" s="449">
        <f t="shared" si="219"/>
        <v>266.2772808567604</v>
      </c>
      <c r="BN189" s="449">
        <f t="shared" si="219"/>
        <v>57.059417326448653</v>
      </c>
      <c r="BO189" s="449">
        <f t="shared" si="219"/>
        <v>57.059417326448653</v>
      </c>
      <c r="BP189" s="449">
        <f t="shared" si="219"/>
        <v>57.059417326448653</v>
      </c>
      <c r="BQ189" s="449">
        <f t="shared" si="219"/>
        <v>57.059417326448653</v>
      </c>
      <c r="BR189" s="449">
        <f t="shared" si="219"/>
        <v>57.059417326448653</v>
      </c>
      <c r="BS189" s="449">
        <f t="shared" si="219"/>
        <v>57.059417326448653</v>
      </c>
      <c r="BT189" s="449">
        <f t="shared" si="219"/>
        <v>57.059417326448653</v>
      </c>
    </row>
    <row r="190" spans="1:72" ht="15" x14ac:dyDescent="0.25">
      <c r="A190" s="502" t="s">
        <v>307</v>
      </c>
      <c r="B190" s="612" t="s">
        <v>308</v>
      </c>
      <c r="C190" s="596"/>
      <c r="D190" s="500">
        <f t="shared" si="187"/>
        <v>21861.65</v>
      </c>
      <c r="E190" s="449">
        <v>0</v>
      </c>
      <c r="F190" s="449">
        <f t="shared" si="188"/>
        <v>21861.65</v>
      </c>
      <c r="G190" s="421">
        <f t="shared" si="189"/>
        <v>0</v>
      </c>
      <c r="H190" s="449">
        <v>20000</v>
      </c>
      <c r="I190" s="449">
        <f t="shared" si="190"/>
        <v>1861.6500000000015</v>
      </c>
      <c r="J190" s="426">
        <f t="shared" si="191"/>
        <v>9.3082500000000068E-2</v>
      </c>
      <c r="K190" s="421"/>
      <c r="L190" s="449">
        <v>21861.65</v>
      </c>
      <c r="M190" s="449">
        <v>0</v>
      </c>
      <c r="N190" s="449">
        <v>0</v>
      </c>
      <c r="O190" s="449">
        <v>0</v>
      </c>
      <c r="P190" s="449">
        <v>0</v>
      </c>
      <c r="Q190" s="449">
        <v>0</v>
      </c>
      <c r="R190" s="449">
        <v>0</v>
      </c>
      <c r="S190" s="449">
        <v>0</v>
      </c>
      <c r="T190" s="449">
        <v>0</v>
      </c>
      <c r="U190" s="449">
        <v>0</v>
      </c>
      <c r="V190" s="449">
        <v>0</v>
      </c>
      <c r="W190" s="449">
        <v>0</v>
      </c>
      <c r="X190" s="449"/>
      <c r="Y190" s="449">
        <f t="shared" si="192"/>
        <v>21861.65</v>
      </c>
      <c r="Z190" s="531"/>
      <c r="AA190" s="449">
        <f t="shared" si="212"/>
        <v>1666.6666666666667</v>
      </c>
      <c r="AB190" s="449">
        <f t="shared" si="212"/>
        <v>1666.6666666666667</v>
      </c>
      <c r="AC190" s="449">
        <f t="shared" si="212"/>
        <v>1666.6666666666667</v>
      </c>
      <c r="AD190" s="449">
        <f t="shared" si="212"/>
        <v>1666.6666666666667</v>
      </c>
      <c r="AE190" s="449">
        <f t="shared" si="212"/>
        <v>1666.6666666666667</v>
      </c>
      <c r="AF190" s="449">
        <f t="shared" si="212"/>
        <v>1666.6666666666667</v>
      </c>
      <c r="AG190" s="449">
        <f t="shared" si="212"/>
        <v>1666.6666666666667</v>
      </c>
      <c r="AH190" s="449">
        <f t="shared" si="212"/>
        <v>1666.6666666666667</v>
      </c>
      <c r="AI190" s="449">
        <f t="shared" si="212"/>
        <v>1666.6666666666667</v>
      </c>
      <c r="AJ190" s="449">
        <f t="shared" si="212"/>
        <v>1666.6666666666667</v>
      </c>
      <c r="AK190" s="449">
        <f t="shared" si="212"/>
        <v>1666.6666666666667</v>
      </c>
      <c r="AL190" s="449">
        <f t="shared" si="212"/>
        <v>1666.6666666666667</v>
      </c>
      <c r="AN190" s="500">
        <f t="shared" si="194"/>
        <v>21861.65</v>
      </c>
      <c r="AO190" s="449">
        <f t="shared" si="195"/>
        <v>24039.035220883532</v>
      </c>
      <c r="AP190" s="449">
        <f t="shared" si="196"/>
        <v>2177.3852208835306</v>
      </c>
      <c r="AQ190" s="453">
        <f t="shared" si="197"/>
        <v>9.959839357429702E-2</v>
      </c>
      <c r="AR190" s="449">
        <f t="shared" si="211"/>
        <v>24039.035220883532</v>
      </c>
      <c r="AS190" s="449">
        <f t="shared" si="199"/>
        <v>0</v>
      </c>
      <c r="AT190" s="426">
        <f t="shared" si="200"/>
        <v>0</v>
      </c>
      <c r="AU190" s="421"/>
      <c r="AV190" s="449">
        <f t="shared" si="205"/>
        <v>4807.8070441767077</v>
      </c>
      <c r="AW190" s="449">
        <f t="shared" si="205"/>
        <v>4807.8070441767077</v>
      </c>
      <c r="AX190" s="449">
        <f t="shared" si="205"/>
        <v>3205.2046961178048</v>
      </c>
      <c r="AY190" s="449">
        <f t="shared" si="204"/>
        <v>3205.2046961178048</v>
      </c>
      <c r="AZ190" s="449">
        <f t="shared" si="204"/>
        <v>3205.2046961178048</v>
      </c>
      <c r="BA190" s="449">
        <f t="shared" si="204"/>
        <v>686.82957773952955</v>
      </c>
      <c r="BB190" s="449">
        <f t="shared" si="204"/>
        <v>686.82957773952955</v>
      </c>
      <c r="BC190" s="449">
        <f t="shared" si="204"/>
        <v>686.82957773952955</v>
      </c>
      <c r="BD190" s="449">
        <f t="shared" si="204"/>
        <v>686.82957773952955</v>
      </c>
      <c r="BE190" s="449">
        <f t="shared" si="204"/>
        <v>686.82957773952955</v>
      </c>
      <c r="BF190" s="449">
        <f t="shared" si="204"/>
        <v>686.82957773952955</v>
      </c>
      <c r="BG190" s="449">
        <f t="shared" si="204"/>
        <v>686.82957773952955</v>
      </c>
      <c r="BH190" s="400"/>
      <c r="BI190" s="449">
        <f t="shared" si="219"/>
        <v>4807.8070441767077</v>
      </c>
      <c r="BJ190" s="449">
        <f t="shared" si="219"/>
        <v>4807.8070441767077</v>
      </c>
      <c r="BK190" s="449">
        <f t="shared" si="219"/>
        <v>3205.2046961178048</v>
      </c>
      <c r="BL190" s="449">
        <f t="shared" si="219"/>
        <v>3205.2046961178048</v>
      </c>
      <c r="BM190" s="449">
        <f t="shared" si="219"/>
        <v>3205.2046961178048</v>
      </c>
      <c r="BN190" s="449">
        <f t="shared" si="219"/>
        <v>686.82957773952955</v>
      </c>
      <c r="BO190" s="449">
        <f t="shared" si="219"/>
        <v>686.82957773952955</v>
      </c>
      <c r="BP190" s="449">
        <f t="shared" si="219"/>
        <v>686.82957773952955</v>
      </c>
      <c r="BQ190" s="449">
        <f t="shared" si="219"/>
        <v>686.82957773952955</v>
      </c>
      <c r="BR190" s="449">
        <f t="shared" si="219"/>
        <v>686.82957773952955</v>
      </c>
      <c r="BS190" s="449">
        <f t="shared" si="219"/>
        <v>686.82957773952955</v>
      </c>
      <c r="BT190" s="449">
        <f t="shared" si="219"/>
        <v>686.82957773952955</v>
      </c>
    </row>
    <row r="191" spans="1:72" ht="15" x14ac:dyDescent="0.25">
      <c r="A191" s="502" t="s">
        <v>309</v>
      </c>
      <c r="B191" s="612" t="s">
        <v>310</v>
      </c>
      <c r="C191" s="596"/>
      <c r="D191" s="500">
        <f t="shared" si="187"/>
        <v>2000</v>
      </c>
      <c r="E191" s="449">
        <v>0</v>
      </c>
      <c r="F191" s="449">
        <f t="shared" si="188"/>
        <v>2000</v>
      </c>
      <c r="G191" s="421">
        <f t="shared" si="189"/>
        <v>0</v>
      </c>
      <c r="H191" s="449">
        <v>2000</v>
      </c>
      <c r="I191" s="449">
        <f t="shared" si="190"/>
        <v>0</v>
      </c>
      <c r="J191" s="426">
        <f t="shared" si="191"/>
        <v>0</v>
      </c>
      <c r="K191" s="421"/>
      <c r="L191" s="449">
        <v>0</v>
      </c>
      <c r="M191" s="449">
        <v>0</v>
      </c>
      <c r="N191" s="449">
        <v>0</v>
      </c>
      <c r="O191" s="449">
        <v>0</v>
      </c>
      <c r="P191" s="449">
        <v>0</v>
      </c>
      <c r="Q191" s="449">
        <v>0</v>
      </c>
      <c r="R191" s="449">
        <f>($H191-SUM($L191:Q191))/R$694</f>
        <v>333.33333333333331</v>
      </c>
      <c r="S191" s="449">
        <f>($H191-SUM($L191:R191))/S$694</f>
        <v>333.33333333333337</v>
      </c>
      <c r="T191" s="449">
        <f>($H191-SUM($L191:S191))/T$694</f>
        <v>333.33333333333331</v>
      </c>
      <c r="U191" s="449">
        <f>($H191-SUM($L191:T191))/U$694</f>
        <v>333.33333333333331</v>
      </c>
      <c r="V191" s="449">
        <f>($H191-SUM($L191:U191))/V$694</f>
        <v>333.33333333333337</v>
      </c>
      <c r="W191" s="449">
        <f>($H191-SUM($L191:V191))/W$694</f>
        <v>333.33333333333348</v>
      </c>
      <c r="X191" s="449"/>
      <c r="Y191" s="449">
        <f t="shared" si="192"/>
        <v>2000</v>
      </c>
      <c r="Z191" s="531"/>
      <c r="AA191" s="449">
        <f t="shared" si="212"/>
        <v>166.66666666666666</v>
      </c>
      <c r="AB191" s="449">
        <f t="shared" si="212"/>
        <v>166.66666666666666</v>
      </c>
      <c r="AC191" s="449">
        <f t="shared" si="212"/>
        <v>166.66666666666666</v>
      </c>
      <c r="AD191" s="449">
        <f t="shared" si="212"/>
        <v>166.66666666666666</v>
      </c>
      <c r="AE191" s="449">
        <f t="shared" si="212"/>
        <v>166.66666666666666</v>
      </c>
      <c r="AF191" s="449">
        <f t="shared" si="212"/>
        <v>166.66666666666666</v>
      </c>
      <c r="AG191" s="449">
        <f t="shared" si="212"/>
        <v>166.66666666666666</v>
      </c>
      <c r="AH191" s="449">
        <f t="shared" si="212"/>
        <v>166.66666666666666</v>
      </c>
      <c r="AI191" s="449">
        <f t="shared" si="212"/>
        <v>166.66666666666666</v>
      </c>
      <c r="AJ191" s="449">
        <f t="shared" si="212"/>
        <v>166.66666666666666</v>
      </c>
      <c r="AK191" s="449">
        <f t="shared" si="212"/>
        <v>166.66666666666666</v>
      </c>
      <c r="AL191" s="449">
        <f t="shared" si="212"/>
        <v>166.66666666666666</v>
      </c>
      <c r="AN191" s="500">
        <f t="shared" ref="AN191:AN225" si="220">SUM(L191:W191)</f>
        <v>2000</v>
      </c>
      <c r="AO191" s="449">
        <f t="shared" si="195"/>
        <v>0</v>
      </c>
      <c r="AP191" s="449">
        <f t="shared" si="196"/>
        <v>-2000</v>
      </c>
      <c r="AQ191" s="453">
        <f t="shared" si="197"/>
        <v>-1</v>
      </c>
      <c r="AR191" s="449">
        <f t="shared" si="211"/>
        <v>0</v>
      </c>
      <c r="AS191" s="449">
        <f t="shared" si="199"/>
        <v>0</v>
      </c>
      <c r="AT191" s="426">
        <f t="shared" si="200"/>
        <v>0</v>
      </c>
      <c r="AU191" s="421"/>
      <c r="AV191" s="449">
        <f t="shared" si="205"/>
        <v>0</v>
      </c>
      <c r="AW191" s="449">
        <f t="shared" si="205"/>
        <v>0</v>
      </c>
      <c r="AX191" s="449">
        <f t="shared" si="205"/>
        <v>0</v>
      </c>
      <c r="AY191" s="449">
        <f t="shared" si="204"/>
        <v>0</v>
      </c>
      <c r="AZ191" s="449">
        <f t="shared" si="204"/>
        <v>0</v>
      </c>
      <c r="BA191" s="449">
        <f t="shared" si="204"/>
        <v>0</v>
      </c>
      <c r="BB191" s="449">
        <f t="shared" si="204"/>
        <v>0</v>
      </c>
      <c r="BC191" s="449">
        <f t="shared" si="204"/>
        <v>0</v>
      </c>
      <c r="BD191" s="449">
        <f t="shared" si="204"/>
        <v>0</v>
      </c>
      <c r="BE191" s="449">
        <f t="shared" si="204"/>
        <v>0</v>
      </c>
      <c r="BF191" s="449">
        <f t="shared" si="204"/>
        <v>0</v>
      </c>
      <c r="BG191" s="449">
        <f t="shared" si="204"/>
        <v>0</v>
      </c>
      <c r="BH191" s="400"/>
      <c r="BI191" s="449">
        <f>(IFERROR((($H191/$H$5)*BI$5),0))*BI$696*0</f>
        <v>0</v>
      </c>
      <c r="BJ191" s="449">
        <f t="shared" ref="BJ191:BT191" si="221">(IFERROR((($H191/$H$5)*BJ$5),0))*BJ$696*0</f>
        <v>0</v>
      </c>
      <c r="BK191" s="449">
        <f t="shared" si="221"/>
        <v>0</v>
      </c>
      <c r="BL191" s="449">
        <f t="shared" si="221"/>
        <v>0</v>
      </c>
      <c r="BM191" s="449">
        <f t="shared" si="221"/>
        <v>0</v>
      </c>
      <c r="BN191" s="449">
        <f t="shared" si="221"/>
        <v>0</v>
      </c>
      <c r="BO191" s="449">
        <f t="shared" si="221"/>
        <v>0</v>
      </c>
      <c r="BP191" s="449">
        <f t="shared" si="221"/>
        <v>0</v>
      </c>
      <c r="BQ191" s="449">
        <f t="shared" si="221"/>
        <v>0</v>
      </c>
      <c r="BR191" s="449">
        <f t="shared" si="221"/>
        <v>0</v>
      </c>
      <c r="BS191" s="449">
        <f t="shared" si="221"/>
        <v>0</v>
      </c>
      <c r="BT191" s="449">
        <f t="shared" si="221"/>
        <v>0</v>
      </c>
    </row>
    <row r="192" spans="1:72" ht="15" x14ac:dyDescent="0.25">
      <c r="A192" s="502" t="s">
        <v>311</v>
      </c>
      <c r="B192" s="502" t="s">
        <v>312</v>
      </c>
      <c r="C192" s="538"/>
      <c r="D192" s="500">
        <f t="shared" si="187"/>
        <v>39000</v>
      </c>
      <c r="E192" s="449">
        <v>32960</v>
      </c>
      <c r="F192" s="449">
        <f t="shared" si="188"/>
        <v>6040</v>
      </c>
      <c r="G192" s="421">
        <f t="shared" si="189"/>
        <v>0.18325242718446602</v>
      </c>
      <c r="H192" s="449">
        <v>39000</v>
      </c>
      <c r="I192" s="449">
        <f t="shared" si="190"/>
        <v>0</v>
      </c>
      <c r="J192" s="426">
        <f t="shared" si="191"/>
        <v>0</v>
      </c>
      <c r="K192" s="421"/>
      <c r="L192" s="449">
        <v>-1811.33</v>
      </c>
      <c r="M192" s="449">
        <v>6642.46</v>
      </c>
      <c r="N192" s="449">
        <v>5812.1500000000005</v>
      </c>
      <c r="O192" s="449">
        <v>5535.3799999999992</v>
      </c>
      <c r="P192" s="449">
        <v>-5321.6399999999994</v>
      </c>
      <c r="Q192" s="449">
        <v>17776.25</v>
      </c>
      <c r="R192" s="449">
        <f>($H192-SUM($L192:Q192))/R$694</f>
        <v>1727.7883333333332</v>
      </c>
      <c r="S192" s="449">
        <f>($H192-SUM($L192:R192))/S$694</f>
        <v>1727.7883333333332</v>
      </c>
      <c r="T192" s="449">
        <f>($H192-SUM($L192:S192))/T$694</f>
        <v>1727.788333333333</v>
      </c>
      <c r="U192" s="449">
        <f>($H192-SUM($L192:T192))/U$694</f>
        <v>1727.7883333333327</v>
      </c>
      <c r="V192" s="449">
        <f>($H192-SUM($L192:U192))/V$694</f>
        <v>1727.7883333333339</v>
      </c>
      <c r="W192" s="449">
        <f>($H192-SUM($L192:V192))/W$694</f>
        <v>1727.7883333333302</v>
      </c>
      <c r="X192" s="449"/>
      <c r="Y192" s="449">
        <f t="shared" si="192"/>
        <v>39000</v>
      </c>
      <c r="Z192" s="531"/>
      <c r="AA192" s="449">
        <f t="shared" si="212"/>
        <v>3250</v>
      </c>
      <c r="AB192" s="449">
        <f t="shared" si="212"/>
        <v>3250</v>
      </c>
      <c r="AC192" s="449">
        <f t="shared" si="212"/>
        <v>3250</v>
      </c>
      <c r="AD192" s="449">
        <f t="shared" si="212"/>
        <v>3250</v>
      </c>
      <c r="AE192" s="449">
        <f t="shared" si="212"/>
        <v>3250</v>
      </c>
      <c r="AF192" s="449">
        <f t="shared" si="212"/>
        <v>3250</v>
      </c>
      <c r="AG192" s="449">
        <f t="shared" si="212"/>
        <v>3250</v>
      </c>
      <c r="AH192" s="449">
        <f t="shared" si="212"/>
        <v>3250</v>
      </c>
      <c r="AI192" s="449">
        <f t="shared" si="212"/>
        <v>3250</v>
      </c>
      <c r="AJ192" s="449">
        <f t="shared" si="212"/>
        <v>3250</v>
      </c>
      <c r="AK192" s="449">
        <f t="shared" si="212"/>
        <v>3250</v>
      </c>
      <c r="AL192" s="449">
        <f t="shared" si="212"/>
        <v>3250</v>
      </c>
      <c r="AN192" s="500">
        <f t="shared" si="220"/>
        <v>39000</v>
      </c>
      <c r="AO192" s="449">
        <f t="shared" si="195"/>
        <v>40170</v>
      </c>
      <c r="AP192" s="449">
        <f t="shared" si="196"/>
        <v>1170</v>
      </c>
      <c r="AQ192" s="453">
        <f t="shared" si="197"/>
        <v>0.03</v>
      </c>
      <c r="AR192" s="449">
        <f t="shared" si="211"/>
        <v>40170</v>
      </c>
      <c r="AS192" s="449">
        <f t="shared" si="199"/>
        <v>0</v>
      </c>
      <c r="AT192" s="426">
        <f t="shared" si="200"/>
        <v>0</v>
      </c>
      <c r="AU192" s="421"/>
      <c r="AV192" s="449">
        <f t="shared" si="205"/>
        <v>0</v>
      </c>
      <c r="AW192" s="449">
        <f t="shared" si="205"/>
        <v>3347.5</v>
      </c>
      <c r="AX192" s="449">
        <f t="shared" si="205"/>
        <v>3347.5</v>
      </c>
      <c r="AY192" s="449">
        <f t="shared" si="204"/>
        <v>3347.5</v>
      </c>
      <c r="AZ192" s="449">
        <f t="shared" si="204"/>
        <v>3347.5</v>
      </c>
      <c r="BA192" s="449">
        <f t="shared" si="204"/>
        <v>3347.5</v>
      </c>
      <c r="BB192" s="449">
        <f t="shared" si="204"/>
        <v>3347.5</v>
      </c>
      <c r="BC192" s="449">
        <f t="shared" si="204"/>
        <v>3347.5</v>
      </c>
      <c r="BD192" s="449">
        <f t="shared" si="204"/>
        <v>3347.5</v>
      </c>
      <c r="BE192" s="449">
        <f t="shared" si="204"/>
        <v>3347.5</v>
      </c>
      <c r="BF192" s="449">
        <f t="shared" si="204"/>
        <v>3347.5</v>
      </c>
      <c r="BG192" s="449">
        <f t="shared" si="204"/>
        <v>6695</v>
      </c>
      <c r="BH192" s="400"/>
      <c r="BI192" s="449">
        <v>0</v>
      </c>
      <c r="BJ192" s="449">
        <f>SUM('FY19 Staffing V1-1 (3)'!$P$107)/12</f>
        <v>3347.5</v>
      </c>
      <c r="BK192" s="449">
        <f>SUM('FY19 Staffing V1-1 (3)'!$P$107)/12</f>
        <v>3347.5</v>
      </c>
      <c r="BL192" s="449">
        <f>SUM('FY19 Staffing V1-1 (3)'!$P$107)/12</f>
        <v>3347.5</v>
      </c>
      <c r="BM192" s="449">
        <f>SUM('FY19 Staffing V1-1 (3)'!$P$107)/12</f>
        <v>3347.5</v>
      </c>
      <c r="BN192" s="449">
        <f>SUM('FY19 Staffing V1-1 (3)'!$P$107)/12</f>
        <v>3347.5</v>
      </c>
      <c r="BO192" s="449">
        <f>SUM('FY19 Staffing V1-1 (3)'!$P$107)/12</f>
        <v>3347.5</v>
      </c>
      <c r="BP192" s="449">
        <f>SUM('FY19 Staffing V1-1 (3)'!$P$107)/12</f>
        <v>3347.5</v>
      </c>
      <c r="BQ192" s="449">
        <f>SUM('FY19 Staffing V1-1 (3)'!$P$107)/12</f>
        <v>3347.5</v>
      </c>
      <c r="BR192" s="449">
        <f>SUM('FY19 Staffing V1-1 (3)'!$P$107)/12</f>
        <v>3347.5</v>
      </c>
      <c r="BS192" s="449">
        <f>SUM('FY19 Staffing V1-1 (3)'!$P$107)/12</f>
        <v>3347.5</v>
      </c>
      <c r="BT192" s="449">
        <f>SUM('FY19 Staffing V1-1 (3)'!$P$107)/12*2</f>
        <v>6695</v>
      </c>
    </row>
    <row r="193" spans="1:72" ht="15" x14ac:dyDescent="0.25">
      <c r="A193" s="502" t="s">
        <v>313</v>
      </c>
      <c r="B193" s="502" t="s">
        <v>314</v>
      </c>
      <c r="C193" s="538"/>
      <c r="D193" s="500">
        <f t="shared" si="187"/>
        <v>32960</v>
      </c>
      <c r="E193" s="449">
        <v>65920</v>
      </c>
      <c r="F193" s="449">
        <f t="shared" si="188"/>
        <v>-32960</v>
      </c>
      <c r="G193" s="421">
        <f t="shared" si="189"/>
        <v>-0.5</v>
      </c>
      <c r="H193" s="449">
        <v>32960</v>
      </c>
      <c r="I193" s="449">
        <f t="shared" si="190"/>
        <v>0</v>
      </c>
      <c r="J193" s="426">
        <f t="shared" si="191"/>
        <v>0</v>
      </c>
      <c r="K193" s="421"/>
      <c r="L193" s="449">
        <v>0</v>
      </c>
      <c r="M193" s="449">
        <v>0</v>
      </c>
      <c r="N193" s="449">
        <v>0</v>
      </c>
      <c r="O193" s="449">
        <v>0</v>
      </c>
      <c r="P193" s="449">
        <v>10857.02</v>
      </c>
      <c r="Q193" s="449">
        <v>-10857.02</v>
      </c>
      <c r="R193" s="449">
        <f>($H193-SUM($L193:Q193))/R$694</f>
        <v>5493.333333333333</v>
      </c>
      <c r="S193" s="449">
        <f>($H193-SUM($L193:R193))/S$694</f>
        <v>5493.3333333333339</v>
      </c>
      <c r="T193" s="449">
        <f>($H193-SUM($L193:S193))/T$694</f>
        <v>5493.333333333333</v>
      </c>
      <c r="U193" s="449">
        <f>($H193-SUM($L193:T193))/U$694</f>
        <v>5493.333333333333</v>
      </c>
      <c r="V193" s="449">
        <f>($H193-SUM($L193:U193))/V$694</f>
        <v>5493.3333333333339</v>
      </c>
      <c r="W193" s="449">
        <f>($H193-SUM($L193:V193))/W$694</f>
        <v>5493.3333333333358</v>
      </c>
      <c r="X193" s="449"/>
      <c r="Y193" s="449">
        <f t="shared" si="192"/>
        <v>32960</v>
      </c>
      <c r="Z193" s="531"/>
      <c r="AA193" s="449">
        <f t="shared" si="212"/>
        <v>2746.6666666666665</v>
      </c>
      <c r="AB193" s="449">
        <f t="shared" si="212"/>
        <v>2746.6666666666665</v>
      </c>
      <c r="AC193" s="449">
        <f t="shared" si="212"/>
        <v>2746.6666666666665</v>
      </c>
      <c r="AD193" s="449">
        <f t="shared" si="212"/>
        <v>2746.6666666666665</v>
      </c>
      <c r="AE193" s="449">
        <f t="shared" si="212"/>
        <v>2746.6666666666665</v>
      </c>
      <c r="AF193" s="449">
        <f t="shared" si="212"/>
        <v>2746.6666666666665</v>
      </c>
      <c r="AG193" s="449">
        <f t="shared" si="212"/>
        <v>2746.6666666666665</v>
      </c>
      <c r="AH193" s="449">
        <f t="shared" si="212"/>
        <v>2746.6666666666665</v>
      </c>
      <c r="AI193" s="449">
        <f t="shared" si="212"/>
        <v>2746.6666666666665</v>
      </c>
      <c r="AJ193" s="449">
        <f t="shared" si="212"/>
        <v>2746.6666666666665</v>
      </c>
      <c r="AK193" s="449">
        <f t="shared" si="212"/>
        <v>2746.6666666666665</v>
      </c>
      <c r="AL193" s="449">
        <f t="shared" si="212"/>
        <v>2746.6666666666665</v>
      </c>
      <c r="AN193" s="500">
        <f t="shared" si="220"/>
        <v>32960</v>
      </c>
      <c r="AO193" s="449">
        <f t="shared" si="195"/>
        <v>33948.799999999996</v>
      </c>
      <c r="AP193" s="449">
        <f t="shared" si="196"/>
        <v>988.79999999999563</v>
      </c>
      <c r="AQ193" s="453">
        <f t="shared" si="197"/>
        <v>2.9999999999999867E-2</v>
      </c>
      <c r="AR193" s="449">
        <f t="shared" si="211"/>
        <v>33948.799999999996</v>
      </c>
      <c r="AS193" s="449">
        <f t="shared" si="199"/>
        <v>0</v>
      </c>
      <c r="AT193" s="426">
        <f t="shared" si="200"/>
        <v>0</v>
      </c>
      <c r="AU193" s="421"/>
      <c r="AV193" s="449">
        <f t="shared" si="205"/>
        <v>0</v>
      </c>
      <c r="AW193" s="449">
        <f t="shared" si="205"/>
        <v>2829.0666666666671</v>
      </c>
      <c r="AX193" s="449">
        <f t="shared" si="205"/>
        <v>2829.0666666666671</v>
      </c>
      <c r="AY193" s="449">
        <f t="shared" si="204"/>
        <v>2829.0666666666671</v>
      </c>
      <c r="AZ193" s="449">
        <f t="shared" si="204"/>
        <v>2829.0666666666671</v>
      </c>
      <c r="BA193" s="449">
        <f t="shared" si="204"/>
        <v>2829.0666666666671</v>
      </c>
      <c r="BB193" s="449">
        <f t="shared" si="204"/>
        <v>2829.0666666666671</v>
      </c>
      <c r="BC193" s="449">
        <f t="shared" si="204"/>
        <v>2829.0666666666671</v>
      </c>
      <c r="BD193" s="449">
        <f t="shared" si="204"/>
        <v>2829.0666666666671</v>
      </c>
      <c r="BE193" s="449">
        <f t="shared" si="204"/>
        <v>2829.0666666666671</v>
      </c>
      <c r="BF193" s="449">
        <f t="shared" si="204"/>
        <v>2829.0666666666671</v>
      </c>
      <c r="BG193" s="449">
        <f t="shared" si="204"/>
        <v>5658.1333333333341</v>
      </c>
      <c r="BH193" s="400"/>
      <c r="BI193" s="449">
        <v>0</v>
      </c>
      <c r="BJ193" s="449">
        <f>SUM('FY19 Staffing V1-1 (3)'!$P$106)/12</f>
        <v>2829.0666666666671</v>
      </c>
      <c r="BK193" s="449">
        <f>SUM('FY19 Staffing V1-1 (3)'!$P$106)/12</f>
        <v>2829.0666666666671</v>
      </c>
      <c r="BL193" s="449">
        <f>SUM('FY19 Staffing V1-1 (3)'!$P$106)/12</f>
        <v>2829.0666666666671</v>
      </c>
      <c r="BM193" s="449">
        <f>SUM('FY19 Staffing V1-1 (3)'!$P$106)/12</f>
        <v>2829.0666666666671</v>
      </c>
      <c r="BN193" s="449">
        <f>SUM('FY19 Staffing V1-1 (3)'!$P$106)/12</f>
        <v>2829.0666666666671</v>
      </c>
      <c r="BO193" s="449">
        <f>SUM('FY19 Staffing V1-1 (3)'!$P$106)/12</f>
        <v>2829.0666666666671</v>
      </c>
      <c r="BP193" s="449">
        <f>SUM('FY19 Staffing V1-1 (3)'!$P$106)/12</f>
        <v>2829.0666666666671</v>
      </c>
      <c r="BQ193" s="449">
        <f>SUM('FY19 Staffing V1-1 (3)'!$P$106)/12</f>
        <v>2829.0666666666671</v>
      </c>
      <c r="BR193" s="449">
        <f>SUM('FY19 Staffing V1-1 (3)'!$P$106)/12</f>
        <v>2829.0666666666671</v>
      </c>
      <c r="BS193" s="449">
        <f>SUM('FY19 Staffing V1-1 (3)'!$P$106)/12</f>
        <v>2829.0666666666671</v>
      </c>
      <c r="BT193" s="449">
        <f>SUM('FY19 Staffing V1-1 (3)'!$P$106)/12*2</f>
        <v>5658.1333333333341</v>
      </c>
    </row>
    <row r="194" spans="1:72" ht="15" x14ac:dyDescent="0.25">
      <c r="A194" s="502" t="s">
        <v>315</v>
      </c>
      <c r="B194" s="502" t="s">
        <v>316</v>
      </c>
      <c r="C194" s="538"/>
      <c r="D194" s="500">
        <f t="shared" si="187"/>
        <v>3000</v>
      </c>
      <c r="E194" s="449">
        <v>3000</v>
      </c>
      <c r="F194" s="449">
        <f t="shared" si="188"/>
        <v>0</v>
      </c>
      <c r="G194" s="421">
        <f t="shared" si="189"/>
        <v>0</v>
      </c>
      <c r="H194" s="449">
        <v>3000</v>
      </c>
      <c r="I194" s="449">
        <f t="shared" si="190"/>
        <v>0</v>
      </c>
      <c r="J194" s="426">
        <f t="shared" si="191"/>
        <v>0</v>
      </c>
      <c r="K194" s="421"/>
      <c r="L194" s="449">
        <v>0</v>
      </c>
      <c r="M194" s="449">
        <v>0</v>
      </c>
      <c r="N194" s="449">
        <v>0</v>
      </c>
      <c r="O194" s="449">
        <v>3000</v>
      </c>
      <c r="P194" s="449">
        <v>0</v>
      </c>
      <c r="Q194" s="449">
        <v>0</v>
      </c>
      <c r="R194" s="449">
        <f>($H194-SUM($L194:Q194))/R$694</f>
        <v>0</v>
      </c>
      <c r="S194" s="449">
        <f>($H194-SUM($L194:R194))/S$694</f>
        <v>0</v>
      </c>
      <c r="T194" s="449">
        <f>($H194-SUM($L194:S194))/T$694</f>
        <v>0</v>
      </c>
      <c r="U194" s="449">
        <f>($H194-SUM($L194:T194))/U$694</f>
        <v>0</v>
      </c>
      <c r="V194" s="449">
        <f>($H194-SUM($L194:U194))/V$694</f>
        <v>0</v>
      </c>
      <c r="W194" s="449">
        <f>($H194-SUM($L194:V194))/W$694</f>
        <v>0</v>
      </c>
      <c r="X194" s="449"/>
      <c r="Y194" s="449">
        <f t="shared" si="192"/>
        <v>3000</v>
      </c>
      <c r="Z194" s="531"/>
      <c r="AA194" s="449">
        <f t="shared" si="212"/>
        <v>250</v>
      </c>
      <c r="AB194" s="449">
        <f t="shared" si="212"/>
        <v>250</v>
      </c>
      <c r="AC194" s="449">
        <f t="shared" si="212"/>
        <v>250</v>
      </c>
      <c r="AD194" s="449">
        <f t="shared" si="212"/>
        <v>250</v>
      </c>
      <c r="AE194" s="449">
        <f t="shared" si="212"/>
        <v>250</v>
      </c>
      <c r="AF194" s="449">
        <f t="shared" si="212"/>
        <v>250</v>
      </c>
      <c r="AG194" s="449">
        <f t="shared" si="212"/>
        <v>250</v>
      </c>
      <c r="AH194" s="449">
        <f t="shared" si="212"/>
        <v>250</v>
      </c>
      <c r="AI194" s="449">
        <f t="shared" si="212"/>
        <v>250</v>
      </c>
      <c r="AJ194" s="449">
        <f t="shared" si="212"/>
        <v>250</v>
      </c>
      <c r="AK194" s="449">
        <f t="shared" si="212"/>
        <v>250</v>
      </c>
      <c r="AL194" s="449">
        <f t="shared" si="212"/>
        <v>250</v>
      </c>
      <c r="AN194" s="500">
        <f t="shared" si="220"/>
        <v>3000</v>
      </c>
      <c r="AO194" s="449">
        <f t="shared" si="195"/>
        <v>3000</v>
      </c>
      <c r="AP194" s="449">
        <f t="shared" si="196"/>
        <v>0</v>
      </c>
      <c r="AQ194" s="453">
        <f t="shared" si="197"/>
        <v>0</v>
      </c>
      <c r="AR194" s="449">
        <f t="shared" si="211"/>
        <v>3000</v>
      </c>
      <c r="AS194" s="449">
        <f t="shared" si="199"/>
        <v>0</v>
      </c>
      <c r="AT194" s="426">
        <f t="shared" si="200"/>
        <v>0</v>
      </c>
      <c r="AU194" s="421"/>
      <c r="AV194" s="449">
        <f t="shared" si="205"/>
        <v>0</v>
      </c>
      <c r="AW194" s="449">
        <f t="shared" si="205"/>
        <v>0</v>
      </c>
      <c r="AX194" s="449">
        <f t="shared" si="205"/>
        <v>0</v>
      </c>
      <c r="AY194" s="449">
        <f t="shared" si="204"/>
        <v>3000</v>
      </c>
      <c r="AZ194" s="449">
        <f t="shared" si="204"/>
        <v>0</v>
      </c>
      <c r="BA194" s="449">
        <f t="shared" si="204"/>
        <v>0</v>
      </c>
      <c r="BB194" s="449">
        <f t="shared" si="204"/>
        <v>0</v>
      </c>
      <c r="BC194" s="449">
        <f t="shared" si="204"/>
        <v>0</v>
      </c>
      <c r="BD194" s="449">
        <f t="shared" si="204"/>
        <v>0</v>
      </c>
      <c r="BE194" s="449">
        <f t="shared" si="204"/>
        <v>0</v>
      </c>
      <c r="BF194" s="449">
        <f t="shared" si="204"/>
        <v>0</v>
      </c>
      <c r="BG194" s="449">
        <f t="shared" si="204"/>
        <v>0</v>
      </c>
      <c r="BH194" s="400"/>
      <c r="BI194" s="449">
        <v>0</v>
      </c>
      <c r="BJ194" s="449">
        <v>0</v>
      </c>
      <c r="BK194" s="449">
        <v>0</v>
      </c>
      <c r="BL194" s="449">
        <f>SUM('FY19 Staffing V1-1 (3)'!$J$107)</f>
        <v>3000</v>
      </c>
      <c r="BM194" s="449">
        <v>0</v>
      </c>
      <c r="BN194" s="449">
        <v>0</v>
      </c>
      <c r="BO194" s="449">
        <v>0</v>
      </c>
      <c r="BP194" s="449">
        <v>0</v>
      </c>
      <c r="BQ194" s="449">
        <v>0</v>
      </c>
      <c r="BR194" s="449">
        <v>0</v>
      </c>
      <c r="BS194" s="449">
        <v>0</v>
      </c>
      <c r="BT194" s="449">
        <v>0</v>
      </c>
    </row>
    <row r="195" spans="1:72" ht="15" x14ac:dyDescent="0.25">
      <c r="A195" s="537" t="s">
        <v>317</v>
      </c>
      <c r="B195" s="537" t="s">
        <v>318</v>
      </c>
      <c r="C195" s="541"/>
      <c r="D195" s="500">
        <f>SUM(L195:W195)</f>
        <v>0</v>
      </c>
      <c r="E195" s="449">
        <v>0</v>
      </c>
      <c r="F195" s="449">
        <f t="shared" si="188"/>
        <v>0</v>
      </c>
      <c r="G195" s="421">
        <f t="shared" si="189"/>
        <v>0</v>
      </c>
      <c r="H195" s="449">
        <v>0</v>
      </c>
      <c r="I195" s="449">
        <f t="shared" si="190"/>
        <v>0</v>
      </c>
      <c r="J195" s="426">
        <f t="shared" si="191"/>
        <v>0</v>
      </c>
      <c r="K195" s="421"/>
      <c r="L195" s="449">
        <v>0</v>
      </c>
      <c r="M195" s="449">
        <v>0</v>
      </c>
      <c r="N195" s="449">
        <v>0</v>
      </c>
      <c r="O195" s="449">
        <v>0</v>
      </c>
      <c r="P195" s="449">
        <v>0</v>
      </c>
      <c r="Q195" s="449">
        <v>0</v>
      </c>
      <c r="R195" s="449">
        <f>($H195-SUM($L195:Q195))/R$694</f>
        <v>0</v>
      </c>
      <c r="S195" s="449">
        <f>($H195-SUM($L195:R195))/S$694</f>
        <v>0</v>
      </c>
      <c r="T195" s="449">
        <f>($H195-SUM($L195:S195))/T$694</f>
        <v>0</v>
      </c>
      <c r="U195" s="449">
        <f>($H195-SUM($L195:T195))/U$694</f>
        <v>0</v>
      </c>
      <c r="V195" s="449">
        <f>($H195-SUM($L195:U195))/V$694</f>
        <v>0</v>
      </c>
      <c r="W195" s="449">
        <f>($H195-SUM($L195:V195))/W$694</f>
        <v>0</v>
      </c>
      <c r="X195" s="449"/>
      <c r="Y195" s="449">
        <f t="shared" si="192"/>
        <v>0</v>
      </c>
      <c r="Z195" s="531"/>
      <c r="AA195" s="449">
        <f t="shared" si="212"/>
        <v>0</v>
      </c>
      <c r="AB195" s="449">
        <f t="shared" si="212"/>
        <v>0</v>
      </c>
      <c r="AC195" s="449">
        <f t="shared" si="212"/>
        <v>0</v>
      </c>
      <c r="AD195" s="449">
        <f t="shared" si="212"/>
        <v>0</v>
      </c>
      <c r="AE195" s="449">
        <f t="shared" si="212"/>
        <v>0</v>
      </c>
      <c r="AF195" s="449">
        <f t="shared" si="212"/>
        <v>0</v>
      </c>
      <c r="AG195" s="449">
        <f t="shared" si="212"/>
        <v>0</v>
      </c>
      <c r="AH195" s="449">
        <f t="shared" si="212"/>
        <v>0</v>
      </c>
      <c r="AI195" s="449">
        <f t="shared" si="212"/>
        <v>0</v>
      </c>
      <c r="AJ195" s="449">
        <f t="shared" si="212"/>
        <v>0</v>
      </c>
      <c r="AK195" s="449">
        <f t="shared" si="212"/>
        <v>0</v>
      </c>
      <c r="AL195" s="449">
        <f t="shared" si="212"/>
        <v>0</v>
      </c>
      <c r="AN195" s="500">
        <f>SUM(L195:W195)</f>
        <v>0</v>
      </c>
      <c r="AO195" s="449">
        <f>SUM(BI195:BT195)</f>
        <v>3000</v>
      </c>
      <c r="AP195" s="449">
        <f t="shared" si="196"/>
        <v>3000</v>
      </c>
      <c r="AQ195" s="453" t="str">
        <f t="shared" si="197"/>
        <v>-</v>
      </c>
      <c r="AR195" s="449">
        <f t="shared" si="211"/>
        <v>3000</v>
      </c>
      <c r="AS195" s="449">
        <f t="shared" si="199"/>
        <v>0</v>
      </c>
      <c r="AT195" s="426">
        <f t="shared" si="200"/>
        <v>0</v>
      </c>
      <c r="AU195" s="421"/>
      <c r="AV195" s="449">
        <f t="shared" si="205"/>
        <v>0</v>
      </c>
      <c r="AW195" s="449">
        <f t="shared" si="205"/>
        <v>0</v>
      </c>
      <c r="AX195" s="449">
        <f t="shared" si="205"/>
        <v>0</v>
      </c>
      <c r="AY195" s="449">
        <f t="shared" si="204"/>
        <v>3000</v>
      </c>
      <c r="AZ195" s="449">
        <f t="shared" si="204"/>
        <v>0</v>
      </c>
      <c r="BA195" s="449">
        <f t="shared" si="204"/>
        <v>0</v>
      </c>
      <c r="BB195" s="449">
        <f t="shared" si="204"/>
        <v>0</v>
      </c>
      <c r="BC195" s="449">
        <f t="shared" si="204"/>
        <v>0</v>
      </c>
      <c r="BD195" s="449">
        <f t="shared" si="204"/>
        <v>0</v>
      </c>
      <c r="BE195" s="449">
        <f t="shared" si="204"/>
        <v>0</v>
      </c>
      <c r="BF195" s="449">
        <f t="shared" si="204"/>
        <v>0</v>
      </c>
      <c r="BG195" s="449">
        <f t="shared" si="204"/>
        <v>0</v>
      </c>
      <c r="BH195" s="400"/>
      <c r="BI195" s="449">
        <v>0</v>
      </c>
      <c r="BJ195" s="449">
        <v>0</v>
      </c>
      <c r="BK195" s="449">
        <v>0</v>
      </c>
      <c r="BL195" s="449">
        <f>SUM('FY19 Staffing V1-1 (3)'!$J$106)</f>
        <v>3000</v>
      </c>
      <c r="BM195" s="449">
        <v>0</v>
      </c>
      <c r="BN195" s="449">
        <v>0</v>
      </c>
      <c r="BO195" s="449">
        <v>0</v>
      </c>
      <c r="BP195" s="449">
        <v>0</v>
      </c>
      <c r="BQ195" s="449">
        <v>0</v>
      </c>
      <c r="BR195" s="449">
        <v>0</v>
      </c>
      <c r="BS195" s="449">
        <v>0</v>
      </c>
      <c r="BT195" s="449">
        <v>0</v>
      </c>
    </row>
    <row r="196" spans="1:72" ht="15" x14ac:dyDescent="0.25">
      <c r="A196" s="502" t="s">
        <v>319</v>
      </c>
      <c r="B196" s="502" t="s">
        <v>320</v>
      </c>
      <c r="C196" s="541"/>
      <c r="D196" s="500">
        <f t="shared" si="187"/>
        <v>8383</v>
      </c>
      <c r="E196" s="449">
        <v>12642</v>
      </c>
      <c r="F196" s="449">
        <f t="shared" si="188"/>
        <v>-4259</v>
      </c>
      <c r="G196" s="421">
        <f t="shared" si="189"/>
        <v>-0.33689289669356115</v>
      </c>
      <c r="H196" s="449">
        <v>8383</v>
      </c>
      <c r="I196" s="449">
        <f t="shared" si="190"/>
        <v>0</v>
      </c>
      <c r="J196" s="426">
        <f t="shared" si="191"/>
        <v>0</v>
      </c>
      <c r="K196" s="421"/>
      <c r="L196" s="449">
        <v>-199.89</v>
      </c>
      <c r="M196" s="449">
        <v>1077.97</v>
      </c>
      <c r="N196" s="449">
        <v>708.16</v>
      </c>
      <c r="O196" s="449">
        <v>1106.0800000000002</v>
      </c>
      <c r="P196" s="449">
        <v>631.98</v>
      </c>
      <c r="Q196" s="449">
        <v>529.32999999999993</v>
      </c>
      <c r="R196" s="449">
        <f>($H196-SUM($L196:Q196))/R$694</f>
        <v>754.89499999999998</v>
      </c>
      <c r="S196" s="449">
        <f>($H196-SUM($L196:R196))/S$694</f>
        <v>754.8950000000001</v>
      </c>
      <c r="T196" s="449">
        <f>($H196-SUM($L196:S196))/T$694</f>
        <v>754.89499999999998</v>
      </c>
      <c r="U196" s="449">
        <f>($H196-SUM($L196:T196))/U$694</f>
        <v>754.89499999999987</v>
      </c>
      <c r="V196" s="449">
        <f>($H196-SUM($L196:U196))/V$694</f>
        <v>754.89499999999998</v>
      </c>
      <c r="W196" s="449">
        <f>($H196-SUM($L196:V196))/W$694</f>
        <v>754.89500000000044</v>
      </c>
      <c r="X196" s="449"/>
      <c r="Y196" s="449">
        <f t="shared" si="192"/>
        <v>8383</v>
      </c>
      <c r="Z196" s="531"/>
      <c r="AA196" s="449">
        <f t="shared" si="212"/>
        <v>698.58333333333337</v>
      </c>
      <c r="AB196" s="449">
        <f t="shared" si="212"/>
        <v>698.58333333333337</v>
      </c>
      <c r="AC196" s="449">
        <f t="shared" si="212"/>
        <v>698.58333333333337</v>
      </c>
      <c r="AD196" s="449">
        <f t="shared" si="212"/>
        <v>698.58333333333337</v>
      </c>
      <c r="AE196" s="449">
        <f t="shared" si="212"/>
        <v>698.58333333333337</v>
      </c>
      <c r="AF196" s="449">
        <f t="shared" si="212"/>
        <v>698.58333333333337</v>
      </c>
      <c r="AG196" s="449">
        <f t="shared" si="212"/>
        <v>698.58333333333337</v>
      </c>
      <c r="AH196" s="449">
        <f t="shared" si="212"/>
        <v>698.58333333333337</v>
      </c>
      <c r="AI196" s="449">
        <f t="shared" si="212"/>
        <v>698.58333333333337</v>
      </c>
      <c r="AJ196" s="449">
        <f t="shared" si="212"/>
        <v>698.58333333333337</v>
      </c>
      <c r="AK196" s="449">
        <f t="shared" si="212"/>
        <v>698.58333333333337</v>
      </c>
      <c r="AL196" s="449">
        <f t="shared" si="212"/>
        <v>698.58333333333337</v>
      </c>
      <c r="AN196" s="500">
        <f t="shared" si="220"/>
        <v>8383</v>
      </c>
      <c r="AO196" s="449">
        <f t="shared" si="195"/>
        <v>4694.01</v>
      </c>
      <c r="AP196" s="449">
        <f t="shared" si="196"/>
        <v>-3688.99</v>
      </c>
      <c r="AQ196" s="453">
        <f t="shared" si="197"/>
        <v>-0.44005606584754858</v>
      </c>
      <c r="AR196" s="449">
        <f t="shared" si="211"/>
        <v>4694.01</v>
      </c>
      <c r="AS196" s="449">
        <f t="shared" si="199"/>
        <v>0</v>
      </c>
      <c r="AT196" s="426">
        <f t="shared" si="200"/>
        <v>0</v>
      </c>
      <c r="AU196" s="421"/>
      <c r="AV196" s="449">
        <f t="shared" si="205"/>
        <v>0</v>
      </c>
      <c r="AW196" s="449">
        <f t="shared" si="205"/>
        <v>391.16750000000002</v>
      </c>
      <c r="AX196" s="449">
        <f t="shared" si="205"/>
        <v>391.16750000000002</v>
      </c>
      <c r="AY196" s="449">
        <f t="shared" si="204"/>
        <v>391.16750000000002</v>
      </c>
      <c r="AZ196" s="449">
        <f t="shared" si="204"/>
        <v>391.16750000000002</v>
      </c>
      <c r="BA196" s="449">
        <f t="shared" si="204"/>
        <v>391.16750000000002</v>
      </c>
      <c r="BB196" s="449">
        <f t="shared" ref="BB196:BG238" si="222">BO196</f>
        <v>391.16750000000002</v>
      </c>
      <c r="BC196" s="449">
        <f t="shared" si="222"/>
        <v>391.16750000000002</v>
      </c>
      <c r="BD196" s="449">
        <f t="shared" si="222"/>
        <v>391.16750000000002</v>
      </c>
      <c r="BE196" s="449">
        <f t="shared" si="222"/>
        <v>391.16750000000002</v>
      </c>
      <c r="BF196" s="449">
        <f t="shared" si="222"/>
        <v>391.16750000000002</v>
      </c>
      <c r="BG196" s="449">
        <f t="shared" si="222"/>
        <v>782.33500000000004</v>
      </c>
      <c r="BH196" s="400"/>
      <c r="BI196" s="449">
        <v>0</v>
      </c>
      <c r="BJ196" s="449">
        <f>SUM('FY19 Staffing V1-1 (3)'!$Q$107:$R$107,'FY19 Staffing V1-1 (3)'!$T$107:$U$107)/12</f>
        <v>391.16750000000002</v>
      </c>
      <c r="BK196" s="449">
        <f>SUM('FY19 Staffing V1-1 (3)'!$Q$107:$R$107,'FY19 Staffing V1-1 (3)'!$T$107:$U$107)/12</f>
        <v>391.16750000000002</v>
      </c>
      <c r="BL196" s="449">
        <f>SUM('FY19 Staffing V1-1 (3)'!$Q$107:$R$107,'FY19 Staffing V1-1 (3)'!$T$107:$U$107)/12</f>
        <v>391.16750000000002</v>
      </c>
      <c r="BM196" s="449">
        <f>SUM('FY19 Staffing V1-1 (3)'!$Q$107:$R$107,'FY19 Staffing V1-1 (3)'!$T$107:$U$107)/12</f>
        <v>391.16750000000002</v>
      </c>
      <c r="BN196" s="449">
        <f>SUM('FY19 Staffing V1-1 (3)'!$Q$107:$R$107,'FY19 Staffing V1-1 (3)'!$T$107:$U$107)/12</f>
        <v>391.16750000000002</v>
      </c>
      <c r="BO196" s="449">
        <f>SUM('FY19 Staffing V1-1 (3)'!$Q$107:$R$107,'FY19 Staffing V1-1 (3)'!$T$107:$U$107)/12</f>
        <v>391.16750000000002</v>
      </c>
      <c r="BP196" s="449">
        <f>SUM('FY19 Staffing V1-1 (3)'!$Q$107:$R$107,'FY19 Staffing V1-1 (3)'!$T$107:$U$107)/12</f>
        <v>391.16750000000002</v>
      </c>
      <c r="BQ196" s="449">
        <f>SUM('FY19 Staffing V1-1 (3)'!$Q$107:$R$107,'FY19 Staffing V1-1 (3)'!$T$107:$U$107)/12</f>
        <v>391.16750000000002</v>
      </c>
      <c r="BR196" s="449">
        <f>SUM('FY19 Staffing V1-1 (3)'!$Q$107:$R$107,'FY19 Staffing V1-1 (3)'!$T$107:$U$107)/12</f>
        <v>391.16750000000002</v>
      </c>
      <c r="BS196" s="449">
        <f>SUM('FY19 Staffing V1-1 (3)'!$Q$107:$R$107,'FY19 Staffing V1-1 (3)'!$T$107:$U$107)/12</f>
        <v>391.16750000000002</v>
      </c>
      <c r="BT196" s="449">
        <f>SUM('FY19 Staffing V1-1 (3)'!$Q$107:$R$107,'FY19 Staffing V1-1 (3)'!$T$107:$U$107)/12*2</f>
        <v>782.33500000000004</v>
      </c>
    </row>
    <row r="197" spans="1:72" ht="15" x14ac:dyDescent="0.25">
      <c r="A197" s="502" t="s">
        <v>321</v>
      </c>
      <c r="B197" s="502" t="s">
        <v>322</v>
      </c>
      <c r="C197" s="541"/>
      <c r="D197" s="500">
        <f t="shared" si="187"/>
        <v>3917</v>
      </c>
      <c r="E197" s="449">
        <v>9231</v>
      </c>
      <c r="F197" s="449">
        <f t="shared" si="188"/>
        <v>-5314</v>
      </c>
      <c r="G197" s="421">
        <f t="shared" si="189"/>
        <v>-0.57566894160979309</v>
      </c>
      <c r="H197" s="449">
        <v>3917</v>
      </c>
      <c r="I197" s="449">
        <f t="shared" si="190"/>
        <v>0</v>
      </c>
      <c r="J197" s="426">
        <f t="shared" si="191"/>
        <v>0</v>
      </c>
      <c r="K197" s="421"/>
      <c r="L197" s="449">
        <v>0</v>
      </c>
      <c r="M197" s="449">
        <v>0</v>
      </c>
      <c r="N197" s="449">
        <v>0</v>
      </c>
      <c r="O197" s="449">
        <v>0</v>
      </c>
      <c r="P197" s="449">
        <v>0</v>
      </c>
      <c r="Q197" s="449">
        <v>0</v>
      </c>
      <c r="R197" s="449">
        <f>($H197-SUM($L197:Q197))/R$694</f>
        <v>652.83333333333337</v>
      </c>
      <c r="S197" s="449">
        <f>($H197-SUM($L197:R197))/S$694</f>
        <v>652.83333333333326</v>
      </c>
      <c r="T197" s="449">
        <f>($H197-SUM($L197:S197))/T$694</f>
        <v>652.83333333333337</v>
      </c>
      <c r="U197" s="449">
        <f>($H197-SUM($L197:T197))/U$694</f>
        <v>652.83333333333337</v>
      </c>
      <c r="V197" s="449">
        <f>($H197-SUM($L197:U197))/V$694</f>
        <v>652.83333333333326</v>
      </c>
      <c r="W197" s="449">
        <f>($H197-SUM($L197:V197))/W$694</f>
        <v>652.83333333333303</v>
      </c>
      <c r="X197" s="449"/>
      <c r="Y197" s="449">
        <f t="shared" si="192"/>
        <v>3917</v>
      </c>
      <c r="Z197" s="531"/>
      <c r="AA197" s="449">
        <f t="shared" si="212"/>
        <v>326.41666666666669</v>
      </c>
      <c r="AB197" s="449">
        <f t="shared" si="212"/>
        <v>326.41666666666669</v>
      </c>
      <c r="AC197" s="449">
        <f t="shared" si="212"/>
        <v>326.41666666666669</v>
      </c>
      <c r="AD197" s="449">
        <f t="shared" si="212"/>
        <v>326.41666666666669</v>
      </c>
      <c r="AE197" s="449">
        <f t="shared" si="212"/>
        <v>326.41666666666669</v>
      </c>
      <c r="AF197" s="449">
        <f t="shared" si="212"/>
        <v>326.41666666666669</v>
      </c>
      <c r="AG197" s="449">
        <f t="shared" si="212"/>
        <v>326.41666666666669</v>
      </c>
      <c r="AH197" s="449">
        <f t="shared" si="212"/>
        <v>326.41666666666669</v>
      </c>
      <c r="AI197" s="449">
        <f t="shared" si="212"/>
        <v>326.41666666666669</v>
      </c>
      <c r="AJ197" s="449">
        <f t="shared" si="212"/>
        <v>326.41666666666669</v>
      </c>
      <c r="AK197" s="449">
        <f t="shared" si="212"/>
        <v>326.41666666666669</v>
      </c>
      <c r="AL197" s="449">
        <f t="shared" si="212"/>
        <v>326.41666666666669</v>
      </c>
      <c r="AN197" s="500">
        <f t="shared" si="220"/>
        <v>3917</v>
      </c>
      <c r="AO197" s="449">
        <f t="shared" si="195"/>
        <v>4218.0900000000011</v>
      </c>
      <c r="AP197" s="449">
        <f t="shared" si="196"/>
        <v>301.09000000000106</v>
      </c>
      <c r="AQ197" s="453">
        <f t="shared" si="197"/>
        <v>7.6867500638243824E-2</v>
      </c>
      <c r="AR197" s="449">
        <f t="shared" si="211"/>
        <v>4218.0900000000011</v>
      </c>
      <c r="AS197" s="449">
        <f t="shared" si="199"/>
        <v>0</v>
      </c>
      <c r="AT197" s="426">
        <f t="shared" si="200"/>
        <v>0</v>
      </c>
      <c r="AU197" s="421"/>
      <c r="AV197" s="449">
        <f t="shared" si="205"/>
        <v>0</v>
      </c>
      <c r="AW197" s="449">
        <f t="shared" si="205"/>
        <v>351.50749999999999</v>
      </c>
      <c r="AX197" s="449">
        <f t="shared" si="205"/>
        <v>351.50749999999999</v>
      </c>
      <c r="AY197" s="449">
        <f t="shared" si="205"/>
        <v>351.50749999999999</v>
      </c>
      <c r="AZ197" s="449">
        <f t="shared" si="205"/>
        <v>351.50749999999999</v>
      </c>
      <c r="BA197" s="449">
        <f t="shared" si="205"/>
        <v>351.50749999999999</v>
      </c>
      <c r="BB197" s="449">
        <f t="shared" si="222"/>
        <v>351.50749999999999</v>
      </c>
      <c r="BC197" s="449">
        <f t="shared" si="222"/>
        <v>351.50749999999999</v>
      </c>
      <c r="BD197" s="449">
        <f t="shared" si="222"/>
        <v>351.50749999999999</v>
      </c>
      <c r="BE197" s="449">
        <f t="shared" si="222"/>
        <v>351.50749999999999</v>
      </c>
      <c r="BF197" s="449">
        <f t="shared" si="222"/>
        <v>351.50749999999999</v>
      </c>
      <c r="BG197" s="449">
        <f t="shared" si="222"/>
        <v>703.01499999999999</v>
      </c>
      <c r="BH197" s="400"/>
      <c r="BI197" s="449">
        <v>0</v>
      </c>
      <c r="BJ197" s="449">
        <f>SUM('FY19 Staffing V1-1 (3)'!$Q$106:$R$106,'FY19 Staffing V1-1 (3)'!$T$106:$U$106)/12</f>
        <v>351.50749999999999</v>
      </c>
      <c r="BK197" s="449">
        <f>SUM('FY19 Staffing V1-1 (3)'!$Q$106:$R$106,'FY19 Staffing V1-1 (3)'!$T$106:$U$106)/12</f>
        <v>351.50749999999999</v>
      </c>
      <c r="BL197" s="449">
        <f>SUM('FY19 Staffing V1-1 (3)'!$Q$106:$R$106,'FY19 Staffing V1-1 (3)'!$T$106:$U$106)/12</f>
        <v>351.50749999999999</v>
      </c>
      <c r="BM197" s="449">
        <f>SUM('FY19 Staffing V1-1 (3)'!$Q$106:$R$106,'FY19 Staffing V1-1 (3)'!$T$106:$U$106)/12</f>
        <v>351.50749999999999</v>
      </c>
      <c r="BN197" s="449">
        <f>SUM('FY19 Staffing V1-1 (3)'!$Q$106:$R$106,'FY19 Staffing V1-1 (3)'!$T$106:$U$106)/12</f>
        <v>351.50749999999999</v>
      </c>
      <c r="BO197" s="449">
        <f>SUM('FY19 Staffing V1-1 (3)'!$Q$106:$R$106,'FY19 Staffing V1-1 (3)'!$T$106:$U$106)/12</f>
        <v>351.50749999999999</v>
      </c>
      <c r="BP197" s="449">
        <f>SUM('FY19 Staffing V1-1 (3)'!$Q$106:$R$106,'FY19 Staffing V1-1 (3)'!$T$106:$U$106)/12</f>
        <v>351.50749999999999</v>
      </c>
      <c r="BQ197" s="449">
        <f>SUM('FY19 Staffing V1-1 (3)'!$Q$106:$R$106,'FY19 Staffing V1-1 (3)'!$T$106:$U$106)/12</f>
        <v>351.50749999999999</v>
      </c>
      <c r="BR197" s="449">
        <f>SUM('FY19 Staffing V1-1 (3)'!$Q$106:$R$106,'FY19 Staffing V1-1 (3)'!$T$106:$U$106)/12</f>
        <v>351.50749999999999</v>
      </c>
      <c r="BS197" s="449">
        <f>SUM('FY19 Staffing V1-1 (3)'!$Q$106:$R$106,'FY19 Staffing V1-1 (3)'!$T$106:$U$106)/12</f>
        <v>351.50749999999999</v>
      </c>
      <c r="BT197" s="449">
        <f>SUM('FY19 Staffing V1-1 (3)'!$Q$106:$R$106,'FY19 Staffing V1-1 (3)'!$T$106:$U$106)/12*2</f>
        <v>703.01499999999999</v>
      </c>
    </row>
    <row r="198" spans="1:72" ht="15" x14ac:dyDescent="0.25">
      <c r="A198" s="502" t="s">
        <v>323</v>
      </c>
      <c r="B198" s="502" t="s">
        <v>324</v>
      </c>
      <c r="C198" s="541"/>
      <c r="D198" s="500">
        <f t="shared" si="187"/>
        <v>5038</v>
      </c>
      <c r="E198" s="449">
        <v>5038</v>
      </c>
      <c r="F198" s="449">
        <f t="shared" si="188"/>
        <v>0</v>
      </c>
      <c r="G198" s="421">
        <f t="shared" si="189"/>
        <v>0</v>
      </c>
      <c r="H198" s="449">
        <v>5038</v>
      </c>
      <c r="I198" s="449">
        <f t="shared" si="190"/>
        <v>0</v>
      </c>
      <c r="J198" s="426">
        <f t="shared" si="191"/>
        <v>0</v>
      </c>
      <c r="K198" s="421"/>
      <c r="L198" s="449">
        <v>5.0999999999999996</v>
      </c>
      <c r="M198" s="449">
        <v>40.549999999999997</v>
      </c>
      <c r="N198" s="449">
        <v>66.390000000000015</v>
      </c>
      <c r="O198" s="449">
        <v>1881.21</v>
      </c>
      <c r="P198" s="449">
        <v>720.11000000000013</v>
      </c>
      <c r="Q198" s="449">
        <v>655.75</v>
      </c>
      <c r="R198" s="449">
        <f>($H198-SUM($L198:Q198))/R$694</f>
        <v>278.14833333333331</v>
      </c>
      <c r="S198" s="449">
        <f>($H198-SUM($L198:R198))/S$694</f>
        <v>278.14833333333337</v>
      </c>
      <c r="T198" s="449">
        <f>($H198-SUM($L198:S198))/T$694</f>
        <v>278.14833333333331</v>
      </c>
      <c r="U198" s="449">
        <f>($H198-SUM($L198:T198))/U$694</f>
        <v>278.14833333333326</v>
      </c>
      <c r="V198" s="449">
        <f>($H198-SUM($L198:U198))/V$694</f>
        <v>278.14833333333308</v>
      </c>
      <c r="W198" s="449">
        <f>($H198-SUM($L198:V198))/W$694</f>
        <v>278.14833333333263</v>
      </c>
      <c r="X198" s="449"/>
      <c r="Y198" s="449">
        <f t="shared" si="192"/>
        <v>5038</v>
      </c>
      <c r="Z198" s="531"/>
      <c r="AA198" s="449">
        <f t="shared" ref="AA198:AL213" si="223">IFERROR($H198/12,0)</f>
        <v>419.83333333333331</v>
      </c>
      <c r="AB198" s="449">
        <f t="shared" si="223"/>
        <v>419.83333333333331</v>
      </c>
      <c r="AC198" s="449">
        <f t="shared" si="223"/>
        <v>419.83333333333331</v>
      </c>
      <c r="AD198" s="449">
        <f t="shared" si="223"/>
        <v>419.83333333333331</v>
      </c>
      <c r="AE198" s="449">
        <f t="shared" si="223"/>
        <v>419.83333333333331</v>
      </c>
      <c r="AF198" s="449">
        <f t="shared" si="223"/>
        <v>419.83333333333331</v>
      </c>
      <c r="AG198" s="449">
        <f t="shared" si="223"/>
        <v>419.83333333333331</v>
      </c>
      <c r="AH198" s="449">
        <f t="shared" si="223"/>
        <v>419.83333333333331</v>
      </c>
      <c r="AI198" s="449">
        <f t="shared" si="223"/>
        <v>419.83333333333331</v>
      </c>
      <c r="AJ198" s="449">
        <f t="shared" si="223"/>
        <v>419.83333333333331</v>
      </c>
      <c r="AK198" s="449">
        <f t="shared" si="223"/>
        <v>419.83333333333331</v>
      </c>
      <c r="AL198" s="449">
        <f t="shared" si="223"/>
        <v>419.83333333333331</v>
      </c>
      <c r="AN198" s="500">
        <f t="shared" si="220"/>
        <v>5038</v>
      </c>
      <c r="AO198" s="449">
        <f t="shared" si="195"/>
        <v>6129.942</v>
      </c>
      <c r="AP198" s="449">
        <f t="shared" si="196"/>
        <v>1091.942</v>
      </c>
      <c r="AQ198" s="453">
        <f t="shared" si="197"/>
        <v>0.21674116712981342</v>
      </c>
      <c r="AR198" s="449">
        <f t="shared" si="211"/>
        <v>6129.942</v>
      </c>
      <c r="AS198" s="449">
        <f t="shared" si="199"/>
        <v>0</v>
      </c>
      <c r="AT198" s="426">
        <f t="shared" si="200"/>
        <v>0</v>
      </c>
      <c r="AU198" s="421"/>
      <c r="AV198" s="449">
        <f t="shared" si="205"/>
        <v>0</v>
      </c>
      <c r="AW198" s="449">
        <f t="shared" si="205"/>
        <v>510.82850000000008</v>
      </c>
      <c r="AX198" s="449">
        <f t="shared" si="205"/>
        <v>510.82850000000008</v>
      </c>
      <c r="AY198" s="449">
        <f t="shared" si="205"/>
        <v>510.82850000000008</v>
      </c>
      <c r="AZ198" s="449">
        <f t="shared" si="205"/>
        <v>510.82850000000008</v>
      </c>
      <c r="BA198" s="449">
        <f t="shared" si="205"/>
        <v>510.82850000000008</v>
      </c>
      <c r="BB198" s="449">
        <f t="shared" si="222"/>
        <v>510.82850000000008</v>
      </c>
      <c r="BC198" s="449">
        <f t="shared" si="222"/>
        <v>510.82850000000008</v>
      </c>
      <c r="BD198" s="449">
        <f t="shared" si="222"/>
        <v>510.82850000000008</v>
      </c>
      <c r="BE198" s="449">
        <f t="shared" si="222"/>
        <v>510.82850000000008</v>
      </c>
      <c r="BF198" s="449">
        <f t="shared" si="222"/>
        <v>510.82850000000008</v>
      </c>
      <c r="BG198" s="449">
        <f t="shared" si="222"/>
        <v>1021.6570000000002</v>
      </c>
      <c r="BH198" s="400"/>
      <c r="BI198" s="449">
        <v>0</v>
      </c>
      <c r="BJ198" s="449">
        <f>SUM('FY19 Staffing V1-1 (3)'!$W$107)/12</f>
        <v>510.82850000000008</v>
      </c>
      <c r="BK198" s="449">
        <f>SUM('FY19 Staffing V1-1 (3)'!$W$107)/12</f>
        <v>510.82850000000008</v>
      </c>
      <c r="BL198" s="449">
        <f>SUM('FY19 Staffing V1-1 (3)'!$W$107)/12</f>
        <v>510.82850000000008</v>
      </c>
      <c r="BM198" s="449">
        <f>SUM('FY19 Staffing V1-1 (3)'!$W$107)/12</f>
        <v>510.82850000000008</v>
      </c>
      <c r="BN198" s="449">
        <f>SUM('FY19 Staffing V1-1 (3)'!$W$107)/12</f>
        <v>510.82850000000008</v>
      </c>
      <c r="BO198" s="449">
        <f>SUM('FY19 Staffing V1-1 (3)'!$W$107)/12</f>
        <v>510.82850000000008</v>
      </c>
      <c r="BP198" s="449">
        <f>SUM('FY19 Staffing V1-1 (3)'!$W$107)/12</f>
        <v>510.82850000000008</v>
      </c>
      <c r="BQ198" s="449">
        <f>SUM('FY19 Staffing V1-1 (3)'!$W$107)/12</f>
        <v>510.82850000000008</v>
      </c>
      <c r="BR198" s="449">
        <f>SUM('FY19 Staffing V1-1 (3)'!$W$107)/12</f>
        <v>510.82850000000008</v>
      </c>
      <c r="BS198" s="449">
        <f>SUM('FY19 Staffing V1-1 (3)'!$W$107)/12</f>
        <v>510.82850000000008</v>
      </c>
      <c r="BT198" s="449">
        <f>SUM('FY19 Staffing V1-1 (3)'!$W$107)/12*2</f>
        <v>1021.6570000000002</v>
      </c>
    </row>
    <row r="199" spans="1:72" ht="15" x14ac:dyDescent="0.25">
      <c r="A199" s="502" t="s">
        <v>325</v>
      </c>
      <c r="B199" s="502" t="s">
        <v>326</v>
      </c>
      <c r="C199" s="541"/>
      <c r="D199" s="500">
        <f t="shared" si="187"/>
        <v>369</v>
      </c>
      <c r="E199" s="449">
        <v>5406</v>
      </c>
      <c r="F199" s="449">
        <f t="shared" si="188"/>
        <v>-5037</v>
      </c>
      <c r="G199" s="421">
        <f t="shared" si="189"/>
        <v>-0.93174250832408434</v>
      </c>
      <c r="H199" s="449">
        <v>369</v>
      </c>
      <c r="I199" s="449">
        <f t="shared" si="190"/>
        <v>0</v>
      </c>
      <c r="J199" s="426">
        <f t="shared" si="191"/>
        <v>0</v>
      </c>
      <c r="K199" s="421"/>
      <c r="L199" s="449">
        <v>0</v>
      </c>
      <c r="M199" s="449">
        <v>0</v>
      </c>
      <c r="N199" s="449">
        <v>0</v>
      </c>
      <c r="O199" s="449">
        <v>0</v>
      </c>
      <c r="P199" s="449">
        <v>0</v>
      </c>
      <c r="Q199" s="449">
        <v>0</v>
      </c>
      <c r="R199" s="449">
        <f>($H199-SUM($L199:Q199))/R$694</f>
        <v>61.5</v>
      </c>
      <c r="S199" s="449">
        <f>($H199-SUM($L199:R199))/S$694</f>
        <v>61.5</v>
      </c>
      <c r="T199" s="449">
        <f>($H199-SUM($L199:S199))/T$694</f>
        <v>61.5</v>
      </c>
      <c r="U199" s="449">
        <f>($H199-SUM($L199:T199))/U$694</f>
        <v>61.5</v>
      </c>
      <c r="V199" s="449">
        <f>($H199-SUM($L199:U199))/V$694</f>
        <v>61.5</v>
      </c>
      <c r="W199" s="449">
        <f>($H199-SUM($L199:V199))/W$694</f>
        <v>61.5</v>
      </c>
      <c r="X199" s="449"/>
      <c r="Y199" s="449">
        <f t="shared" si="192"/>
        <v>369</v>
      </c>
      <c r="Z199" s="531"/>
      <c r="AA199" s="449">
        <f t="shared" si="223"/>
        <v>30.75</v>
      </c>
      <c r="AB199" s="449">
        <f t="shared" si="223"/>
        <v>30.75</v>
      </c>
      <c r="AC199" s="449">
        <f t="shared" si="223"/>
        <v>30.75</v>
      </c>
      <c r="AD199" s="449">
        <f t="shared" si="223"/>
        <v>30.75</v>
      </c>
      <c r="AE199" s="449">
        <f t="shared" si="223"/>
        <v>30.75</v>
      </c>
      <c r="AF199" s="449">
        <f t="shared" si="223"/>
        <v>30.75</v>
      </c>
      <c r="AG199" s="449">
        <f t="shared" si="223"/>
        <v>30.75</v>
      </c>
      <c r="AH199" s="449">
        <f t="shared" si="223"/>
        <v>30.75</v>
      </c>
      <c r="AI199" s="449">
        <f t="shared" si="223"/>
        <v>30.75</v>
      </c>
      <c r="AJ199" s="449">
        <f t="shared" si="223"/>
        <v>30.75</v>
      </c>
      <c r="AK199" s="449">
        <f t="shared" si="223"/>
        <v>30.75</v>
      </c>
      <c r="AL199" s="449">
        <f t="shared" si="223"/>
        <v>30.75</v>
      </c>
      <c r="AN199" s="500">
        <f t="shared" si="220"/>
        <v>369</v>
      </c>
      <c r="AO199" s="449">
        <f t="shared" si="195"/>
        <v>5180.5868800000007</v>
      </c>
      <c r="AP199" s="449">
        <f t="shared" si="196"/>
        <v>4811.5868800000007</v>
      </c>
      <c r="AQ199" s="453">
        <f t="shared" si="197"/>
        <v>13.039530840108403</v>
      </c>
      <c r="AR199" s="449">
        <f t="shared" si="211"/>
        <v>5180.5868800000007</v>
      </c>
      <c r="AS199" s="449">
        <f t="shared" si="199"/>
        <v>0</v>
      </c>
      <c r="AT199" s="426">
        <f t="shared" si="200"/>
        <v>0</v>
      </c>
      <c r="AU199" s="421"/>
      <c r="AV199" s="449">
        <f t="shared" si="205"/>
        <v>0</v>
      </c>
      <c r="AW199" s="449">
        <f t="shared" si="205"/>
        <v>431.7155733333334</v>
      </c>
      <c r="AX199" s="449">
        <f t="shared" si="205"/>
        <v>431.7155733333334</v>
      </c>
      <c r="AY199" s="449">
        <f t="shared" si="205"/>
        <v>431.7155733333334</v>
      </c>
      <c r="AZ199" s="449">
        <f t="shared" si="205"/>
        <v>431.7155733333334</v>
      </c>
      <c r="BA199" s="449">
        <f t="shared" si="205"/>
        <v>431.7155733333334</v>
      </c>
      <c r="BB199" s="449">
        <f t="shared" si="222"/>
        <v>431.7155733333334</v>
      </c>
      <c r="BC199" s="449">
        <f t="shared" si="222"/>
        <v>431.7155733333334</v>
      </c>
      <c r="BD199" s="449">
        <f t="shared" si="222"/>
        <v>431.7155733333334</v>
      </c>
      <c r="BE199" s="449">
        <f t="shared" si="222"/>
        <v>431.7155733333334</v>
      </c>
      <c r="BF199" s="449">
        <f t="shared" si="222"/>
        <v>431.7155733333334</v>
      </c>
      <c r="BG199" s="449">
        <f t="shared" si="222"/>
        <v>863.43114666666679</v>
      </c>
      <c r="BH199" s="400"/>
      <c r="BI199" s="449">
        <v>0</v>
      </c>
      <c r="BJ199" s="449">
        <f>SUM('FY19 Staffing V1-1 (3)'!$W$106)/12</f>
        <v>431.7155733333334</v>
      </c>
      <c r="BK199" s="449">
        <f>SUM('FY19 Staffing V1-1 (3)'!$W$106)/12</f>
        <v>431.7155733333334</v>
      </c>
      <c r="BL199" s="449">
        <f>SUM('FY19 Staffing V1-1 (3)'!$W$106)/12</f>
        <v>431.7155733333334</v>
      </c>
      <c r="BM199" s="449">
        <f>SUM('FY19 Staffing V1-1 (3)'!$W$106)/12</f>
        <v>431.7155733333334</v>
      </c>
      <c r="BN199" s="449">
        <f>SUM('FY19 Staffing V1-1 (3)'!$W$106)/12</f>
        <v>431.7155733333334</v>
      </c>
      <c r="BO199" s="449">
        <f>SUM('FY19 Staffing V1-1 (3)'!$W$106)/12</f>
        <v>431.7155733333334</v>
      </c>
      <c r="BP199" s="449">
        <f>SUM('FY19 Staffing V1-1 (3)'!$W$106)/12</f>
        <v>431.7155733333334</v>
      </c>
      <c r="BQ199" s="449">
        <f>SUM('FY19 Staffing V1-1 (3)'!$W$106)/12</f>
        <v>431.7155733333334</v>
      </c>
      <c r="BR199" s="449">
        <f>SUM('FY19 Staffing V1-1 (3)'!$W$106)/12</f>
        <v>431.7155733333334</v>
      </c>
      <c r="BS199" s="449">
        <f>SUM('FY19 Staffing V1-1 (3)'!$W$106)/12</f>
        <v>431.7155733333334</v>
      </c>
      <c r="BT199" s="449">
        <f>SUM('FY19 Staffing V1-1 (3)'!$W$106)/12*2</f>
        <v>863.43114666666679</v>
      </c>
    </row>
    <row r="200" spans="1:72" ht="15" x14ac:dyDescent="0.25">
      <c r="A200" s="502" t="s">
        <v>327</v>
      </c>
      <c r="B200" s="502" t="s">
        <v>328</v>
      </c>
      <c r="C200" s="541"/>
      <c r="D200" s="500">
        <f t="shared" si="187"/>
        <v>1560</v>
      </c>
      <c r="E200" s="449">
        <v>1318</v>
      </c>
      <c r="F200" s="449">
        <f t="shared" si="188"/>
        <v>242</v>
      </c>
      <c r="G200" s="421">
        <f t="shared" si="189"/>
        <v>0.18361153262518967</v>
      </c>
      <c r="H200" s="449">
        <v>1560</v>
      </c>
      <c r="I200" s="449">
        <f t="shared" si="190"/>
        <v>0</v>
      </c>
      <c r="J200" s="426">
        <f t="shared" si="191"/>
        <v>0</v>
      </c>
      <c r="K200" s="421"/>
      <c r="L200" s="449">
        <v>-72.45</v>
      </c>
      <c r="M200" s="449">
        <v>235.7</v>
      </c>
      <c r="N200" s="449">
        <v>232.49</v>
      </c>
      <c r="O200" s="449">
        <v>341.41999999999996</v>
      </c>
      <c r="P200" s="449">
        <v>221.42000000000007</v>
      </c>
      <c r="Q200" s="449">
        <v>276.76999999999987</v>
      </c>
      <c r="R200" s="449">
        <f>($H200-SUM($L200:Q200))/R$694</f>
        <v>54.108333333333348</v>
      </c>
      <c r="S200" s="449">
        <f>($H200-SUM($L200:R200))/S$694</f>
        <v>54.108333333333348</v>
      </c>
      <c r="T200" s="449">
        <f>($H200-SUM($L200:S200))/T$694</f>
        <v>54.108333333333348</v>
      </c>
      <c r="U200" s="449">
        <f>($H200-SUM($L200:T200))/U$694</f>
        <v>54.108333333333348</v>
      </c>
      <c r="V200" s="449">
        <f>($H200-SUM($L200:U200))/V$694</f>
        <v>54.108333333333348</v>
      </c>
      <c r="W200" s="449">
        <f>($H200-SUM($L200:V200))/W$694</f>
        <v>54.108333333333348</v>
      </c>
      <c r="X200" s="449"/>
      <c r="Y200" s="449">
        <f t="shared" si="192"/>
        <v>1560</v>
      </c>
      <c r="Z200" s="531"/>
      <c r="AA200" s="449">
        <f t="shared" si="223"/>
        <v>130</v>
      </c>
      <c r="AB200" s="449">
        <f t="shared" si="223"/>
        <v>130</v>
      </c>
      <c r="AC200" s="449">
        <f t="shared" si="223"/>
        <v>130</v>
      </c>
      <c r="AD200" s="449">
        <f t="shared" si="223"/>
        <v>130</v>
      </c>
      <c r="AE200" s="449">
        <f t="shared" si="223"/>
        <v>130</v>
      </c>
      <c r="AF200" s="449">
        <f t="shared" si="223"/>
        <v>130</v>
      </c>
      <c r="AG200" s="449">
        <f t="shared" si="223"/>
        <v>130</v>
      </c>
      <c r="AH200" s="449">
        <f t="shared" si="223"/>
        <v>130</v>
      </c>
      <c r="AI200" s="449">
        <f t="shared" si="223"/>
        <v>130</v>
      </c>
      <c r="AJ200" s="449">
        <f t="shared" si="223"/>
        <v>130</v>
      </c>
      <c r="AK200" s="449">
        <f t="shared" si="223"/>
        <v>130</v>
      </c>
      <c r="AL200" s="449">
        <f t="shared" si="223"/>
        <v>130</v>
      </c>
      <c r="AN200" s="500">
        <f t="shared" si="220"/>
        <v>1560</v>
      </c>
      <c r="AO200" s="449">
        <f t="shared" si="195"/>
        <v>1606.8000000000002</v>
      </c>
      <c r="AP200" s="449">
        <f t="shared" si="196"/>
        <v>46.800000000000182</v>
      </c>
      <c r="AQ200" s="453">
        <f t="shared" si="197"/>
        <v>3.0000000000000117E-2</v>
      </c>
      <c r="AR200" s="449">
        <f t="shared" si="211"/>
        <v>1606.8000000000002</v>
      </c>
      <c r="AS200" s="449">
        <f t="shared" si="199"/>
        <v>0</v>
      </c>
      <c r="AT200" s="426">
        <f t="shared" si="200"/>
        <v>0</v>
      </c>
      <c r="AU200" s="421"/>
      <c r="AV200" s="449">
        <f t="shared" si="205"/>
        <v>0</v>
      </c>
      <c r="AW200" s="449">
        <f t="shared" si="205"/>
        <v>133.9</v>
      </c>
      <c r="AX200" s="449">
        <f t="shared" si="205"/>
        <v>133.9</v>
      </c>
      <c r="AY200" s="449">
        <f t="shared" si="205"/>
        <v>133.9</v>
      </c>
      <c r="AZ200" s="449">
        <f t="shared" si="205"/>
        <v>133.9</v>
      </c>
      <c r="BA200" s="449">
        <f t="shared" si="205"/>
        <v>133.9</v>
      </c>
      <c r="BB200" s="449">
        <f t="shared" si="222"/>
        <v>133.9</v>
      </c>
      <c r="BC200" s="449">
        <f t="shared" si="222"/>
        <v>133.9</v>
      </c>
      <c r="BD200" s="449">
        <f t="shared" si="222"/>
        <v>133.9</v>
      </c>
      <c r="BE200" s="449">
        <f t="shared" si="222"/>
        <v>133.9</v>
      </c>
      <c r="BF200" s="449">
        <f t="shared" si="222"/>
        <v>133.9</v>
      </c>
      <c r="BG200" s="449">
        <f t="shared" si="222"/>
        <v>267.8</v>
      </c>
      <c r="BH200" s="400"/>
      <c r="BI200" s="449">
        <v>0</v>
      </c>
      <c r="BJ200" s="449">
        <f>SUM('FY19 Staffing V1-1 (3)'!$S$107)/12</f>
        <v>133.9</v>
      </c>
      <c r="BK200" s="449">
        <f>SUM('FY19 Staffing V1-1 (3)'!$S$107)/12</f>
        <v>133.9</v>
      </c>
      <c r="BL200" s="449">
        <f>SUM('FY19 Staffing V1-1 (3)'!$S$107)/12</f>
        <v>133.9</v>
      </c>
      <c r="BM200" s="449">
        <f>SUM('FY19 Staffing V1-1 (3)'!$S$107)/12</f>
        <v>133.9</v>
      </c>
      <c r="BN200" s="449">
        <f>SUM('FY19 Staffing V1-1 (3)'!$S$107)/12</f>
        <v>133.9</v>
      </c>
      <c r="BO200" s="449">
        <f>SUM('FY19 Staffing V1-1 (3)'!$S$107)/12</f>
        <v>133.9</v>
      </c>
      <c r="BP200" s="449">
        <f>SUM('FY19 Staffing V1-1 (3)'!$S$107)/12</f>
        <v>133.9</v>
      </c>
      <c r="BQ200" s="449">
        <f>SUM('FY19 Staffing V1-1 (3)'!$S$107)/12</f>
        <v>133.9</v>
      </c>
      <c r="BR200" s="449">
        <f>SUM('FY19 Staffing V1-1 (3)'!$S$107)/12</f>
        <v>133.9</v>
      </c>
      <c r="BS200" s="449">
        <f>SUM('FY19 Staffing V1-1 (3)'!$S$107)/12</f>
        <v>133.9</v>
      </c>
      <c r="BT200" s="449">
        <f>SUM('FY19 Staffing V1-1 (3)'!$S$107)/12*2</f>
        <v>267.8</v>
      </c>
    </row>
    <row r="201" spans="1:72" ht="15" x14ac:dyDescent="0.25">
      <c r="A201" s="502" t="s">
        <v>329</v>
      </c>
      <c r="B201" s="502" t="s">
        <v>330</v>
      </c>
      <c r="C201" s="541"/>
      <c r="D201" s="500">
        <f t="shared" si="187"/>
        <v>1318</v>
      </c>
      <c r="E201" s="449">
        <v>2637</v>
      </c>
      <c r="F201" s="449">
        <f t="shared" si="188"/>
        <v>-1319</v>
      </c>
      <c r="G201" s="421">
        <f t="shared" si="189"/>
        <v>-0.50018960940462642</v>
      </c>
      <c r="H201" s="449">
        <v>1318</v>
      </c>
      <c r="I201" s="449">
        <f t="shared" si="190"/>
        <v>0</v>
      </c>
      <c r="J201" s="426">
        <f t="shared" si="191"/>
        <v>0</v>
      </c>
      <c r="K201" s="421"/>
      <c r="L201" s="449">
        <v>0</v>
      </c>
      <c r="M201" s="449">
        <v>0</v>
      </c>
      <c r="N201" s="449">
        <v>0</v>
      </c>
      <c r="O201" s="449">
        <v>0</v>
      </c>
      <c r="P201" s="449">
        <v>0</v>
      </c>
      <c r="Q201" s="449">
        <v>0</v>
      </c>
      <c r="R201" s="449">
        <f>($H201-SUM($L201:Q201))/R$694</f>
        <v>219.66666666666666</v>
      </c>
      <c r="S201" s="449">
        <f>($H201-SUM($L201:R201))/S$694</f>
        <v>219.66666666666666</v>
      </c>
      <c r="T201" s="449">
        <f>($H201-SUM($L201:S201))/T$694</f>
        <v>219.66666666666669</v>
      </c>
      <c r="U201" s="449">
        <f>($H201-SUM($L201:T201))/U$694</f>
        <v>219.66666666666666</v>
      </c>
      <c r="V201" s="449">
        <f>($H201-SUM($L201:U201))/V$694</f>
        <v>219.66666666666669</v>
      </c>
      <c r="W201" s="449">
        <f>($H201-SUM($L201:V201))/W$694</f>
        <v>219.66666666666674</v>
      </c>
      <c r="X201" s="449"/>
      <c r="Y201" s="449">
        <f t="shared" si="192"/>
        <v>1318</v>
      </c>
      <c r="Z201" s="531"/>
      <c r="AA201" s="449">
        <f t="shared" si="223"/>
        <v>109.83333333333333</v>
      </c>
      <c r="AB201" s="449">
        <f t="shared" si="223"/>
        <v>109.83333333333333</v>
      </c>
      <c r="AC201" s="449">
        <f t="shared" si="223"/>
        <v>109.83333333333333</v>
      </c>
      <c r="AD201" s="449">
        <f t="shared" si="223"/>
        <v>109.83333333333333</v>
      </c>
      <c r="AE201" s="449">
        <f t="shared" si="223"/>
        <v>109.83333333333333</v>
      </c>
      <c r="AF201" s="449">
        <f t="shared" si="223"/>
        <v>109.83333333333333</v>
      </c>
      <c r="AG201" s="449">
        <f t="shared" si="223"/>
        <v>109.83333333333333</v>
      </c>
      <c r="AH201" s="449">
        <f t="shared" si="223"/>
        <v>109.83333333333333</v>
      </c>
      <c r="AI201" s="449">
        <f t="shared" si="223"/>
        <v>109.83333333333333</v>
      </c>
      <c r="AJ201" s="449">
        <f t="shared" si="223"/>
        <v>109.83333333333333</v>
      </c>
      <c r="AK201" s="449">
        <f t="shared" si="223"/>
        <v>109.83333333333333</v>
      </c>
      <c r="AL201" s="449">
        <f t="shared" si="223"/>
        <v>109.83333333333333</v>
      </c>
      <c r="AN201" s="500">
        <f t="shared" si="220"/>
        <v>1318</v>
      </c>
      <c r="AO201" s="449">
        <f t="shared" si="195"/>
        <v>1357.95</v>
      </c>
      <c r="AP201" s="449">
        <f t="shared" si="196"/>
        <v>39.950000000000045</v>
      </c>
      <c r="AQ201" s="453">
        <f t="shared" si="197"/>
        <v>3.0311077389984859E-2</v>
      </c>
      <c r="AR201" s="449">
        <f t="shared" si="211"/>
        <v>1357.95</v>
      </c>
      <c r="AS201" s="449">
        <f t="shared" si="199"/>
        <v>0</v>
      </c>
      <c r="AT201" s="426">
        <f t="shared" si="200"/>
        <v>0</v>
      </c>
      <c r="AU201" s="421"/>
      <c r="AV201" s="449">
        <f t="shared" si="205"/>
        <v>0</v>
      </c>
      <c r="AW201" s="449">
        <f t="shared" si="205"/>
        <v>113.16250000000001</v>
      </c>
      <c r="AX201" s="449">
        <f t="shared" si="205"/>
        <v>113.16250000000001</v>
      </c>
      <c r="AY201" s="449">
        <f t="shared" si="205"/>
        <v>113.16250000000001</v>
      </c>
      <c r="AZ201" s="449">
        <f t="shared" si="205"/>
        <v>113.16250000000001</v>
      </c>
      <c r="BA201" s="449">
        <f t="shared" si="205"/>
        <v>113.16250000000001</v>
      </c>
      <c r="BB201" s="449">
        <f t="shared" si="222"/>
        <v>113.16250000000001</v>
      </c>
      <c r="BC201" s="449">
        <f t="shared" si="222"/>
        <v>113.16250000000001</v>
      </c>
      <c r="BD201" s="449">
        <f t="shared" si="222"/>
        <v>113.16250000000001</v>
      </c>
      <c r="BE201" s="449">
        <f t="shared" si="222"/>
        <v>113.16250000000001</v>
      </c>
      <c r="BF201" s="449">
        <f t="shared" si="222"/>
        <v>113.16250000000001</v>
      </c>
      <c r="BG201" s="449">
        <f t="shared" si="222"/>
        <v>226.32500000000002</v>
      </c>
      <c r="BH201" s="400"/>
      <c r="BI201" s="449">
        <v>0</v>
      </c>
      <c r="BJ201" s="449">
        <f>SUM('FY19 Staffing V1-1 (3)'!$S$106)/12</f>
        <v>113.16250000000001</v>
      </c>
      <c r="BK201" s="449">
        <f>SUM('FY19 Staffing V1-1 (3)'!$S$106)/12</f>
        <v>113.16250000000001</v>
      </c>
      <c r="BL201" s="449">
        <f>SUM('FY19 Staffing V1-1 (3)'!$S$106)/12</f>
        <v>113.16250000000001</v>
      </c>
      <c r="BM201" s="449">
        <f>SUM('FY19 Staffing V1-1 (3)'!$S$106)/12</f>
        <v>113.16250000000001</v>
      </c>
      <c r="BN201" s="449">
        <f>SUM('FY19 Staffing V1-1 (3)'!$S$106)/12</f>
        <v>113.16250000000001</v>
      </c>
      <c r="BO201" s="449">
        <f>SUM('FY19 Staffing V1-1 (3)'!$S$106)/12</f>
        <v>113.16250000000001</v>
      </c>
      <c r="BP201" s="449">
        <f>SUM('FY19 Staffing V1-1 (3)'!$S$106)/12</f>
        <v>113.16250000000001</v>
      </c>
      <c r="BQ201" s="449">
        <f>SUM('FY19 Staffing V1-1 (3)'!$S$106)/12</f>
        <v>113.16250000000001</v>
      </c>
      <c r="BR201" s="449">
        <f>SUM('FY19 Staffing V1-1 (3)'!$S$106)/12</f>
        <v>113.16250000000001</v>
      </c>
      <c r="BS201" s="449">
        <f>SUM('FY19 Staffing V1-1 (3)'!$S$106)/12</f>
        <v>113.16250000000001</v>
      </c>
      <c r="BT201" s="449">
        <f>SUM('FY19 Staffing V1-1 (3)'!$S$106)/12*2</f>
        <v>226.32500000000002</v>
      </c>
    </row>
    <row r="202" spans="1:72" ht="15" hidden="1" x14ac:dyDescent="0.25">
      <c r="A202" s="614" t="s">
        <v>331</v>
      </c>
      <c r="B202" s="616" t="s">
        <v>332</v>
      </c>
      <c r="C202" s="538"/>
      <c r="D202" s="500">
        <f t="shared" si="187"/>
        <v>32078</v>
      </c>
      <c r="E202" s="449">
        <v>61651</v>
      </c>
      <c r="F202" s="449">
        <f t="shared" si="188"/>
        <v>-29573</v>
      </c>
      <c r="G202" s="421">
        <f t="shared" si="189"/>
        <v>-0.47968402783409841</v>
      </c>
      <c r="H202" s="449">
        <v>32078</v>
      </c>
      <c r="I202" s="449">
        <f t="shared" si="190"/>
        <v>0</v>
      </c>
      <c r="J202" s="426">
        <f t="shared" si="191"/>
        <v>0</v>
      </c>
      <c r="K202" s="421"/>
      <c r="L202" s="449">
        <v>0</v>
      </c>
      <c r="M202" s="449">
        <v>3170.42</v>
      </c>
      <c r="N202" s="449">
        <v>3909.7299999999996</v>
      </c>
      <c r="O202" s="449">
        <v>3628.1400000000012</v>
      </c>
      <c r="P202" s="449">
        <v>3436.7099999999991</v>
      </c>
      <c r="Q202" s="449">
        <v>1715</v>
      </c>
      <c r="R202" s="449">
        <f>($H202-SUM($L202:Q202))/R$694</f>
        <v>2703</v>
      </c>
      <c r="S202" s="449">
        <f>($H202-SUM($L202:R202))/S$694</f>
        <v>2703</v>
      </c>
      <c r="T202" s="449">
        <f>($H202-SUM($L202:S202))/T$694</f>
        <v>2703</v>
      </c>
      <c r="U202" s="449">
        <f>($H202-SUM($L202:T202))/U$694</f>
        <v>2703</v>
      </c>
      <c r="V202" s="449">
        <f>($H202-SUM($L202:U202))/V$694</f>
        <v>2703</v>
      </c>
      <c r="W202" s="449">
        <f>($H202-SUM($L202:V202))/W$694</f>
        <v>2703</v>
      </c>
      <c r="X202" s="449"/>
      <c r="Y202" s="449">
        <f t="shared" si="192"/>
        <v>32078</v>
      </c>
      <c r="Z202" s="531"/>
      <c r="AA202" s="449">
        <f t="shared" si="223"/>
        <v>2673.1666666666665</v>
      </c>
      <c r="AB202" s="449">
        <f t="shared" si="223"/>
        <v>2673.1666666666665</v>
      </c>
      <c r="AC202" s="449">
        <f t="shared" si="223"/>
        <v>2673.1666666666665</v>
      </c>
      <c r="AD202" s="449">
        <f t="shared" si="223"/>
        <v>2673.1666666666665</v>
      </c>
      <c r="AE202" s="449">
        <f t="shared" si="223"/>
        <v>2673.1666666666665</v>
      </c>
      <c r="AF202" s="449">
        <f t="shared" si="223"/>
        <v>2673.1666666666665</v>
      </c>
      <c r="AG202" s="449">
        <f t="shared" si="223"/>
        <v>2673.1666666666665</v>
      </c>
      <c r="AH202" s="449">
        <f t="shared" si="223"/>
        <v>2673.1666666666665</v>
      </c>
      <c r="AI202" s="449">
        <f t="shared" si="223"/>
        <v>2673.1666666666665</v>
      </c>
      <c r="AJ202" s="449">
        <f t="shared" si="223"/>
        <v>2673.1666666666665</v>
      </c>
      <c r="AK202" s="449">
        <f t="shared" si="223"/>
        <v>2673.1666666666665</v>
      </c>
      <c r="AL202" s="449">
        <f t="shared" si="223"/>
        <v>2673.1666666666665</v>
      </c>
      <c r="AN202" s="500">
        <f t="shared" si="220"/>
        <v>32078</v>
      </c>
      <c r="AO202" s="449">
        <f t="shared" si="195"/>
        <v>0</v>
      </c>
      <c r="AP202" s="449">
        <f t="shared" si="196"/>
        <v>-32078</v>
      </c>
      <c r="AQ202" s="453">
        <f t="shared" si="197"/>
        <v>-1</v>
      </c>
      <c r="AR202" s="449">
        <f t="shared" si="211"/>
        <v>0</v>
      </c>
      <c r="AS202" s="449">
        <f t="shared" si="199"/>
        <v>0</v>
      </c>
      <c r="AT202" s="426">
        <f t="shared" si="200"/>
        <v>0</v>
      </c>
      <c r="AU202" s="421"/>
      <c r="AV202" s="449">
        <f t="shared" si="205"/>
        <v>0</v>
      </c>
      <c r="AW202" s="449">
        <f t="shared" si="205"/>
        <v>0</v>
      </c>
      <c r="AX202" s="449">
        <f t="shared" si="205"/>
        <v>0</v>
      </c>
      <c r="AY202" s="449">
        <f t="shared" si="205"/>
        <v>0</v>
      </c>
      <c r="AZ202" s="449">
        <f t="shared" si="205"/>
        <v>0</v>
      </c>
      <c r="BA202" s="449">
        <f t="shared" si="205"/>
        <v>0</v>
      </c>
      <c r="BB202" s="449">
        <f t="shared" si="222"/>
        <v>0</v>
      </c>
      <c r="BC202" s="449">
        <f t="shared" si="222"/>
        <v>0</v>
      </c>
      <c r="BD202" s="449">
        <f t="shared" si="222"/>
        <v>0</v>
      </c>
      <c r="BE202" s="449">
        <f t="shared" si="222"/>
        <v>0</v>
      </c>
      <c r="BF202" s="449">
        <f t="shared" si="222"/>
        <v>0</v>
      </c>
      <c r="BG202" s="449">
        <f t="shared" si="222"/>
        <v>0</v>
      </c>
      <c r="BH202" s="400"/>
      <c r="BI202" s="449">
        <v>0</v>
      </c>
      <c r="BJ202" s="449">
        <v>0</v>
      </c>
      <c r="BK202" s="449">
        <v>0</v>
      </c>
      <c r="BL202" s="449">
        <v>0</v>
      </c>
      <c r="BM202" s="449">
        <v>0</v>
      </c>
      <c r="BN202" s="449">
        <v>0</v>
      </c>
      <c r="BO202" s="449">
        <v>0</v>
      </c>
      <c r="BP202" s="449">
        <v>0</v>
      </c>
      <c r="BQ202" s="449">
        <v>0</v>
      </c>
      <c r="BR202" s="449">
        <v>0</v>
      </c>
      <c r="BS202" s="449">
        <v>0</v>
      </c>
      <c r="BT202" s="449">
        <v>0</v>
      </c>
    </row>
    <row r="203" spans="1:72" ht="15" hidden="1" x14ac:dyDescent="0.25">
      <c r="A203" s="614" t="s">
        <v>333</v>
      </c>
      <c r="B203" s="616" t="s">
        <v>334</v>
      </c>
      <c r="C203" s="538"/>
      <c r="D203" s="500">
        <f t="shared" si="187"/>
        <v>0</v>
      </c>
      <c r="E203" s="449">
        <v>8153</v>
      </c>
      <c r="F203" s="449">
        <f t="shared" si="188"/>
        <v>-8153</v>
      </c>
      <c r="G203" s="421">
        <f t="shared" si="189"/>
        <v>-1</v>
      </c>
      <c r="H203" s="449">
        <v>0</v>
      </c>
      <c r="I203" s="449">
        <f t="shared" si="190"/>
        <v>0</v>
      </c>
      <c r="J203" s="426">
        <f t="shared" si="191"/>
        <v>0</v>
      </c>
      <c r="K203" s="421"/>
      <c r="L203" s="449">
        <v>0</v>
      </c>
      <c r="M203" s="449">
        <v>0</v>
      </c>
      <c r="N203" s="449">
        <v>0</v>
      </c>
      <c r="O203" s="449">
        <v>0</v>
      </c>
      <c r="P203" s="449">
        <v>0</v>
      </c>
      <c r="Q203" s="449">
        <v>0</v>
      </c>
      <c r="R203" s="449">
        <f>($H203-SUM($L203:Q203))/R$694</f>
        <v>0</v>
      </c>
      <c r="S203" s="449">
        <f>($H203-SUM($L203:R203))/S$694</f>
        <v>0</v>
      </c>
      <c r="T203" s="449">
        <f>($H203-SUM($L203:S203))/T$694</f>
        <v>0</v>
      </c>
      <c r="U203" s="449">
        <f>($H203-SUM($L203:T203))/U$694</f>
        <v>0</v>
      </c>
      <c r="V203" s="449">
        <f>($H203-SUM($L203:U203))/V$694</f>
        <v>0</v>
      </c>
      <c r="W203" s="449">
        <f>($H203-SUM($L203:V203))/W$694</f>
        <v>0</v>
      </c>
      <c r="X203" s="449"/>
      <c r="Y203" s="449">
        <f t="shared" si="192"/>
        <v>0</v>
      </c>
      <c r="Z203" s="531"/>
      <c r="AA203" s="449">
        <f t="shared" si="223"/>
        <v>0</v>
      </c>
      <c r="AB203" s="449">
        <f t="shared" si="223"/>
        <v>0</v>
      </c>
      <c r="AC203" s="449">
        <f t="shared" si="223"/>
        <v>0</v>
      </c>
      <c r="AD203" s="449">
        <f t="shared" si="223"/>
        <v>0</v>
      </c>
      <c r="AE203" s="449">
        <f t="shared" si="223"/>
        <v>0</v>
      </c>
      <c r="AF203" s="449">
        <f t="shared" si="223"/>
        <v>0</v>
      </c>
      <c r="AG203" s="449">
        <f t="shared" si="223"/>
        <v>0</v>
      </c>
      <c r="AH203" s="449">
        <f t="shared" si="223"/>
        <v>0</v>
      </c>
      <c r="AI203" s="449">
        <f t="shared" si="223"/>
        <v>0</v>
      </c>
      <c r="AJ203" s="449">
        <f t="shared" si="223"/>
        <v>0</v>
      </c>
      <c r="AK203" s="449">
        <f t="shared" si="223"/>
        <v>0</v>
      </c>
      <c r="AL203" s="449">
        <f t="shared" si="223"/>
        <v>0</v>
      </c>
      <c r="AN203" s="500">
        <f t="shared" si="220"/>
        <v>0</v>
      </c>
      <c r="AO203" s="449">
        <f t="shared" si="195"/>
        <v>0</v>
      </c>
      <c r="AP203" s="449">
        <f t="shared" si="196"/>
        <v>0</v>
      </c>
      <c r="AQ203" s="453" t="str">
        <f t="shared" si="197"/>
        <v>-</v>
      </c>
      <c r="AR203" s="449">
        <f t="shared" si="211"/>
        <v>0</v>
      </c>
      <c r="AS203" s="449">
        <f t="shared" si="199"/>
        <v>0</v>
      </c>
      <c r="AT203" s="426">
        <f t="shared" si="200"/>
        <v>0</v>
      </c>
      <c r="AU203" s="421"/>
      <c r="AV203" s="449">
        <f t="shared" si="205"/>
        <v>0</v>
      </c>
      <c r="AW203" s="449">
        <f t="shared" si="205"/>
        <v>0</v>
      </c>
      <c r="AX203" s="449">
        <f t="shared" si="205"/>
        <v>0</v>
      </c>
      <c r="AY203" s="449">
        <f t="shared" si="205"/>
        <v>0</v>
      </c>
      <c r="AZ203" s="449">
        <f t="shared" si="205"/>
        <v>0</v>
      </c>
      <c r="BA203" s="449">
        <f t="shared" si="205"/>
        <v>0</v>
      </c>
      <c r="BB203" s="449">
        <f t="shared" si="222"/>
        <v>0</v>
      </c>
      <c r="BC203" s="449">
        <f t="shared" si="222"/>
        <v>0</v>
      </c>
      <c r="BD203" s="449">
        <f t="shared" si="222"/>
        <v>0</v>
      </c>
      <c r="BE203" s="449">
        <f t="shared" si="222"/>
        <v>0</v>
      </c>
      <c r="BF203" s="449">
        <f t="shared" si="222"/>
        <v>0</v>
      </c>
      <c r="BG203" s="449">
        <f t="shared" si="222"/>
        <v>0</v>
      </c>
      <c r="BH203" s="400"/>
      <c r="BI203" s="449">
        <v>0</v>
      </c>
      <c r="BJ203" s="449">
        <v>0</v>
      </c>
      <c r="BK203" s="449">
        <v>0</v>
      </c>
      <c r="BL203" s="449">
        <v>0</v>
      </c>
      <c r="BM203" s="449">
        <v>0</v>
      </c>
      <c r="BN203" s="449">
        <v>0</v>
      </c>
      <c r="BO203" s="449">
        <v>0</v>
      </c>
      <c r="BP203" s="449">
        <v>0</v>
      </c>
      <c r="BQ203" s="449">
        <v>0</v>
      </c>
      <c r="BR203" s="449">
        <v>0</v>
      </c>
      <c r="BS203" s="449">
        <v>0</v>
      </c>
      <c r="BT203" s="449">
        <v>0</v>
      </c>
    </row>
    <row r="204" spans="1:72" ht="15" hidden="1" x14ac:dyDescent="0.25">
      <c r="A204" s="614" t="s">
        <v>335</v>
      </c>
      <c r="B204" s="614" t="s">
        <v>336</v>
      </c>
      <c r="C204" s="541"/>
      <c r="D204" s="500">
        <f t="shared" si="187"/>
        <v>3226</v>
      </c>
      <c r="E204" s="449">
        <v>12965</v>
      </c>
      <c r="F204" s="449">
        <f t="shared" si="188"/>
        <v>-9739</v>
      </c>
      <c r="G204" s="421">
        <f t="shared" si="189"/>
        <v>-0.75117624373312764</v>
      </c>
      <c r="H204" s="449">
        <v>3226</v>
      </c>
      <c r="I204" s="449">
        <f t="shared" si="190"/>
        <v>0</v>
      </c>
      <c r="J204" s="426">
        <f t="shared" si="191"/>
        <v>0</v>
      </c>
      <c r="K204" s="421"/>
      <c r="L204" s="449">
        <v>0</v>
      </c>
      <c r="M204" s="449">
        <v>581.76</v>
      </c>
      <c r="N204" s="449">
        <v>452.28</v>
      </c>
      <c r="O204" s="449">
        <v>487.98</v>
      </c>
      <c r="P204" s="449">
        <v>454.32000000000016</v>
      </c>
      <c r="Q204" s="449">
        <v>220.34999999999991</v>
      </c>
      <c r="R204" s="449">
        <f>($H204-SUM($L204:Q204))/R$694</f>
        <v>171.55166666666665</v>
      </c>
      <c r="S204" s="449">
        <f>($H204-SUM($L204:R204))/S$694</f>
        <v>171.55166666666665</v>
      </c>
      <c r="T204" s="449">
        <f>($H204-SUM($L204:S204))/T$694</f>
        <v>171.55166666666662</v>
      </c>
      <c r="U204" s="449">
        <f>($H204-SUM($L204:T204))/U$694</f>
        <v>171.55166666666659</v>
      </c>
      <c r="V204" s="449">
        <f>($H204-SUM($L204:U204))/V$694</f>
        <v>171.55166666666651</v>
      </c>
      <c r="W204" s="449">
        <f>($H204-SUM($L204:V204))/W$694</f>
        <v>171.55166666666628</v>
      </c>
      <c r="X204" s="449"/>
      <c r="Y204" s="449">
        <f t="shared" si="192"/>
        <v>3226</v>
      </c>
      <c r="Z204" s="531"/>
      <c r="AA204" s="449">
        <f t="shared" si="223"/>
        <v>268.83333333333331</v>
      </c>
      <c r="AB204" s="449">
        <f t="shared" si="223"/>
        <v>268.83333333333331</v>
      </c>
      <c r="AC204" s="449">
        <f t="shared" si="223"/>
        <v>268.83333333333331</v>
      </c>
      <c r="AD204" s="449">
        <f t="shared" si="223"/>
        <v>268.83333333333331</v>
      </c>
      <c r="AE204" s="449">
        <f t="shared" si="223"/>
        <v>268.83333333333331</v>
      </c>
      <c r="AF204" s="449">
        <f t="shared" si="223"/>
        <v>268.83333333333331</v>
      </c>
      <c r="AG204" s="449">
        <f t="shared" si="223"/>
        <v>268.83333333333331</v>
      </c>
      <c r="AH204" s="449">
        <f t="shared" si="223"/>
        <v>268.83333333333331</v>
      </c>
      <c r="AI204" s="449">
        <f t="shared" si="223"/>
        <v>268.83333333333331</v>
      </c>
      <c r="AJ204" s="449">
        <f t="shared" si="223"/>
        <v>268.83333333333331</v>
      </c>
      <c r="AK204" s="449">
        <f t="shared" si="223"/>
        <v>268.83333333333331</v>
      </c>
      <c r="AL204" s="449">
        <f t="shared" si="223"/>
        <v>268.83333333333331</v>
      </c>
      <c r="AN204" s="500">
        <f t="shared" si="220"/>
        <v>3226</v>
      </c>
      <c r="AO204" s="449">
        <f t="shared" si="195"/>
        <v>0</v>
      </c>
      <c r="AP204" s="449">
        <f t="shared" si="196"/>
        <v>-3226</v>
      </c>
      <c r="AQ204" s="453">
        <f t="shared" si="197"/>
        <v>-1</v>
      </c>
      <c r="AR204" s="449">
        <f t="shared" si="211"/>
        <v>0</v>
      </c>
      <c r="AS204" s="449">
        <f t="shared" si="199"/>
        <v>0</v>
      </c>
      <c r="AT204" s="426">
        <f t="shared" si="200"/>
        <v>0</v>
      </c>
      <c r="AU204" s="421"/>
      <c r="AV204" s="449">
        <f t="shared" si="205"/>
        <v>0</v>
      </c>
      <c r="AW204" s="449">
        <f t="shared" si="205"/>
        <v>0</v>
      </c>
      <c r="AX204" s="449">
        <f t="shared" si="205"/>
        <v>0</v>
      </c>
      <c r="AY204" s="449">
        <f t="shared" si="205"/>
        <v>0</v>
      </c>
      <c r="AZ204" s="449">
        <f t="shared" si="205"/>
        <v>0</v>
      </c>
      <c r="BA204" s="449">
        <f t="shared" si="205"/>
        <v>0</v>
      </c>
      <c r="BB204" s="449">
        <f t="shared" si="222"/>
        <v>0</v>
      </c>
      <c r="BC204" s="449">
        <f t="shared" si="222"/>
        <v>0</v>
      </c>
      <c r="BD204" s="449">
        <f t="shared" si="222"/>
        <v>0</v>
      </c>
      <c r="BE204" s="449">
        <f t="shared" si="222"/>
        <v>0</v>
      </c>
      <c r="BF204" s="449">
        <f t="shared" si="222"/>
        <v>0</v>
      </c>
      <c r="BG204" s="449">
        <f t="shared" si="222"/>
        <v>0</v>
      </c>
      <c r="BH204" s="400"/>
      <c r="BI204" s="449">
        <v>0</v>
      </c>
      <c r="BJ204" s="449">
        <v>0</v>
      </c>
      <c r="BK204" s="449">
        <v>0</v>
      </c>
      <c r="BL204" s="449">
        <v>0</v>
      </c>
      <c r="BM204" s="449">
        <v>0</v>
      </c>
      <c r="BN204" s="449">
        <v>0</v>
      </c>
      <c r="BO204" s="449">
        <v>0</v>
      </c>
      <c r="BP204" s="449">
        <v>0</v>
      </c>
      <c r="BQ204" s="449">
        <v>0</v>
      </c>
      <c r="BR204" s="449">
        <v>0</v>
      </c>
      <c r="BS204" s="449">
        <v>0</v>
      </c>
      <c r="BT204" s="449">
        <v>0</v>
      </c>
    </row>
    <row r="205" spans="1:72" ht="15" hidden="1" x14ac:dyDescent="0.25">
      <c r="A205" s="614" t="s">
        <v>337</v>
      </c>
      <c r="B205" s="614" t="s">
        <v>338</v>
      </c>
      <c r="C205" s="541"/>
      <c r="D205" s="500">
        <f t="shared" si="187"/>
        <v>957</v>
      </c>
      <c r="E205" s="449">
        <v>2792</v>
      </c>
      <c r="F205" s="449">
        <f t="shared" si="188"/>
        <v>-1835</v>
      </c>
      <c r="G205" s="421">
        <f t="shared" si="189"/>
        <v>-0.6572349570200573</v>
      </c>
      <c r="H205" s="449">
        <v>957</v>
      </c>
      <c r="I205" s="449">
        <f t="shared" si="190"/>
        <v>0</v>
      </c>
      <c r="J205" s="426">
        <f t="shared" si="191"/>
        <v>0</v>
      </c>
      <c r="K205" s="421"/>
      <c r="L205" s="449">
        <v>0</v>
      </c>
      <c r="M205" s="449">
        <v>0</v>
      </c>
      <c r="N205" s="449">
        <v>0</v>
      </c>
      <c r="O205" s="449">
        <v>0</v>
      </c>
      <c r="P205" s="449">
        <v>0</v>
      </c>
      <c r="Q205" s="449">
        <v>0</v>
      </c>
      <c r="R205" s="449">
        <f>($H205-SUM($L205:Q205))/R$694</f>
        <v>159.5</v>
      </c>
      <c r="S205" s="449">
        <f>($H205-SUM($L205:R205))/S$694</f>
        <v>159.5</v>
      </c>
      <c r="T205" s="449">
        <f>($H205-SUM($L205:S205))/T$694</f>
        <v>159.5</v>
      </c>
      <c r="U205" s="449">
        <f>($H205-SUM($L205:T205))/U$694</f>
        <v>159.5</v>
      </c>
      <c r="V205" s="449">
        <f>($H205-SUM($L205:U205))/V$694</f>
        <v>159.5</v>
      </c>
      <c r="W205" s="449">
        <f>($H205-SUM($L205:V205))/W$694</f>
        <v>159.5</v>
      </c>
      <c r="X205" s="449"/>
      <c r="Y205" s="449">
        <f t="shared" si="192"/>
        <v>957</v>
      </c>
      <c r="Z205" s="531"/>
      <c r="AA205" s="449">
        <f t="shared" si="223"/>
        <v>79.75</v>
      </c>
      <c r="AB205" s="449">
        <f t="shared" si="223"/>
        <v>79.75</v>
      </c>
      <c r="AC205" s="449">
        <f t="shared" si="223"/>
        <v>79.75</v>
      </c>
      <c r="AD205" s="449">
        <f t="shared" si="223"/>
        <v>79.75</v>
      </c>
      <c r="AE205" s="449">
        <f t="shared" si="223"/>
        <v>79.75</v>
      </c>
      <c r="AF205" s="449">
        <f t="shared" si="223"/>
        <v>79.75</v>
      </c>
      <c r="AG205" s="449">
        <f t="shared" si="223"/>
        <v>79.75</v>
      </c>
      <c r="AH205" s="449">
        <f t="shared" si="223"/>
        <v>79.75</v>
      </c>
      <c r="AI205" s="449">
        <f t="shared" si="223"/>
        <v>79.75</v>
      </c>
      <c r="AJ205" s="449">
        <f t="shared" si="223"/>
        <v>79.75</v>
      </c>
      <c r="AK205" s="449">
        <f t="shared" si="223"/>
        <v>79.75</v>
      </c>
      <c r="AL205" s="449">
        <f t="shared" si="223"/>
        <v>79.75</v>
      </c>
      <c r="AN205" s="500">
        <f t="shared" si="220"/>
        <v>957</v>
      </c>
      <c r="AO205" s="449">
        <f t="shared" si="195"/>
        <v>0</v>
      </c>
      <c r="AP205" s="449">
        <f t="shared" si="196"/>
        <v>-957</v>
      </c>
      <c r="AQ205" s="453">
        <f t="shared" si="197"/>
        <v>-1</v>
      </c>
      <c r="AR205" s="449">
        <f t="shared" si="211"/>
        <v>0</v>
      </c>
      <c r="AS205" s="449">
        <f t="shared" si="199"/>
        <v>0</v>
      </c>
      <c r="AT205" s="426">
        <f t="shared" si="200"/>
        <v>0</v>
      </c>
      <c r="AU205" s="421"/>
      <c r="AV205" s="449">
        <f t="shared" si="205"/>
        <v>0</v>
      </c>
      <c r="AW205" s="449">
        <f t="shared" si="205"/>
        <v>0</v>
      </c>
      <c r="AX205" s="449">
        <f t="shared" si="205"/>
        <v>0</v>
      </c>
      <c r="AY205" s="449">
        <f t="shared" si="205"/>
        <v>0</v>
      </c>
      <c r="AZ205" s="449">
        <f t="shared" si="205"/>
        <v>0</v>
      </c>
      <c r="BA205" s="449">
        <f t="shared" si="205"/>
        <v>0</v>
      </c>
      <c r="BB205" s="449">
        <f t="shared" si="222"/>
        <v>0</v>
      </c>
      <c r="BC205" s="449">
        <f t="shared" si="222"/>
        <v>0</v>
      </c>
      <c r="BD205" s="449">
        <f t="shared" si="222"/>
        <v>0</v>
      </c>
      <c r="BE205" s="449">
        <f t="shared" si="222"/>
        <v>0</v>
      </c>
      <c r="BF205" s="449">
        <f t="shared" si="222"/>
        <v>0</v>
      </c>
      <c r="BG205" s="449">
        <f t="shared" si="222"/>
        <v>0</v>
      </c>
      <c r="BH205" s="400"/>
      <c r="BI205" s="449">
        <v>0</v>
      </c>
      <c r="BJ205" s="449">
        <v>0</v>
      </c>
      <c r="BK205" s="449">
        <v>0</v>
      </c>
      <c r="BL205" s="449">
        <v>0</v>
      </c>
      <c r="BM205" s="449">
        <v>0</v>
      </c>
      <c r="BN205" s="449">
        <v>0</v>
      </c>
      <c r="BO205" s="449">
        <v>0</v>
      </c>
      <c r="BP205" s="449">
        <v>0</v>
      </c>
      <c r="BQ205" s="449">
        <v>0</v>
      </c>
      <c r="BR205" s="449">
        <v>0</v>
      </c>
      <c r="BS205" s="449">
        <v>0</v>
      </c>
      <c r="BT205" s="449">
        <v>0</v>
      </c>
    </row>
    <row r="206" spans="1:72" ht="15" hidden="1" x14ac:dyDescent="0.25">
      <c r="A206" s="614" t="s">
        <v>339</v>
      </c>
      <c r="B206" s="614" t="s">
        <v>340</v>
      </c>
      <c r="C206" s="541"/>
      <c r="D206" s="500">
        <f t="shared" si="187"/>
        <v>5724.73</v>
      </c>
      <c r="E206" s="449">
        <v>13287</v>
      </c>
      <c r="F206" s="449">
        <f t="shared" si="188"/>
        <v>-7562.27</v>
      </c>
      <c r="G206" s="421">
        <f t="shared" si="189"/>
        <v>-0.56914803943704373</v>
      </c>
      <c r="H206" s="449">
        <v>4902</v>
      </c>
      <c r="I206" s="449">
        <f t="shared" si="190"/>
        <v>822.72999999999956</v>
      </c>
      <c r="J206" s="426">
        <f t="shared" si="191"/>
        <v>0.1678355773153814</v>
      </c>
      <c r="K206" s="421"/>
      <c r="L206" s="449">
        <v>0</v>
      </c>
      <c r="M206" s="449">
        <v>0</v>
      </c>
      <c r="N206" s="449">
        <v>0</v>
      </c>
      <c r="O206" s="449">
        <v>3828.18</v>
      </c>
      <c r="P206" s="449">
        <v>823.74000000000024</v>
      </c>
      <c r="Q206" s="449">
        <v>1072.8099999999995</v>
      </c>
      <c r="R206" s="449">
        <v>0</v>
      </c>
      <c r="S206" s="449">
        <v>0</v>
      </c>
      <c r="T206" s="449">
        <v>0</v>
      </c>
      <c r="U206" s="449">
        <v>0</v>
      </c>
      <c r="V206" s="449">
        <v>0</v>
      </c>
      <c r="W206" s="449">
        <v>0</v>
      </c>
      <c r="X206" s="449"/>
      <c r="Y206" s="449">
        <f t="shared" si="192"/>
        <v>5724.73</v>
      </c>
      <c r="Z206" s="531"/>
      <c r="AA206" s="449">
        <f t="shared" si="223"/>
        <v>408.5</v>
      </c>
      <c r="AB206" s="449">
        <f t="shared" si="223"/>
        <v>408.5</v>
      </c>
      <c r="AC206" s="449">
        <f t="shared" si="223"/>
        <v>408.5</v>
      </c>
      <c r="AD206" s="449">
        <f t="shared" si="223"/>
        <v>408.5</v>
      </c>
      <c r="AE206" s="449">
        <f t="shared" si="223"/>
        <v>408.5</v>
      </c>
      <c r="AF206" s="449">
        <f t="shared" si="223"/>
        <v>408.5</v>
      </c>
      <c r="AG206" s="449">
        <f t="shared" si="223"/>
        <v>408.5</v>
      </c>
      <c r="AH206" s="449">
        <f t="shared" si="223"/>
        <v>408.5</v>
      </c>
      <c r="AI206" s="449">
        <f t="shared" si="223"/>
        <v>408.5</v>
      </c>
      <c r="AJ206" s="449">
        <f t="shared" si="223"/>
        <v>408.5</v>
      </c>
      <c r="AK206" s="449">
        <f t="shared" si="223"/>
        <v>408.5</v>
      </c>
      <c r="AL206" s="449">
        <f t="shared" si="223"/>
        <v>408.5</v>
      </c>
      <c r="AN206" s="500">
        <f t="shared" si="220"/>
        <v>5724.73</v>
      </c>
      <c r="AO206" s="449">
        <f t="shared" si="195"/>
        <v>0</v>
      </c>
      <c r="AP206" s="449">
        <f t="shared" si="196"/>
        <v>-5724.73</v>
      </c>
      <c r="AQ206" s="453">
        <f t="shared" si="197"/>
        <v>-1</v>
      </c>
      <c r="AR206" s="449">
        <f t="shared" si="211"/>
        <v>0</v>
      </c>
      <c r="AS206" s="449">
        <f t="shared" si="199"/>
        <v>0</v>
      </c>
      <c r="AT206" s="426">
        <f t="shared" si="200"/>
        <v>0</v>
      </c>
      <c r="AU206" s="421"/>
      <c r="AV206" s="449">
        <f t="shared" si="205"/>
        <v>0</v>
      </c>
      <c r="AW206" s="449">
        <f t="shared" si="205"/>
        <v>0</v>
      </c>
      <c r="AX206" s="449">
        <f t="shared" si="205"/>
        <v>0</v>
      </c>
      <c r="AY206" s="449">
        <f t="shared" si="205"/>
        <v>0</v>
      </c>
      <c r="AZ206" s="449">
        <f t="shared" si="205"/>
        <v>0</v>
      </c>
      <c r="BA206" s="449">
        <f t="shared" si="205"/>
        <v>0</v>
      </c>
      <c r="BB206" s="449">
        <f t="shared" si="222"/>
        <v>0</v>
      </c>
      <c r="BC206" s="449">
        <f t="shared" si="222"/>
        <v>0</v>
      </c>
      <c r="BD206" s="449">
        <f t="shared" si="222"/>
        <v>0</v>
      </c>
      <c r="BE206" s="449">
        <f t="shared" si="222"/>
        <v>0</v>
      </c>
      <c r="BF206" s="449">
        <f t="shared" si="222"/>
        <v>0</v>
      </c>
      <c r="BG206" s="449">
        <f t="shared" si="222"/>
        <v>0</v>
      </c>
      <c r="BH206" s="400"/>
      <c r="BI206" s="449">
        <v>0</v>
      </c>
      <c r="BJ206" s="449">
        <v>0</v>
      </c>
      <c r="BK206" s="449">
        <v>0</v>
      </c>
      <c r="BL206" s="449">
        <v>0</v>
      </c>
      <c r="BM206" s="449">
        <v>0</v>
      </c>
      <c r="BN206" s="449">
        <v>0</v>
      </c>
      <c r="BO206" s="449">
        <v>0</v>
      </c>
      <c r="BP206" s="449">
        <v>0</v>
      </c>
      <c r="BQ206" s="449">
        <v>0</v>
      </c>
      <c r="BR206" s="449">
        <v>0</v>
      </c>
      <c r="BS206" s="449">
        <v>0</v>
      </c>
      <c r="BT206" s="449">
        <v>0</v>
      </c>
    </row>
    <row r="207" spans="1:72" ht="15" hidden="1" x14ac:dyDescent="0.25">
      <c r="A207" s="614" t="s">
        <v>341</v>
      </c>
      <c r="B207" s="614" t="s">
        <v>342</v>
      </c>
      <c r="C207" s="541"/>
      <c r="D207" s="500">
        <f t="shared" si="187"/>
        <v>0</v>
      </c>
      <c r="E207" s="449">
        <v>0</v>
      </c>
      <c r="F207" s="449">
        <f t="shared" si="188"/>
        <v>0</v>
      </c>
      <c r="G207" s="421">
        <f t="shared" si="189"/>
        <v>0</v>
      </c>
      <c r="H207" s="449">
        <v>0</v>
      </c>
      <c r="I207" s="449">
        <f t="shared" si="190"/>
        <v>0</v>
      </c>
      <c r="J207" s="426">
        <f t="shared" si="191"/>
        <v>0</v>
      </c>
      <c r="K207" s="421"/>
      <c r="L207" s="449">
        <v>0</v>
      </c>
      <c r="M207" s="449">
        <v>0</v>
      </c>
      <c r="N207" s="449">
        <v>0</v>
      </c>
      <c r="O207" s="449">
        <v>0</v>
      </c>
      <c r="P207" s="449">
        <v>0</v>
      </c>
      <c r="Q207" s="449">
        <v>0</v>
      </c>
      <c r="R207" s="449">
        <f>($H207-SUM($L207:Q207))/R$694</f>
        <v>0</v>
      </c>
      <c r="S207" s="449">
        <f>($H207-SUM($L207:R207))/S$694</f>
        <v>0</v>
      </c>
      <c r="T207" s="449">
        <f>($H207-SUM($L207:S207))/T$694</f>
        <v>0</v>
      </c>
      <c r="U207" s="449">
        <f>($H207-SUM($L207:T207))/U$694</f>
        <v>0</v>
      </c>
      <c r="V207" s="449">
        <f>($H207-SUM($L207:U207))/V$694</f>
        <v>0</v>
      </c>
      <c r="W207" s="449">
        <f>($H207-SUM($L207:V207))/W$694</f>
        <v>0</v>
      </c>
      <c r="X207" s="449"/>
      <c r="Y207" s="449">
        <f t="shared" si="192"/>
        <v>0</v>
      </c>
      <c r="Z207" s="531"/>
      <c r="AA207" s="449">
        <f t="shared" si="223"/>
        <v>0</v>
      </c>
      <c r="AB207" s="449">
        <f t="shared" si="223"/>
        <v>0</v>
      </c>
      <c r="AC207" s="449">
        <f t="shared" si="223"/>
        <v>0</v>
      </c>
      <c r="AD207" s="449">
        <f t="shared" si="223"/>
        <v>0</v>
      </c>
      <c r="AE207" s="449">
        <f t="shared" si="223"/>
        <v>0</v>
      </c>
      <c r="AF207" s="449">
        <f t="shared" si="223"/>
        <v>0</v>
      </c>
      <c r="AG207" s="449">
        <f t="shared" si="223"/>
        <v>0</v>
      </c>
      <c r="AH207" s="449">
        <f t="shared" si="223"/>
        <v>0</v>
      </c>
      <c r="AI207" s="449">
        <f t="shared" si="223"/>
        <v>0</v>
      </c>
      <c r="AJ207" s="449">
        <f t="shared" si="223"/>
        <v>0</v>
      </c>
      <c r="AK207" s="449">
        <f t="shared" si="223"/>
        <v>0</v>
      </c>
      <c r="AL207" s="449">
        <f t="shared" si="223"/>
        <v>0</v>
      </c>
      <c r="AN207" s="500">
        <f t="shared" si="220"/>
        <v>0</v>
      </c>
      <c r="AO207" s="449">
        <f t="shared" si="195"/>
        <v>0</v>
      </c>
      <c r="AP207" s="449">
        <f t="shared" si="196"/>
        <v>0</v>
      </c>
      <c r="AQ207" s="453" t="str">
        <f t="shared" si="197"/>
        <v>-</v>
      </c>
      <c r="AR207" s="449">
        <f t="shared" si="211"/>
        <v>0</v>
      </c>
      <c r="AS207" s="449">
        <f t="shared" si="199"/>
        <v>0</v>
      </c>
      <c r="AT207" s="426">
        <f t="shared" si="200"/>
        <v>0</v>
      </c>
      <c r="AU207" s="421"/>
      <c r="AV207" s="449">
        <f t="shared" si="205"/>
        <v>0</v>
      </c>
      <c r="AW207" s="449">
        <f t="shared" si="205"/>
        <v>0</v>
      </c>
      <c r="AX207" s="449">
        <f t="shared" si="205"/>
        <v>0</v>
      </c>
      <c r="AY207" s="449">
        <f t="shared" si="205"/>
        <v>0</v>
      </c>
      <c r="AZ207" s="449">
        <f t="shared" si="205"/>
        <v>0</v>
      </c>
      <c r="BA207" s="449">
        <f t="shared" si="205"/>
        <v>0</v>
      </c>
      <c r="BB207" s="449">
        <f t="shared" si="222"/>
        <v>0</v>
      </c>
      <c r="BC207" s="449">
        <f t="shared" si="222"/>
        <v>0</v>
      </c>
      <c r="BD207" s="449">
        <f t="shared" si="222"/>
        <v>0</v>
      </c>
      <c r="BE207" s="449">
        <f t="shared" si="222"/>
        <v>0</v>
      </c>
      <c r="BF207" s="449">
        <f t="shared" si="222"/>
        <v>0</v>
      </c>
      <c r="BG207" s="449">
        <f t="shared" si="222"/>
        <v>0</v>
      </c>
      <c r="BH207" s="400"/>
      <c r="BI207" s="449">
        <v>0</v>
      </c>
      <c r="BJ207" s="449">
        <v>0</v>
      </c>
      <c r="BK207" s="449">
        <v>0</v>
      </c>
      <c r="BL207" s="449">
        <v>0</v>
      </c>
      <c r="BM207" s="449">
        <v>0</v>
      </c>
      <c r="BN207" s="449">
        <v>0</v>
      </c>
      <c r="BO207" s="449">
        <v>0</v>
      </c>
      <c r="BP207" s="449">
        <v>0</v>
      </c>
      <c r="BQ207" s="449">
        <v>0</v>
      </c>
      <c r="BR207" s="449">
        <v>0</v>
      </c>
      <c r="BS207" s="449">
        <v>0</v>
      </c>
      <c r="BT207" s="449">
        <v>0</v>
      </c>
    </row>
    <row r="208" spans="1:72" ht="15" hidden="1" x14ac:dyDescent="0.25">
      <c r="A208" s="614" t="s">
        <v>343</v>
      </c>
      <c r="B208" s="614" t="s">
        <v>344</v>
      </c>
      <c r="C208" s="541"/>
      <c r="D208" s="500">
        <f t="shared" si="187"/>
        <v>0</v>
      </c>
      <c r="E208" s="449">
        <v>0</v>
      </c>
      <c r="F208" s="449">
        <f t="shared" si="188"/>
        <v>0</v>
      </c>
      <c r="G208" s="421">
        <f t="shared" si="189"/>
        <v>0</v>
      </c>
      <c r="H208" s="449">
        <v>0</v>
      </c>
      <c r="I208" s="449">
        <f t="shared" si="190"/>
        <v>0</v>
      </c>
      <c r="J208" s="426">
        <f t="shared" si="191"/>
        <v>0</v>
      </c>
      <c r="K208" s="421"/>
      <c r="L208" s="449">
        <v>0</v>
      </c>
      <c r="M208" s="449">
        <v>0</v>
      </c>
      <c r="N208" s="449">
        <v>0</v>
      </c>
      <c r="O208" s="449">
        <v>0</v>
      </c>
      <c r="P208" s="449">
        <v>0</v>
      </c>
      <c r="Q208" s="449">
        <v>0</v>
      </c>
      <c r="R208" s="449">
        <f>($H208-SUM($L208:Q208))/R$694</f>
        <v>0</v>
      </c>
      <c r="S208" s="449">
        <f>($H208-SUM($L208:R208))/S$694</f>
        <v>0</v>
      </c>
      <c r="T208" s="449">
        <f>($H208-SUM($L208:S208))/T$694</f>
        <v>0</v>
      </c>
      <c r="U208" s="449">
        <f>($H208-SUM($L208:T208))/U$694</f>
        <v>0</v>
      </c>
      <c r="V208" s="449">
        <f>($H208-SUM($L208:U208))/V$694</f>
        <v>0</v>
      </c>
      <c r="W208" s="449">
        <f>($H208-SUM($L208:V208))/W$694</f>
        <v>0</v>
      </c>
      <c r="X208" s="449"/>
      <c r="Y208" s="449">
        <f t="shared" si="192"/>
        <v>0</v>
      </c>
      <c r="Z208" s="531"/>
      <c r="AA208" s="449">
        <f t="shared" si="223"/>
        <v>0</v>
      </c>
      <c r="AB208" s="449">
        <f t="shared" si="223"/>
        <v>0</v>
      </c>
      <c r="AC208" s="449">
        <f t="shared" si="223"/>
        <v>0</v>
      </c>
      <c r="AD208" s="449">
        <f t="shared" si="223"/>
        <v>0</v>
      </c>
      <c r="AE208" s="449">
        <f t="shared" si="223"/>
        <v>0</v>
      </c>
      <c r="AF208" s="449">
        <f t="shared" si="223"/>
        <v>0</v>
      </c>
      <c r="AG208" s="449">
        <f t="shared" si="223"/>
        <v>0</v>
      </c>
      <c r="AH208" s="449">
        <f t="shared" si="223"/>
        <v>0</v>
      </c>
      <c r="AI208" s="449">
        <f t="shared" si="223"/>
        <v>0</v>
      </c>
      <c r="AJ208" s="449">
        <f t="shared" si="223"/>
        <v>0</v>
      </c>
      <c r="AK208" s="449">
        <f t="shared" si="223"/>
        <v>0</v>
      </c>
      <c r="AL208" s="449">
        <f t="shared" si="223"/>
        <v>0</v>
      </c>
      <c r="AN208" s="500">
        <f t="shared" si="220"/>
        <v>0</v>
      </c>
      <c r="AO208" s="449">
        <f t="shared" si="195"/>
        <v>0</v>
      </c>
      <c r="AP208" s="449">
        <f t="shared" si="196"/>
        <v>0</v>
      </c>
      <c r="AQ208" s="453" t="str">
        <f t="shared" si="197"/>
        <v>-</v>
      </c>
      <c r="AR208" s="449">
        <f t="shared" si="211"/>
        <v>0</v>
      </c>
      <c r="AS208" s="449">
        <f t="shared" si="199"/>
        <v>0</v>
      </c>
      <c r="AT208" s="426">
        <f t="shared" si="200"/>
        <v>0</v>
      </c>
      <c r="AU208" s="421"/>
      <c r="AV208" s="449">
        <f t="shared" si="205"/>
        <v>0</v>
      </c>
      <c r="AW208" s="449">
        <f t="shared" si="205"/>
        <v>0</v>
      </c>
      <c r="AX208" s="449">
        <f t="shared" si="205"/>
        <v>0</v>
      </c>
      <c r="AY208" s="449">
        <f t="shared" si="205"/>
        <v>0</v>
      </c>
      <c r="AZ208" s="449">
        <f t="shared" si="205"/>
        <v>0</v>
      </c>
      <c r="BA208" s="449">
        <f t="shared" si="205"/>
        <v>0</v>
      </c>
      <c r="BB208" s="449">
        <f t="shared" si="222"/>
        <v>0</v>
      </c>
      <c r="BC208" s="449">
        <f t="shared" si="222"/>
        <v>0</v>
      </c>
      <c r="BD208" s="449">
        <f t="shared" si="222"/>
        <v>0</v>
      </c>
      <c r="BE208" s="449">
        <f t="shared" si="222"/>
        <v>0</v>
      </c>
      <c r="BF208" s="449">
        <f t="shared" si="222"/>
        <v>0</v>
      </c>
      <c r="BG208" s="449">
        <f t="shared" si="222"/>
        <v>0</v>
      </c>
      <c r="BH208" s="400"/>
      <c r="BI208" s="449">
        <v>0</v>
      </c>
      <c r="BJ208" s="449">
        <v>0</v>
      </c>
      <c r="BK208" s="449">
        <v>0</v>
      </c>
      <c r="BL208" s="449">
        <v>0</v>
      </c>
      <c r="BM208" s="449">
        <v>0</v>
      </c>
      <c r="BN208" s="449">
        <v>0</v>
      </c>
      <c r="BO208" s="449">
        <v>0</v>
      </c>
      <c r="BP208" s="449">
        <v>0</v>
      </c>
      <c r="BQ208" s="449">
        <v>0</v>
      </c>
      <c r="BR208" s="449">
        <v>0</v>
      </c>
      <c r="BS208" s="449">
        <v>0</v>
      </c>
      <c r="BT208" s="449">
        <v>0</v>
      </c>
    </row>
    <row r="209" spans="1:72" ht="15" x14ac:dyDescent="0.25">
      <c r="A209" s="537" t="s">
        <v>345</v>
      </c>
      <c r="B209" s="537" t="s">
        <v>346</v>
      </c>
      <c r="C209" s="541" t="s">
        <v>347</v>
      </c>
      <c r="D209" s="500">
        <f t="shared" si="187"/>
        <v>9552.6</v>
      </c>
      <c r="E209" s="449">
        <v>0</v>
      </c>
      <c r="F209" s="449">
        <f t="shared" si="188"/>
        <v>9552.6</v>
      </c>
      <c r="G209" s="421">
        <f t="shared" si="189"/>
        <v>0</v>
      </c>
      <c r="H209" s="449">
        <v>4000</v>
      </c>
      <c r="I209" s="449">
        <f t="shared" si="190"/>
        <v>5552.6</v>
      </c>
      <c r="J209" s="426">
        <f t="shared" si="191"/>
        <v>1.38815</v>
      </c>
      <c r="K209" s="421"/>
      <c r="L209" s="449">
        <v>0</v>
      </c>
      <c r="M209" s="449">
        <v>0</v>
      </c>
      <c r="N209" s="449">
        <v>0</v>
      </c>
      <c r="O209" s="449">
        <v>9552.6</v>
      </c>
      <c r="P209" s="449">
        <v>-9552.6</v>
      </c>
      <c r="Q209" s="449">
        <v>9552.6</v>
      </c>
      <c r="R209" s="449">
        <v>0</v>
      </c>
      <c r="S209" s="449">
        <v>0</v>
      </c>
      <c r="T209" s="449">
        <v>0</v>
      </c>
      <c r="U209" s="449">
        <v>0</v>
      </c>
      <c r="V209" s="449">
        <v>0</v>
      </c>
      <c r="W209" s="449">
        <v>0</v>
      </c>
      <c r="X209" s="449"/>
      <c r="Y209" s="449">
        <f t="shared" si="192"/>
        <v>9552.6</v>
      </c>
      <c r="Z209" s="531"/>
      <c r="AA209" s="449">
        <f t="shared" si="223"/>
        <v>333.33333333333331</v>
      </c>
      <c r="AB209" s="449">
        <f t="shared" si="223"/>
        <v>333.33333333333331</v>
      </c>
      <c r="AC209" s="449">
        <f t="shared" si="223"/>
        <v>333.33333333333331</v>
      </c>
      <c r="AD209" s="449">
        <f t="shared" si="223"/>
        <v>333.33333333333331</v>
      </c>
      <c r="AE209" s="449">
        <f t="shared" si="223"/>
        <v>333.33333333333331</v>
      </c>
      <c r="AF209" s="449">
        <f t="shared" si="223"/>
        <v>333.33333333333331</v>
      </c>
      <c r="AG209" s="449">
        <f t="shared" si="223"/>
        <v>333.33333333333331</v>
      </c>
      <c r="AH209" s="449">
        <f t="shared" si="223"/>
        <v>333.33333333333331</v>
      </c>
      <c r="AI209" s="449">
        <f t="shared" si="223"/>
        <v>333.33333333333331</v>
      </c>
      <c r="AJ209" s="449">
        <f t="shared" si="223"/>
        <v>333.33333333333331</v>
      </c>
      <c r="AK209" s="449">
        <f t="shared" si="223"/>
        <v>333.33333333333331</v>
      </c>
      <c r="AL209" s="449">
        <f t="shared" si="223"/>
        <v>333.33333333333331</v>
      </c>
      <c r="AN209" s="500">
        <f t="shared" si="220"/>
        <v>9552.6</v>
      </c>
      <c r="AO209" s="449">
        <f t="shared" si="195"/>
        <v>10504.02361445783</v>
      </c>
      <c r="AP209" s="449">
        <f t="shared" si="196"/>
        <v>951.4236144578299</v>
      </c>
      <c r="AQ209" s="453">
        <f t="shared" si="197"/>
        <v>9.9598393574297034E-2</v>
      </c>
      <c r="AR209" s="449">
        <f t="shared" si="211"/>
        <v>10504.02361445783</v>
      </c>
      <c r="AS209" s="449">
        <f t="shared" si="199"/>
        <v>0</v>
      </c>
      <c r="AT209" s="426">
        <f t="shared" si="200"/>
        <v>0</v>
      </c>
      <c r="AU209" s="421"/>
      <c r="AV209" s="449">
        <f t="shared" si="205"/>
        <v>2100.8047228915666</v>
      </c>
      <c r="AW209" s="449">
        <f t="shared" si="205"/>
        <v>2100.8047228915666</v>
      </c>
      <c r="AX209" s="449">
        <f t="shared" si="205"/>
        <v>1400.5364819277108</v>
      </c>
      <c r="AY209" s="449">
        <f t="shared" si="205"/>
        <v>1400.5364819277108</v>
      </c>
      <c r="AZ209" s="449">
        <f t="shared" si="205"/>
        <v>1400.5364819277108</v>
      </c>
      <c r="BA209" s="449">
        <f t="shared" si="205"/>
        <v>300.11496041308089</v>
      </c>
      <c r="BB209" s="449">
        <f t="shared" si="222"/>
        <v>300.11496041308089</v>
      </c>
      <c r="BC209" s="449">
        <f t="shared" si="222"/>
        <v>300.11496041308089</v>
      </c>
      <c r="BD209" s="449">
        <f t="shared" si="222"/>
        <v>300.11496041308089</v>
      </c>
      <c r="BE209" s="449">
        <f t="shared" si="222"/>
        <v>300.11496041308089</v>
      </c>
      <c r="BF209" s="449">
        <f t="shared" si="222"/>
        <v>300.11496041308089</v>
      </c>
      <c r="BG209" s="449">
        <f t="shared" si="222"/>
        <v>300.11496041308089</v>
      </c>
      <c r="BH209" s="400"/>
      <c r="BI209" s="449">
        <f t="shared" ref="BI209:BT209" si="224">(IFERROR((($D209/$H$5)*BI$5),0))*BI$696</f>
        <v>2100.8047228915666</v>
      </c>
      <c r="BJ209" s="449">
        <f t="shared" si="224"/>
        <v>2100.8047228915666</v>
      </c>
      <c r="BK209" s="449">
        <f t="shared" si="224"/>
        <v>1400.5364819277108</v>
      </c>
      <c r="BL209" s="449">
        <f t="shared" si="224"/>
        <v>1400.5364819277108</v>
      </c>
      <c r="BM209" s="449">
        <f t="shared" si="224"/>
        <v>1400.5364819277108</v>
      </c>
      <c r="BN209" s="449">
        <f t="shared" si="224"/>
        <v>300.11496041308089</v>
      </c>
      <c r="BO209" s="449">
        <f t="shared" si="224"/>
        <v>300.11496041308089</v>
      </c>
      <c r="BP209" s="449">
        <f t="shared" si="224"/>
        <v>300.11496041308089</v>
      </c>
      <c r="BQ209" s="449">
        <f t="shared" si="224"/>
        <v>300.11496041308089</v>
      </c>
      <c r="BR209" s="449">
        <f t="shared" si="224"/>
        <v>300.11496041308089</v>
      </c>
      <c r="BS209" s="449">
        <f t="shared" si="224"/>
        <v>300.11496041308089</v>
      </c>
      <c r="BT209" s="449">
        <f t="shared" si="224"/>
        <v>300.11496041308089</v>
      </c>
    </row>
    <row r="210" spans="1:72" ht="15" x14ac:dyDescent="0.25">
      <c r="A210" s="502" t="s">
        <v>348</v>
      </c>
      <c r="B210" s="502" t="s">
        <v>349</v>
      </c>
      <c r="C210" s="538"/>
      <c r="D210" s="500">
        <f t="shared" si="187"/>
        <v>49227.1</v>
      </c>
      <c r="E210" s="449">
        <v>43620</v>
      </c>
      <c r="F210" s="449">
        <f t="shared" si="188"/>
        <v>5607.0999999999985</v>
      </c>
      <c r="G210" s="421">
        <f t="shared" si="189"/>
        <v>0.1285442457588262</v>
      </c>
      <c r="H210" s="449">
        <v>32500</v>
      </c>
      <c r="I210" s="449">
        <f t="shared" si="190"/>
        <v>16727.099999999999</v>
      </c>
      <c r="J210" s="426">
        <f t="shared" si="191"/>
        <v>0.51467999999999992</v>
      </c>
      <c r="K210" s="421"/>
      <c r="L210" s="449">
        <v>0</v>
      </c>
      <c r="M210" s="449">
        <v>10740.46</v>
      </c>
      <c r="N210" s="449">
        <v>9397.9000000000015</v>
      </c>
      <c r="O210" s="449">
        <v>8950.380000000001</v>
      </c>
      <c r="P210" s="449">
        <v>-19578.960000000003</v>
      </c>
      <c r="Q210" s="449">
        <v>39717.32</v>
      </c>
      <c r="R210" s="449">
        <v>0</v>
      </c>
      <c r="S210" s="449">
        <v>0</v>
      </c>
      <c r="T210" s="449">
        <v>0</v>
      </c>
      <c r="U210" s="449">
        <v>0</v>
      </c>
      <c r="V210" s="449">
        <v>0</v>
      </c>
      <c r="W210" s="449">
        <v>0</v>
      </c>
      <c r="X210" s="449"/>
      <c r="Y210" s="449">
        <f t="shared" si="192"/>
        <v>49227.1</v>
      </c>
      <c r="Z210" s="531"/>
      <c r="AA210" s="449">
        <f t="shared" si="223"/>
        <v>2708.3333333333335</v>
      </c>
      <c r="AB210" s="449">
        <f t="shared" si="223"/>
        <v>2708.3333333333335</v>
      </c>
      <c r="AC210" s="449">
        <f t="shared" si="223"/>
        <v>2708.3333333333335</v>
      </c>
      <c r="AD210" s="449">
        <f t="shared" si="223"/>
        <v>2708.3333333333335</v>
      </c>
      <c r="AE210" s="449">
        <f t="shared" si="223"/>
        <v>2708.3333333333335</v>
      </c>
      <c r="AF210" s="449">
        <f t="shared" si="223"/>
        <v>2708.3333333333335</v>
      </c>
      <c r="AG210" s="449">
        <f t="shared" si="223"/>
        <v>2708.3333333333335</v>
      </c>
      <c r="AH210" s="449">
        <f t="shared" si="223"/>
        <v>2708.3333333333335</v>
      </c>
      <c r="AI210" s="449">
        <f t="shared" si="223"/>
        <v>2708.3333333333335</v>
      </c>
      <c r="AJ210" s="449">
        <f t="shared" si="223"/>
        <v>2708.3333333333335</v>
      </c>
      <c r="AK210" s="449">
        <f t="shared" si="223"/>
        <v>2708.3333333333335</v>
      </c>
      <c r="AL210" s="449">
        <f t="shared" si="223"/>
        <v>2708.3333333333335</v>
      </c>
      <c r="AN210" s="500">
        <f t="shared" si="220"/>
        <v>49227.1</v>
      </c>
      <c r="AO210" s="449">
        <f t="shared" si="195"/>
        <v>33474.999999999993</v>
      </c>
      <c r="AP210" s="449">
        <f t="shared" si="196"/>
        <v>-15752.100000000006</v>
      </c>
      <c r="AQ210" s="453">
        <f t="shared" si="197"/>
        <v>-0.31998838038397565</v>
      </c>
      <c r="AR210" s="449">
        <f t="shared" si="211"/>
        <v>33474.999999999993</v>
      </c>
      <c r="AS210" s="449">
        <f t="shared" si="199"/>
        <v>0</v>
      </c>
      <c r="AT210" s="426">
        <f t="shared" si="200"/>
        <v>0</v>
      </c>
      <c r="AU210" s="421"/>
      <c r="AV210" s="449">
        <f t="shared" si="205"/>
        <v>0</v>
      </c>
      <c r="AW210" s="449">
        <f t="shared" si="205"/>
        <v>2789.5833333333335</v>
      </c>
      <c r="AX210" s="449">
        <f t="shared" si="205"/>
        <v>2789.5833333333335</v>
      </c>
      <c r="AY210" s="449">
        <f t="shared" si="205"/>
        <v>2789.5833333333335</v>
      </c>
      <c r="AZ210" s="449">
        <f t="shared" si="205"/>
        <v>2789.5833333333335</v>
      </c>
      <c r="BA210" s="449">
        <f t="shared" si="205"/>
        <v>2789.5833333333335</v>
      </c>
      <c r="BB210" s="449">
        <f t="shared" si="222"/>
        <v>2789.5833333333335</v>
      </c>
      <c r="BC210" s="449">
        <f t="shared" si="222"/>
        <v>2789.5833333333335</v>
      </c>
      <c r="BD210" s="449">
        <f t="shared" si="222"/>
        <v>2789.5833333333335</v>
      </c>
      <c r="BE210" s="449">
        <f t="shared" si="222"/>
        <v>2789.5833333333335</v>
      </c>
      <c r="BF210" s="449">
        <f t="shared" si="222"/>
        <v>2789.5833333333335</v>
      </c>
      <c r="BG210" s="449">
        <f t="shared" si="222"/>
        <v>5579.166666666667</v>
      </c>
      <c r="BH210" s="400"/>
      <c r="BI210" s="449">
        <v>0</v>
      </c>
      <c r="BJ210" s="449">
        <f>SUM('FY19 Staffing V1-1 (3)'!$P$115)/12</f>
        <v>2789.5833333333335</v>
      </c>
      <c r="BK210" s="449">
        <f>SUM('FY19 Staffing V1-1 (3)'!$P$115)/12</f>
        <v>2789.5833333333335</v>
      </c>
      <c r="BL210" s="449">
        <f>SUM('FY19 Staffing V1-1 (3)'!$P$115)/12</f>
        <v>2789.5833333333335</v>
      </c>
      <c r="BM210" s="449">
        <f>SUM('FY19 Staffing V1-1 (3)'!$P$115)/12</f>
        <v>2789.5833333333335</v>
      </c>
      <c r="BN210" s="449">
        <f>SUM('FY19 Staffing V1-1 (3)'!$P$115)/12</f>
        <v>2789.5833333333335</v>
      </c>
      <c r="BO210" s="449">
        <f>SUM('FY19 Staffing V1-1 (3)'!$P$115)/12</f>
        <v>2789.5833333333335</v>
      </c>
      <c r="BP210" s="449">
        <f>SUM('FY19 Staffing V1-1 (3)'!$P$115)/12</f>
        <v>2789.5833333333335</v>
      </c>
      <c r="BQ210" s="449">
        <f>SUM('FY19 Staffing V1-1 (3)'!$P$115)/12</f>
        <v>2789.5833333333335</v>
      </c>
      <c r="BR210" s="449">
        <f>SUM('FY19 Staffing V1-1 (3)'!$P$115)/12</f>
        <v>2789.5833333333335</v>
      </c>
      <c r="BS210" s="449">
        <f>SUM('FY19 Staffing V1-1 (3)'!$P$115)/12</f>
        <v>2789.5833333333335</v>
      </c>
      <c r="BT210" s="449">
        <f>SUM('FY19 Staffing V1-1 (3)'!$P$115)/12*2</f>
        <v>5579.166666666667</v>
      </c>
    </row>
    <row r="211" spans="1:72" ht="15" x14ac:dyDescent="0.25">
      <c r="A211" s="502" t="s">
        <v>350</v>
      </c>
      <c r="B211" s="502" t="s">
        <v>351</v>
      </c>
      <c r="C211" s="538"/>
      <c r="D211" s="500">
        <f t="shared" si="187"/>
        <v>83855</v>
      </c>
      <c r="E211" s="449">
        <v>87240</v>
      </c>
      <c r="F211" s="449">
        <f t="shared" ref="F211:F240" si="225">IFERROR(D211-E211,0)</f>
        <v>-3385</v>
      </c>
      <c r="G211" s="421">
        <f t="shared" si="189"/>
        <v>-3.8801008711600186E-2</v>
      </c>
      <c r="H211" s="449">
        <v>83855</v>
      </c>
      <c r="I211" s="449">
        <f t="shared" si="190"/>
        <v>0</v>
      </c>
      <c r="J211" s="426">
        <f t="shared" si="191"/>
        <v>0</v>
      </c>
      <c r="K211" s="421"/>
      <c r="L211" s="449">
        <v>0</v>
      </c>
      <c r="M211" s="449">
        <v>0</v>
      </c>
      <c r="N211" s="449">
        <v>0</v>
      </c>
      <c r="O211" s="449">
        <v>0</v>
      </c>
      <c r="P211" s="449">
        <v>28529.340000000004</v>
      </c>
      <c r="Q211" s="449">
        <v>-28529.340000000004</v>
      </c>
      <c r="R211" s="449">
        <f>($H211-SUM($L211:Q211))/R$694</f>
        <v>13975.833333333334</v>
      </c>
      <c r="S211" s="449">
        <f>($H211-SUM($L211:R211))/S$694</f>
        <v>13975.833333333334</v>
      </c>
      <c r="T211" s="449">
        <f>($H211-SUM($L211:S211))/T$694</f>
        <v>13975.833333333332</v>
      </c>
      <c r="U211" s="449">
        <f>($H211-SUM($L211:T211))/U$694</f>
        <v>13975.833333333334</v>
      </c>
      <c r="V211" s="449">
        <f>($H211-SUM($L211:U211))/V$694</f>
        <v>13975.833333333332</v>
      </c>
      <c r="W211" s="449">
        <f>($H211-SUM($L211:V211))/W$694</f>
        <v>13975.833333333328</v>
      </c>
      <c r="X211" s="449"/>
      <c r="Y211" s="449">
        <f t="shared" si="192"/>
        <v>83855</v>
      </c>
      <c r="Z211" s="531"/>
      <c r="AA211" s="449">
        <f t="shared" si="223"/>
        <v>6987.916666666667</v>
      </c>
      <c r="AB211" s="449">
        <f t="shared" si="223"/>
        <v>6987.916666666667</v>
      </c>
      <c r="AC211" s="449">
        <f t="shared" si="223"/>
        <v>6987.916666666667</v>
      </c>
      <c r="AD211" s="449">
        <f t="shared" si="223"/>
        <v>6987.916666666667</v>
      </c>
      <c r="AE211" s="449">
        <f t="shared" si="223"/>
        <v>6987.916666666667</v>
      </c>
      <c r="AF211" s="449">
        <f t="shared" si="223"/>
        <v>6987.916666666667</v>
      </c>
      <c r="AG211" s="449">
        <f t="shared" si="223"/>
        <v>6987.916666666667</v>
      </c>
      <c r="AH211" s="449">
        <f t="shared" si="223"/>
        <v>6987.916666666667</v>
      </c>
      <c r="AI211" s="449">
        <f t="shared" si="223"/>
        <v>6987.916666666667</v>
      </c>
      <c r="AJ211" s="449">
        <f t="shared" si="223"/>
        <v>6987.916666666667</v>
      </c>
      <c r="AK211" s="449">
        <f t="shared" si="223"/>
        <v>6987.916666666667</v>
      </c>
      <c r="AL211" s="449">
        <f t="shared" si="223"/>
        <v>6987.916666666667</v>
      </c>
      <c r="AN211" s="500">
        <f t="shared" si="220"/>
        <v>83855</v>
      </c>
      <c r="AO211" s="449">
        <f t="shared" si="195"/>
        <v>86370.650000000009</v>
      </c>
      <c r="AP211" s="449">
        <f t="shared" ref="AP211:AP240" si="226">IFERROR(AO211-AN211,0)</f>
        <v>2515.6500000000087</v>
      </c>
      <c r="AQ211" s="453">
        <f t="shared" ref="AQ211:AQ240" si="227">IFERROR(AP211/ABS(AN211),"-")</f>
        <v>3.0000000000000103E-2</v>
      </c>
      <c r="AR211" s="449">
        <f t="shared" si="211"/>
        <v>86370.650000000009</v>
      </c>
      <c r="AS211" s="449">
        <f t="shared" ref="AS211:AS240" si="228">IFERROR(AO211-AR211,0)</f>
        <v>0</v>
      </c>
      <c r="AT211" s="426">
        <f t="shared" si="200"/>
        <v>0</v>
      </c>
      <c r="AU211" s="421"/>
      <c r="AV211" s="449">
        <f t="shared" si="205"/>
        <v>0</v>
      </c>
      <c r="AW211" s="449">
        <f t="shared" si="205"/>
        <v>7197.5541666666659</v>
      </c>
      <c r="AX211" s="449">
        <f t="shared" si="205"/>
        <v>7197.5541666666659</v>
      </c>
      <c r="AY211" s="449">
        <f t="shared" si="205"/>
        <v>7197.5541666666659</v>
      </c>
      <c r="AZ211" s="449">
        <f t="shared" si="205"/>
        <v>7197.5541666666659</v>
      </c>
      <c r="BA211" s="449">
        <f t="shared" si="205"/>
        <v>7197.5541666666659</v>
      </c>
      <c r="BB211" s="449">
        <f t="shared" si="222"/>
        <v>7197.5541666666659</v>
      </c>
      <c r="BC211" s="449">
        <f t="shared" si="222"/>
        <v>7197.5541666666659</v>
      </c>
      <c r="BD211" s="449">
        <f t="shared" si="222"/>
        <v>7197.5541666666659</v>
      </c>
      <c r="BE211" s="449">
        <f t="shared" si="222"/>
        <v>7197.5541666666659</v>
      </c>
      <c r="BF211" s="449">
        <f t="shared" si="222"/>
        <v>7197.5541666666659</v>
      </c>
      <c r="BG211" s="449">
        <f t="shared" si="222"/>
        <v>14395.108333333332</v>
      </c>
      <c r="BH211" s="400"/>
      <c r="BI211" s="449">
        <v>0</v>
      </c>
      <c r="BJ211" s="449">
        <f>SUM('FY19 Staffing V1-1 (3)'!$P$113:$P$114)/12</f>
        <v>7197.5541666666659</v>
      </c>
      <c r="BK211" s="449">
        <f>SUM('FY19 Staffing V1-1 (3)'!$P$113:$P$114)/12</f>
        <v>7197.5541666666659</v>
      </c>
      <c r="BL211" s="449">
        <f>SUM('FY19 Staffing V1-1 (3)'!$P$113:$P$114)/12</f>
        <v>7197.5541666666659</v>
      </c>
      <c r="BM211" s="449">
        <f>SUM('FY19 Staffing V1-1 (3)'!$P$113:$P$114)/12</f>
        <v>7197.5541666666659</v>
      </c>
      <c r="BN211" s="449">
        <f>SUM('FY19 Staffing V1-1 (3)'!$P$113:$P$114)/12</f>
        <v>7197.5541666666659</v>
      </c>
      <c r="BO211" s="449">
        <f>SUM('FY19 Staffing V1-1 (3)'!$P$113:$P$114)/12</f>
        <v>7197.5541666666659</v>
      </c>
      <c r="BP211" s="449">
        <f>SUM('FY19 Staffing V1-1 (3)'!$P$113:$P$114)/12</f>
        <v>7197.5541666666659</v>
      </c>
      <c r="BQ211" s="449">
        <f>SUM('FY19 Staffing V1-1 (3)'!$P$113:$P$114)/12</f>
        <v>7197.5541666666659</v>
      </c>
      <c r="BR211" s="449">
        <f>SUM('FY19 Staffing V1-1 (3)'!$P$113:$P$114)/12</f>
        <v>7197.5541666666659</v>
      </c>
      <c r="BS211" s="449">
        <f>SUM('FY19 Staffing V1-1 (3)'!$P$113:$P$114)/12</f>
        <v>7197.5541666666659</v>
      </c>
      <c r="BT211" s="449">
        <f>SUM('FY19 Staffing V1-1 (3)'!$P$113:$P$114)/12*2</f>
        <v>14395.108333333332</v>
      </c>
    </row>
    <row r="212" spans="1:72" ht="15" x14ac:dyDescent="0.25">
      <c r="A212" s="502" t="s">
        <v>352</v>
      </c>
      <c r="B212" s="502" t="s">
        <v>353</v>
      </c>
      <c r="C212" s="538"/>
      <c r="D212" s="500">
        <f t="shared" si="187"/>
        <v>3000</v>
      </c>
      <c r="E212" s="449">
        <v>3000</v>
      </c>
      <c r="F212" s="449">
        <f t="shared" si="225"/>
        <v>0</v>
      </c>
      <c r="G212" s="421">
        <f t="shared" si="189"/>
        <v>0</v>
      </c>
      <c r="H212" s="449">
        <v>3000</v>
      </c>
      <c r="I212" s="449">
        <f t="shared" si="190"/>
        <v>0</v>
      </c>
      <c r="J212" s="426">
        <f t="shared" si="191"/>
        <v>0</v>
      </c>
      <c r="K212" s="421"/>
      <c r="L212" s="449">
        <v>0</v>
      </c>
      <c r="M212" s="449">
        <v>0</v>
      </c>
      <c r="N212" s="449">
        <v>0</v>
      </c>
      <c r="O212" s="449">
        <v>3000</v>
      </c>
      <c r="P212" s="449">
        <v>0</v>
      </c>
      <c r="Q212" s="449">
        <v>0</v>
      </c>
      <c r="R212" s="449">
        <f>($H212-SUM($L212:Q212))/R$694</f>
        <v>0</v>
      </c>
      <c r="S212" s="449">
        <f>($H212-SUM($L212:R212))/S$694</f>
        <v>0</v>
      </c>
      <c r="T212" s="449">
        <f>($H212-SUM($L212:S212))/T$694</f>
        <v>0</v>
      </c>
      <c r="U212" s="449">
        <f>($H212-SUM($L212:T212))/U$694</f>
        <v>0</v>
      </c>
      <c r="V212" s="449">
        <f>($H212-SUM($L212:U212))/V$694</f>
        <v>0</v>
      </c>
      <c r="W212" s="449">
        <f>($H212-SUM($L212:V212))/W$694</f>
        <v>0</v>
      </c>
      <c r="X212" s="449"/>
      <c r="Y212" s="449">
        <f t="shared" si="192"/>
        <v>3000</v>
      </c>
      <c r="Z212" s="531"/>
      <c r="AA212" s="449">
        <f t="shared" si="223"/>
        <v>250</v>
      </c>
      <c r="AB212" s="449">
        <f t="shared" si="223"/>
        <v>250</v>
      </c>
      <c r="AC212" s="449">
        <f t="shared" si="223"/>
        <v>250</v>
      </c>
      <c r="AD212" s="449">
        <f t="shared" si="223"/>
        <v>250</v>
      </c>
      <c r="AE212" s="449">
        <f t="shared" si="223"/>
        <v>250</v>
      </c>
      <c r="AF212" s="449">
        <f t="shared" si="223"/>
        <v>250</v>
      </c>
      <c r="AG212" s="449">
        <f t="shared" si="223"/>
        <v>250</v>
      </c>
      <c r="AH212" s="449">
        <f t="shared" si="223"/>
        <v>250</v>
      </c>
      <c r="AI212" s="449">
        <f t="shared" si="223"/>
        <v>250</v>
      </c>
      <c r="AJ212" s="449">
        <f t="shared" si="223"/>
        <v>250</v>
      </c>
      <c r="AK212" s="449">
        <f t="shared" si="223"/>
        <v>250</v>
      </c>
      <c r="AL212" s="449">
        <f t="shared" si="223"/>
        <v>250</v>
      </c>
      <c r="AN212" s="500">
        <f t="shared" si="220"/>
        <v>3000</v>
      </c>
      <c r="AO212" s="449">
        <f t="shared" si="195"/>
        <v>3000</v>
      </c>
      <c r="AP212" s="449">
        <f t="shared" si="226"/>
        <v>0</v>
      </c>
      <c r="AQ212" s="453">
        <f t="shared" si="227"/>
        <v>0</v>
      </c>
      <c r="AR212" s="449">
        <f t="shared" si="211"/>
        <v>3000</v>
      </c>
      <c r="AS212" s="449">
        <f t="shared" si="228"/>
        <v>0</v>
      </c>
      <c r="AT212" s="426">
        <f t="shared" si="200"/>
        <v>0</v>
      </c>
      <c r="AU212" s="421"/>
      <c r="AV212" s="449">
        <f t="shared" si="205"/>
        <v>0</v>
      </c>
      <c r="AW212" s="449">
        <f t="shared" si="205"/>
        <v>0</v>
      </c>
      <c r="AX212" s="449">
        <f t="shared" si="205"/>
        <v>0</v>
      </c>
      <c r="AY212" s="449">
        <f t="shared" si="205"/>
        <v>3000</v>
      </c>
      <c r="AZ212" s="449">
        <f t="shared" si="205"/>
        <v>0</v>
      </c>
      <c r="BA212" s="449">
        <f t="shared" si="205"/>
        <v>0</v>
      </c>
      <c r="BB212" s="449">
        <f t="shared" si="222"/>
        <v>0</v>
      </c>
      <c r="BC212" s="449">
        <f t="shared" si="222"/>
        <v>0</v>
      </c>
      <c r="BD212" s="449">
        <f t="shared" si="222"/>
        <v>0</v>
      </c>
      <c r="BE212" s="449">
        <f t="shared" si="222"/>
        <v>0</v>
      </c>
      <c r="BF212" s="449">
        <f t="shared" si="222"/>
        <v>0</v>
      </c>
      <c r="BG212" s="449">
        <f t="shared" si="222"/>
        <v>0</v>
      </c>
      <c r="BH212" s="400"/>
      <c r="BI212" s="449">
        <v>0</v>
      </c>
      <c r="BJ212" s="449">
        <v>0</v>
      </c>
      <c r="BK212" s="449">
        <v>0</v>
      </c>
      <c r="BL212" s="449">
        <f>SUM('FY19 Staffing V1-1 (3)'!$J$115)</f>
        <v>3000</v>
      </c>
      <c r="BM212" s="449">
        <v>0</v>
      </c>
      <c r="BN212" s="449">
        <v>0</v>
      </c>
      <c r="BO212" s="449">
        <v>0</v>
      </c>
      <c r="BP212" s="449">
        <v>0</v>
      </c>
      <c r="BQ212" s="449">
        <v>0</v>
      </c>
      <c r="BR212" s="449">
        <v>0</v>
      </c>
      <c r="BS212" s="449">
        <v>0</v>
      </c>
      <c r="BT212" s="449">
        <v>0</v>
      </c>
    </row>
    <row r="213" spans="1:72" ht="15" x14ac:dyDescent="0.25">
      <c r="A213" s="537" t="s">
        <v>354</v>
      </c>
      <c r="B213" s="537" t="s">
        <v>355</v>
      </c>
      <c r="C213" s="541"/>
      <c r="D213" s="500">
        <f>SUM(L213:W213)</f>
        <v>0</v>
      </c>
      <c r="E213" s="449">
        <v>0</v>
      </c>
      <c r="F213" s="449">
        <f t="shared" si="225"/>
        <v>0</v>
      </c>
      <c r="G213" s="421">
        <f t="shared" si="189"/>
        <v>0</v>
      </c>
      <c r="H213" s="449">
        <v>0</v>
      </c>
      <c r="I213" s="449">
        <f t="shared" si="190"/>
        <v>0</v>
      </c>
      <c r="J213" s="426">
        <f t="shared" si="191"/>
        <v>0</v>
      </c>
      <c r="K213" s="421"/>
      <c r="L213" s="449">
        <v>0</v>
      </c>
      <c r="M213" s="449">
        <v>0</v>
      </c>
      <c r="N213" s="449">
        <v>0</v>
      </c>
      <c r="O213" s="449">
        <v>0</v>
      </c>
      <c r="P213" s="449">
        <v>0</v>
      </c>
      <c r="Q213" s="449">
        <v>0</v>
      </c>
      <c r="R213" s="449">
        <f>($H213-SUM($L213:Q213))/R$694</f>
        <v>0</v>
      </c>
      <c r="S213" s="449">
        <f>($H213-SUM($L213:R213))/S$694</f>
        <v>0</v>
      </c>
      <c r="T213" s="449">
        <f>($H213-SUM($L213:S213))/T$694</f>
        <v>0</v>
      </c>
      <c r="U213" s="449">
        <f>($H213-SUM($L213:T213))/U$694</f>
        <v>0</v>
      </c>
      <c r="V213" s="449">
        <f>($H213-SUM($L213:U213))/V$694</f>
        <v>0</v>
      </c>
      <c r="W213" s="449">
        <f>($H213-SUM($L213:V213))/W$694</f>
        <v>0</v>
      </c>
      <c r="X213" s="449"/>
      <c r="Y213" s="449">
        <f t="shared" si="192"/>
        <v>0</v>
      </c>
      <c r="Z213" s="531"/>
      <c r="AA213" s="449">
        <f t="shared" si="223"/>
        <v>0</v>
      </c>
      <c r="AB213" s="449">
        <f t="shared" si="223"/>
        <v>0</v>
      </c>
      <c r="AC213" s="449">
        <f t="shared" si="223"/>
        <v>0</v>
      </c>
      <c r="AD213" s="449">
        <f t="shared" si="223"/>
        <v>0</v>
      </c>
      <c r="AE213" s="449">
        <f t="shared" si="223"/>
        <v>0</v>
      </c>
      <c r="AF213" s="449">
        <f t="shared" si="223"/>
        <v>0</v>
      </c>
      <c r="AG213" s="449">
        <f t="shared" si="223"/>
        <v>0</v>
      </c>
      <c r="AH213" s="449">
        <f t="shared" si="223"/>
        <v>0</v>
      </c>
      <c r="AI213" s="449">
        <f t="shared" si="223"/>
        <v>0</v>
      </c>
      <c r="AJ213" s="449">
        <f t="shared" si="223"/>
        <v>0</v>
      </c>
      <c r="AK213" s="449">
        <f t="shared" si="223"/>
        <v>0</v>
      </c>
      <c r="AL213" s="449">
        <f t="shared" si="223"/>
        <v>0</v>
      </c>
      <c r="AN213" s="500">
        <f>SUM(L213:W213)</f>
        <v>0</v>
      </c>
      <c r="AO213" s="449">
        <f>SUM(BI213:BT213)</f>
        <v>3000</v>
      </c>
      <c r="AP213" s="449">
        <f t="shared" si="226"/>
        <v>3000</v>
      </c>
      <c r="AQ213" s="453" t="str">
        <f t="shared" si="227"/>
        <v>-</v>
      </c>
      <c r="AR213" s="449">
        <f t="shared" si="211"/>
        <v>3000</v>
      </c>
      <c r="AS213" s="449">
        <f t="shared" si="228"/>
        <v>0</v>
      </c>
      <c r="AT213" s="426">
        <f t="shared" si="200"/>
        <v>0</v>
      </c>
      <c r="AU213" s="421"/>
      <c r="AV213" s="449">
        <f t="shared" si="205"/>
        <v>0</v>
      </c>
      <c r="AW213" s="449">
        <f t="shared" si="205"/>
        <v>0</v>
      </c>
      <c r="AX213" s="449">
        <f t="shared" si="205"/>
        <v>0</v>
      </c>
      <c r="AY213" s="449">
        <f t="shared" si="205"/>
        <v>3000</v>
      </c>
      <c r="AZ213" s="449">
        <f t="shared" si="205"/>
        <v>0</v>
      </c>
      <c r="BA213" s="449">
        <f t="shared" si="205"/>
        <v>0</v>
      </c>
      <c r="BB213" s="449">
        <f t="shared" si="222"/>
        <v>0</v>
      </c>
      <c r="BC213" s="449">
        <f t="shared" si="222"/>
        <v>0</v>
      </c>
      <c r="BD213" s="449">
        <f t="shared" si="222"/>
        <v>0</v>
      </c>
      <c r="BE213" s="449">
        <f t="shared" si="222"/>
        <v>0</v>
      </c>
      <c r="BF213" s="449">
        <f t="shared" si="222"/>
        <v>0</v>
      </c>
      <c r="BG213" s="449">
        <f t="shared" si="222"/>
        <v>0</v>
      </c>
      <c r="BH213" s="400"/>
      <c r="BI213" s="449">
        <v>0</v>
      </c>
      <c r="BJ213" s="449">
        <v>0</v>
      </c>
      <c r="BK213" s="449">
        <v>0</v>
      </c>
      <c r="BL213" s="449">
        <f>SUM('FY19 Staffing V1-1 (3)'!$J$113:$J$114)</f>
        <v>3000</v>
      </c>
      <c r="BM213" s="449">
        <v>0</v>
      </c>
      <c r="BN213" s="449">
        <v>0</v>
      </c>
      <c r="BO213" s="449">
        <v>0</v>
      </c>
      <c r="BP213" s="449">
        <v>0</v>
      </c>
      <c r="BQ213" s="449">
        <v>0</v>
      </c>
      <c r="BR213" s="449">
        <v>0</v>
      </c>
      <c r="BS213" s="449">
        <v>0</v>
      </c>
      <c r="BT213" s="449">
        <v>0</v>
      </c>
    </row>
    <row r="214" spans="1:72" ht="15" x14ac:dyDescent="0.25">
      <c r="A214" s="502" t="s">
        <v>356</v>
      </c>
      <c r="B214" s="502" t="s">
        <v>357</v>
      </c>
      <c r="C214" s="541"/>
      <c r="D214" s="500">
        <f t="shared" si="187"/>
        <v>6243.52</v>
      </c>
      <c r="E214" s="449">
        <v>6358</v>
      </c>
      <c r="F214" s="449">
        <f t="shared" si="225"/>
        <v>-114.47999999999956</v>
      </c>
      <c r="G214" s="421">
        <f t="shared" si="189"/>
        <v>-1.8005662157911224E-2</v>
      </c>
      <c r="H214" s="449">
        <v>5508</v>
      </c>
      <c r="I214" s="449">
        <f t="shared" si="190"/>
        <v>735.52000000000044</v>
      </c>
      <c r="J214" s="426">
        <f t="shared" si="191"/>
        <v>0.13353667392883087</v>
      </c>
      <c r="K214" s="421"/>
      <c r="L214" s="449">
        <v>5.84</v>
      </c>
      <c r="M214" s="449">
        <v>1721.39</v>
      </c>
      <c r="N214" s="449">
        <v>1150.5300000000002</v>
      </c>
      <c r="O214" s="449">
        <v>1493.7299999999996</v>
      </c>
      <c r="P214" s="449">
        <v>918.68000000000029</v>
      </c>
      <c r="Q214" s="449">
        <v>953.35000000000036</v>
      </c>
      <c r="R214" s="449">
        <v>0</v>
      </c>
      <c r="S214" s="449">
        <v>0</v>
      </c>
      <c r="T214" s="449">
        <v>0</v>
      </c>
      <c r="U214" s="449">
        <v>0</v>
      </c>
      <c r="V214" s="449">
        <v>0</v>
      </c>
      <c r="W214" s="449">
        <v>0</v>
      </c>
      <c r="X214" s="449"/>
      <c r="Y214" s="449">
        <f t="shared" si="192"/>
        <v>6243.52</v>
      </c>
      <c r="Z214" s="531"/>
      <c r="AA214" s="449">
        <f t="shared" ref="AA214:AL229" si="229">IFERROR($H214/12,0)</f>
        <v>459</v>
      </c>
      <c r="AB214" s="449">
        <f t="shared" si="229"/>
        <v>459</v>
      </c>
      <c r="AC214" s="449">
        <f t="shared" si="229"/>
        <v>459</v>
      </c>
      <c r="AD214" s="449">
        <f t="shared" si="229"/>
        <v>459</v>
      </c>
      <c r="AE214" s="449">
        <f t="shared" si="229"/>
        <v>459</v>
      </c>
      <c r="AF214" s="449">
        <f t="shared" si="229"/>
        <v>459</v>
      </c>
      <c r="AG214" s="449">
        <f t="shared" si="229"/>
        <v>459</v>
      </c>
      <c r="AH214" s="449">
        <f t="shared" si="229"/>
        <v>459</v>
      </c>
      <c r="AI214" s="449">
        <f t="shared" si="229"/>
        <v>459</v>
      </c>
      <c r="AJ214" s="449">
        <f t="shared" si="229"/>
        <v>459</v>
      </c>
      <c r="AK214" s="449">
        <f t="shared" si="229"/>
        <v>459</v>
      </c>
      <c r="AL214" s="449">
        <f t="shared" si="229"/>
        <v>459</v>
      </c>
      <c r="AN214" s="500">
        <f t="shared" si="220"/>
        <v>6243.52</v>
      </c>
      <c r="AO214" s="449">
        <f t="shared" si="195"/>
        <v>4181.84</v>
      </c>
      <c r="AP214" s="449">
        <f t="shared" si="226"/>
        <v>-2061.6800000000003</v>
      </c>
      <c r="AQ214" s="453">
        <f t="shared" si="227"/>
        <v>-0.33021116293372971</v>
      </c>
      <c r="AR214" s="449">
        <f t="shared" si="211"/>
        <v>4181.84</v>
      </c>
      <c r="AS214" s="449">
        <f t="shared" si="228"/>
        <v>0</v>
      </c>
      <c r="AT214" s="426">
        <f t="shared" si="200"/>
        <v>0</v>
      </c>
      <c r="AU214" s="421"/>
      <c r="AV214" s="449">
        <f t="shared" si="205"/>
        <v>0</v>
      </c>
      <c r="AW214" s="449">
        <f t="shared" si="205"/>
        <v>348.48666666666668</v>
      </c>
      <c r="AX214" s="449">
        <f t="shared" si="205"/>
        <v>348.48666666666668</v>
      </c>
      <c r="AY214" s="449">
        <f t="shared" si="205"/>
        <v>348.48666666666668</v>
      </c>
      <c r="AZ214" s="449">
        <f t="shared" si="205"/>
        <v>348.48666666666668</v>
      </c>
      <c r="BA214" s="449">
        <f t="shared" si="205"/>
        <v>348.48666666666668</v>
      </c>
      <c r="BB214" s="449">
        <f t="shared" si="222"/>
        <v>348.48666666666668</v>
      </c>
      <c r="BC214" s="449">
        <f t="shared" si="222"/>
        <v>348.48666666666668</v>
      </c>
      <c r="BD214" s="449">
        <f t="shared" si="222"/>
        <v>348.48666666666668</v>
      </c>
      <c r="BE214" s="449">
        <f t="shared" si="222"/>
        <v>348.48666666666668</v>
      </c>
      <c r="BF214" s="449">
        <f t="shared" si="222"/>
        <v>348.48666666666668</v>
      </c>
      <c r="BG214" s="449">
        <f t="shared" si="222"/>
        <v>696.97333333333336</v>
      </c>
      <c r="BH214" s="400"/>
      <c r="BI214" s="449">
        <v>0</v>
      </c>
      <c r="BJ214" s="449">
        <f>SUM('FY19 Staffing V1-1 (3)'!$Q$115:$R$115,'FY19 Staffing V1-1 (3)'!$T$115:$U$115)/12</f>
        <v>348.48666666666668</v>
      </c>
      <c r="BK214" s="449">
        <f>SUM('FY19 Staffing V1-1 (3)'!$Q$115:$R$115,'FY19 Staffing V1-1 (3)'!$T$115:$U$115)/12</f>
        <v>348.48666666666668</v>
      </c>
      <c r="BL214" s="449">
        <f>SUM('FY19 Staffing V1-1 (3)'!$Q$115:$R$115,'FY19 Staffing V1-1 (3)'!$T$115:$U$115)/12</f>
        <v>348.48666666666668</v>
      </c>
      <c r="BM214" s="449">
        <f>SUM('FY19 Staffing V1-1 (3)'!$Q$115:$R$115,'FY19 Staffing V1-1 (3)'!$T$115:$U$115)/12</f>
        <v>348.48666666666668</v>
      </c>
      <c r="BN214" s="449">
        <f>SUM('FY19 Staffing V1-1 (3)'!$Q$115:$R$115,'FY19 Staffing V1-1 (3)'!$T$115:$U$115)/12</f>
        <v>348.48666666666668</v>
      </c>
      <c r="BO214" s="449">
        <f>SUM('FY19 Staffing V1-1 (3)'!$Q$115:$R$115,'FY19 Staffing V1-1 (3)'!$T$115:$U$115)/12</f>
        <v>348.48666666666668</v>
      </c>
      <c r="BP214" s="449">
        <f>SUM('FY19 Staffing V1-1 (3)'!$Q$115:$R$115,'FY19 Staffing V1-1 (3)'!$T$115:$U$115)/12</f>
        <v>348.48666666666668</v>
      </c>
      <c r="BQ214" s="449">
        <f>SUM('FY19 Staffing V1-1 (3)'!$Q$115:$R$115,'FY19 Staffing V1-1 (3)'!$T$115:$U$115)/12</f>
        <v>348.48666666666668</v>
      </c>
      <c r="BR214" s="449">
        <f>SUM('FY19 Staffing V1-1 (3)'!$Q$115:$R$115,'FY19 Staffing V1-1 (3)'!$T$115:$U$115)/12</f>
        <v>348.48666666666668</v>
      </c>
      <c r="BS214" s="449">
        <f>SUM('FY19 Staffing V1-1 (3)'!$Q$115:$R$115,'FY19 Staffing V1-1 (3)'!$T$115:$U$115)/12</f>
        <v>348.48666666666668</v>
      </c>
      <c r="BT214" s="449">
        <f>SUM('FY19 Staffing V1-1 (3)'!$Q$115:$R$115,'FY19 Staffing V1-1 (3)'!$T$115:$U$115)/12*2</f>
        <v>696.97333333333336</v>
      </c>
    </row>
    <row r="215" spans="1:72" ht="15" x14ac:dyDescent="0.25">
      <c r="A215" s="502" t="s">
        <v>358</v>
      </c>
      <c r="B215" s="502" t="s">
        <v>359</v>
      </c>
      <c r="C215" s="541"/>
      <c r="D215" s="500">
        <f t="shared" si="187"/>
        <v>10603</v>
      </c>
      <c r="E215" s="449">
        <v>10862</v>
      </c>
      <c r="F215" s="449">
        <f t="shared" si="225"/>
        <v>-259</v>
      </c>
      <c r="G215" s="421">
        <f t="shared" si="189"/>
        <v>-2.3844595838703738E-2</v>
      </c>
      <c r="H215" s="449">
        <v>10603</v>
      </c>
      <c r="I215" s="449">
        <f t="shared" si="190"/>
        <v>0</v>
      </c>
      <c r="J215" s="426">
        <f t="shared" si="191"/>
        <v>0</v>
      </c>
      <c r="K215" s="421"/>
      <c r="L215" s="449">
        <v>0</v>
      </c>
      <c r="M215" s="449">
        <v>0</v>
      </c>
      <c r="N215" s="449">
        <v>0</v>
      </c>
      <c r="O215" s="449">
        <v>0</v>
      </c>
      <c r="P215" s="449">
        <v>0</v>
      </c>
      <c r="Q215" s="449">
        <v>0</v>
      </c>
      <c r="R215" s="449">
        <f>($H215-SUM($L215:Q215))/R$694</f>
        <v>1767.1666666666667</v>
      </c>
      <c r="S215" s="449">
        <f>($H215-SUM($L215:R215))/S$694</f>
        <v>1767.1666666666667</v>
      </c>
      <c r="T215" s="449">
        <f>($H215-SUM($L215:S215))/T$694</f>
        <v>1767.1666666666665</v>
      </c>
      <c r="U215" s="449">
        <f>($H215-SUM($L215:T215))/U$694</f>
        <v>1767.1666666666667</v>
      </c>
      <c r="V215" s="449">
        <f>($H215-SUM($L215:U215))/V$694</f>
        <v>1767.1666666666665</v>
      </c>
      <c r="W215" s="449">
        <f>($H215-SUM($L215:V215))/W$694</f>
        <v>1767.1666666666661</v>
      </c>
      <c r="X215" s="449"/>
      <c r="Y215" s="449">
        <f t="shared" si="192"/>
        <v>10603</v>
      </c>
      <c r="Z215" s="531"/>
      <c r="AA215" s="449">
        <f t="shared" si="229"/>
        <v>883.58333333333337</v>
      </c>
      <c r="AB215" s="449">
        <f t="shared" si="229"/>
        <v>883.58333333333337</v>
      </c>
      <c r="AC215" s="449">
        <f t="shared" si="229"/>
        <v>883.58333333333337</v>
      </c>
      <c r="AD215" s="449">
        <f t="shared" si="229"/>
        <v>883.58333333333337</v>
      </c>
      <c r="AE215" s="449">
        <f t="shared" si="229"/>
        <v>883.58333333333337</v>
      </c>
      <c r="AF215" s="449">
        <f t="shared" si="229"/>
        <v>883.58333333333337</v>
      </c>
      <c r="AG215" s="449">
        <f t="shared" si="229"/>
        <v>883.58333333333337</v>
      </c>
      <c r="AH215" s="449">
        <f t="shared" si="229"/>
        <v>883.58333333333337</v>
      </c>
      <c r="AI215" s="449">
        <f t="shared" si="229"/>
        <v>883.58333333333337</v>
      </c>
      <c r="AJ215" s="449">
        <f t="shared" si="229"/>
        <v>883.58333333333337</v>
      </c>
      <c r="AK215" s="449">
        <f t="shared" si="229"/>
        <v>883.58333333333337</v>
      </c>
      <c r="AL215" s="449">
        <f t="shared" si="229"/>
        <v>883.58333333333337</v>
      </c>
      <c r="AN215" s="500">
        <f t="shared" si="220"/>
        <v>10603</v>
      </c>
      <c r="AO215" s="449">
        <f t="shared" si="195"/>
        <v>11470.35</v>
      </c>
      <c r="AP215" s="449">
        <f t="shared" si="226"/>
        <v>867.35000000000036</v>
      </c>
      <c r="AQ215" s="453">
        <f t="shared" si="227"/>
        <v>8.1802320098085482E-2</v>
      </c>
      <c r="AR215" s="449">
        <f t="shared" si="211"/>
        <v>11470.35</v>
      </c>
      <c r="AS215" s="449">
        <f t="shared" si="228"/>
        <v>0</v>
      </c>
      <c r="AT215" s="426">
        <f t="shared" si="200"/>
        <v>0</v>
      </c>
      <c r="AU215" s="421"/>
      <c r="AV215" s="449">
        <f t="shared" si="205"/>
        <v>0</v>
      </c>
      <c r="AW215" s="449">
        <f t="shared" si="205"/>
        <v>955.86250000000007</v>
      </c>
      <c r="AX215" s="449">
        <f t="shared" si="205"/>
        <v>955.86250000000007</v>
      </c>
      <c r="AY215" s="449">
        <f t="shared" si="205"/>
        <v>955.86250000000007</v>
      </c>
      <c r="AZ215" s="449">
        <f t="shared" si="205"/>
        <v>955.86250000000007</v>
      </c>
      <c r="BA215" s="449">
        <f t="shared" si="205"/>
        <v>955.86250000000007</v>
      </c>
      <c r="BB215" s="449">
        <f t="shared" si="222"/>
        <v>955.86250000000007</v>
      </c>
      <c r="BC215" s="449">
        <f t="shared" si="222"/>
        <v>955.86250000000007</v>
      </c>
      <c r="BD215" s="449">
        <f t="shared" si="222"/>
        <v>955.86250000000007</v>
      </c>
      <c r="BE215" s="449">
        <f t="shared" si="222"/>
        <v>955.86250000000007</v>
      </c>
      <c r="BF215" s="449">
        <f t="shared" si="222"/>
        <v>955.86250000000007</v>
      </c>
      <c r="BG215" s="449">
        <f t="shared" si="222"/>
        <v>1911.7250000000001</v>
      </c>
      <c r="BH215" s="400"/>
      <c r="BI215" s="449">
        <v>0</v>
      </c>
      <c r="BJ215" s="449">
        <f>SUM('FY19 Staffing V1-1 (3)'!$Q$113:$R$114,'FY19 Staffing V1-1 (3)'!$T$113:$U$114)/12</f>
        <v>955.86250000000007</v>
      </c>
      <c r="BK215" s="449">
        <f>SUM('FY19 Staffing V1-1 (3)'!$Q$113:$R$114,'FY19 Staffing V1-1 (3)'!$T$113:$U$114)/12</f>
        <v>955.86250000000007</v>
      </c>
      <c r="BL215" s="449">
        <f>SUM('FY19 Staffing V1-1 (3)'!$Q$113:$R$114,'FY19 Staffing V1-1 (3)'!$T$113:$U$114)/12</f>
        <v>955.86250000000007</v>
      </c>
      <c r="BM215" s="449">
        <f>SUM('FY19 Staffing V1-1 (3)'!$Q$113:$R$114,'FY19 Staffing V1-1 (3)'!$T$113:$U$114)/12</f>
        <v>955.86250000000007</v>
      </c>
      <c r="BN215" s="449">
        <f>SUM('FY19 Staffing V1-1 (3)'!$Q$113:$R$114,'FY19 Staffing V1-1 (3)'!$T$113:$U$114)/12</f>
        <v>955.86250000000007</v>
      </c>
      <c r="BO215" s="449">
        <f>SUM('FY19 Staffing V1-1 (3)'!$Q$113:$R$114,'FY19 Staffing V1-1 (3)'!$T$113:$U$114)/12</f>
        <v>955.86250000000007</v>
      </c>
      <c r="BP215" s="449">
        <f>SUM('FY19 Staffing V1-1 (3)'!$Q$113:$R$114,'FY19 Staffing V1-1 (3)'!$T$113:$U$114)/12</f>
        <v>955.86250000000007</v>
      </c>
      <c r="BQ215" s="449">
        <f>SUM('FY19 Staffing V1-1 (3)'!$Q$113:$R$114,'FY19 Staffing V1-1 (3)'!$T$113:$U$114)/12</f>
        <v>955.86250000000007</v>
      </c>
      <c r="BR215" s="449">
        <f>SUM('FY19 Staffing V1-1 (3)'!$Q$113:$R$114,'FY19 Staffing V1-1 (3)'!$T$113:$U$114)/12</f>
        <v>955.86250000000007</v>
      </c>
      <c r="BS215" s="449">
        <f>SUM('FY19 Staffing V1-1 (3)'!$Q$113:$R$114,'FY19 Staffing V1-1 (3)'!$T$113:$U$114)/12</f>
        <v>955.86250000000007</v>
      </c>
      <c r="BT215" s="449">
        <f>SUM('FY19 Staffing V1-1 (3)'!$Q$113:$R$114,'FY19 Staffing V1-1 (3)'!$T$113:$U$114)/12*2</f>
        <v>1911.7250000000001</v>
      </c>
    </row>
    <row r="216" spans="1:72" ht="15" x14ac:dyDescent="0.25">
      <c r="A216" s="502" t="s">
        <v>360</v>
      </c>
      <c r="B216" s="502" t="s">
        <v>361</v>
      </c>
      <c r="C216" s="541"/>
      <c r="D216" s="500">
        <f t="shared" si="187"/>
        <v>5038</v>
      </c>
      <c r="E216" s="449">
        <v>5038</v>
      </c>
      <c r="F216" s="449">
        <f t="shared" si="225"/>
        <v>0</v>
      </c>
      <c r="G216" s="421">
        <f t="shared" si="189"/>
        <v>0</v>
      </c>
      <c r="H216" s="449">
        <v>5038</v>
      </c>
      <c r="I216" s="449">
        <f t="shared" si="190"/>
        <v>0</v>
      </c>
      <c r="J216" s="426">
        <f t="shared" si="191"/>
        <v>0</v>
      </c>
      <c r="K216" s="421"/>
      <c r="L216" s="449">
        <v>1.3</v>
      </c>
      <c r="M216" s="449">
        <v>40.450000000000003</v>
      </c>
      <c r="N216" s="449">
        <v>66.23</v>
      </c>
      <c r="O216" s="449">
        <v>2164.7599999999998</v>
      </c>
      <c r="P216" s="449">
        <v>802.05000000000018</v>
      </c>
      <c r="Q216" s="449">
        <v>746.13000000000011</v>
      </c>
      <c r="R216" s="449">
        <f>($H216-SUM($L216:Q216))/R$694</f>
        <v>202.84666666666666</v>
      </c>
      <c r="S216" s="449">
        <f>($H216-SUM($L216:R216))/S$694</f>
        <v>202.84666666666664</v>
      </c>
      <c r="T216" s="449">
        <f>($H216-SUM($L216:S216))/T$694</f>
        <v>202.84666666666658</v>
      </c>
      <c r="U216" s="449">
        <f>($H216-SUM($L216:T216))/U$694</f>
        <v>202.84666666666666</v>
      </c>
      <c r="V216" s="449">
        <f>($H216-SUM($L216:U216))/V$694</f>
        <v>202.84666666666681</v>
      </c>
      <c r="W216" s="449">
        <f>($H216-SUM($L216:V216))/W$694</f>
        <v>202.84666666666635</v>
      </c>
      <c r="X216" s="449"/>
      <c r="Y216" s="449">
        <f t="shared" si="192"/>
        <v>5038</v>
      </c>
      <c r="Z216" s="531"/>
      <c r="AA216" s="449">
        <f t="shared" si="229"/>
        <v>419.83333333333331</v>
      </c>
      <c r="AB216" s="449">
        <f t="shared" si="229"/>
        <v>419.83333333333331</v>
      </c>
      <c r="AC216" s="449">
        <f t="shared" si="229"/>
        <v>419.83333333333331</v>
      </c>
      <c r="AD216" s="449">
        <f t="shared" si="229"/>
        <v>419.83333333333331</v>
      </c>
      <c r="AE216" s="449">
        <f t="shared" si="229"/>
        <v>419.83333333333331</v>
      </c>
      <c r="AF216" s="449">
        <f t="shared" si="229"/>
        <v>419.83333333333331</v>
      </c>
      <c r="AG216" s="449">
        <f t="shared" si="229"/>
        <v>419.83333333333331</v>
      </c>
      <c r="AH216" s="449">
        <f t="shared" si="229"/>
        <v>419.83333333333331</v>
      </c>
      <c r="AI216" s="449">
        <f t="shared" si="229"/>
        <v>419.83333333333331</v>
      </c>
      <c r="AJ216" s="449">
        <f t="shared" si="229"/>
        <v>419.83333333333331</v>
      </c>
      <c r="AK216" s="449">
        <f t="shared" si="229"/>
        <v>419.83333333333331</v>
      </c>
      <c r="AL216" s="449">
        <f t="shared" si="229"/>
        <v>419.83333333333331</v>
      </c>
      <c r="AN216" s="500">
        <f t="shared" si="220"/>
        <v>5038</v>
      </c>
      <c r="AO216" s="449">
        <f t="shared" si="195"/>
        <v>5108.2850000000008</v>
      </c>
      <c r="AP216" s="449">
        <f t="shared" si="226"/>
        <v>70.285000000000764</v>
      </c>
      <c r="AQ216" s="453">
        <f t="shared" si="227"/>
        <v>1.3950972608178E-2</v>
      </c>
      <c r="AR216" s="449">
        <f t="shared" si="211"/>
        <v>5108.2850000000008</v>
      </c>
      <c r="AS216" s="449">
        <f t="shared" si="228"/>
        <v>0</v>
      </c>
      <c r="AT216" s="426">
        <f t="shared" si="200"/>
        <v>0</v>
      </c>
      <c r="AU216" s="421"/>
      <c r="AV216" s="449">
        <f t="shared" si="205"/>
        <v>0</v>
      </c>
      <c r="AW216" s="449">
        <f t="shared" si="205"/>
        <v>425.69041666666675</v>
      </c>
      <c r="AX216" s="449">
        <f t="shared" si="205"/>
        <v>425.69041666666675</v>
      </c>
      <c r="AY216" s="449">
        <f t="shared" si="205"/>
        <v>425.69041666666675</v>
      </c>
      <c r="AZ216" s="449">
        <f t="shared" si="205"/>
        <v>425.69041666666675</v>
      </c>
      <c r="BA216" s="449">
        <f t="shared" si="205"/>
        <v>425.69041666666675</v>
      </c>
      <c r="BB216" s="449">
        <f t="shared" si="222"/>
        <v>425.69041666666675</v>
      </c>
      <c r="BC216" s="449">
        <f t="shared" si="222"/>
        <v>425.69041666666675</v>
      </c>
      <c r="BD216" s="449">
        <f t="shared" si="222"/>
        <v>425.69041666666675</v>
      </c>
      <c r="BE216" s="449">
        <f t="shared" si="222"/>
        <v>425.69041666666675</v>
      </c>
      <c r="BF216" s="449">
        <f t="shared" si="222"/>
        <v>425.69041666666675</v>
      </c>
      <c r="BG216" s="449">
        <f t="shared" si="222"/>
        <v>851.3808333333335</v>
      </c>
      <c r="BH216" s="400"/>
      <c r="BI216" s="449">
        <v>0</v>
      </c>
      <c r="BJ216" s="449">
        <f>SUM('FY19 Staffing V1-1 (3)'!$W$115)/12</f>
        <v>425.69041666666675</v>
      </c>
      <c r="BK216" s="449">
        <f>SUM('FY19 Staffing V1-1 (3)'!$W$115)/12</f>
        <v>425.69041666666675</v>
      </c>
      <c r="BL216" s="449">
        <f>SUM('FY19 Staffing V1-1 (3)'!$W$115)/12</f>
        <v>425.69041666666675</v>
      </c>
      <c r="BM216" s="449">
        <f>SUM('FY19 Staffing V1-1 (3)'!$W$115)/12</f>
        <v>425.69041666666675</v>
      </c>
      <c r="BN216" s="449">
        <f>SUM('FY19 Staffing V1-1 (3)'!$W$115)/12</f>
        <v>425.69041666666675</v>
      </c>
      <c r="BO216" s="449">
        <f>SUM('FY19 Staffing V1-1 (3)'!$W$115)/12</f>
        <v>425.69041666666675</v>
      </c>
      <c r="BP216" s="449">
        <f>SUM('FY19 Staffing V1-1 (3)'!$W$115)/12</f>
        <v>425.69041666666675</v>
      </c>
      <c r="BQ216" s="449">
        <f>SUM('FY19 Staffing V1-1 (3)'!$W$115)/12</f>
        <v>425.69041666666675</v>
      </c>
      <c r="BR216" s="449">
        <f>SUM('FY19 Staffing V1-1 (3)'!$W$115)/12</f>
        <v>425.69041666666675</v>
      </c>
      <c r="BS216" s="449">
        <f>SUM('FY19 Staffing V1-1 (3)'!$W$115)/12</f>
        <v>425.69041666666675</v>
      </c>
      <c r="BT216" s="449">
        <f>SUM('FY19 Staffing V1-1 (3)'!$W$115)/12*2</f>
        <v>851.3808333333335</v>
      </c>
    </row>
    <row r="217" spans="1:72" ht="15" x14ac:dyDescent="0.25">
      <c r="A217" s="502" t="s">
        <v>362</v>
      </c>
      <c r="B217" s="502" t="s">
        <v>363</v>
      </c>
      <c r="C217" s="541"/>
      <c r="D217" s="500">
        <f t="shared" si="187"/>
        <v>5445</v>
      </c>
      <c r="E217" s="449">
        <v>5445</v>
      </c>
      <c r="F217" s="449">
        <f t="shared" si="225"/>
        <v>0</v>
      </c>
      <c r="G217" s="421">
        <f t="shared" si="189"/>
        <v>0</v>
      </c>
      <c r="H217" s="449">
        <v>5445</v>
      </c>
      <c r="I217" s="449">
        <f t="shared" si="190"/>
        <v>0</v>
      </c>
      <c r="J217" s="426">
        <f t="shared" si="191"/>
        <v>0</v>
      </c>
      <c r="K217" s="421"/>
      <c r="L217" s="449">
        <v>0</v>
      </c>
      <c r="M217" s="449">
        <v>0</v>
      </c>
      <c r="N217" s="449">
        <v>0</v>
      </c>
      <c r="O217" s="449">
        <v>0</v>
      </c>
      <c r="P217" s="449">
        <v>0</v>
      </c>
      <c r="Q217" s="449">
        <v>0</v>
      </c>
      <c r="R217" s="449">
        <f>($H217-SUM($L217:Q217))/R$694</f>
        <v>907.5</v>
      </c>
      <c r="S217" s="449">
        <f>($H217-SUM($L217:R217))/S$694</f>
        <v>907.5</v>
      </c>
      <c r="T217" s="449">
        <f>($H217-SUM($L217:S217))/T$694</f>
        <v>907.5</v>
      </c>
      <c r="U217" s="449">
        <f>($H217-SUM($L217:T217))/U$694</f>
        <v>907.5</v>
      </c>
      <c r="V217" s="449">
        <f>($H217-SUM($L217:U217))/V$694</f>
        <v>907.5</v>
      </c>
      <c r="W217" s="449">
        <f>($H217-SUM($L217:V217))/W$694</f>
        <v>907.5</v>
      </c>
      <c r="X217" s="449"/>
      <c r="Y217" s="449">
        <f t="shared" si="192"/>
        <v>5445</v>
      </c>
      <c r="Z217" s="531"/>
      <c r="AA217" s="449">
        <f t="shared" si="229"/>
        <v>453.75</v>
      </c>
      <c r="AB217" s="449">
        <f t="shared" si="229"/>
        <v>453.75</v>
      </c>
      <c r="AC217" s="449">
        <f t="shared" si="229"/>
        <v>453.75</v>
      </c>
      <c r="AD217" s="449">
        <f t="shared" si="229"/>
        <v>453.75</v>
      </c>
      <c r="AE217" s="449">
        <f t="shared" si="229"/>
        <v>453.75</v>
      </c>
      <c r="AF217" s="449">
        <f t="shared" si="229"/>
        <v>453.75</v>
      </c>
      <c r="AG217" s="449">
        <f t="shared" si="229"/>
        <v>453.75</v>
      </c>
      <c r="AH217" s="449">
        <f t="shared" si="229"/>
        <v>453.75</v>
      </c>
      <c r="AI217" s="449">
        <f t="shared" si="229"/>
        <v>453.75</v>
      </c>
      <c r="AJ217" s="449">
        <f t="shared" si="229"/>
        <v>453.75</v>
      </c>
      <c r="AK217" s="449">
        <f t="shared" si="229"/>
        <v>453.75</v>
      </c>
      <c r="AL217" s="449">
        <f t="shared" si="229"/>
        <v>453.75</v>
      </c>
      <c r="AN217" s="500">
        <f t="shared" si="220"/>
        <v>5445</v>
      </c>
      <c r="AO217" s="449">
        <f t="shared" si="195"/>
        <v>13180.161190000004</v>
      </c>
      <c r="AP217" s="449">
        <f t="shared" si="226"/>
        <v>7735.1611900000044</v>
      </c>
      <c r="AQ217" s="453">
        <f t="shared" si="227"/>
        <v>1.4205989329660247</v>
      </c>
      <c r="AR217" s="449">
        <f t="shared" si="211"/>
        <v>13180.161190000004</v>
      </c>
      <c r="AS217" s="449">
        <f t="shared" si="228"/>
        <v>0</v>
      </c>
      <c r="AT217" s="426">
        <f t="shared" si="200"/>
        <v>0</v>
      </c>
      <c r="AU217" s="421"/>
      <c r="AV217" s="449">
        <f t="shared" si="205"/>
        <v>0</v>
      </c>
      <c r="AW217" s="449">
        <f t="shared" si="205"/>
        <v>1098.3467658333336</v>
      </c>
      <c r="AX217" s="449">
        <f t="shared" si="205"/>
        <v>1098.3467658333336</v>
      </c>
      <c r="AY217" s="449">
        <f t="shared" si="205"/>
        <v>1098.3467658333336</v>
      </c>
      <c r="AZ217" s="449">
        <f t="shared" si="205"/>
        <v>1098.3467658333336</v>
      </c>
      <c r="BA217" s="449">
        <f t="shared" si="205"/>
        <v>1098.3467658333336</v>
      </c>
      <c r="BB217" s="449">
        <f t="shared" si="222"/>
        <v>1098.3467658333336</v>
      </c>
      <c r="BC217" s="449">
        <f t="shared" si="222"/>
        <v>1098.3467658333336</v>
      </c>
      <c r="BD217" s="449">
        <f t="shared" si="222"/>
        <v>1098.3467658333336</v>
      </c>
      <c r="BE217" s="449">
        <f t="shared" si="222"/>
        <v>1098.3467658333336</v>
      </c>
      <c r="BF217" s="449">
        <f t="shared" si="222"/>
        <v>1098.3467658333336</v>
      </c>
      <c r="BG217" s="449">
        <f t="shared" si="222"/>
        <v>2196.6935316666672</v>
      </c>
      <c r="BH217" s="400"/>
      <c r="BI217" s="449">
        <v>0</v>
      </c>
      <c r="BJ217" s="449">
        <f>SUM('FY19 Staffing V1-1 (3)'!$W$113:$W$114)/12</f>
        <v>1098.3467658333336</v>
      </c>
      <c r="BK217" s="449">
        <f>SUM('FY19 Staffing V1-1 (3)'!$W$113:$W$114)/12</f>
        <v>1098.3467658333336</v>
      </c>
      <c r="BL217" s="449">
        <f>SUM('FY19 Staffing V1-1 (3)'!$W$113:$W$114)/12</f>
        <v>1098.3467658333336</v>
      </c>
      <c r="BM217" s="449">
        <f>SUM('FY19 Staffing V1-1 (3)'!$W$113:$W$114)/12</f>
        <v>1098.3467658333336</v>
      </c>
      <c r="BN217" s="449">
        <f>SUM('FY19 Staffing V1-1 (3)'!$W$113:$W$114)/12</f>
        <v>1098.3467658333336</v>
      </c>
      <c r="BO217" s="449">
        <f>SUM('FY19 Staffing V1-1 (3)'!$W$113:$W$114)/12</f>
        <v>1098.3467658333336</v>
      </c>
      <c r="BP217" s="449">
        <f>SUM('FY19 Staffing V1-1 (3)'!$W$113:$W$114)/12</f>
        <v>1098.3467658333336</v>
      </c>
      <c r="BQ217" s="449">
        <f>SUM('FY19 Staffing V1-1 (3)'!$W$113:$W$114)/12</f>
        <v>1098.3467658333336</v>
      </c>
      <c r="BR217" s="449">
        <f>SUM('FY19 Staffing V1-1 (3)'!$W$113:$W$114)/12</f>
        <v>1098.3467658333336</v>
      </c>
      <c r="BS217" s="449">
        <f>SUM('FY19 Staffing V1-1 (3)'!$W$113:$W$114)/12</f>
        <v>1098.3467658333336</v>
      </c>
      <c r="BT217" s="449">
        <f>SUM('FY19 Staffing V1-1 (3)'!$W$113:$W$114)/12*2</f>
        <v>2196.6935316666672</v>
      </c>
    </row>
    <row r="218" spans="1:72" ht="15" x14ac:dyDescent="0.25">
      <c r="A218" s="502" t="s">
        <v>364</v>
      </c>
      <c r="B218" s="502" t="s">
        <v>365</v>
      </c>
      <c r="C218" s="541"/>
      <c r="D218" s="500">
        <f t="shared" si="187"/>
        <v>1539.12</v>
      </c>
      <c r="E218" s="449">
        <v>1745</v>
      </c>
      <c r="F218" s="449">
        <f t="shared" si="225"/>
        <v>-205.88000000000011</v>
      </c>
      <c r="G218" s="421">
        <f t="shared" si="189"/>
        <v>-0.1179828080229227</v>
      </c>
      <c r="H218" s="449">
        <v>1300</v>
      </c>
      <c r="I218" s="449">
        <f t="shared" si="190"/>
        <v>239.11999999999989</v>
      </c>
      <c r="J218" s="426">
        <f t="shared" si="191"/>
        <v>0.18393846153846147</v>
      </c>
      <c r="K218" s="421"/>
      <c r="L218" s="449">
        <v>0</v>
      </c>
      <c r="M218" s="449">
        <v>309.63</v>
      </c>
      <c r="N218" s="449">
        <v>270.91999999999996</v>
      </c>
      <c r="O218" s="449">
        <v>378.0200000000001</v>
      </c>
      <c r="P218" s="449">
        <v>258.01999999999987</v>
      </c>
      <c r="Q218" s="449">
        <v>322.52999999999997</v>
      </c>
      <c r="R218" s="449">
        <v>0</v>
      </c>
      <c r="S218" s="449">
        <v>0</v>
      </c>
      <c r="T218" s="449">
        <v>0</v>
      </c>
      <c r="U218" s="449">
        <v>0</v>
      </c>
      <c r="V218" s="449">
        <v>0</v>
      </c>
      <c r="W218" s="449">
        <v>0</v>
      </c>
      <c r="X218" s="449"/>
      <c r="Y218" s="449">
        <f t="shared" si="192"/>
        <v>1539.12</v>
      </c>
      <c r="Z218" s="531"/>
      <c r="AA218" s="449">
        <f t="shared" si="229"/>
        <v>108.33333333333333</v>
      </c>
      <c r="AB218" s="449">
        <f t="shared" si="229"/>
        <v>108.33333333333333</v>
      </c>
      <c r="AC218" s="449">
        <f t="shared" si="229"/>
        <v>108.33333333333333</v>
      </c>
      <c r="AD218" s="449">
        <f t="shared" si="229"/>
        <v>108.33333333333333</v>
      </c>
      <c r="AE218" s="449">
        <f t="shared" si="229"/>
        <v>108.33333333333333</v>
      </c>
      <c r="AF218" s="449">
        <f t="shared" si="229"/>
        <v>108.33333333333333</v>
      </c>
      <c r="AG218" s="449">
        <f t="shared" si="229"/>
        <v>108.33333333333333</v>
      </c>
      <c r="AH218" s="449">
        <f t="shared" si="229"/>
        <v>108.33333333333333</v>
      </c>
      <c r="AI218" s="449">
        <f t="shared" si="229"/>
        <v>108.33333333333333</v>
      </c>
      <c r="AJ218" s="449">
        <f t="shared" si="229"/>
        <v>108.33333333333333</v>
      </c>
      <c r="AK218" s="449">
        <f t="shared" si="229"/>
        <v>108.33333333333333</v>
      </c>
      <c r="AL218" s="449">
        <f t="shared" si="229"/>
        <v>108.33333333333333</v>
      </c>
      <c r="AN218" s="500">
        <f t="shared" si="220"/>
        <v>1539.12</v>
      </c>
      <c r="AO218" s="449">
        <f t="shared" si="195"/>
        <v>1339.0000000000002</v>
      </c>
      <c r="AP218" s="449">
        <f t="shared" si="226"/>
        <v>-200.11999999999966</v>
      </c>
      <c r="AQ218" s="453">
        <f t="shared" si="227"/>
        <v>-0.13002235043401403</v>
      </c>
      <c r="AR218" s="449">
        <f t="shared" si="211"/>
        <v>1339.0000000000002</v>
      </c>
      <c r="AS218" s="449">
        <f t="shared" si="228"/>
        <v>0</v>
      </c>
      <c r="AT218" s="426">
        <f t="shared" si="200"/>
        <v>0</v>
      </c>
      <c r="AU218" s="421"/>
      <c r="AV218" s="449">
        <f t="shared" si="205"/>
        <v>0</v>
      </c>
      <c r="AW218" s="449">
        <f t="shared" si="205"/>
        <v>111.58333333333333</v>
      </c>
      <c r="AX218" s="449">
        <f t="shared" si="205"/>
        <v>111.58333333333333</v>
      </c>
      <c r="AY218" s="449">
        <f t="shared" si="205"/>
        <v>111.58333333333333</v>
      </c>
      <c r="AZ218" s="449">
        <f t="shared" si="205"/>
        <v>111.58333333333333</v>
      </c>
      <c r="BA218" s="449">
        <f t="shared" si="205"/>
        <v>111.58333333333333</v>
      </c>
      <c r="BB218" s="449">
        <f t="shared" si="222"/>
        <v>111.58333333333333</v>
      </c>
      <c r="BC218" s="449">
        <f t="shared" si="222"/>
        <v>111.58333333333333</v>
      </c>
      <c r="BD218" s="449">
        <f t="shared" si="222"/>
        <v>111.58333333333333</v>
      </c>
      <c r="BE218" s="449">
        <f t="shared" si="222"/>
        <v>111.58333333333333</v>
      </c>
      <c r="BF218" s="449">
        <f t="shared" si="222"/>
        <v>111.58333333333333</v>
      </c>
      <c r="BG218" s="449">
        <f t="shared" si="222"/>
        <v>223.16666666666666</v>
      </c>
      <c r="BH218" s="400"/>
      <c r="BI218" s="449">
        <v>0</v>
      </c>
      <c r="BJ218" s="449">
        <f>SUM('FY19 Staffing V1-1 (3)'!$S$115)/12</f>
        <v>111.58333333333333</v>
      </c>
      <c r="BK218" s="449">
        <f>SUM('FY19 Staffing V1-1 (3)'!$S$115)/12</f>
        <v>111.58333333333333</v>
      </c>
      <c r="BL218" s="449">
        <f>SUM('FY19 Staffing V1-1 (3)'!$S$115)/12</f>
        <v>111.58333333333333</v>
      </c>
      <c r="BM218" s="449">
        <f>SUM('FY19 Staffing V1-1 (3)'!$S$115)/12</f>
        <v>111.58333333333333</v>
      </c>
      <c r="BN218" s="449">
        <f>SUM('FY19 Staffing V1-1 (3)'!$S$115)/12</f>
        <v>111.58333333333333</v>
      </c>
      <c r="BO218" s="449">
        <f>SUM('FY19 Staffing V1-1 (3)'!$S$115)/12</f>
        <v>111.58333333333333</v>
      </c>
      <c r="BP218" s="449">
        <f>SUM('FY19 Staffing V1-1 (3)'!$S$115)/12</f>
        <v>111.58333333333333</v>
      </c>
      <c r="BQ218" s="449">
        <f>SUM('FY19 Staffing V1-1 (3)'!$S$115)/12</f>
        <v>111.58333333333333</v>
      </c>
      <c r="BR218" s="449">
        <f>SUM('FY19 Staffing V1-1 (3)'!$S$115)/12</f>
        <v>111.58333333333333</v>
      </c>
      <c r="BS218" s="449">
        <f>SUM('FY19 Staffing V1-1 (3)'!$S$115)/12</f>
        <v>111.58333333333333</v>
      </c>
      <c r="BT218" s="449">
        <f>SUM('FY19 Staffing V1-1 (3)'!$S$115)/12*2</f>
        <v>223.16666666666666</v>
      </c>
    </row>
    <row r="219" spans="1:72" ht="15" x14ac:dyDescent="0.25">
      <c r="A219" s="502" t="s">
        <v>366</v>
      </c>
      <c r="B219" s="502" t="s">
        <v>367</v>
      </c>
      <c r="C219" s="541"/>
      <c r="D219" s="500">
        <f t="shared" si="187"/>
        <v>3354</v>
      </c>
      <c r="E219" s="449">
        <v>3490</v>
      </c>
      <c r="F219" s="449">
        <f t="shared" si="225"/>
        <v>-136</v>
      </c>
      <c r="G219" s="421">
        <f t="shared" si="189"/>
        <v>-3.8968481375358167E-2</v>
      </c>
      <c r="H219" s="449">
        <v>3354</v>
      </c>
      <c r="I219" s="449">
        <f t="shared" si="190"/>
        <v>0</v>
      </c>
      <c r="J219" s="426">
        <f t="shared" si="191"/>
        <v>0</v>
      </c>
      <c r="K219" s="421"/>
      <c r="L219" s="449">
        <v>0</v>
      </c>
      <c r="M219" s="449">
        <v>0</v>
      </c>
      <c r="N219" s="449">
        <v>0</v>
      </c>
      <c r="O219" s="449">
        <v>0</v>
      </c>
      <c r="P219" s="449">
        <v>0</v>
      </c>
      <c r="Q219" s="449">
        <v>0</v>
      </c>
      <c r="R219" s="449">
        <f>($H219-SUM($L219:Q219))/R$694</f>
        <v>559</v>
      </c>
      <c r="S219" s="449">
        <f>($H219-SUM($L219:R219))/S$694</f>
        <v>559</v>
      </c>
      <c r="T219" s="449">
        <f>($H219-SUM($L219:S219))/T$694</f>
        <v>559</v>
      </c>
      <c r="U219" s="449">
        <f>($H219-SUM($L219:T219))/U$694</f>
        <v>559</v>
      </c>
      <c r="V219" s="449">
        <f>($H219-SUM($L219:U219))/V$694</f>
        <v>559</v>
      </c>
      <c r="W219" s="449">
        <f>($H219-SUM($L219:V219))/W$694</f>
        <v>559</v>
      </c>
      <c r="X219" s="449"/>
      <c r="Y219" s="449">
        <f t="shared" si="192"/>
        <v>3354</v>
      </c>
      <c r="Z219" s="531"/>
      <c r="AA219" s="449">
        <f t="shared" si="229"/>
        <v>279.5</v>
      </c>
      <c r="AB219" s="449">
        <f t="shared" si="229"/>
        <v>279.5</v>
      </c>
      <c r="AC219" s="449">
        <f t="shared" si="229"/>
        <v>279.5</v>
      </c>
      <c r="AD219" s="449">
        <f t="shared" si="229"/>
        <v>279.5</v>
      </c>
      <c r="AE219" s="449">
        <f t="shared" si="229"/>
        <v>279.5</v>
      </c>
      <c r="AF219" s="449">
        <f t="shared" si="229"/>
        <v>279.5</v>
      </c>
      <c r="AG219" s="449">
        <f t="shared" si="229"/>
        <v>279.5</v>
      </c>
      <c r="AH219" s="449">
        <f t="shared" si="229"/>
        <v>279.5</v>
      </c>
      <c r="AI219" s="449">
        <f t="shared" si="229"/>
        <v>279.5</v>
      </c>
      <c r="AJ219" s="449">
        <f t="shared" si="229"/>
        <v>279.5</v>
      </c>
      <c r="AK219" s="449">
        <f t="shared" si="229"/>
        <v>279.5</v>
      </c>
      <c r="AL219" s="449">
        <f t="shared" si="229"/>
        <v>279.5</v>
      </c>
      <c r="AN219" s="500">
        <f t="shared" si="220"/>
        <v>3354</v>
      </c>
      <c r="AO219" s="449">
        <f t="shared" si="195"/>
        <v>3454.83</v>
      </c>
      <c r="AP219" s="449">
        <f t="shared" si="226"/>
        <v>100.82999999999993</v>
      </c>
      <c r="AQ219" s="453">
        <f t="shared" si="227"/>
        <v>3.0062611806797833E-2</v>
      </c>
      <c r="AR219" s="449">
        <f t="shared" si="211"/>
        <v>3454.83</v>
      </c>
      <c r="AS219" s="449">
        <f t="shared" si="228"/>
        <v>0</v>
      </c>
      <c r="AT219" s="426">
        <f t="shared" si="200"/>
        <v>0</v>
      </c>
      <c r="AU219" s="421"/>
      <c r="AV219" s="449">
        <f t="shared" si="205"/>
        <v>0</v>
      </c>
      <c r="AW219" s="449">
        <f t="shared" si="205"/>
        <v>287.90249999999997</v>
      </c>
      <c r="AX219" s="449">
        <f t="shared" si="205"/>
        <v>287.90249999999997</v>
      </c>
      <c r="AY219" s="449">
        <f t="shared" si="205"/>
        <v>287.90249999999997</v>
      </c>
      <c r="AZ219" s="449">
        <f t="shared" si="205"/>
        <v>287.90249999999997</v>
      </c>
      <c r="BA219" s="449">
        <f t="shared" si="205"/>
        <v>287.90249999999997</v>
      </c>
      <c r="BB219" s="449">
        <f t="shared" si="222"/>
        <v>287.90249999999997</v>
      </c>
      <c r="BC219" s="449">
        <f t="shared" si="222"/>
        <v>287.90249999999997</v>
      </c>
      <c r="BD219" s="449">
        <f t="shared" si="222"/>
        <v>287.90249999999997</v>
      </c>
      <c r="BE219" s="449">
        <f t="shared" si="222"/>
        <v>287.90249999999997</v>
      </c>
      <c r="BF219" s="449">
        <f t="shared" si="222"/>
        <v>287.90249999999997</v>
      </c>
      <c r="BG219" s="449">
        <f t="shared" si="222"/>
        <v>575.80499999999995</v>
      </c>
      <c r="BH219" s="400"/>
      <c r="BI219" s="449">
        <v>0</v>
      </c>
      <c r="BJ219" s="449">
        <f>SUM('FY19 Staffing V1-1 (3)'!$S$113:$S$114)/12</f>
        <v>287.90249999999997</v>
      </c>
      <c r="BK219" s="449">
        <f>SUM('FY19 Staffing V1-1 (3)'!$S$113:$S$114)/12</f>
        <v>287.90249999999997</v>
      </c>
      <c r="BL219" s="449">
        <f>SUM('FY19 Staffing V1-1 (3)'!$S$113:$S$114)/12</f>
        <v>287.90249999999997</v>
      </c>
      <c r="BM219" s="449">
        <f>SUM('FY19 Staffing V1-1 (3)'!$S$113:$S$114)/12</f>
        <v>287.90249999999997</v>
      </c>
      <c r="BN219" s="449">
        <f>SUM('FY19 Staffing V1-1 (3)'!$S$113:$S$114)/12</f>
        <v>287.90249999999997</v>
      </c>
      <c r="BO219" s="449">
        <f>SUM('FY19 Staffing V1-1 (3)'!$S$113:$S$114)/12</f>
        <v>287.90249999999997</v>
      </c>
      <c r="BP219" s="449">
        <f>SUM('FY19 Staffing V1-1 (3)'!$S$113:$S$114)/12</f>
        <v>287.90249999999997</v>
      </c>
      <c r="BQ219" s="449">
        <f>SUM('FY19 Staffing V1-1 (3)'!$S$113:$S$114)/12</f>
        <v>287.90249999999997</v>
      </c>
      <c r="BR219" s="449">
        <f>SUM('FY19 Staffing V1-1 (3)'!$S$113:$S$114)/12</f>
        <v>287.90249999999997</v>
      </c>
      <c r="BS219" s="449">
        <f>SUM('FY19 Staffing V1-1 (3)'!$S$113:$S$114)/12</f>
        <v>287.90249999999997</v>
      </c>
      <c r="BT219" s="449">
        <f>SUM('FY19 Staffing V1-1 (3)'!$S$113:$S$114)/12*2</f>
        <v>575.80499999999995</v>
      </c>
    </row>
    <row r="220" spans="1:72" ht="15" hidden="1" x14ac:dyDescent="0.25">
      <c r="A220" s="614" t="s">
        <v>345</v>
      </c>
      <c r="B220" s="614" t="s">
        <v>368</v>
      </c>
      <c r="C220" s="541" t="s">
        <v>347</v>
      </c>
      <c r="D220" s="500">
        <f t="shared" si="187"/>
        <v>11968</v>
      </c>
      <c r="E220" s="449">
        <v>0</v>
      </c>
      <c r="F220" s="449">
        <f t="shared" si="225"/>
        <v>11968</v>
      </c>
      <c r="G220" s="421">
        <f t="shared" si="189"/>
        <v>0</v>
      </c>
      <c r="H220" s="449">
        <v>11968</v>
      </c>
      <c r="I220" s="449">
        <f t="shared" si="190"/>
        <v>0</v>
      </c>
      <c r="J220" s="426">
        <f t="shared" si="191"/>
        <v>0</v>
      </c>
      <c r="K220" s="421"/>
      <c r="L220" s="449">
        <v>0</v>
      </c>
      <c r="M220" s="449">
        <v>0</v>
      </c>
      <c r="N220" s="449">
        <v>0</v>
      </c>
      <c r="O220" s="449">
        <v>9552.6</v>
      </c>
      <c r="P220" s="449">
        <v>-9552.6</v>
      </c>
      <c r="Q220" s="449">
        <v>0</v>
      </c>
      <c r="R220" s="449">
        <f>($H220-SUM($L220:Q220))/R$694</f>
        <v>1994.6666666666667</v>
      </c>
      <c r="S220" s="449">
        <f>($H220-SUM($L220:R220))/S$694</f>
        <v>1994.6666666666667</v>
      </c>
      <c r="T220" s="449">
        <f>($H220-SUM($L220:S220))/T$694</f>
        <v>1994.6666666666665</v>
      </c>
      <c r="U220" s="449">
        <f>($H220-SUM($L220:T220))/U$694</f>
        <v>1994.6666666666667</v>
      </c>
      <c r="V220" s="449">
        <f>($H220-SUM($L220:U220))/V$694</f>
        <v>1994.6666666666665</v>
      </c>
      <c r="W220" s="449">
        <f>($H220-SUM($L220:V220))/W$694</f>
        <v>1994.6666666666661</v>
      </c>
      <c r="X220" s="449"/>
      <c r="Y220" s="449">
        <f t="shared" si="192"/>
        <v>11968</v>
      </c>
      <c r="Z220" s="531"/>
      <c r="AA220" s="449">
        <f t="shared" si="229"/>
        <v>997.33333333333337</v>
      </c>
      <c r="AB220" s="449">
        <f t="shared" si="229"/>
        <v>997.33333333333337</v>
      </c>
      <c r="AC220" s="449">
        <f t="shared" si="229"/>
        <v>997.33333333333337</v>
      </c>
      <c r="AD220" s="449">
        <f t="shared" si="229"/>
        <v>997.33333333333337</v>
      </c>
      <c r="AE220" s="449">
        <f t="shared" si="229"/>
        <v>997.33333333333337</v>
      </c>
      <c r="AF220" s="449">
        <f t="shared" si="229"/>
        <v>997.33333333333337</v>
      </c>
      <c r="AG220" s="449">
        <f t="shared" si="229"/>
        <v>997.33333333333337</v>
      </c>
      <c r="AH220" s="449">
        <f t="shared" si="229"/>
        <v>997.33333333333337</v>
      </c>
      <c r="AI220" s="449">
        <f t="shared" si="229"/>
        <v>997.33333333333337</v>
      </c>
      <c r="AJ220" s="449">
        <f t="shared" si="229"/>
        <v>997.33333333333337</v>
      </c>
      <c r="AK220" s="449">
        <f t="shared" si="229"/>
        <v>997.33333333333337</v>
      </c>
      <c r="AL220" s="449">
        <f t="shared" si="229"/>
        <v>997.33333333333337</v>
      </c>
      <c r="AN220" s="500">
        <f t="shared" si="220"/>
        <v>11968</v>
      </c>
      <c r="AO220" s="449">
        <f t="shared" si="195"/>
        <v>0</v>
      </c>
      <c r="AP220" s="449">
        <f t="shared" si="226"/>
        <v>-11968</v>
      </c>
      <c r="AQ220" s="453">
        <f t="shared" si="227"/>
        <v>-1</v>
      </c>
      <c r="AR220" s="449">
        <f t="shared" si="211"/>
        <v>0</v>
      </c>
      <c r="AS220" s="449">
        <f t="shared" si="228"/>
        <v>0</v>
      </c>
      <c r="AT220" s="426">
        <f t="shared" si="200"/>
        <v>0</v>
      </c>
      <c r="AU220" s="421"/>
      <c r="AV220" s="449">
        <f t="shared" si="205"/>
        <v>0</v>
      </c>
      <c r="AW220" s="449">
        <f t="shared" si="205"/>
        <v>0</v>
      </c>
      <c r="AX220" s="449">
        <f t="shared" si="205"/>
        <v>0</v>
      </c>
      <c r="AY220" s="449">
        <f t="shared" si="205"/>
        <v>0</v>
      </c>
      <c r="AZ220" s="449">
        <f t="shared" si="205"/>
        <v>0</v>
      </c>
      <c r="BA220" s="449">
        <f t="shared" si="205"/>
        <v>0</v>
      </c>
      <c r="BB220" s="449">
        <f t="shared" si="222"/>
        <v>0</v>
      </c>
      <c r="BC220" s="449">
        <f t="shared" si="222"/>
        <v>0</v>
      </c>
      <c r="BD220" s="449">
        <f t="shared" si="222"/>
        <v>0</v>
      </c>
      <c r="BE220" s="449">
        <f t="shared" si="222"/>
        <v>0</v>
      </c>
      <c r="BF220" s="449">
        <f t="shared" si="222"/>
        <v>0</v>
      </c>
      <c r="BG220" s="449">
        <f t="shared" si="222"/>
        <v>0</v>
      </c>
      <c r="BH220" s="400"/>
      <c r="BI220" s="449">
        <v>0</v>
      </c>
      <c r="BJ220" s="449">
        <v>0</v>
      </c>
      <c r="BK220" s="449">
        <v>0</v>
      </c>
      <c r="BL220" s="449">
        <v>0</v>
      </c>
      <c r="BM220" s="449">
        <v>0</v>
      </c>
      <c r="BN220" s="449">
        <v>0</v>
      </c>
      <c r="BO220" s="449">
        <v>0</v>
      </c>
      <c r="BP220" s="449">
        <v>0</v>
      </c>
      <c r="BQ220" s="449">
        <v>0</v>
      </c>
      <c r="BR220" s="449">
        <v>0</v>
      </c>
      <c r="BS220" s="449">
        <v>0</v>
      </c>
      <c r="BT220" s="449">
        <v>0</v>
      </c>
    </row>
    <row r="221" spans="1:72" ht="15" x14ac:dyDescent="0.25">
      <c r="A221" s="502" t="s">
        <v>369</v>
      </c>
      <c r="B221" s="502" t="s">
        <v>370</v>
      </c>
      <c r="C221" s="538"/>
      <c r="D221" s="500">
        <f t="shared" si="187"/>
        <v>32500</v>
      </c>
      <c r="E221" s="449">
        <v>36280</v>
      </c>
      <c r="F221" s="449">
        <f t="shared" si="225"/>
        <v>-3780</v>
      </c>
      <c r="G221" s="421">
        <f t="shared" si="189"/>
        <v>-0.10418963616317531</v>
      </c>
      <c r="H221" s="449">
        <v>32500</v>
      </c>
      <c r="I221" s="449">
        <f t="shared" si="190"/>
        <v>0</v>
      </c>
      <c r="J221" s="426">
        <f t="shared" si="191"/>
        <v>0</v>
      </c>
      <c r="K221" s="421"/>
      <c r="L221" s="449">
        <v>0</v>
      </c>
      <c r="M221" s="449">
        <v>3000</v>
      </c>
      <c r="N221" s="449">
        <v>2625</v>
      </c>
      <c r="O221" s="449">
        <v>2500</v>
      </c>
      <c r="P221" s="449">
        <v>2500</v>
      </c>
      <c r="Q221" s="449">
        <v>3125</v>
      </c>
      <c r="R221" s="449">
        <f>($H221-SUM($L221:Q221))/R$694</f>
        <v>3125</v>
      </c>
      <c r="S221" s="449">
        <f>($H221-SUM($L221:R221))/S$694</f>
        <v>3125</v>
      </c>
      <c r="T221" s="449">
        <f>($H221-SUM($L221:S221))/T$694</f>
        <v>3125</v>
      </c>
      <c r="U221" s="449">
        <f>($H221-SUM($L221:T221))/U$694</f>
        <v>3125</v>
      </c>
      <c r="V221" s="449">
        <f>($H221-SUM($L221:U221))/V$694</f>
        <v>3125</v>
      </c>
      <c r="W221" s="449">
        <f>($H221-SUM($L221:V221))/W$694</f>
        <v>3125</v>
      </c>
      <c r="X221" s="449"/>
      <c r="Y221" s="449">
        <f t="shared" si="192"/>
        <v>32500</v>
      </c>
      <c r="Z221" s="531"/>
      <c r="AA221" s="449">
        <f t="shared" si="229"/>
        <v>2708.3333333333335</v>
      </c>
      <c r="AB221" s="449">
        <f t="shared" si="229"/>
        <v>2708.3333333333335</v>
      </c>
      <c r="AC221" s="449">
        <f t="shared" si="229"/>
        <v>2708.3333333333335</v>
      </c>
      <c r="AD221" s="449">
        <f t="shared" si="229"/>
        <v>2708.3333333333335</v>
      </c>
      <c r="AE221" s="449">
        <f t="shared" si="229"/>
        <v>2708.3333333333335</v>
      </c>
      <c r="AF221" s="449">
        <f t="shared" si="229"/>
        <v>2708.3333333333335</v>
      </c>
      <c r="AG221" s="449">
        <f t="shared" si="229"/>
        <v>2708.3333333333335</v>
      </c>
      <c r="AH221" s="449">
        <f t="shared" si="229"/>
        <v>2708.3333333333335</v>
      </c>
      <c r="AI221" s="449">
        <f t="shared" si="229"/>
        <v>2708.3333333333335</v>
      </c>
      <c r="AJ221" s="449">
        <f t="shared" si="229"/>
        <v>2708.3333333333335</v>
      </c>
      <c r="AK221" s="449">
        <f t="shared" si="229"/>
        <v>2708.3333333333335</v>
      </c>
      <c r="AL221" s="449">
        <f t="shared" si="229"/>
        <v>2708.3333333333335</v>
      </c>
      <c r="AN221" s="500">
        <f t="shared" si="220"/>
        <v>32500</v>
      </c>
      <c r="AO221" s="449">
        <f t="shared" si="195"/>
        <v>33474.999999999993</v>
      </c>
      <c r="AP221" s="449">
        <f t="shared" si="226"/>
        <v>974.99999999999272</v>
      </c>
      <c r="AQ221" s="453">
        <f t="shared" si="227"/>
        <v>2.9999999999999777E-2</v>
      </c>
      <c r="AR221" s="449">
        <f t="shared" si="211"/>
        <v>33474.999999999993</v>
      </c>
      <c r="AS221" s="449">
        <f t="shared" si="228"/>
        <v>0</v>
      </c>
      <c r="AT221" s="426">
        <f t="shared" si="200"/>
        <v>0</v>
      </c>
      <c r="AU221" s="421"/>
      <c r="AV221" s="449">
        <f t="shared" si="205"/>
        <v>0</v>
      </c>
      <c r="AW221" s="449">
        <f t="shared" si="205"/>
        <v>2789.5833333333335</v>
      </c>
      <c r="AX221" s="449">
        <f t="shared" si="205"/>
        <v>2789.5833333333335</v>
      </c>
      <c r="AY221" s="449">
        <f t="shared" si="205"/>
        <v>2789.5833333333335</v>
      </c>
      <c r="AZ221" s="449">
        <f t="shared" si="205"/>
        <v>2789.5833333333335</v>
      </c>
      <c r="BA221" s="449">
        <f t="shared" si="205"/>
        <v>2789.5833333333335</v>
      </c>
      <c r="BB221" s="449">
        <f t="shared" si="222"/>
        <v>2789.5833333333335</v>
      </c>
      <c r="BC221" s="449">
        <f t="shared" si="222"/>
        <v>2789.5833333333335</v>
      </c>
      <c r="BD221" s="449">
        <f t="shared" si="222"/>
        <v>2789.5833333333335</v>
      </c>
      <c r="BE221" s="449">
        <f t="shared" si="222"/>
        <v>2789.5833333333335</v>
      </c>
      <c r="BF221" s="449">
        <f t="shared" si="222"/>
        <v>2789.5833333333335</v>
      </c>
      <c r="BG221" s="449">
        <f t="shared" si="222"/>
        <v>5579.166666666667</v>
      </c>
      <c r="BH221" s="400"/>
      <c r="BI221" s="449">
        <v>0</v>
      </c>
      <c r="BJ221" s="449">
        <f>SUM('FY19 Staffing V1-1 (3)'!$P$122)/12</f>
        <v>2789.5833333333335</v>
      </c>
      <c r="BK221" s="449">
        <f>SUM('FY19 Staffing V1-1 (3)'!$P$122)/12</f>
        <v>2789.5833333333335</v>
      </c>
      <c r="BL221" s="449">
        <f>SUM('FY19 Staffing V1-1 (3)'!$P$122)/12</f>
        <v>2789.5833333333335</v>
      </c>
      <c r="BM221" s="449">
        <f>SUM('FY19 Staffing V1-1 (3)'!$P$122)/12</f>
        <v>2789.5833333333335</v>
      </c>
      <c r="BN221" s="449">
        <f>SUM('FY19 Staffing V1-1 (3)'!$P$122)/12</f>
        <v>2789.5833333333335</v>
      </c>
      <c r="BO221" s="449">
        <f>SUM('FY19 Staffing V1-1 (3)'!$P$122)/12</f>
        <v>2789.5833333333335</v>
      </c>
      <c r="BP221" s="449">
        <f>SUM('FY19 Staffing V1-1 (3)'!$P$122)/12</f>
        <v>2789.5833333333335</v>
      </c>
      <c r="BQ221" s="449">
        <f>SUM('FY19 Staffing V1-1 (3)'!$P$122)/12</f>
        <v>2789.5833333333335</v>
      </c>
      <c r="BR221" s="449">
        <f>SUM('FY19 Staffing V1-1 (3)'!$P$122)/12</f>
        <v>2789.5833333333335</v>
      </c>
      <c r="BS221" s="449">
        <f>SUM('FY19 Staffing V1-1 (3)'!$P$122)/12</f>
        <v>2789.5833333333335</v>
      </c>
      <c r="BT221" s="449">
        <f>SUM('FY19 Staffing V1-1 (3)'!$P$122)/12*2</f>
        <v>5579.166666666667</v>
      </c>
    </row>
    <row r="222" spans="1:72" ht="15" x14ac:dyDescent="0.25">
      <c r="A222" s="502" t="s">
        <v>371</v>
      </c>
      <c r="B222" s="502" t="s">
        <v>372</v>
      </c>
      <c r="C222" s="538"/>
      <c r="D222" s="500">
        <f t="shared" si="187"/>
        <v>36281</v>
      </c>
      <c r="E222" s="449">
        <v>42328</v>
      </c>
      <c r="F222" s="449">
        <f t="shared" si="225"/>
        <v>-6047</v>
      </c>
      <c r="G222" s="421">
        <f t="shared" si="189"/>
        <v>-0.14286051786051787</v>
      </c>
      <c r="H222" s="449">
        <v>36281</v>
      </c>
      <c r="I222" s="449">
        <f t="shared" si="190"/>
        <v>0</v>
      </c>
      <c r="J222" s="426">
        <f t="shared" si="191"/>
        <v>0</v>
      </c>
      <c r="K222" s="421"/>
      <c r="L222" s="449">
        <v>0</v>
      </c>
      <c r="M222" s="449">
        <v>3349.01</v>
      </c>
      <c r="N222" s="449">
        <v>2930.38</v>
      </c>
      <c r="O222" s="449">
        <v>2790.8399999999992</v>
      </c>
      <c r="P222" s="449">
        <v>2790.84</v>
      </c>
      <c r="Q222" s="449">
        <v>3488.5500000000011</v>
      </c>
      <c r="R222" s="449">
        <f>($H222-SUM($L222:Q222))/R$694</f>
        <v>3488.563333333333</v>
      </c>
      <c r="S222" s="449">
        <f>($H222-SUM($L222:R222))/S$694</f>
        <v>3488.563333333333</v>
      </c>
      <c r="T222" s="449">
        <f>($H222-SUM($L222:S222))/T$694</f>
        <v>3488.5633333333335</v>
      </c>
      <c r="U222" s="449">
        <f>($H222-SUM($L222:T222))/U$694</f>
        <v>3488.563333333334</v>
      </c>
      <c r="V222" s="449">
        <f>($H222-SUM($L222:U222))/V$694</f>
        <v>3488.5633333333335</v>
      </c>
      <c r="W222" s="449">
        <f>($H222-SUM($L222:V222))/W$694</f>
        <v>3488.5633333333317</v>
      </c>
      <c r="X222" s="449"/>
      <c r="Y222" s="449">
        <f t="shared" si="192"/>
        <v>36281</v>
      </c>
      <c r="Z222" s="531"/>
      <c r="AA222" s="449">
        <f t="shared" si="229"/>
        <v>3023.4166666666665</v>
      </c>
      <c r="AB222" s="449">
        <f t="shared" si="229"/>
        <v>3023.4166666666665</v>
      </c>
      <c r="AC222" s="449">
        <f t="shared" si="229"/>
        <v>3023.4166666666665</v>
      </c>
      <c r="AD222" s="449">
        <f t="shared" si="229"/>
        <v>3023.4166666666665</v>
      </c>
      <c r="AE222" s="449">
        <f t="shared" si="229"/>
        <v>3023.4166666666665</v>
      </c>
      <c r="AF222" s="449">
        <f t="shared" si="229"/>
        <v>3023.4166666666665</v>
      </c>
      <c r="AG222" s="449">
        <f t="shared" si="229"/>
        <v>3023.4166666666665</v>
      </c>
      <c r="AH222" s="449">
        <f t="shared" si="229"/>
        <v>3023.4166666666665</v>
      </c>
      <c r="AI222" s="449">
        <f t="shared" si="229"/>
        <v>3023.4166666666665</v>
      </c>
      <c r="AJ222" s="449">
        <f t="shared" si="229"/>
        <v>3023.4166666666665</v>
      </c>
      <c r="AK222" s="449">
        <f t="shared" si="229"/>
        <v>3023.4166666666665</v>
      </c>
      <c r="AL222" s="449">
        <f t="shared" si="229"/>
        <v>3023.4166666666665</v>
      </c>
      <c r="AN222" s="500">
        <f t="shared" si="220"/>
        <v>36281</v>
      </c>
      <c r="AO222" s="449">
        <f t="shared" si="195"/>
        <v>37369.141599999995</v>
      </c>
      <c r="AP222" s="449">
        <f t="shared" si="226"/>
        <v>1088.1415999999954</v>
      </c>
      <c r="AQ222" s="453">
        <f t="shared" si="227"/>
        <v>2.9992050935751368E-2</v>
      </c>
      <c r="AR222" s="449">
        <f t="shared" si="211"/>
        <v>37369.141599999995</v>
      </c>
      <c r="AS222" s="449">
        <f t="shared" si="228"/>
        <v>0</v>
      </c>
      <c r="AT222" s="426">
        <f t="shared" si="200"/>
        <v>0</v>
      </c>
      <c r="AU222" s="421"/>
      <c r="AV222" s="449">
        <f t="shared" si="205"/>
        <v>0</v>
      </c>
      <c r="AW222" s="449">
        <f t="shared" si="205"/>
        <v>3114.0951333333337</v>
      </c>
      <c r="AX222" s="449">
        <f t="shared" si="205"/>
        <v>3114.0951333333337</v>
      </c>
      <c r="AY222" s="449">
        <f t="shared" si="205"/>
        <v>3114.0951333333337</v>
      </c>
      <c r="AZ222" s="449">
        <f t="shared" si="205"/>
        <v>3114.0951333333337</v>
      </c>
      <c r="BA222" s="449">
        <f t="shared" si="205"/>
        <v>3114.0951333333337</v>
      </c>
      <c r="BB222" s="449">
        <f t="shared" si="222"/>
        <v>3114.0951333333337</v>
      </c>
      <c r="BC222" s="449">
        <f t="shared" si="222"/>
        <v>3114.0951333333337</v>
      </c>
      <c r="BD222" s="449">
        <f t="shared" si="222"/>
        <v>3114.0951333333337</v>
      </c>
      <c r="BE222" s="449">
        <f t="shared" si="222"/>
        <v>3114.0951333333337</v>
      </c>
      <c r="BF222" s="449">
        <f t="shared" si="222"/>
        <v>3114.0951333333337</v>
      </c>
      <c r="BG222" s="449">
        <f t="shared" si="222"/>
        <v>6228.1902666666674</v>
      </c>
      <c r="BH222" s="400"/>
      <c r="BI222" s="449">
        <v>0</v>
      </c>
      <c r="BJ222" s="449">
        <f>SUM('FY19 Staffing V1-1 (3)'!$P$121)/12</f>
        <v>3114.0951333333337</v>
      </c>
      <c r="BK222" s="449">
        <f>SUM('FY19 Staffing V1-1 (3)'!$P$121)/12</f>
        <v>3114.0951333333337</v>
      </c>
      <c r="BL222" s="449">
        <f>SUM('FY19 Staffing V1-1 (3)'!$P$121)/12</f>
        <v>3114.0951333333337</v>
      </c>
      <c r="BM222" s="449">
        <f>SUM('FY19 Staffing V1-1 (3)'!$P$121)/12</f>
        <v>3114.0951333333337</v>
      </c>
      <c r="BN222" s="449">
        <f>SUM('FY19 Staffing V1-1 (3)'!$P$121)/12</f>
        <v>3114.0951333333337</v>
      </c>
      <c r="BO222" s="449">
        <f>SUM('FY19 Staffing V1-1 (3)'!$P$121)/12</f>
        <v>3114.0951333333337</v>
      </c>
      <c r="BP222" s="449">
        <f>SUM('FY19 Staffing V1-1 (3)'!$P$121)/12</f>
        <v>3114.0951333333337</v>
      </c>
      <c r="BQ222" s="449">
        <f>SUM('FY19 Staffing V1-1 (3)'!$P$121)/12</f>
        <v>3114.0951333333337</v>
      </c>
      <c r="BR222" s="449">
        <f>SUM('FY19 Staffing V1-1 (3)'!$P$121)/12</f>
        <v>3114.0951333333337</v>
      </c>
      <c r="BS222" s="449">
        <f>SUM('FY19 Staffing V1-1 (3)'!$P$121)/12</f>
        <v>3114.0951333333337</v>
      </c>
      <c r="BT222" s="449">
        <f>SUM('FY19 Staffing V1-1 (3)'!$P$121)/12*2</f>
        <v>6228.1902666666674</v>
      </c>
    </row>
    <row r="223" spans="1:72" ht="15" x14ac:dyDescent="0.25">
      <c r="A223" s="502" t="s">
        <v>373</v>
      </c>
      <c r="B223" s="502" t="s">
        <v>374</v>
      </c>
      <c r="C223" s="538"/>
      <c r="D223" s="500">
        <f t="shared" si="187"/>
        <v>3000</v>
      </c>
      <c r="E223" s="449">
        <v>3000</v>
      </c>
      <c r="F223" s="449">
        <f t="shared" si="225"/>
        <v>0</v>
      </c>
      <c r="G223" s="421">
        <f t="shared" si="189"/>
        <v>0</v>
      </c>
      <c r="H223" s="449">
        <v>3000</v>
      </c>
      <c r="I223" s="449">
        <f t="shared" si="190"/>
        <v>0</v>
      </c>
      <c r="J223" s="426">
        <f t="shared" si="191"/>
        <v>0</v>
      </c>
      <c r="K223" s="421"/>
      <c r="L223" s="449">
        <v>0</v>
      </c>
      <c r="M223" s="449">
        <v>0</v>
      </c>
      <c r="N223" s="449">
        <v>0</v>
      </c>
      <c r="O223" s="449">
        <v>3000</v>
      </c>
      <c r="P223" s="449">
        <v>0</v>
      </c>
      <c r="Q223" s="449">
        <v>0</v>
      </c>
      <c r="R223" s="449">
        <f>($H223-SUM($L223:Q223))/R$694</f>
        <v>0</v>
      </c>
      <c r="S223" s="449">
        <f>($H223-SUM($L223:R223))/S$694</f>
        <v>0</v>
      </c>
      <c r="T223" s="449">
        <f>($H223-SUM($L223:S223))/T$694</f>
        <v>0</v>
      </c>
      <c r="U223" s="449">
        <f>($H223-SUM($L223:T223))/U$694</f>
        <v>0</v>
      </c>
      <c r="V223" s="449">
        <f>($H223-SUM($L223:U223))/V$694</f>
        <v>0</v>
      </c>
      <c r="W223" s="449">
        <f>($H223-SUM($L223:V223))/W$694</f>
        <v>0</v>
      </c>
      <c r="X223" s="449"/>
      <c r="Y223" s="449">
        <f t="shared" si="192"/>
        <v>3000</v>
      </c>
      <c r="Z223" s="531"/>
      <c r="AA223" s="449">
        <f t="shared" si="229"/>
        <v>250</v>
      </c>
      <c r="AB223" s="449">
        <f t="shared" si="229"/>
        <v>250</v>
      </c>
      <c r="AC223" s="449">
        <f t="shared" si="229"/>
        <v>250</v>
      </c>
      <c r="AD223" s="449">
        <f t="shared" si="229"/>
        <v>250</v>
      </c>
      <c r="AE223" s="449">
        <f t="shared" si="229"/>
        <v>250</v>
      </c>
      <c r="AF223" s="449">
        <f t="shared" si="229"/>
        <v>250</v>
      </c>
      <c r="AG223" s="449">
        <f t="shared" si="229"/>
        <v>250</v>
      </c>
      <c r="AH223" s="449">
        <f t="shared" si="229"/>
        <v>250</v>
      </c>
      <c r="AI223" s="449">
        <f t="shared" si="229"/>
        <v>250</v>
      </c>
      <c r="AJ223" s="449">
        <f t="shared" si="229"/>
        <v>250</v>
      </c>
      <c r="AK223" s="449">
        <f t="shared" si="229"/>
        <v>250</v>
      </c>
      <c r="AL223" s="449">
        <f t="shared" si="229"/>
        <v>250</v>
      </c>
      <c r="AN223" s="500">
        <f t="shared" si="220"/>
        <v>3000</v>
      </c>
      <c r="AO223" s="449">
        <f t="shared" si="195"/>
        <v>3000</v>
      </c>
      <c r="AP223" s="449">
        <f t="shared" si="226"/>
        <v>0</v>
      </c>
      <c r="AQ223" s="453">
        <f t="shared" si="227"/>
        <v>0</v>
      </c>
      <c r="AR223" s="449">
        <f t="shared" si="211"/>
        <v>3000</v>
      </c>
      <c r="AS223" s="449">
        <f t="shared" si="228"/>
        <v>0</v>
      </c>
      <c r="AT223" s="426">
        <f t="shared" si="200"/>
        <v>0</v>
      </c>
      <c r="AU223" s="421"/>
      <c r="AV223" s="449">
        <f t="shared" si="205"/>
        <v>0</v>
      </c>
      <c r="AW223" s="449">
        <f t="shared" si="205"/>
        <v>0</v>
      </c>
      <c r="AX223" s="449">
        <f t="shared" si="205"/>
        <v>0</v>
      </c>
      <c r="AY223" s="449">
        <f t="shared" si="205"/>
        <v>3000</v>
      </c>
      <c r="AZ223" s="449">
        <f t="shared" si="205"/>
        <v>0</v>
      </c>
      <c r="BA223" s="449">
        <f t="shared" si="205"/>
        <v>0</v>
      </c>
      <c r="BB223" s="449">
        <f t="shared" si="222"/>
        <v>0</v>
      </c>
      <c r="BC223" s="449">
        <f t="shared" si="222"/>
        <v>0</v>
      </c>
      <c r="BD223" s="449">
        <f t="shared" si="222"/>
        <v>0</v>
      </c>
      <c r="BE223" s="449">
        <f t="shared" si="222"/>
        <v>0</v>
      </c>
      <c r="BF223" s="449">
        <f t="shared" si="222"/>
        <v>0</v>
      </c>
      <c r="BG223" s="449">
        <f t="shared" si="222"/>
        <v>0</v>
      </c>
      <c r="BH223" s="400"/>
      <c r="BI223" s="449">
        <v>0</v>
      </c>
      <c r="BJ223" s="449">
        <v>0</v>
      </c>
      <c r="BK223" s="449">
        <v>0</v>
      </c>
      <c r="BL223" s="449">
        <f>SUM('FY19 Staffing V1-1 (3)'!$J$122)</f>
        <v>3000</v>
      </c>
      <c r="BM223" s="449">
        <v>0</v>
      </c>
      <c r="BN223" s="449">
        <v>0</v>
      </c>
      <c r="BO223" s="449">
        <v>0</v>
      </c>
      <c r="BP223" s="449">
        <v>0</v>
      </c>
      <c r="BQ223" s="449">
        <v>0</v>
      </c>
      <c r="BR223" s="449">
        <v>0</v>
      </c>
      <c r="BS223" s="449">
        <v>0</v>
      </c>
      <c r="BT223" s="449">
        <v>0</v>
      </c>
    </row>
    <row r="224" spans="1:72" ht="15" x14ac:dyDescent="0.25">
      <c r="A224" s="537" t="s">
        <v>375</v>
      </c>
      <c r="B224" s="537" t="s">
        <v>376</v>
      </c>
      <c r="C224" s="541"/>
      <c r="D224" s="500">
        <f t="shared" si="187"/>
        <v>0</v>
      </c>
      <c r="E224" s="449">
        <v>0</v>
      </c>
      <c r="F224" s="449">
        <f t="shared" si="225"/>
        <v>0</v>
      </c>
      <c r="G224" s="421">
        <f t="shared" si="189"/>
        <v>0</v>
      </c>
      <c r="H224" s="449">
        <v>0</v>
      </c>
      <c r="I224" s="449">
        <f t="shared" si="190"/>
        <v>0</v>
      </c>
      <c r="J224" s="426">
        <f t="shared" si="191"/>
        <v>0</v>
      </c>
      <c r="K224" s="421"/>
      <c r="L224" s="449">
        <v>0</v>
      </c>
      <c r="M224" s="449">
        <v>0</v>
      </c>
      <c r="N224" s="449">
        <v>0</v>
      </c>
      <c r="O224" s="449">
        <v>0</v>
      </c>
      <c r="P224" s="449">
        <v>0</v>
      </c>
      <c r="Q224" s="449">
        <v>0</v>
      </c>
      <c r="R224" s="449">
        <f>($H224-SUM($L224:Q224))/R$694</f>
        <v>0</v>
      </c>
      <c r="S224" s="449">
        <f>($H224-SUM($L224:R224))/S$694</f>
        <v>0</v>
      </c>
      <c r="T224" s="449">
        <f>($H224-SUM($L224:S224))/T$694</f>
        <v>0</v>
      </c>
      <c r="U224" s="449">
        <f>($H224-SUM($L224:T224))/U$694</f>
        <v>0</v>
      </c>
      <c r="V224" s="449">
        <f>($H224-SUM($L224:U224))/V$694</f>
        <v>0</v>
      </c>
      <c r="W224" s="449">
        <f>($H224-SUM($L224:V224))/W$694</f>
        <v>0</v>
      </c>
      <c r="X224" s="449"/>
      <c r="Y224" s="449">
        <f t="shared" si="192"/>
        <v>0</v>
      </c>
      <c r="Z224" s="531"/>
      <c r="AA224" s="449">
        <f t="shared" si="229"/>
        <v>0</v>
      </c>
      <c r="AB224" s="449">
        <f t="shared" si="229"/>
        <v>0</v>
      </c>
      <c r="AC224" s="449">
        <f t="shared" si="229"/>
        <v>0</v>
      </c>
      <c r="AD224" s="449">
        <f t="shared" si="229"/>
        <v>0</v>
      </c>
      <c r="AE224" s="449">
        <f t="shared" si="229"/>
        <v>0</v>
      </c>
      <c r="AF224" s="449">
        <f t="shared" si="229"/>
        <v>0</v>
      </c>
      <c r="AG224" s="449">
        <f t="shared" si="229"/>
        <v>0</v>
      </c>
      <c r="AH224" s="449">
        <f t="shared" si="229"/>
        <v>0</v>
      </c>
      <c r="AI224" s="449">
        <f t="shared" si="229"/>
        <v>0</v>
      </c>
      <c r="AJ224" s="449">
        <f t="shared" si="229"/>
        <v>0</v>
      </c>
      <c r="AK224" s="449">
        <f t="shared" si="229"/>
        <v>0</v>
      </c>
      <c r="AL224" s="449">
        <f t="shared" si="229"/>
        <v>0</v>
      </c>
      <c r="AN224" s="500">
        <f t="shared" si="220"/>
        <v>0</v>
      </c>
      <c r="AO224" s="449">
        <f t="shared" si="195"/>
        <v>3000</v>
      </c>
      <c r="AP224" s="449">
        <f t="shared" si="226"/>
        <v>3000</v>
      </c>
      <c r="AQ224" s="453" t="str">
        <f t="shared" si="227"/>
        <v>-</v>
      </c>
      <c r="AR224" s="449">
        <f t="shared" si="211"/>
        <v>3000</v>
      </c>
      <c r="AS224" s="449">
        <f t="shared" si="228"/>
        <v>0</v>
      </c>
      <c r="AT224" s="426">
        <f t="shared" si="200"/>
        <v>0</v>
      </c>
      <c r="AU224" s="421"/>
      <c r="AV224" s="449">
        <f t="shared" si="205"/>
        <v>0</v>
      </c>
      <c r="AW224" s="449">
        <f t="shared" si="205"/>
        <v>0</v>
      </c>
      <c r="AX224" s="449">
        <f t="shared" si="205"/>
        <v>0</v>
      </c>
      <c r="AY224" s="449">
        <f t="shared" si="205"/>
        <v>3000</v>
      </c>
      <c r="AZ224" s="449">
        <f t="shared" si="205"/>
        <v>0</v>
      </c>
      <c r="BA224" s="449">
        <f t="shared" si="205"/>
        <v>0</v>
      </c>
      <c r="BB224" s="449">
        <f t="shared" si="222"/>
        <v>0</v>
      </c>
      <c r="BC224" s="449">
        <f t="shared" si="222"/>
        <v>0</v>
      </c>
      <c r="BD224" s="449">
        <f t="shared" si="222"/>
        <v>0</v>
      </c>
      <c r="BE224" s="449">
        <f t="shared" si="222"/>
        <v>0</v>
      </c>
      <c r="BF224" s="449">
        <f t="shared" si="222"/>
        <v>0</v>
      </c>
      <c r="BG224" s="449">
        <f t="shared" si="222"/>
        <v>0</v>
      </c>
      <c r="BH224" s="400"/>
      <c r="BI224" s="449">
        <v>0</v>
      </c>
      <c r="BJ224" s="449">
        <v>0</v>
      </c>
      <c r="BK224" s="449">
        <v>0</v>
      </c>
      <c r="BL224" s="449">
        <f>SUM('FY19 Staffing V1-1 (3)'!$J$122)</f>
        <v>3000</v>
      </c>
      <c r="BM224" s="449">
        <v>0</v>
      </c>
      <c r="BN224" s="449">
        <v>0</v>
      </c>
      <c r="BO224" s="449">
        <v>0</v>
      </c>
      <c r="BP224" s="449">
        <v>0</v>
      </c>
      <c r="BQ224" s="449">
        <v>0</v>
      </c>
      <c r="BR224" s="449">
        <v>0</v>
      </c>
      <c r="BS224" s="449">
        <v>0</v>
      </c>
      <c r="BT224" s="449">
        <v>0</v>
      </c>
    </row>
    <row r="225" spans="1:72" ht="15" x14ac:dyDescent="0.25">
      <c r="A225" s="502" t="s">
        <v>377</v>
      </c>
      <c r="B225" s="502" t="s">
        <v>378</v>
      </c>
      <c r="C225" s="541"/>
      <c r="D225" s="500">
        <f t="shared" si="187"/>
        <v>5508</v>
      </c>
      <c r="E225" s="449">
        <v>5797</v>
      </c>
      <c r="F225" s="449">
        <f t="shared" si="225"/>
        <v>-289</v>
      </c>
      <c r="G225" s="421">
        <f t="shared" si="189"/>
        <v>-4.9853372434017593E-2</v>
      </c>
      <c r="H225" s="449">
        <v>5508</v>
      </c>
      <c r="I225" s="449">
        <f t="shared" si="190"/>
        <v>0</v>
      </c>
      <c r="J225" s="426">
        <f t="shared" si="191"/>
        <v>0</v>
      </c>
      <c r="K225" s="421"/>
      <c r="L225" s="449">
        <v>5.84</v>
      </c>
      <c r="M225" s="449">
        <v>495.76000000000005</v>
      </c>
      <c r="N225" s="449">
        <v>316.26</v>
      </c>
      <c r="O225" s="449">
        <v>714.9899999999999</v>
      </c>
      <c r="P225" s="449">
        <v>321.24</v>
      </c>
      <c r="Q225" s="449">
        <v>336.54999999999995</v>
      </c>
      <c r="R225" s="449">
        <f>($H225-SUM($L225:Q225))/R$694</f>
        <v>552.89333333333332</v>
      </c>
      <c r="S225" s="449">
        <f>($H225-SUM($L225:R225))/S$694</f>
        <v>552.89333333333332</v>
      </c>
      <c r="T225" s="449">
        <f>($H225-SUM($L225:S225))/T$694</f>
        <v>552.89333333333332</v>
      </c>
      <c r="U225" s="449">
        <f>($H225-SUM($L225:T225))/U$694</f>
        <v>552.89333333333332</v>
      </c>
      <c r="V225" s="449">
        <f>($H225-SUM($L225:U225))/V$694</f>
        <v>552.89333333333343</v>
      </c>
      <c r="W225" s="449">
        <f>($H225-SUM($L225:V225))/W$694</f>
        <v>552.89333333333343</v>
      </c>
      <c r="X225" s="449"/>
      <c r="Y225" s="449">
        <f t="shared" si="192"/>
        <v>5508</v>
      </c>
      <c r="Z225" s="531"/>
      <c r="AA225" s="449">
        <f t="shared" si="229"/>
        <v>459</v>
      </c>
      <c r="AB225" s="449">
        <f t="shared" si="229"/>
        <v>459</v>
      </c>
      <c r="AC225" s="449">
        <f t="shared" si="229"/>
        <v>459</v>
      </c>
      <c r="AD225" s="449">
        <f t="shared" si="229"/>
        <v>459</v>
      </c>
      <c r="AE225" s="449">
        <f t="shared" si="229"/>
        <v>459</v>
      </c>
      <c r="AF225" s="449">
        <f t="shared" si="229"/>
        <v>459</v>
      </c>
      <c r="AG225" s="449">
        <f t="shared" si="229"/>
        <v>459</v>
      </c>
      <c r="AH225" s="449">
        <f t="shared" si="229"/>
        <v>459</v>
      </c>
      <c r="AI225" s="449">
        <f t="shared" si="229"/>
        <v>459</v>
      </c>
      <c r="AJ225" s="449">
        <f t="shared" si="229"/>
        <v>459</v>
      </c>
      <c r="AK225" s="449">
        <f t="shared" si="229"/>
        <v>459</v>
      </c>
      <c r="AL225" s="449">
        <f t="shared" si="229"/>
        <v>459</v>
      </c>
      <c r="AN225" s="500">
        <f t="shared" si="220"/>
        <v>5508</v>
      </c>
      <c r="AO225" s="449">
        <f t="shared" si="195"/>
        <v>4181.84</v>
      </c>
      <c r="AP225" s="449">
        <f t="shared" si="226"/>
        <v>-1326.1599999999999</v>
      </c>
      <c r="AQ225" s="453">
        <f t="shared" si="227"/>
        <v>-0.24076978939724036</v>
      </c>
      <c r="AR225" s="449">
        <f t="shared" si="211"/>
        <v>4181.84</v>
      </c>
      <c r="AS225" s="449">
        <f t="shared" si="228"/>
        <v>0</v>
      </c>
      <c r="AT225" s="426">
        <f t="shared" si="200"/>
        <v>0</v>
      </c>
      <c r="AU225" s="421"/>
      <c r="AV225" s="449">
        <f t="shared" si="205"/>
        <v>0</v>
      </c>
      <c r="AW225" s="449">
        <f t="shared" si="205"/>
        <v>348.48666666666668</v>
      </c>
      <c r="AX225" s="449">
        <f t="shared" si="205"/>
        <v>348.48666666666668</v>
      </c>
      <c r="AY225" s="449">
        <f t="shared" ref="AY225:BD240" si="230">BL225</f>
        <v>348.48666666666668</v>
      </c>
      <c r="AZ225" s="449">
        <f t="shared" si="230"/>
        <v>348.48666666666668</v>
      </c>
      <c r="BA225" s="449">
        <f t="shared" si="230"/>
        <v>348.48666666666668</v>
      </c>
      <c r="BB225" s="449">
        <f t="shared" si="222"/>
        <v>348.48666666666668</v>
      </c>
      <c r="BC225" s="449">
        <f t="shared" si="222"/>
        <v>348.48666666666668</v>
      </c>
      <c r="BD225" s="449">
        <f t="shared" si="222"/>
        <v>348.48666666666668</v>
      </c>
      <c r="BE225" s="449">
        <f t="shared" si="222"/>
        <v>348.48666666666668</v>
      </c>
      <c r="BF225" s="449">
        <f t="shared" si="222"/>
        <v>348.48666666666668</v>
      </c>
      <c r="BG225" s="449">
        <f t="shared" si="222"/>
        <v>696.97333333333336</v>
      </c>
      <c r="BH225" s="400"/>
      <c r="BI225" s="449">
        <v>0</v>
      </c>
      <c r="BJ225" s="449">
        <f>SUM('FY19 Staffing V1-1 (3)'!$Q$122:$R$122,'FY19 Staffing V1-1 (3)'!$T$122:$U$122)/12</f>
        <v>348.48666666666668</v>
      </c>
      <c r="BK225" s="449">
        <f>SUM('FY19 Staffing V1-1 (3)'!$Q$122:$R$122,'FY19 Staffing V1-1 (3)'!$T$122:$U$122)/12</f>
        <v>348.48666666666668</v>
      </c>
      <c r="BL225" s="449">
        <f>SUM('FY19 Staffing V1-1 (3)'!$Q$122:$R$122,'FY19 Staffing V1-1 (3)'!$T$122:$U$122)/12</f>
        <v>348.48666666666668</v>
      </c>
      <c r="BM225" s="449">
        <f>SUM('FY19 Staffing V1-1 (3)'!$Q$122:$R$122,'FY19 Staffing V1-1 (3)'!$T$122:$U$122)/12</f>
        <v>348.48666666666668</v>
      </c>
      <c r="BN225" s="449">
        <f>SUM('FY19 Staffing V1-1 (3)'!$Q$122:$R$122,'FY19 Staffing V1-1 (3)'!$T$122:$U$122)/12</f>
        <v>348.48666666666668</v>
      </c>
      <c r="BO225" s="449">
        <f>SUM('FY19 Staffing V1-1 (3)'!$Q$122:$R$122,'FY19 Staffing V1-1 (3)'!$T$122:$U$122)/12</f>
        <v>348.48666666666668</v>
      </c>
      <c r="BP225" s="449">
        <f>SUM('FY19 Staffing V1-1 (3)'!$Q$122:$R$122,'FY19 Staffing V1-1 (3)'!$T$122:$U$122)/12</f>
        <v>348.48666666666668</v>
      </c>
      <c r="BQ225" s="449">
        <f>SUM('FY19 Staffing V1-1 (3)'!$Q$122:$R$122,'FY19 Staffing V1-1 (3)'!$T$122:$U$122)/12</f>
        <v>348.48666666666668</v>
      </c>
      <c r="BR225" s="449">
        <f>SUM('FY19 Staffing V1-1 (3)'!$Q$122:$R$122,'FY19 Staffing V1-1 (3)'!$T$122:$U$122)/12</f>
        <v>348.48666666666668</v>
      </c>
      <c r="BS225" s="449">
        <f>SUM('FY19 Staffing V1-1 (3)'!$Q$122:$R$122,'FY19 Staffing V1-1 (3)'!$T$122:$U$122)/12</f>
        <v>348.48666666666668</v>
      </c>
      <c r="BT225" s="449">
        <f>SUM('FY19 Staffing V1-1 (3)'!$Q$122:$R$122,'FY19 Staffing V1-1 (3)'!$T$122:$U$122)/12*2</f>
        <v>696.97333333333336</v>
      </c>
    </row>
    <row r="226" spans="1:72" ht="15" x14ac:dyDescent="0.25">
      <c r="A226" s="502" t="s">
        <v>379</v>
      </c>
      <c r="B226" s="502" t="s">
        <v>380</v>
      </c>
      <c r="C226" s="541"/>
      <c r="D226" s="500">
        <f t="shared" ref="D226:D240" si="231">SUM(L226:W226)</f>
        <v>4171</v>
      </c>
      <c r="E226" s="449">
        <v>4916</v>
      </c>
      <c r="F226" s="449">
        <f t="shared" si="225"/>
        <v>-745</v>
      </c>
      <c r="G226" s="421">
        <f t="shared" ref="G226:G240" si="232">IFERROR(F226/ABS(E226),0)</f>
        <v>-0.1515459723352319</v>
      </c>
      <c r="H226" s="449">
        <v>4171</v>
      </c>
      <c r="I226" s="449">
        <f t="shared" ref="I226:I240" si="233">IFERROR(D226-H226,0)</f>
        <v>0</v>
      </c>
      <c r="J226" s="426">
        <f t="shared" ref="J226:J240" si="234">IFERROR(I226/ABS(H226),0)</f>
        <v>0</v>
      </c>
      <c r="K226" s="421"/>
      <c r="L226" s="449">
        <v>0</v>
      </c>
      <c r="M226" s="449">
        <v>542.71</v>
      </c>
      <c r="N226" s="449">
        <v>357.33999999999992</v>
      </c>
      <c r="O226" s="449">
        <v>362.94000000000005</v>
      </c>
      <c r="P226" s="449">
        <v>235.84999999999991</v>
      </c>
      <c r="Q226" s="449">
        <v>266.88000000000011</v>
      </c>
      <c r="R226" s="449">
        <f>($H226-SUM($L226:Q226))/R$694</f>
        <v>400.87999999999994</v>
      </c>
      <c r="S226" s="449">
        <f>($H226-SUM($L226:R226))/S$694</f>
        <v>400.88</v>
      </c>
      <c r="T226" s="449">
        <f>($H226-SUM($L226:S226))/T$694</f>
        <v>400.88</v>
      </c>
      <c r="U226" s="449">
        <f>($H226-SUM($L226:T226))/U$694</f>
        <v>400.87999999999994</v>
      </c>
      <c r="V226" s="449">
        <f>($H226-SUM($L226:U226))/V$694</f>
        <v>400.87999999999988</v>
      </c>
      <c r="W226" s="449">
        <f>($H226-SUM($L226:V226))/W$694</f>
        <v>400.88000000000011</v>
      </c>
      <c r="X226" s="449"/>
      <c r="Y226" s="449">
        <f t="shared" ref="Y226:Y240" si="235">SUM(L226:W226)</f>
        <v>4171</v>
      </c>
      <c r="Z226" s="531"/>
      <c r="AA226" s="449">
        <f t="shared" si="229"/>
        <v>347.58333333333331</v>
      </c>
      <c r="AB226" s="449">
        <f t="shared" si="229"/>
        <v>347.58333333333331</v>
      </c>
      <c r="AC226" s="449">
        <f t="shared" si="229"/>
        <v>347.58333333333331</v>
      </c>
      <c r="AD226" s="449">
        <f t="shared" si="229"/>
        <v>347.58333333333331</v>
      </c>
      <c r="AE226" s="449">
        <f t="shared" si="229"/>
        <v>347.58333333333331</v>
      </c>
      <c r="AF226" s="449">
        <f t="shared" si="229"/>
        <v>347.58333333333331</v>
      </c>
      <c r="AG226" s="449">
        <f t="shared" si="229"/>
        <v>347.58333333333331</v>
      </c>
      <c r="AH226" s="449">
        <f t="shared" si="229"/>
        <v>347.58333333333331</v>
      </c>
      <c r="AI226" s="449">
        <f t="shared" si="229"/>
        <v>347.58333333333331</v>
      </c>
      <c r="AJ226" s="449">
        <f t="shared" si="229"/>
        <v>347.58333333333331</v>
      </c>
      <c r="AK226" s="449">
        <f t="shared" si="229"/>
        <v>347.58333333333331</v>
      </c>
      <c r="AL226" s="449">
        <f t="shared" si="229"/>
        <v>347.58333333333331</v>
      </c>
      <c r="AN226" s="500">
        <f t="shared" ref="AN226:AN240" si="236">SUM(L226:W226)</f>
        <v>4171</v>
      </c>
      <c r="AO226" s="449">
        <f t="shared" ref="AO226:AO240" si="237">SUM(BI226:BT226)</f>
        <v>4479.7399999999989</v>
      </c>
      <c r="AP226" s="449">
        <f t="shared" si="226"/>
        <v>308.73999999999887</v>
      </c>
      <c r="AQ226" s="453">
        <f t="shared" si="227"/>
        <v>7.4020618556700765E-2</v>
      </c>
      <c r="AR226" s="449">
        <f t="shared" si="211"/>
        <v>4479.7399999999989</v>
      </c>
      <c r="AS226" s="449">
        <f t="shared" si="228"/>
        <v>0</v>
      </c>
      <c r="AT226" s="426">
        <f t="shared" ref="AT226:AT240" si="238">IFERROR(AS226/ABS(AR226),0)</f>
        <v>0</v>
      </c>
      <c r="AU226" s="421"/>
      <c r="AV226" s="449">
        <f t="shared" ref="AV226:AX240" si="239">BI226</f>
        <v>0</v>
      </c>
      <c r="AW226" s="449">
        <f t="shared" si="239"/>
        <v>373.31166666666667</v>
      </c>
      <c r="AX226" s="449">
        <f t="shared" si="239"/>
        <v>373.31166666666667</v>
      </c>
      <c r="AY226" s="449">
        <f t="shared" si="230"/>
        <v>373.31166666666667</v>
      </c>
      <c r="AZ226" s="449">
        <f t="shared" si="230"/>
        <v>373.31166666666667</v>
      </c>
      <c r="BA226" s="449">
        <f t="shared" si="230"/>
        <v>373.31166666666667</v>
      </c>
      <c r="BB226" s="449">
        <f t="shared" si="222"/>
        <v>373.31166666666667</v>
      </c>
      <c r="BC226" s="449">
        <f t="shared" si="222"/>
        <v>373.31166666666667</v>
      </c>
      <c r="BD226" s="449">
        <f t="shared" si="222"/>
        <v>373.31166666666667</v>
      </c>
      <c r="BE226" s="449">
        <f t="shared" si="222"/>
        <v>373.31166666666667</v>
      </c>
      <c r="BF226" s="449">
        <f t="shared" si="222"/>
        <v>373.31166666666667</v>
      </c>
      <c r="BG226" s="449">
        <f t="shared" si="222"/>
        <v>746.62333333333333</v>
      </c>
      <c r="BH226" s="400"/>
      <c r="BI226" s="449">
        <v>0</v>
      </c>
      <c r="BJ226" s="449">
        <f>SUM('FY19 Staffing V1-1 (3)'!$Q$121:$R$121,'FY19 Staffing V1-1 (3)'!$T$121:$U$121)/12</f>
        <v>373.31166666666667</v>
      </c>
      <c r="BK226" s="449">
        <f>SUM('FY19 Staffing V1-1 (3)'!$Q$121:$R$121,'FY19 Staffing V1-1 (3)'!$T$121:$U$121)/12</f>
        <v>373.31166666666667</v>
      </c>
      <c r="BL226" s="449">
        <f>SUM('FY19 Staffing V1-1 (3)'!$Q$121:$R$121,'FY19 Staffing V1-1 (3)'!$T$121:$U$121)/12</f>
        <v>373.31166666666667</v>
      </c>
      <c r="BM226" s="449">
        <f>SUM('FY19 Staffing V1-1 (3)'!$Q$121:$R$121,'FY19 Staffing V1-1 (3)'!$T$121:$U$121)/12</f>
        <v>373.31166666666667</v>
      </c>
      <c r="BN226" s="449">
        <f>SUM('FY19 Staffing V1-1 (3)'!$Q$121:$R$121,'FY19 Staffing V1-1 (3)'!$T$121:$U$121)/12</f>
        <v>373.31166666666667</v>
      </c>
      <c r="BO226" s="449">
        <f>SUM('FY19 Staffing V1-1 (3)'!$Q$121:$R$121,'FY19 Staffing V1-1 (3)'!$T$121:$U$121)/12</f>
        <v>373.31166666666667</v>
      </c>
      <c r="BP226" s="449">
        <f>SUM('FY19 Staffing V1-1 (3)'!$Q$121:$R$121,'FY19 Staffing V1-1 (3)'!$T$121:$U$121)/12</f>
        <v>373.31166666666667</v>
      </c>
      <c r="BQ226" s="449">
        <f>SUM('FY19 Staffing V1-1 (3)'!$Q$121:$R$121,'FY19 Staffing V1-1 (3)'!$T$121:$U$121)/12</f>
        <v>373.31166666666667</v>
      </c>
      <c r="BR226" s="449">
        <f>SUM('FY19 Staffing V1-1 (3)'!$Q$121:$R$121,'FY19 Staffing V1-1 (3)'!$T$121:$U$121)/12</f>
        <v>373.31166666666667</v>
      </c>
      <c r="BS226" s="449">
        <f>SUM('FY19 Staffing V1-1 (3)'!$Q$121:$R$121,'FY19 Staffing V1-1 (3)'!$T$121:$U$121)/12</f>
        <v>373.31166666666667</v>
      </c>
      <c r="BT226" s="449">
        <f>SUM('FY19 Staffing V1-1 (3)'!$Q$121:$R$121,'FY19 Staffing V1-1 (3)'!$T$121:$U$121)/12*2</f>
        <v>746.62333333333333</v>
      </c>
    </row>
    <row r="227" spans="1:72" ht="15" x14ac:dyDescent="0.25">
      <c r="A227" s="502" t="s">
        <v>381</v>
      </c>
      <c r="B227" s="502" t="s">
        <v>382</v>
      </c>
      <c r="C227" s="541"/>
      <c r="D227" s="500">
        <f t="shared" si="231"/>
        <v>5044</v>
      </c>
      <c r="E227" s="449">
        <v>5044</v>
      </c>
      <c r="F227" s="449">
        <f t="shared" si="225"/>
        <v>0</v>
      </c>
      <c r="G227" s="421">
        <f t="shared" si="232"/>
        <v>0</v>
      </c>
      <c r="H227" s="449">
        <v>5044</v>
      </c>
      <c r="I227" s="449">
        <f t="shared" si="233"/>
        <v>0</v>
      </c>
      <c r="J227" s="426">
        <f t="shared" si="234"/>
        <v>0</v>
      </c>
      <c r="K227" s="421"/>
      <c r="L227" s="449">
        <v>26.89</v>
      </c>
      <c r="M227" s="449">
        <v>511.89</v>
      </c>
      <c r="N227" s="449">
        <v>838.15000000000009</v>
      </c>
      <c r="O227" s="449">
        <v>2150.0500000000002</v>
      </c>
      <c r="P227" s="449">
        <v>817.17999999999938</v>
      </c>
      <c r="Q227" s="449">
        <v>567.13000000000011</v>
      </c>
      <c r="R227" s="449">
        <f>($H227-SUM($L227:Q227))/R$694</f>
        <v>22.118333333333339</v>
      </c>
      <c r="S227" s="449">
        <f>($H227-SUM($L227:R227))/S$694</f>
        <v>22.118333333333432</v>
      </c>
      <c r="T227" s="449">
        <f>($H227-SUM($L227:S227))/T$694</f>
        <v>22.118333333333339</v>
      </c>
      <c r="U227" s="449">
        <f>($H227-SUM($L227:T227))/U$694</f>
        <v>22.118333333333187</v>
      </c>
      <c r="V227" s="449">
        <f>($H227-SUM($L227:U227))/V$694</f>
        <v>22.118333333333339</v>
      </c>
      <c r="W227" s="449">
        <f>($H227-SUM($L227:V227))/W$694</f>
        <v>22.118333333333794</v>
      </c>
      <c r="X227" s="449"/>
      <c r="Y227" s="449">
        <f t="shared" si="235"/>
        <v>5044</v>
      </c>
      <c r="Z227" s="531"/>
      <c r="AA227" s="449">
        <f t="shared" si="229"/>
        <v>420.33333333333331</v>
      </c>
      <c r="AB227" s="449">
        <f t="shared" si="229"/>
        <v>420.33333333333331</v>
      </c>
      <c r="AC227" s="449">
        <f t="shared" si="229"/>
        <v>420.33333333333331</v>
      </c>
      <c r="AD227" s="449">
        <f t="shared" si="229"/>
        <v>420.33333333333331</v>
      </c>
      <c r="AE227" s="449">
        <f t="shared" si="229"/>
        <v>420.33333333333331</v>
      </c>
      <c r="AF227" s="449">
        <f t="shared" si="229"/>
        <v>420.33333333333331</v>
      </c>
      <c r="AG227" s="449">
        <f t="shared" si="229"/>
        <v>420.33333333333331</v>
      </c>
      <c r="AH227" s="449">
        <f t="shared" si="229"/>
        <v>420.33333333333331</v>
      </c>
      <c r="AI227" s="449">
        <f t="shared" si="229"/>
        <v>420.33333333333331</v>
      </c>
      <c r="AJ227" s="449">
        <f t="shared" si="229"/>
        <v>420.33333333333331</v>
      </c>
      <c r="AK227" s="449">
        <f t="shared" si="229"/>
        <v>420.33333333333331</v>
      </c>
      <c r="AL227" s="449">
        <f t="shared" si="229"/>
        <v>420.33333333333331</v>
      </c>
      <c r="AN227" s="500">
        <f t="shared" si="236"/>
        <v>5044</v>
      </c>
      <c r="AO227" s="449">
        <f t="shared" si="237"/>
        <v>5108.2850000000008</v>
      </c>
      <c r="AP227" s="449">
        <f t="shared" si="226"/>
        <v>64.285000000000764</v>
      </c>
      <c r="AQ227" s="453">
        <f t="shared" si="227"/>
        <v>1.2744845360824894E-2</v>
      </c>
      <c r="AR227" s="449">
        <f t="shared" si="211"/>
        <v>5108.2850000000008</v>
      </c>
      <c r="AS227" s="449">
        <f t="shared" si="228"/>
        <v>0</v>
      </c>
      <c r="AT227" s="426">
        <f t="shared" si="238"/>
        <v>0</v>
      </c>
      <c r="AU227" s="421"/>
      <c r="AV227" s="449">
        <f t="shared" si="239"/>
        <v>0</v>
      </c>
      <c r="AW227" s="449">
        <f t="shared" si="239"/>
        <v>425.69041666666675</v>
      </c>
      <c r="AX227" s="449">
        <f t="shared" si="239"/>
        <v>425.69041666666675</v>
      </c>
      <c r="AY227" s="449">
        <f t="shared" si="230"/>
        <v>425.69041666666675</v>
      </c>
      <c r="AZ227" s="449">
        <f t="shared" si="230"/>
        <v>425.69041666666675</v>
      </c>
      <c r="BA227" s="449">
        <f t="shared" si="230"/>
        <v>425.69041666666675</v>
      </c>
      <c r="BB227" s="449">
        <f t="shared" si="222"/>
        <v>425.69041666666675</v>
      </c>
      <c r="BC227" s="449">
        <f t="shared" si="222"/>
        <v>425.69041666666675</v>
      </c>
      <c r="BD227" s="449">
        <f t="shared" si="222"/>
        <v>425.69041666666675</v>
      </c>
      <c r="BE227" s="449">
        <f t="shared" si="222"/>
        <v>425.69041666666675</v>
      </c>
      <c r="BF227" s="449">
        <f t="shared" si="222"/>
        <v>425.69041666666675</v>
      </c>
      <c r="BG227" s="449">
        <f t="shared" si="222"/>
        <v>851.3808333333335</v>
      </c>
      <c r="BH227" s="400"/>
      <c r="BI227" s="449">
        <v>0</v>
      </c>
      <c r="BJ227" s="449">
        <f>SUM('FY19 Staffing V1-1 (3)'!$W$122)/12</f>
        <v>425.69041666666675</v>
      </c>
      <c r="BK227" s="449">
        <f>SUM('FY19 Staffing V1-1 (3)'!$W$122)/12</f>
        <v>425.69041666666675</v>
      </c>
      <c r="BL227" s="449">
        <f>SUM('FY19 Staffing V1-1 (3)'!$W$122)/12</f>
        <v>425.69041666666675</v>
      </c>
      <c r="BM227" s="449">
        <f>SUM('FY19 Staffing V1-1 (3)'!$W$122)/12</f>
        <v>425.69041666666675</v>
      </c>
      <c r="BN227" s="449">
        <f>SUM('FY19 Staffing V1-1 (3)'!$W$122)/12</f>
        <v>425.69041666666675</v>
      </c>
      <c r="BO227" s="449">
        <f>SUM('FY19 Staffing V1-1 (3)'!$W$122)/12</f>
        <v>425.69041666666675</v>
      </c>
      <c r="BP227" s="449">
        <f>SUM('FY19 Staffing V1-1 (3)'!$W$122)/12</f>
        <v>425.69041666666675</v>
      </c>
      <c r="BQ227" s="449">
        <f>SUM('FY19 Staffing V1-1 (3)'!$W$122)/12</f>
        <v>425.69041666666675</v>
      </c>
      <c r="BR227" s="449">
        <f>SUM('FY19 Staffing V1-1 (3)'!$W$122)/12</f>
        <v>425.69041666666675</v>
      </c>
      <c r="BS227" s="449">
        <f>SUM('FY19 Staffing V1-1 (3)'!$W$122)/12</f>
        <v>425.69041666666675</v>
      </c>
      <c r="BT227" s="449">
        <f>SUM('FY19 Staffing V1-1 (3)'!$W$122)/12*2</f>
        <v>851.3808333333335</v>
      </c>
    </row>
    <row r="228" spans="1:72" ht="15" hidden="1" x14ac:dyDescent="0.25">
      <c r="A228" s="502" t="s">
        <v>383</v>
      </c>
      <c r="B228" s="502" t="s">
        <v>384</v>
      </c>
      <c r="C228" s="541"/>
      <c r="D228" s="500">
        <f t="shared" si="231"/>
        <v>0</v>
      </c>
      <c r="E228" s="449">
        <v>0</v>
      </c>
      <c r="F228" s="449">
        <f t="shared" si="225"/>
        <v>0</v>
      </c>
      <c r="G228" s="421">
        <f t="shared" si="232"/>
        <v>0</v>
      </c>
      <c r="H228" s="449">
        <v>0</v>
      </c>
      <c r="I228" s="449">
        <f t="shared" si="233"/>
        <v>0</v>
      </c>
      <c r="J228" s="426">
        <f t="shared" si="234"/>
        <v>0</v>
      </c>
      <c r="K228" s="421"/>
      <c r="L228" s="449">
        <v>0</v>
      </c>
      <c r="M228" s="449">
        <v>0</v>
      </c>
      <c r="N228" s="449">
        <v>0</v>
      </c>
      <c r="O228" s="449">
        <v>0</v>
      </c>
      <c r="P228" s="449">
        <v>0</v>
      </c>
      <c r="Q228" s="449">
        <v>0</v>
      </c>
      <c r="R228" s="449">
        <f>($H228-SUM($L228:Q228))/R$694</f>
        <v>0</v>
      </c>
      <c r="S228" s="449">
        <f>($H228-SUM($L228:R228))/S$694</f>
        <v>0</v>
      </c>
      <c r="T228" s="449">
        <f>($H228-SUM($L228:S228))/T$694</f>
        <v>0</v>
      </c>
      <c r="U228" s="449">
        <f>($H228-SUM($L228:T228))/U$694</f>
        <v>0</v>
      </c>
      <c r="V228" s="449">
        <f>($H228-SUM($L228:U228))/V$694</f>
        <v>0</v>
      </c>
      <c r="W228" s="449">
        <f>($H228-SUM($L228:V228))/W$694</f>
        <v>0</v>
      </c>
      <c r="X228" s="449"/>
      <c r="Y228" s="449">
        <f t="shared" si="235"/>
        <v>0</v>
      </c>
      <c r="Z228" s="531"/>
      <c r="AA228" s="449">
        <f t="shared" si="229"/>
        <v>0</v>
      </c>
      <c r="AB228" s="449">
        <f t="shared" si="229"/>
        <v>0</v>
      </c>
      <c r="AC228" s="449">
        <f t="shared" si="229"/>
        <v>0</v>
      </c>
      <c r="AD228" s="449">
        <f t="shared" si="229"/>
        <v>0</v>
      </c>
      <c r="AE228" s="449">
        <f t="shared" si="229"/>
        <v>0</v>
      </c>
      <c r="AF228" s="449">
        <f t="shared" si="229"/>
        <v>0</v>
      </c>
      <c r="AG228" s="449">
        <f t="shared" si="229"/>
        <v>0</v>
      </c>
      <c r="AH228" s="449">
        <f t="shared" si="229"/>
        <v>0</v>
      </c>
      <c r="AI228" s="449">
        <f t="shared" si="229"/>
        <v>0</v>
      </c>
      <c r="AJ228" s="449">
        <f t="shared" si="229"/>
        <v>0</v>
      </c>
      <c r="AK228" s="449">
        <f t="shared" si="229"/>
        <v>0</v>
      </c>
      <c r="AL228" s="449">
        <f t="shared" si="229"/>
        <v>0</v>
      </c>
      <c r="AN228" s="500">
        <f t="shared" si="236"/>
        <v>0</v>
      </c>
      <c r="AO228" s="449">
        <f t="shared" si="237"/>
        <v>0</v>
      </c>
      <c r="AP228" s="449">
        <f t="shared" si="226"/>
        <v>0</v>
      </c>
      <c r="AQ228" s="453" t="str">
        <f t="shared" si="227"/>
        <v>-</v>
      </c>
      <c r="AR228" s="449">
        <f t="shared" si="211"/>
        <v>0</v>
      </c>
      <c r="AS228" s="449">
        <f t="shared" si="228"/>
        <v>0</v>
      </c>
      <c r="AT228" s="426">
        <f t="shared" si="238"/>
        <v>0</v>
      </c>
      <c r="AU228" s="421"/>
      <c r="AV228" s="449">
        <f t="shared" si="239"/>
        <v>0</v>
      </c>
      <c r="AW228" s="449">
        <f t="shared" si="239"/>
        <v>0</v>
      </c>
      <c r="AX228" s="449">
        <f t="shared" si="239"/>
        <v>0</v>
      </c>
      <c r="AY228" s="449">
        <f t="shared" si="230"/>
        <v>0</v>
      </c>
      <c r="AZ228" s="449">
        <f t="shared" si="230"/>
        <v>0</v>
      </c>
      <c r="BA228" s="449">
        <f t="shared" si="230"/>
        <v>0</v>
      </c>
      <c r="BB228" s="449">
        <f t="shared" si="222"/>
        <v>0</v>
      </c>
      <c r="BC228" s="449">
        <f t="shared" si="222"/>
        <v>0</v>
      </c>
      <c r="BD228" s="449">
        <f t="shared" si="222"/>
        <v>0</v>
      </c>
      <c r="BE228" s="449">
        <f t="shared" si="222"/>
        <v>0</v>
      </c>
      <c r="BF228" s="449">
        <f t="shared" si="222"/>
        <v>0</v>
      </c>
      <c r="BG228" s="449">
        <f t="shared" si="222"/>
        <v>0</v>
      </c>
      <c r="BH228" s="400"/>
      <c r="BI228" s="449">
        <v>0</v>
      </c>
      <c r="BJ228" s="449">
        <v>0</v>
      </c>
      <c r="BK228" s="449">
        <v>0</v>
      </c>
      <c r="BL228" s="449">
        <v>0</v>
      </c>
      <c r="BM228" s="449">
        <v>0</v>
      </c>
      <c r="BN228" s="449">
        <v>0</v>
      </c>
      <c r="BO228" s="449">
        <v>0</v>
      </c>
      <c r="BP228" s="449">
        <v>0</v>
      </c>
      <c r="BQ228" s="449">
        <v>0</v>
      </c>
      <c r="BR228" s="449">
        <v>0</v>
      </c>
      <c r="BS228" s="449">
        <v>0</v>
      </c>
      <c r="BT228" s="449">
        <v>0</v>
      </c>
    </row>
    <row r="229" spans="1:72" ht="15" hidden="1" x14ac:dyDescent="0.25">
      <c r="A229" s="502" t="s">
        <v>385</v>
      </c>
      <c r="B229" s="502" t="s">
        <v>386</v>
      </c>
      <c r="C229" s="541"/>
      <c r="D229" s="500">
        <f t="shared" si="231"/>
        <v>0</v>
      </c>
      <c r="E229" s="449">
        <v>0</v>
      </c>
      <c r="F229" s="449">
        <f t="shared" si="225"/>
        <v>0</v>
      </c>
      <c r="G229" s="421">
        <f t="shared" si="232"/>
        <v>0</v>
      </c>
      <c r="H229" s="449">
        <v>0</v>
      </c>
      <c r="I229" s="449">
        <f t="shared" si="233"/>
        <v>0</v>
      </c>
      <c r="J229" s="426">
        <f t="shared" si="234"/>
        <v>0</v>
      </c>
      <c r="K229" s="421"/>
      <c r="L229" s="449">
        <v>0</v>
      </c>
      <c r="M229" s="449">
        <v>0</v>
      </c>
      <c r="N229" s="449">
        <v>0</v>
      </c>
      <c r="O229" s="449">
        <v>0</v>
      </c>
      <c r="P229" s="449">
        <v>0</v>
      </c>
      <c r="Q229" s="449">
        <v>0</v>
      </c>
      <c r="R229" s="449">
        <f>($H229-SUM($L229:Q229))/R$694</f>
        <v>0</v>
      </c>
      <c r="S229" s="449">
        <f>($H229-SUM($L229:R229))/S$694</f>
        <v>0</v>
      </c>
      <c r="T229" s="449">
        <f>($H229-SUM($L229:S229))/T$694</f>
        <v>0</v>
      </c>
      <c r="U229" s="449">
        <f>($H229-SUM($L229:T229))/U$694</f>
        <v>0</v>
      </c>
      <c r="V229" s="449">
        <f>($H229-SUM($L229:U229))/V$694</f>
        <v>0</v>
      </c>
      <c r="W229" s="449">
        <f>($H229-SUM($L229:V229))/W$694</f>
        <v>0</v>
      </c>
      <c r="X229" s="449"/>
      <c r="Y229" s="449">
        <f t="shared" si="235"/>
        <v>0</v>
      </c>
      <c r="Z229" s="531"/>
      <c r="AA229" s="449">
        <f t="shared" si="229"/>
        <v>0</v>
      </c>
      <c r="AB229" s="449">
        <f t="shared" si="229"/>
        <v>0</v>
      </c>
      <c r="AC229" s="449">
        <f t="shared" si="229"/>
        <v>0</v>
      </c>
      <c r="AD229" s="449">
        <f t="shared" si="229"/>
        <v>0</v>
      </c>
      <c r="AE229" s="449">
        <f t="shared" si="229"/>
        <v>0</v>
      </c>
      <c r="AF229" s="449">
        <f t="shared" si="229"/>
        <v>0</v>
      </c>
      <c r="AG229" s="449">
        <f t="shared" si="229"/>
        <v>0</v>
      </c>
      <c r="AH229" s="449">
        <f t="shared" si="229"/>
        <v>0</v>
      </c>
      <c r="AI229" s="449">
        <f t="shared" si="229"/>
        <v>0</v>
      </c>
      <c r="AJ229" s="449">
        <f t="shared" si="229"/>
        <v>0</v>
      </c>
      <c r="AK229" s="449">
        <f t="shared" si="229"/>
        <v>0</v>
      </c>
      <c r="AL229" s="449">
        <f t="shared" si="229"/>
        <v>0</v>
      </c>
      <c r="AN229" s="500">
        <f t="shared" si="236"/>
        <v>0</v>
      </c>
      <c r="AO229" s="449">
        <f t="shared" si="237"/>
        <v>0</v>
      </c>
      <c r="AP229" s="449">
        <f t="shared" si="226"/>
        <v>0</v>
      </c>
      <c r="AQ229" s="453" t="str">
        <f t="shared" si="227"/>
        <v>-</v>
      </c>
      <c r="AR229" s="449">
        <f t="shared" si="211"/>
        <v>0</v>
      </c>
      <c r="AS229" s="449">
        <f t="shared" si="228"/>
        <v>0</v>
      </c>
      <c r="AT229" s="426">
        <f t="shared" si="238"/>
        <v>0</v>
      </c>
      <c r="AU229" s="421"/>
      <c r="AV229" s="449">
        <f t="shared" si="239"/>
        <v>0</v>
      </c>
      <c r="AW229" s="449">
        <f t="shared" si="239"/>
        <v>0</v>
      </c>
      <c r="AX229" s="449">
        <f t="shared" si="239"/>
        <v>0</v>
      </c>
      <c r="AY229" s="449">
        <f t="shared" si="230"/>
        <v>0</v>
      </c>
      <c r="AZ229" s="449">
        <f t="shared" si="230"/>
        <v>0</v>
      </c>
      <c r="BA229" s="449">
        <f t="shared" si="230"/>
        <v>0</v>
      </c>
      <c r="BB229" s="449">
        <f t="shared" si="222"/>
        <v>0</v>
      </c>
      <c r="BC229" s="449">
        <f t="shared" si="222"/>
        <v>0</v>
      </c>
      <c r="BD229" s="449">
        <f t="shared" si="222"/>
        <v>0</v>
      </c>
      <c r="BE229" s="449">
        <f t="shared" si="222"/>
        <v>0</v>
      </c>
      <c r="BF229" s="449">
        <f t="shared" si="222"/>
        <v>0</v>
      </c>
      <c r="BG229" s="449">
        <f t="shared" si="222"/>
        <v>0</v>
      </c>
      <c r="BH229" s="400"/>
      <c r="BI229" s="449">
        <v>0</v>
      </c>
      <c r="BJ229" s="449">
        <v>0</v>
      </c>
      <c r="BK229" s="449">
        <v>0</v>
      </c>
      <c r="BL229" s="449">
        <v>0</v>
      </c>
      <c r="BM229" s="449">
        <v>0</v>
      </c>
      <c r="BN229" s="449">
        <v>0</v>
      </c>
      <c r="BO229" s="449">
        <v>0</v>
      </c>
      <c r="BP229" s="449">
        <v>0</v>
      </c>
      <c r="BQ229" s="449">
        <v>0</v>
      </c>
      <c r="BR229" s="449">
        <v>0</v>
      </c>
      <c r="BS229" s="449">
        <v>0</v>
      </c>
      <c r="BT229" s="449">
        <v>0</v>
      </c>
    </row>
    <row r="230" spans="1:72" ht="15" x14ac:dyDescent="0.25">
      <c r="A230" s="502" t="s">
        <v>387</v>
      </c>
      <c r="B230" s="502" t="s">
        <v>388</v>
      </c>
      <c r="C230" s="541"/>
      <c r="D230" s="500">
        <f t="shared" si="231"/>
        <v>5044</v>
      </c>
      <c r="E230" s="449">
        <v>5885</v>
      </c>
      <c r="F230" s="449">
        <f t="shared" si="225"/>
        <v>-841</v>
      </c>
      <c r="G230" s="421">
        <f t="shared" si="232"/>
        <v>-0.14290569243840273</v>
      </c>
      <c r="H230" s="449">
        <v>5044</v>
      </c>
      <c r="I230" s="449">
        <f t="shared" si="233"/>
        <v>0</v>
      </c>
      <c r="J230" s="426">
        <f t="shared" si="234"/>
        <v>0</v>
      </c>
      <c r="K230" s="421"/>
      <c r="L230" s="449">
        <v>0</v>
      </c>
      <c r="M230" s="449">
        <v>0</v>
      </c>
      <c r="N230" s="449">
        <v>0</v>
      </c>
      <c r="O230" s="449">
        <v>1875.87</v>
      </c>
      <c r="P230" s="449">
        <v>607.82999999999993</v>
      </c>
      <c r="Q230" s="449">
        <v>511.39000000000033</v>
      </c>
      <c r="R230" s="449">
        <f>($H230-SUM($L230:Q230))/R$694</f>
        <v>341.48499999999996</v>
      </c>
      <c r="S230" s="449">
        <f>($H230-SUM($L230:R230))/S$694</f>
        <v>341.48499999999996</v>
      </c>
      <c r="T230" s="449">
        <f>($H230-SUM($L230:S230))/T$694</f>
        <v>341.4849999999999</v>
      </c>
      <c r="U230" s="449">
        <f>($H230-SUM($L230:T230))/U$694</f>
        <v>341.48499999999996</v>
      </c>
      <c r="V230" s="449">
        <f>($H230-SUM($L230:U230))/V$694</f>
        <v>341.48500000000013</v>
      </c>
      <c r="W230" s="449">
        <f>($H230-SUM($L230:V230))/W$694</f>
        <v>341.48500000000058</v>
      </c>
      <c r="X230" s="449"/>
      <c r="Y230" s="449">
        <f t="shared" si="235"/>
        <v>5044</v>
      </c>
      <c r="Z230" s="531"/>
      <c r="AA230" s="449">
        <f t="shared" ref="AA230:AL240" si="240">IFERROR($H230/12,0)</f>
        <v>420.33333333333331</v>
      </c>
      <c r="AB230" s="449">
        <f t="shared" si="240"/>
        <v>420.33333333333331</v>
      </c>
      <c r="AC230" s="449">
        <f t="shared" si="240"/>
        <v>420.33333333333331</v>
      </c>
      <c r="AD230" s="449">
        <f t="shared" si="240"/>
        <v>420.33333333333331</v>
      </c>
      <c r="AE230" s="449">
        <f t="shared" si="240"/>
        <v>420.33333333333331</v>
      </c>
      <c r="AF230" s="449">
        <f t="shared" si="240"/>
        <v>420.33333333333331</v>
      </c>
      <c r="AG230" s="449">
        <f t="shared" si="240"/>
        <v>420.33333333333331</v>
      </c>
      <c r="AH230" s="449">
        <f t="shared" si="240"/>
        <v>420.33333333333331</v>
      </c>
      <c r="AI230" s="449">
        <f t="shared" si="240"/>
        <v>420.33333333333331</v>
      </c>
      <c r="AJ230" s="449">
        <f t="shared" si="240"/>
        <v>420.33333333333331</v>
      </c>
      <c r="AK230" s="449">
        <f t="shared" si="240"/>
        <v>420.33333333333331</v>
      </c>
      <c r="AL230" s="449">
        <f t="shared" si="240"/>
        <v>420.33333333333331</v>
      </c>
      <c r="AN230" s="500">
        <f t="shared" si="236"/>
        <v>5044</v>
      </c>
      <c r="AO230" s="449">
        <f t="shared" si="237"/>
        <v>5702.5310081600019</v>
      </c>
      <c r="AP230" s="449">
        <f t="shared" si="226"/>
        <v>658.53100816000187</v>
      </c>
      <c r="AQ230" s="453">
        <f t="shared" si="227"/>
        <v>0.13055729741475058</v>
      </c>
      <c r="AR230" s="449">
        <f t="shared" si="211"/>
        <v>5702.5310081600019</v>
      </c>
      <c r="AS230" s="449">
        <f t="shared" si="228"/>
        <v>0</v>
      </c>
      <c r="AT230" s="426">
        <f t="shared" si="238"/>
        <v>0</v>
      </c>
      <c r="AU230" s="421"/>
      <c r="AV230" s="449">
        <f t="shared" si="239"/>
        <v>0</v>
      </c>
      <c r="AW230" s="449">
        <f t="shared" si="239"/>
        <v>475.21091734666675</v>
      </c>
      <c r="AX230" s="449">
        <f t="shared" si="239"/>
        <v>475.21091734666675</v>
      </c>
      <c r="AY230" s="449">
        <f t="shared" si="230"/>
        <v>475.21091734666675</v>
      </c>
      <c r="AZ230" s="449">
        <f t="shared" si="230"/>
        <v>475.21091734666675</v>
      </c>
      <c r="BA230" s="449">
        <f t="shared" si="230"/>
        <v>475.21091734666675</v>
      </c>
      <c r="BB230" s="449">
        <f t="shared" si="222"/>
        <v>475.21091734666675</v>
      </c>
      <c r="BC230" s="449">
        <f t="shared" si="222"/>
        <v>475.21091734666675</v>
      </c>
      <c r="BD230" s="449">
        <f t="shared" si="222"/>
        <v>475.21091734666675</v>
      </c>
      <c r="BE230" s="449">
        <f t="shared" si="222"/>
        <v>475.21091734666675</v>
      </c>
      <c r="BF230" s="449">
        <f t="shared" si="222"/>
        <v>475.21091734666675</v>
      </c>
      <c r="BG230" s="449">
        <f t="shared" si="222"/>
        <v>950.42183469333349</v>
      </c>
      <c r="BH230" s="400"/>
      <c r="BI230" s="449">
        <v>0</v>
      </c>
      <c r="BJ230" s="449">
        <f>SUM('FY19 Staffing V1-1 (3)'!$W$121)/12</f>
        <v>475.21091734666675</v>
      </c>
      <c r="BK230" s="449">
        <f>SUM('FY19 Staffing V1-1 (3)'!$W$121)/12</f>
        <v>475.21091734666675</v>
      </c>
      <c r="BL230" s="449">
        <f>SUM('FY19 Staffing V1-1 (3)'!$W$121)/12</f>
        <v>475.21091734666675</v>
      </c>
      <c r="BM230" s="449">
        <f>SUM('FY19 Staffing V1-1 (3)'!$W$121)/12</f>
        <v>475.21091734666675</v>
      </c>
      <c r="BN230" s="449">
        <f>SUM('FY19 Staffing V1-1 (3)'!$W$121)/12</f>
        <v>475.21091734666675</v>
      </c>
      <c r="BO230" s="449">
        <f>SUM('FY19 Staffing V1-1 (3)'!$W$121)/12</f>
        <v>475.21091734666675</v>
      </c>
      <c r="BP230" s="449">
        <f>SUM('FY19 Staffing V1-1 (3)'!$W$121)/12</f>
        <v>475.21091734666675</v>
      </c>
      <c r="BQ230" s="449">
        <f>SUM('FY19 Staffing V1-1 (3)'!$W$121)/12</f>
        <v>475.21091734666675</v>
      </c>
      <c r="BR230" s="449">
        <f>SUM('FY19 Staffing V1-1 (3)'!$W$121)/12</f>
        <v>475.21091734666675</v>
      </c>
      <c r="BS230" s="449">
        <f>SUM('FY19 Staffing V1-1 (3)'!$W$121)/12</f>
        <v>475.21091734666675</v>
      </c>
      <c r="BT230" s="449">
        <f>SUM('FY19 Staffing V1-1 (3)'!$W$121)/12*2</f>
        <v>950.42183469333349</v>
      </c>
    </row>
    <row r="231" spans="1:72" ht="15" customHeight="1" x14ac:dyDescent="0.25">
      <c r="A231" s="502" t="s">
        <v>389</v>
      </c>
      <c r="B231" s="502" t="s">
        <v>390</v>
      </c>
      <c r="C231" s="541"/>
      <c r="D231" s="500">
        <f t="shared" si="231"/>
        <v>1300</v>
      </c>
      <c r="E231" s="449">
        <v>1450</v>
      </c>
      <c r="F231" s="449">
        <f t="shared" si="225"/>
        <v>-150</v>
      </c>
      <c r="G231" s="421">
        <f t="shared" si="232"/>
        <v>-0.10344827586206896</v>
      </c>
      <c r="H231" s="449">
        <v>1300</v>
      </c>
      <c r="I231" s="449">
        <f t="shared" si="233"/>
        <v>0</v>
      </c>
      <c r="J231" s="426">
        <f t="shared" si="234"/>
        <v>0</v>
      </c>
      <c r="K231" s="421"/>
      <c r="L231" s="449">
        <v>0</v>
      </c>
      <c r="M231" s="449">
        <v>120</v>
      </c>
      <c r="N231" s="449">
        <v>105</v>
      </c>
      <c r="O231" s="449">
        <v>220</v>
      </c>
      <c r="P231" s="449">
        <v>100</v>
      </c>
      <c r="Q231" s="449">
        <v>125</v>
      </c>
      <c r="R231" s="449">
        <f>($H231-SUM($L231:Q231))/R$694</f>
        <v>105</v>
      </c>
      <c r="S231" s="449">
        <f>($H231-SUM($L231:R231))/S$694</f>
        <v>105</v>
      </c>
      <c r="T231" s="449">
        <f>($H231-SUM($L231:S231))/T$694</f>
        <v>105</v>
      </c>
      <c r="U231" s="449">
        <f>($H231-SUM($L231:T231))/U$694</f>
        <v>105</v>
      </c>
      <c r="V231" s="449">
        <f>($H231-SUM($L231:U231))/V$694</f>
        <v>105</v>
      </c>
      <c r="W231" s="449">
        <f>($H231-SUM($L231:V231))/W$694</f>
        <v>105</v>
      </c>
      <c r="X231" s="449"/>
      <c r="Y231" s="449">
        <f t="shared" si="235"/>
        <v>1300</v>
      </c>
      <c r="Z231" s="531"/>
      <c r="AA231" s="449">
        <f t="shared" si="240"/>
        <v>108.33333333333333</v>
      </c>
      <c r="AB231" s="449">
        <f t="shared" si="240"/>
        <v>108.33333333333333</v>
      </c>
      <c r="AC231" s="449">
        <f t="shared" si="240"/>
        <v>108.33333333333333</v>
      </c>
      <c r="AD231" s="449">
        <f t="shared" si="240"/>
        <v>108.33333333333333</v>
      </c>
      <c r="AE231" s="449">
        <f t="shared" si="240"/>
        <v>108.33333333333333</v>
      </c>
      <c r="AF231" s="449">
        <f t="shared" si="240"/>
        <v>108.33333333333333</v>
      </c>
      <c r="AG231" s="449">
        <f t="shared" si="240"/>
        <v>108.33333333333333</v>
      </c>
      <c r="AH231" s="449">
        <f t="shared" si="240"/>
        <v>108.33333333333333</v>
      </c>
      <c r="AI231" s="449">
        <f t="shared" si="240"/>
        <v>108.33333333333333</v>
      </c>
      <c r="AJ231" s="449">
        <f t="shared" si="240"/>
        <v>108.33333333333333</v>
      </c>
      <c r="AK231" s="449">
        <f t="shared" si="240"/>
        <v>108.33333333333333</v>
      </c>
      <c r="AL231" s="449">
        <f t="shared" si="240"/>
        <v>108.33333333333333</v>
      </c>
      <c r="AN231" s="500">
        <f t="shared" si="236"/>
        <v>1300</v>
      </c>
      <c r="AO231" s="449">
        <f t="shared" si="237"/>
        <v>1339.0000000000002</v>
      </c>
      <c r="AP231" s="449">
        <f t="shared" si="226"/>
        <v>39.000000000000227</v>
      </c>
      <c r="AQ231" s="453">
        <f t="shared" si="227"/>
        <v>3.0000000000000176E-2</v>
      </c>
      <c r="AR231" s="449">
        <f t="shared" si="211"/>
        <v>1339.0000000000002</v>
      </c>
      <c r="AS231" s="449">
        <f t="shared" si="228"/>
        <v>0</v>
      </c>
      <c r="AT231" s="426">
        <f t="shared" si="238"/>
        <v>0</v>
      </c>
      <c r="AU231" s="421"/>
      <c r="AV231" s="449">
        <f t="shared" si="239"/>
        <v>0</v>
      </c>
      <c r="AW231" s="449">
        <f t="shared" si="239"/>
        <v>111.58333333333333</v>
      </c>
      <c r="AX231" s="449">
        <f t="shared" si="239"/>
        <v>111.58333333333333</v>
      </c>
      <c r="AY231" s="449">
        <f t="shared" si="230"/>
        <v>111.58333333333333</v>
      </c>
      <c r="AZ231" s="449">
        <f t="shared" si="230"/>
        <v>111.58333333333333</v>
      </c>
      <c r="BA231" s="449">
        <f t="shared" si="230"/>
        <v>111.58333333333333</v>
      </c>
      <c r="BB231" s="449">
        <f t="shared" si="222"/>
        <v>111.58333333333333</v>
      </c>
      <c r="BC231" s="449">
        <f t="shared" si="222"/>
        <v>111.58333333333333</v>
      </c>
      <c r="BD231" s="449">
        <f t="shared" si="222"/>
        <v>111.58333333333333</v>
      </c>
      <c r="BE231" s="449">
        <f t="shared" si="222"/>
        <v>111.58333333333333</v>
      </c>
      <c r="BF231" s="449">
        <f t="shared" si="222"/>
        <v>111.58333333333333</v>
      </c>
      <c r="BG231" s="449">
        <f t="shared" si="222"/>
        <v>223.16666666666666</v>
      </c>
      <c r="BH231" s="400"/>
      <c r="BI231" s="449">
        <v>0</v>
      </c>
      <c r="BJ231" s="449">
        <f>SUM('FY19 Staffing V1-1 (3)'!$S$122)/12</f>
        <v>111.58333333333333</v>
      </c>
      <c r="BK231" s="449">
        <f>SUM('FY19 Staffing V1-1 (3)'!$S$122)/12</f>
        <v>111.58333333333333</v>
      </c>
      <c r="BL231" s="449">
        <f>SUM('FY19 Staffing V1-1 (3)'!$S$122)/12</f>
        <v>111.58333333333333</v>
      </c>
      <c r="BM231" s="449">
        <f>SUM('FY19 Staffing V1-1 (3)'!$S$122)/12</f>
        <v>111.58333333333333</v>
      </c>
      <c r="BN231" s="449">
        <f>SUM('FY19 Staffing V1-1 (3)'!$S$122)/12</f>
        <v>111.58333333333333</v>
      </c>
      <c r="BO231" s="449">
        <f>SUM('FY19 Staffing V1-1 (3)'!$S$122)/12</f>
        <v>111.58333333333333</v>
      </c>
      <c r="BP231" s="449">
        <f>SUM('FY19 Staffing V1-1 (3)'!$S$122)/12</f>
        <v>111.58333333333333</v>
      </c>
      <c r="BQ231" s="449">
        <f>SUM('FY19 Staffing V1-1 (3)'!$S$122)/12</f>
        <v>111.58333333333333</v>
      </c>
      <c r="BR231" s="449">
        <f>SUM('FY19 Staffing V1-1 (3)'!$S$122)/12</f>
        <v>111.58333333333333</v>
      </c>
      <c r="BS231" s="449">
        <f>SUM('FY19 Staffing V1-1 (3)'!$S$122)/12</f>
        <v>111.58333333333333</v>
      </c>
      <c r="BT231" s="449">
        <f>SUM('FY19 Staffing V1-1 (3)'!$S$122)/12*2</f>
        <v>223.16666666666666</v>
      </c>
    </row>
    <row r="232" spans="1:72" ht="15" customHeight="1" x14ac:dyDescent="0.25">
      <c r="A232" s="502" t="s">
        <v>391</v>
      </c>
      <c r="B232" s="502" t="s">
        <v>392</v>
      </c>
      <c r="C232" s="541"/>
      <c r="D232" s="500">
        <f t="shared" si="231"/>
        <v>1451</v>
      </c>
      <c r="E232" s="449">
        <v>1693</v>
      </c>
      <c r="F232" s="449">
        <f t="shared" si="225"/>
        <v>-242</v>
      </c>
      <c r="G232" s="421">
        <f t="shared" si="232"/>
        <v>-0.14294152392203188</v>
      </c>
      <c r="H232" s="449">
        <v>1451</v>
      </c>
      <c r="I232" s="449">
        <f t="shared" si="233"/>
        <v>0</v>
      </c>
      <c r="J232" s="426">
        <f t="shared" si="234"/>
        <v>0</v>
      </c>
      <c r="K232" s="421"/>
      <c r="L232" s="449">
        <v>0</v>
      </c>
      <c r="M232" s="449">
        <v>133.97</v>
      </c>
      <c r="N232" s="449">
        <v>117.22</v>
      </c>
      <c r="O232" s="449">
        <v>111.63999999999999</v>
      </c>
      <c r="P232" s="449">
        <v>111.64000000000004</v>
      </c>
      <c r="Q232" s="449">
        <v>139.54999999999995</v>
      </c>
      <c r="R232" s="449">
        <f>($H232-SUM($L232:Q232))/R$694</f>
        <v>139.49666666666667</v>
      </c>
      <c r="S232" s="449">
        <f>($H232-SUM($L232:R232))/S$694</f>
        <v>139.49666666666667</v>
      </c>
      <c r="T232" s="449">
        <f>($H232-SUM($L232:S232))/T$694</f>
        <v>139.49666666666667</v>
      </c>
      <c r="U232" s="449">
        <f>($H232-SUM($L232:T232))/U$694</f>
        <v>139.49666666666667</v>
      </c>
      <c r="V232" s="449">
        <f>($H232-SUM($L232:U232))/V$694</f>
        <v>139.49666666666667</v>
      </c>
      <c r="W232" s="449">
        <f>($H232-SUM($L232:V232))/W$694</f>
        <v>139.49666666666667</v>
      </c>
      <c r="X232" s="449"/>
      <c r="Y232" s="449">
        <f t="shared" si="235"/>
        <v>1451</v>
      </c>
      <c r="Z232" s="531"/>
      <c r="AA232" s="449">
        <f t="shared" si="240"/>
        <v>120.91666666666667</v>
      </c>
      <c r="AB232" s="449">
        <f t="shared" si="240"/>
        <v>120.91666666666667</v>
      </c>
      <c r="AC232" s="449">
        <f t="shared" si="240"/>
        <v>120.91666666666667</v>
      </c>
      <c r="AD232" s="449">
        <f t="shared" si="240"/>
        <v>120.91666666666667</v>
      </c>
      <c r="AE232" s="449">
        <f t="shared" si="240"/>
        <v>120.91666666666667</v>
      </c>
      <c r="AF232" s="449">
        <f t="shared" si="240"/>
        <v>120.91666666666667</v>
      </c>
      <c r="AG232" s="449">
        <f t="shared" si="240"/>
        <v>120.91666666666667</v>
      </c>
      <c r="AH232" s="449">
        <f t="shared" si="240"/>
        <v>120.91666666666667</v>
      </c>
      <c r="AI232" s="449">
        <f t="shared" si="240"/>
        <v>120.91666666666667</v>
      </c>
      <c r="AJ232" s="449">
        <f t="shared" si="240"/>
        <v>120.91666666666667</v>
      </c>
      <c r="AK232" s="449">
        <f t="shared" si="240"/>
        <v>120.91666666666667</v>
      </c>
      <c r="AL232" s="449">
        <f t="shared" si="240"/>
        <v>120.91666666666667</v>
      </c>
      <c r="AN232" s="500">
        <f t="shared" si="236"/>
        <v>1451</v>
      </c>
      <c r="AO232" s="449">
        <f t="shared" si="237"/>
        <v>1494.7699999999998</v>
      </c>
      <c r="AP232" s="449">
        <f t="shared" si="226"/>
        <v>43.769999999999754</v>
      </c>
      <c r="AQ232" s="453">
        <f t="shared" si="227"/>
        <v>3.016540317022726E-2</v>
      </c>
      <c r="AR232" s="449">
        <f t="shared" si="211"/>
        <v>1494.7699999999998</v>
      </c>
      <c r="AS232" s="449">
        <f t="shared" si="228"/>
        <v>0</v>
      </c>
      <c r="AT232" s="426">
        <f t="shared" si="238"/>
        <v>0</v>
      </c>
      <c r="AU232" s="421"/>
      <c r="AV232" s="449">
        <f t="shared" si="239"/>
        <v>0</v>
      </c>
      <c r="AW232" s="449">
        <f t="shared" si="239"/>
        <v>124.56416666666667</v>
      </c>
      <c r="AX232" s="449">
        <f t="shared" si="239"/>
        <v>124.56416666666667</v>
      </c>
      <c r="AY232" s="449">
        <f t="shared" si="230"/>
        <v>124.56416666666667</v>
      </c>
      <c r="AZ232" s="449">
        <f t="shared" si="230"/>
        <v>124.56416666666667</v>
      </c>
      <c r="BA232" s="449">
        <f t="shared" si="230"/>
        <v>124.56416666666667</v>
      </c>
      <c r="BB232" s="449">
        <f t="shared" si="222"/>
        <v>124.56416666666667</v>
      </c>
      <c r="BC232" s="449">
        <f t="shared" si="222"/>
        <v>124.56416666666667</v>
      </c>
      <c r="BD232" s="449">
        <f t="shared" si="222"/>
        <v>124.56416666666667</v>
      </c>
      <c r="BE232" s="449">
        <f t="shared" si="222"/>
        <v>124.56416666666667</v>
      </c>
      <c r="BF232" s="449">
        <f t="shared" si="222"/>
        <v>124.56416666666667</v>
      </c>
      <c r="BG232" s="449">
        <f t="shared" si="222"/>
        <v>249.12833333333333</v>
      </c>
      <c r="BH232" s="400"/>
      <c r="BI232" s="449">
        <v>0</v>
      </c>
      <c r="BJ232" s="449">
        <f>SUM('FY19 Staffing V1-1 (3)'!$S$121)/12</f>
        <v>124.56416666666667</v>
      </c>
      <c r="BK232" s="449">
        <f>SUM('FY19 Staffing V1-1 (3)'!$S$121)/12</f>
        <v>124.56416666666667</v>
      </c>
      <c r="BL232" s="449">
        <f>SUM('FY19 Staffing V1-1 (3)'!$S$121)/12</f>
        <v>124.56416666666667</v>
      </c>
      <c r="BM232" s="449">
        <f>SUM('FY19 Staffing V1-1 (3)'!$S$121)/12</f>
        <v>124.56416666666667</v>
      </c>
      <c r="BN232" s="449">
        <f>SUM('FY19 Staffing V1-1 (3)'!$S$121)/12</f>
        <v>124.56416666666667</v>
      </c>
      <c r="BO232" s="449">
        <f>SUM('FY19 Staffing V1-1 (3)'!$S$121)/12</f>
        <v>124.56416666666667</v>
      </c>
      <c r="BP232" s="449">
        <f>SUM('FY19 Staffing V1-1 (3)'!$S$121)/12</f>
        <v>124.56416666666667</v>
      </c>
      <c r="BQ232" s="449">
        <f>SUM('FY19 Staffing V1-1 (3)'!$S$121)/12</f>
        <v>124.56416666666667</v>
      </c>
      <c r="BR232" s="449">
        <f>SUM('FY19 Staffing V1-1 (3)'!$S$121)/12</f>
        <v>124.56416666666667</v>
      </c>
      <c r="BS232" s="449">
        <f>SUM('FY19 Staffing V1-1 (3)'!$S$121)/12</f>
        <v>124.56416666666667</v>
      </c>
      <c r="BT232" s="449">
        <f>SUM('FY19 Staffing V1-1 (3)'!$S$121)/12*2</f>
        <v>249.12833333333333</v>
      </c>
    </row>
    <row r="233" spans="1:72" ht="15" x14ac:dyDescent="0.25">
      <c r="A233" s="612" t="s">
        <v>393</v>
      </c>
      <c r="B233" s="612" t="s">
        <v>394</v>
      </c>
      <c r="C233" s="538"/>
      <c r="D233" s="500">
        <f t="shared" si="231"/>
        <v>0</v>
      </c>
      <c r="E233" s="449">
        <v>0</v>
      </c>
      <c r="F233" s="449">
        <f t="shared" si="225"/>
        <v>0</v>
      </c>
      <c r="G233" s="421">
        <f t="shared" si="232"/>
        <v>0</v>
      </c>
      <c r="H233" s="449">
        <v>0</v>
      </c>
      <c r="I233" s="449">
        <f t="shared" si="233"/>
        <v>0</v>
      </c>
      <c r="J233" s="426">
        <f t="shared" si="234"/>
        <v>0</v>
      </c>
      <c r="K233" s="421"/>
      <c r="L233" s="449">
        <v>0</v>
      </c>
      <c r="M233" s="449">
        <v>0</v>
      </c>
      <c r="N233" s="449">
        <v>0</v>
      </c>
      <c r="O233" s="449">
        <v>0</v>
      </c>
      <c r="P233" s="449">
        <v>0</v>
      </c>
      <c r="Q233" s="449">
        <v>0</v>
      </c>
      <c r="R233" s="449">
        <f>($H233-SUM($L233:Q233))/R$694</f>
        <v>0</v>
      </c>
      <c r="S233" s="449">
        <f>($H233-SUM($L233:R233))/S$694</f>
        <v>0</v>
      </c>
      <c r="T233" s="449">
        <f>($H233-SUM($L233:S233))/T$694</f>
        <v>0</v>
      </c>
      <c r="U233" s="449">
        <f>($H233-SUM($L233:T233))/U$694</f>
        <v>0</v>
      </c>
      <c r="V233" s="449">
        <f>($H233-SUM($L233:U233))/V$694</f>
        <v>0</v>
      </c>
      <c r="W233" s="449">
        <f>($H233-SUM($L233:V233))/W$694</f>
        <v>0</v>
      </c>
      <c r="X233" s="449"/>
      <c r="Y233" s="449">
        <f t="shared" si="235"/>
        <v>0</v>
      </c>
      <c r="Z233" s="531"/>
      <c r="AA233" s="449">
        <f t="shared" si="240"/>
        <v>0</v>
      </c>
      <c r="AB233" s="449">
        <f t="shared" si="240"/>
        <v>0</v>
      </c>
      <c r="AC233" s="449">
        <f t="shared" si="240"/>
        <v>0</v>
      </c>
      <c r="AD233" s="449">
        <f t="shared" si="240"/>
        <v>0</v>
      </c>
      <c r="AE233" s="449">
        <f t="shared" si="240"/>
        <v>0</v>
      </c>
      <c r="AF233" s="449">
        <f t="shared" si="240"/>
        <v>0</v>
      </c>
      <c r="AG233" s="449">
        <f t="shared" si="240"/>
        <v>0</v>
      </c>
      <c r="AH233" s="449">
        <f t="shared" si="240"/>
        <v>0</v>
      </c>
      <c r="AI233" s="449">
        <f t="shared" si="240"/>
        <v>0</v>
      </c>
      <c r="AJ233" s="449">
        <f t="shared" si="240"/>
        <v>0</v>
      </c>
      <c r="AK233" s="449">
        <f t="shared" si="240"/>
        <v>0</v>
      </c>
      <c r="AL233" s="449">
        <f t="shared" si="240"/>
        <v>0</v>
      </c>
      <c r="AN233" s="500">
        <f t="shared" si="236"/>
        <v>0</v>
      </c>
      <c r="AO233" s="449">
        <f t="shared" si="237"/>
        <v>0</v>
      </c>
      <c r="AP233" s="449">
        <f t="shared" si="226"/>
        <v>0</v>
      </c>
      <c r="AQ233" s="453" t="str">
        <f t="shared" si="227"/>
        <v>-</v>
      </c>
      <c r="AR233" s="449">
        <f t="shared" si="211"/>
        <v>0</v>
      </c>
      <c r="AS233" s="449">
        <f t="shared" si="228"/>
        <v>0</v>
      </c>
      <c r="AT233" s="426">
        <f t="shared" si="238"/>
        <v>0</v>
      </c>
      <c r="AU233" s="421"/>
      <c r="AV233" s="449">
        <f t="shared" si="239"/>
        <v>0</v>
      </c>
      <c r="AW233" s="449">
        <f t="shared" si="239"/>
        <v>0</v>
      </c>
      <c r="AX233" s="449">
        <f t="shared" si="239"/>
        <v>0</v>
      </c>
      <c r="AY233" s="449">
        <f t="shared" si="230"/>
        <v>0</v>
      </c>
      <c r="AZ233" s="449">
        <f t="shared" si="230"/>
        <v>0</v>
      </c>
      <c r="BA233" s="449">
        <f t="shared" si="230"/>
        <v>0</v>
      </c>
      <c r="BB233" s="449">
        <f t="shared" si="222"/>
        <v>0</v>
      </c>
      <c r="BC233" s="449">
        <f t="shared" si="222"/>
        <v>0</v>
      </c>
      <c r="BD233" s="449">
        <f t="shared" si="222"/>
        <v>0</v>
      </c>
      <c r="BE233" s="449">
        <f t="shared" si="222"/>
        <v>0</v>
      </c>
      <c r="BF233" s="449">
        <f t="shared" si="222"/>
        <v>0</v>
      </c>
      <c r="BG233" s="449">
        <f t="shared" si="222"/>
        <v>0</v>
      </c>
      <c r="BH233" s="400"/>
      <c r="BI233" s="449">
        <f t="shared" ref="BI233:BT234" si="241">(IFERROR((($H233/$H$5)*BI$5),0))*BI$696</f>
        <v>0</v>
      </c>
      <c r="BJ233" s="449">
        <f t="shared" si="241"/>
        <v>0</v>
      </c>
      <c r="BK233" s="449">
        <f t="shared" si="241"/>
        <v>0</v>
      </c>
      <c r="BL233" s="449">
        <f t="shared" si="241"/>
        <v>0</v>
      </c>
      <c r="BM233" s="449">
        <f t="shared" si="241"/>
        <v>0</v>
      </c>
      <c r="BN233" s="449">
        <f t="shared" si="241"/>
        <v>0</v>
      </c>
      <c r="BO233" s="449">
        <f t="shared" si="241"/>
        <v>0</v>
      </c>
      <c r="BP233" s="449">
        <f t="shared" si="241"/>
        <v>0</v>
      </c>
      <c r="BQ233" s="449">
        <f t="shared" si="241"/>
        <v>0</v>
      </c>
      <c r="BR233" s="449">
        <f t="shared" si="241"/>
        <v>0</v>
      </c>
      <c r="BS233" s="449">
        <f t="shared" si="241"/>
        <v>0</v>
      </c>
      <c r="BT233" s="449">
        <f t="shared" si="241"/>
        <v>0</v>
      </c>
    </row>
    <row r="234" spans="1:72" ht="15" x14ac:dyDescent="0.25">
      <c r="A234" s="612" t="s">
        <v>395</v>
      </c>
      <c r="B234" s="612" t="s">
        <v>396</v>
      </c>
      <c r="C234" s="541"/>
      <c r="D234" s="500">
        <f t="shared" si="231"/>
        <v>0</v>
      </c>
      <c r="E234" s="449">
        <v>0</v>
      </c>
      <c r="F234" s="449">
        <f t="shared" si="225"/>
        <v>0</v>
      </c>
      <c r="G234" s="421">
        <f t="shared" si="232"/>
        <v>0</v>
      </c>
      <c r="H234" s="449">
        <v>0</v>
      </c>
      <c r="I234" s="449">
        <f t="shared" si="233"/>
        <v>0</v>
      </c>
      <c r="J234" s="426">
        <f t="shared" si="234"/>
        <v>0</v>
      </c>
      <c r="K234" s="421"/>
      <c r="L234" s="449">
        <v>0</v>
      </c>
      <c r="M234" s="449">
        <v>0</v>
      </c>
      <c r="N234" s="449">
        <v>0</v>
      </c>
      <c r="O234" s="449">
        <v>0</v>
      </c>
      <c r="P234" s="449">
        <v>0</v>
      </c>
      <c r="Q234" s="449">
        <v>0</v>
      </c>
      <c r="R234" s="449">
        <f>($H234-SUM($L234:Q234))/R$694</f>
        <v>0</v>
      </c>
      <c r="S234" s="449">
        <f>($H234-SUM($L234:R234))/S$694</f>
        <v>0</v>
      </c>
      <c r="T234" s="449">
        <f>($H234-SUM($L234:S234))/T$694</f>
        <v>0</v>
      </c>
      <c r="U234" s="449">
        <f>($H234-SUM($L234:T234))/U$694</f>
        <v>0</v>
      </c>
      <c r="V234" s="449">
        <f>($H234-SUM($L234:U234))/V$694</f>
        <v>0</v>
      </c>
      <c r="W234" s="449">
        <f>($H234-SUM($L234:V234))/W$694</f>
        <v>0</v>
      </c>
      <c r="X234" s="449"/>
      <c r="Y234" s="449">
        <f t="shared" si="235"/>
        <v>0</v>
      </c>
      <c r="Z234" s="531"/>
      <c r="AA234" s="449">
        <f t="shared" si="240"/>
        <v>0</v>
      </c>
      <c r="AB234" s="449">
        <f t="shared" si="240"/>
        <v>0</v>
      </c>
      <c r="AC234" s="449">
        <f t="shared" si="240"/>
        <v>0</v>
      </c>
      <c r="AD234" s="449">
        <f t="shared" si="240"/>
        <v>0</v>
      </c>
      <c r="AE234" s="449">
        <f t="shared" si="240"/>
        <v>0</v>
      </c>
      <c r="AF234" s="449">
        <f t="shared" si="240"/>
        <v>0</v>
      </c>
      <c r="AG234" s="449">
        <f t="shared" si="240"/>
        <v>0</v>
      </c>
      <c r="AH234" s="449">
        <f t="shared" si="240"/>
        <v>0</v>
      </c>
      <c r="AI234" s="449">
        <f t="shared" si="240"/>
        <v>0</v>
      </c>
      <c r="AJ234" s="449">
        <f t="shared" si="240"/>
        <v>0</v>
      </c>
      <c r="AK234" s="449">
        <f t="shared" si="240"/>
        <v>0</v>
      </c>
      <c r="AL234" s="449">
        <f t="shared" si="240"/>
        <v>0</v>
      </c>
      <c r="AN234" s="500">
        <f>SUM(L234:W234)</f>
        <v>0</v>
      </c>
      <c r="AO234" s="449">
        <f t="shared" si="237"/>
        <v>0</v>
      </c>
      <c r="AP234" s="449">
        <f t="shared" si="226"/>
        <v>0</v>
      </c>
      <c r="AQ234" s="453" t="str">
        <f t="shared" si="227"/>
        <v>-</v>
      </c>
      <c r="AR234" s="449">
        <f t="shared" si="211"/>
        <v>0</v>
      </c>
      <c r="AS234" s="449">
        <f t="shared" si="228"/>
        <v>0</v>
      </c>
      <c r="AT234" s="426">
        <f t="shared" si="238"/>
        <v>0</v>
      </c>
      <c r="AU234" s="421"/>
      <c r="AV234" s="449">
        <f t="shared" si="239"/>
        <v>0</v>
      </c>
      <c r="AW234" s="449">
        <f t="shared" si="239"/>
        <v>0</v>
      </c>
      <c r="AX234" s="449">
        <f t="shared" si="239"/>
        <v>0</v>
      </c>
      <c r="AY234" s="449">
        <f t="shared" si="230"/>
        <v>0</v>
      </c>
      <c r="AZ234" s="449">
        <f t="shared" si="230"/>
        <v>0</v>
      </c>
      <c r="BA234" s="449">
        <f t="shared" si="230"/>
        <v>0</v>
      </c>
      <c r="BB234" s="449">
        <f t="shared" si="222"/>
        <v>0</v>
      </c>
      <c r="BC234" s="449">
        <f t="shared" si="222"/>
        <v>0</v>
      </c>
      <c r="BD234" s="449">
        <f t="shared" si="222"/>
        <v>0</v>
      </c>
      <c r="BE234" s="449">
        <f t="shared" si="222"/>
        <v>0</v>
      </c>
      <c r="BF234" s="449">
        <f t="shared" si="222"/>
        <v>0</v>
      </c>
      <c r="BG234" s="449">
        <f t="shared" si="222"/>
        <v>0</v>
      </c>
      <c r="BH234" s="400"/>
      <c r="BI234" s="449">
        <f t="shared" si="241"/>
        <v>0</v>
      </c>
      <c r="BJ234" s="449">
        <f t="shared" si="241"/>
        <v>0</v>
      </c>
      <c r="BK234" s="449">
        <f t="shared" si="241"/>
        <v>0</v>
      </c>
      <c r="BL234" s="449">
        <f t="shared" si="241"/>
        <v>0</v>
      </c>
      <c r="BM234" s="449">
        <f t="shared" si="241"/>
        <v>0</v>
      </c>
      <c r="BN234" s="449">
        <f t="shared" si="241"/>
        <v>0</v>
      </c>
      <c r="BO234" s="449">
        <f t="shared" si="241"/>
        <v>0</v>
      </c>
      <c r="BP234" s="449">
        <f t="shared" si="241"/>
        <v>0</v>
      </c>
      <c r="BQ234" s="449">
        <f t="shared" si="241"/>
        <v>0</v>
      </c>
      <c r="BR234" s="449">
        <f t="shared" si="241"/>
        <v>0</v>
      </c>
      <c r="BS234" s="449">
        <f t="shared" si="241"/>
        <v>0</v>
      </c>
      <c r="BT234" s="449">
        <f t="shared" si="241"/>
        <v>0</v>
      </c>
    </row>
    <row r="235" spans="1:72" ht="15" x14ac:dyDescent="0.25">
      <c r="A235" s="502" t="s">
        <v>397</v>
      </c>
      <c r="B235" s="502" t="s">
        <v>398</v>
      </c>
      <c r="C235" s="538"/>
      <c r="D235" s="500">
        <f t="shared" si="231"/>
        <v>0</v>
      </c>
      <c r="E235" s="449">
        <v>6430</v>
      </c>
      <c r="F235" s="449">
        <f t="shared" si="225"/>
        <v>-6430</v>
      </c>
      <c r="G235" s="421">
        <f t="shared" si="232"/>
        <v>-1</v>
      </c>
      <c r="H235" s="449">
        <v>0</v>
      </c>
      <c r="I235" s="449">
        <f t="shared" si="233"/>
        <v>0</v>
      </c>
      <c r="J235" s="426">
        <f t="shared" si="234"/>
        <v>0</v>
      </c>
      <c r="K235" s="421"/>
      <c r="L235" s="449">
        <v>0</v>
      </c>
      <c r="M235" s="449">
        <v>0</v>
      </c>
      <c r="N235" s="449">
        <v>0</v>
      </c>
      <c r="O235" s="449">
        <v>0</v>
      </c>
      <c r="P235" s="449">
        <v>0</v>
      </c>
      <c r="Q235" s="449">
        <v>0</v>
      </c>
      <c r="R235" s="449">
        <f>($H235-SUM($L235:Q235))/R$694</f>
        <v>0</v>
      </c>
      <c r="S235" s="449">
        <f>($H235-SUM($L235:R235))/S$694</f>
        <v>0</v>
      </c>
      <c r="T235" s="449">
        <f>($H235-SUM($L235:S235))/T$694</f>
        <v>0</v>
      </c>
      <c r="U235" s="449">
        <f>($H235-SUM($L235:T235))/U$694</f>
        <v>0</v>
      </c>
      <c r="V235" s="449">
        <f>($H235-SUM($L235:U235))/V$694</f>
        <v>0</v>
      </c>
      <c r="W235" s="449">
        <f>($H235-SUM($L235:V235))/W$694</f>
        <v>0</v>
      </c>
      <c r="X235" s="449"/>
      <c r="Y235" s="449">
        <f t="shared" si="235"/>
        <v>0</v>
      </c>
      <c r="Z235" s="531"/>
      <c r="AA235" s="449">
        <f t="shared" si="240"/>
        <v>0</v>
      </c>
      <c r="AB235" s="449">
        <f t="shared" si="240"/>
        <v>0</v>
      </c>
      <c r="AC235" s="449">
        <f t="shared" si="240"/>
        <v>0</v>
      </c>
      <c r="AD235" s="449">
        <f t="shared" si="240"/>
        <v>0</v>
      </c>
      <c r="AE235" s="449">
        <f t="shared" si="240"/>
        <v>0</v>
      </c>
      <c r="AF235" s="449">
        <f t="shared" si="240"/>
        <v>0</v>
      </c>
      <c r="AG235" s="449">
        <f t="shared" si="240"/>
        <v>0</v>
      </c>
      <c r="AH235" s="449">
        <f t="shared" si="240"/>
        <v>0</v>
      </c>
      <c r="AI235" s="449">
        <f t="shared" si="240"/>
        <v>0</v>
      </c>
      <c r="AJ235" s="449">
        <f t="shared" si="240"/>
        <v>0</v>
      </c>
      <c r="AK235" s="449">
        <f t="shared" si="240"/>
        <v>0</v>
      </c>
      <c r="AL235" s="449">
        <f t="shared" si="240"/>
        <v>0</v>
      </c>
      <c r="AN235" s="500">
        <f t="shared" si="236"/>
        <v>0</v>
      </c>
      <c r="AO235" s="449">
        <f t="shared" si="237"/>
        <v>0</v>
      </c>
      <c r="AP235" s="449">
        <f t="shared" si="226"/>
        <v>0</v>
      </c>
      <c r="AQ235" s="453" t="str">
        <f t="shared" si="227"/>
        <v>-</v>
      </c>
      <c r="AR235" s="449">
        <f t="shared" si="211"/>
        <v>0</v>
      </c>
      <c r="AS235" s="449">
        <f t="shared" si="228"/>
        <v>0</v>
      </c>
      <c r="AT235" s="426">
        <f t="shared" si="238"/>
        <v>0</v>
      </c>
      <c r="AU235" s="421"/>
      <c r="AV235" s="449">
        <f t="shared" si="239"/>
        <v>0</v>
      </c>
      <c r="AW235" s="449">
        <f t="shared" si="239"/>
        <v>0</v>
      </c>
      <c r="AX235" s="449">
        <f t="shared" si="239"/>
        <v>0</v>
      </c>
      <c r="AY235" s="449">
        <f t="shared" si="230"/>
        <v>0</v>
      </c>
      <c r="AZ235" s="449">
        <f t="shared" si="230"/>
        <v>0</v>
      </c>
      <c r="BA235" s="449">
        <f t="shared" si="230"/>
        <v>0</v>
      </c>
      <c r="BB235" s="449">
        <f t="shared" si="222"/>
        <v>0</v>
      </c>
      <c r="BC235" s="449">
        <f t="shared" si="222"/>
        <v>0</v>
      </c>
      <c r="BD235" s="449">
        <f t="shared" si="222"/>
        <v>0</v>
      </c>
      <c r="BE235" s="449">
        <f t="shared" si="222"/>
        <v>0</v>
      </c>
      <c r="BF235" s="449">
        <f t="shared" si="222"/>
        <v>0</v>
      </c>
      <c r="BG235" s="449">
        <f t="shared" si="222"/>
        <v>0</v>
      </c>
      <c r="BH235" s="400"/>
      <c r="BI235" s="449">
        <f t="shared" ref="BI235:BT235" si="242">IFERROR((($H235/$H$5)*BI$5)/12,0)</f>
        <v>0</v>
      </c>
      <c r="BJ235" s="449">
        <f t="shared" si="242"/>
        <v>0</v>
      </c>
      <c r="BK235" s="449">
        <f t="shared" si="242"/>
        <v>0</v>
      </c>
      <c r="BL235" s="449">
        <f t="shared" si="242"/>
        <v>0</v>
      </c>
      <c r="BM235" s="449">
        <f t="shared" si="242"/>
        <v>0</v>
      </c>
      <c r="BN235" s="449">
        <f t="shared" si="242"/>
        <v>0</v>
      </c>
      <c r="BO235" s="449">
        <f t="shared" si="242"/>
        <v>0</v>
      </c>
      <c r="BP235" s="449">
        <f t="shared" si="242"/>
        <v>0</v>
      </c>
      <c r="BQ235" s="449">
        <f t="shared" si="242"/>
        <v>0</v>
      </c>
      <c r="BR235" s="449">
        <f t="shared" si="242"/>
        <v>0</v>
      </c>
      <c r="BS235" s="449">
        <f t="shared" si="242"/>
        <v>0</v>
      </c>
      <c r="BT235" s="449">
        <f t="shared" si="242"/>
        <v>0</v>
      </c>
    </row>
    <row r="236" spans="1:72" ht="15" x14ac:dyDescent="0.25">
      <c r="A236" s="502" t="s">
        <v>399</v>
      </c>
      <c r="B236" s="502" t="s">
        <v>400</v>
      </c>
      <c r="C236" s="538"/>
      <c r="D236" s="500">
        <f t="shared" si="231"/>
        <v>8000</v>
      </c>
      <c r="E236" s="449">
        <v>0</v>
      </c>
      <c r="F236" s="449">
        <f t="shared" si="225"/>
        <v>8000</v>
      </c>
      <c r="G236" s="421">
        <f t="shared" si="232"/>
        <v>0</v>
      </c>
      <c r="H236" s="449">
        <v>8000</v>
      </c>
      <c r="I236" s="449">
        <f t="shared" si="233"/>
        <v>0</v>
      </c>
      <c r="J236" s="426">
        <f t="shared" si="234"/>
        <v>0</v>
      </c>
      <c r="K236" s="421"/>
      <c r="L236" s="449">
        <v>0</v>
      </c>
      <c r="M236" s="449">
        <v>848</v>
      </c>
      <c r="N236" s="449">
        <v>1140</v>
      </c>
      <c r="O236" s="449">
        <v>2425</v>
      </c>
      <c r="P236" s="449">
        <v>75</v>
      </c>
      <c r="Q236" s="449">
        <v>2060</v>
      </c>
      <c r="R236" s="449">
        <f>($H236-SUM($L236:Q236))/R$694</f>
        <v>242</v>
      </c>
      <c r="S236" s="449">
        <f>($H236-SUM($L236:R236))/S$694</f>
        <v>242</v>
      </c>
      <c r="T236" s="449">
        <f>($H236-SUM($L236:S236))/T$694</f>
        <v>242</v>
      </c>
      <c r="U236" s="449">
        <f>($H236-SUM($L236:T236))/U$694</f>
        <v>242</v>
      </c>
      <c r="V236" s="449">
        <f>($H236-SUM($L236:U236))/V$694</f>
        <v>242</v>
      </c>
      <c r="W236" s="449">
        <f>($H236-SUM($L236:V236))/W$694</f>
        <v>242</v>
      </c>
      <c r="X236" s="449"/>
      <c r="Y236" s="449">
        <f t="shared" si="235"/>
        <v>8000</v>
      </c>
      <c r="Z236" s="531"/>
      <c r="AA236" s="449">
        <f t="shared" si="240"/>
        <v>666.66666666666663</v>
      </c>
      <c r="AB236" s="449">
        <f t="shared" si="240"/>
        <v>666.66666666666663</v>
      </c>
      <c r="AC236" s="449">
        <f t="shared" si="240"/>
        <v>666.66666666666663</v>
      </c>
      <c r="AD236" s="449">
        <f t="shared" si="240"/>
        <v>666.66666666666663</v>
      </c>
      <c r="AE236" s="449">
        <f t="shared" si="240"/>
        <v>666.66666666666663</v>
      </c>
      <c r="AF236" s="449">
        <f t="shared" si="240"/>
        <v>666.66666666666663</v>
      </c>
      <c r="AG236" s="449">
        <f t="shared" si="240"/>
        <v>666.66666666666663</v>
      </c>
      <c r="AH236" s="449">
        <f t="shared" si="240"/>
        <v>666.66666666666663</v>
      </c>
      <c r="AI236" s="449">
        <f t="shared" si="240"/>
        <v>666.66666666666663</v>
      </c>
      <c r="AJ236" s="449">
        <f t="shared" si="240"/>
        <v>666.66666666666663</v>
      </c>
      <c r="AK236" s="449">
        <f t="shared" si="240"/>
        <v>666.66666666666663</v>
      </c>
      <c r="AL236" s="449">
        <f t="shared" si="240"/>
        <v>666.66666666666663</v>
      </c>
      <c r="AN236" s="500">
        <f t="shared" si="236"/>
        <v>8000</v>
      </c>
      <c r="AO236" s="449">
        <f t="shared" si="237"/>
        <v>12000</v>
      </c>
      <c r="AP236" s="449">
        <f t="shared" si="226"/>
        <v>4000</v>
      </c>
      <c r="AQ236" s="453">
        <f t="shared" si="227"/>
        <v>0.5</v>
      </c>
      <c r="AR236" s="449">
        <f t="shared" si="211"/>
        <v>12000</v>
      </c>
      <c r="AS236" s="449">
        <f t="shared" si="228"/>
        <v>0</v>
      </c>
      <c r="AT236" s="426">
        <f t="shared" si="238"/>
        <v>0</v>
      </c>
      <c r="AU236" s="421"/>
      <c r="AV236" s="449">
        <f t="shared" si="239"/>
        <v>1000</v>
      </c>
      <c r="AW236" s="449">
        <f t="shared" si="239"/>
        <v>1000</v>
      </c>
      <c r="AX236" s="449">
        <f t="shared" si="239"/>
        <v>1000</v>
      </c>
      <c r="AY236" s="449">
        <f t="shared" si="230"/>
        <v>1000</v>
      </c>
      <c r="AZ236" s="449">
        <f t="shared" si="230"/>
        <v>1000</v>
      </c>
      <c r="BA236" s="449">
        <f t="shared" si="230"/>
        <v>1000</v>
      </c>
      <c r="BB236" s="449">
        <f t="shared" si="222"/>
        <v>1000</v>
      </c>
      <c r="BC236" s="449">
        <f t="shared" si="222"/>
        <v>1000</v>
      </c>
      <c r="BD236" s="449">
        <f t="shared" si="222"/>
        <v>1000</v>
      </c>
      <c r="BE236" s="449">
        <f t="shared" si="222"/>
        <v>1000</v>
      </c>
      <c r="BF236" s="449">
        <f t="shared" si="222"/>
        <v>1000</v>
      </c>
      <c r="BG236" s="449">
        <f t="shared" si="222"/>
        <v>1000</v>
      </c>
      <c r="BH236" s="400"/>
      <c r="BI236" s="449">
        <f>IFERROR((12000)/12,0)</f>
        <v>1000</v>
      </c>
      <c r="BJ236" s="449">
        <f t="shared" ref="BJ236:BT236" si="243">IFERROR((12000)/12,0)</f>
        <v>1000</v>
      </c>
      <c r="BK236" s="449">
        <f t="shared" si="243"/>
        <v>1000</v>
      </c>
      <c r="BL236" s="449">
        <f t="shared" si="243"/>
        <v>1000</v>
      </c>
      <c r="BM236" s="449">
        <f t="shared" si="243"/>
        <v>1000</v>
      </c>
      <c r="BN236" s="449">
        <f t="shared" si="243"/>
        <v>1000</v>
      </c>
      <c r="BO236" s="449">
        <f t="shared" si="243"/>
        <v>1000</v>
      </c>
      <c r="BP236" s="449">
        <f t="shared" si="243"/>
        <v>1000</v>
      </c>
      <c r="BQ236" s="449">
        <f t="shared" si="243"/>
        <v>1000</v>
      </c>
      <c r="BR236" s="449">
        <f t="shared" si="243"/>
        <v>1000</v>
      </c>
      <c r="BS236" s="449">
        <f t="shared" si="243"/>
        <v>1000</v>
      </c>
      <c r="BT236" s="449">
        <f t="shared" si="243"/>
        <v>1000</v>
      </c>
    </row>
    <row r="237" spans="1:72" ht="15" x14ac:dyDescent="0.25">
      <c r="A237" s="502" t="s">
        <v>401</v>
      </c>
      <c r="B237" s="502" t="s">
        <v>402</v>
      </c>
      <c r="C237" s="538"/>
      <c r="D237" s="500">
        <f t="shared" si="231"/>
        <v>5000</v>
      </c>
      <c r="E237" s="449">
        <v>0</v>
      </c>
      <c r="F237" s="449">
        <f t="shared" si="225"/>
        <v>5000</v>
      </c>
      <c r="G237" s="421">
        <f t="shared" si="232"/>
        <v>0</v>
      </c>
      <c r="H237" s="449">
        <v>5000</v>
      </c>
      <c r="I237" s="449">
        <f t="shared" si="233"/>
        <v>0</v>
      </c>
      <c r="J237" s="426">
        <f t="shared" si="234"/>
        <v>0</v>
      </c>
      <c r="K237" s="421"/>
      <c r="L237" s="449">
        <v>0</v>
      </c>
      <c r="M237" s="449">
        <v>3500.75</v>
      </c>
      <c r="N237" s="449">
        <v>0</v>
      </c>
      <c r="O237" s="449">
        <v>0</v>
      </c>
      <c r="P237" s="449">
        <v>0</v>
      </c>
      <c r="Q237" s="449">
        <v>0</v>
      </c>
      <c r="R237" s="449">
        <f>($H237-SUM($L237:Q237))/R$694</f>
        <v>249.875</v>
      </c>
      <c r="S237" s="449">
        <f>($H237-SUM($L237:R237))/S$694</f>
        <v>249.875</v>
      </c>
      <c r="T237" s="449">
        <f>($H237-SUM($L237:S237))/T$694</f>
        <v>249.875</v>
      </c>
      <c r="U237" s="449">
        <f>($H237-SUM($L237:T237))/U$694</f>
        <v>249.875</v>
      </c>
      <c r="V237" s="449">
        <f>($H237-SUM($L237:U237))/V$694</f>
        <v>249.875</v>
      </c>
      <c r="W237" s="449">
        <f>($H237-SUM($L237:V237))/W$694</f>
        <v>249.875</v>
      </c>
      <c r="X237" s="449"/>
      <c r="Y237" s="449">
        <f t="shared" si="235"/>
        <v>5000</v>
      </c>
      <c r="Z237" s="531"/>
      <c r="AA237" s="449">
        <f t="shared" si="240"/>
        <v>416.66666666666669</v>
      </c>
      <c r="AB237" s="449">
        <f t="shared" si="240"/>
        <v>416.66666666666669</v>
      </c>
      <c r="AC237" s="449">
        <f t="shared" si="240"/>
        <v>416.66666666666669</v>
      </c>
      <c r="AD237" s="449">
        <f t="shared" si="240"/>
        <v>416.66666666666669</v>
      </c>
      <c r="AE237" s="449">
        <f t="shared" si="240"/>
        <v>416.66666666666669</v>
      </c>
      <c r="AF237" s="449">
        <f t="shared" si="240"/>
        <v>416.66666666666669</v>
      </c>
      <c r="AG237" s="449">
        <f t="shared" si="240"/>
        <v>416.66666666666669</v>
      </c>
      <c r="AH237" s="449">
        <f t="shared" si="240"/>
        <v>416.66666666666669</v>
      </c>
      <c r="AI237" s="449">
        <f t="shared" si="240"/>
        <v>416.66666666666669</v>
      </c>
      <c r="AJ237" s="449">
        <f t="shared" si="240"/>
        <v>416.66666666666669</v>
      </c>
      <c r="AK237" s="449">
        <f t="shared" si="240"/>
        <v>416.66666666666669</v>
      </c>
      <c r="AL237" s="449">
        <f t="shared" si="240"/>
        <v>416.66666666666669</v>
      </c>
      <c r="AN237" s="500">
        <f t="shared" si="236"/>
        <v>5000</v>
      </c>
      <c r="AO237" s="449">
        <f t="shared" si="237"/>
        <v>2000.0000000000002</v>
      </c>
      <c r="AP237" s="449">
        <f t="shared" si="226"/>
        <v>-3000</v>
      </c>
      <c r="AQ237" s="453">
        <f t="shared" si="227"/>
        <v>-0.6</v>
      </c>
      <c r="AR237" s="449">
        <f t="shared" si="211"/>
        <v>2000.0000000000002</v>
      </c>
      <c r="AS237" s="449">
        <f t="shared" si="228"/>
        <v>0</v>
      </c>
      <c r="AT237" s="426">
        <f t="shared" si="238"/>
        <v>0</v>
      </c>
      <c r="AU237" s="421"/>
      <c r="AV237" s="449">
        <f t="shared" si="239"/>
        <v>166.66666666666666</v>
      </c>
      <c r="AW237" s="449">
        <f t="shared" si="239"/>
        <v>166.66666666666666</v>
      </c>
      <c r="AX237" s="449">
        <f t="shared" si="239"/>
        <v>166.66666666666666</v>
      </c>
      <c r="AY237" s="449">
        <f t="shared" si="230"/>
        <v>166.66666666666666</v>
      </c>
      <c r="AZ237" s="449">
        <f t="shared" si="230"/>
        <v>166.66666666666666</v>
      </c>
      <c r="BA237" s="449">
        <f t="shared" si="230"/>
        <v>166.66666666666666</v>
      </c>
      <c r="BB237" s="449">
        <f t="shared" si="222"/>
        <v>166.66666666666666</v>
      </c>
      <c r="BC237" s="449">
        <f t="shared" si="222"/>
        <v>166.66666666666666</v>
      </c>
      <c r="BD237" s="449">
        <f t="shared" si="222"/>
        <v>166.66666666666666</v>
      </c>
      <c r="BE237" s="449">
        <f t="shared" si="222"/>
        <v>166.66666666666666</v>
      </c>
      <c r="BF237" s="449">
        <f t="shared" si="222"/>
        <v>166.66666666666666</v>
      </c>
      <c r="BG237" s="449">
        <f t="shared" si="222"/>
        <v>166.66666666666666</v>
      </c>
      <c r="BH237" s="400"/>
      <c r="BI237" s="449">
        <f>IFERROR((2000)/12,0)</f>
        <v>166.66666666666666</v>
      </c>
      <c r="BJ237" s="449">
        <f t="shared" ref="BJ237:BT237" si="244">IFERROR((2000)/12,0)</f>
        <v>166.66666666666666</v>
      </c>
      <c r="BK237" s="449">
        <f t="shared" si="244"/>
        <v>166.66666666666666</v>
      </c>
      <c r="BL237" s="449">
        <f t="shared" si="244"/>
        <v>166.66666666666666</v>
      </c>
      <c r="BM237" s="449">
        <f t="shared" si="244"/>
        <v>166.66666666666666</v>
      </c>
      <c r="BN237" s="449">
        <f t="shared" si="244"/>
        <v>166.66666666666666</v>
      </c>
      <c r="BO237" s="449">
        <f t="shared" si="244"/>
        <v>166.66666666666666</v>
      </c>
      <c r="BP237" s="449">
        <f t="shared" si="244"/>
        <v>166.66666666666666</v>
      </c>
      <c r="BQ237" s="449">
        <f t="shared" si="244"/>
        <v>166.66666666666666</v>
      </c>
      <c r="BR237" s="449">
        <f t="shared" si="244"/>
        <v>166.66666666666666</v>
      </c>
      <c r="BS237" s="449">
        <f t="shared" si="244"/>
        <v>166.66666666666666</v>
      </c>
      <c r="BT237" s="449">
        <f t="shared" si="244"/>
        <v>166.66666666666666</v>
      </c>
    </row>
    <row r="238" spans="1:72" ht="15" x14ac:dyDescent="0.25">
      <c r="A238" s="502" t="s">
        <v>403</v>
      </c>
      <c r="B238" s="502" t="s">
        <v>1431</v>
      </c>
      <c r="C238" s="538"/>
      <c r="D238" s="500">
        <f t="shared" si="231"/>
        <v>7000</v>
      </c>
      <c r="E238" s="449">
        <v>0</v>
      </c>
      <c r="F238" s="449">
        <f t="shared" si="225"/>
        <v>7000</v>
      </c>
      <c r="G238" s="421">
        <f t="shared" si="232"/>
        <v>0</v>
      </c>
      <c r="H238" s="449">
        <v>7000</v>
      </c>
      <c r="I238" s="449">
        <f t="shared" si="233"/>
        <v>0</v>
      </c>
      <c r="J238" s="426">
        <f t="shared" si="234"/>
        <v>0</v>
      </c>
      <c r="K238" s="421"/>
      <c r="L238" s="449">
        <v>0</v>
      </c>
      <c r="M238" s="449">
        <v>5320.35</v>
      </c>
      <c r="N238" s="449">
        <v>0</v>
      </c>
      <c r="O238" s="449">
        <v>0</v>
      </c>
      <c r="P238" s="449">
        <v>0</v>
      </c>
      <c r="Q238" s="449">
        <v>0</v>
      </c>
      <c r="R238" s="449">
        <f>($H238-SUM($L238:Q238))/R$694</f>
        <v>279.94166666666661</v>
      </c>
      <c r="S238" s="449">
        <f>($H238-SUM($L238:R238))/S$694</f>
        <v>279.94166666666661</v>
      </c>
      <c r="T238" s="449">
        <f>($H238-SUM($L238:S238))/T$694</f>
        <v>279.94166666666661</v>
      </c>
      <c r="U238" s="449">
        <f>($H238-SUM($L238:T238))/U$694</f>
        <v>279.94166666666661</v>
      </c>
      <c r="V238" s="449">
        <f>($H238-SUM($L238:U238))/V$694</f>
        <v>279.94166666666661</v>
      </c>
      <c r="W238" s="449">
        <f>($H238-SUM($L238:V238))/W$694</f>
        <v>279.94166666666661</v>
      </c>
      <c r="X238" s="449"/>
      <c r="Y238" s="449">
        <f t="shared" si="235"/>
        <v>7000</v>
      </c>
      <c r="Z238" s="531"/>
      <c r="AA238" s="449">
        <f t="shared" si="240"/>
        <v>583.33333333333337</v>
      </c>
      <c r="AB238" s="449">
        <f t="shared" si="240"/>
        <v>583.33333333333337</v>
      </c>
      <c r="AC238" s="449">
        <f t="shared" si="240"/>
        <v>583.33333333333337</v>
      </c>
      <c r="AD238" s="449">
        <f t="shared" si="240"/>
        <v>583.33333333333337</v>
      </c>
      <c r="AE238" s="449">
        <f t="shared" si="240"/>
        <v>583.33333333333337</v>
      </c>
      <c r="AF238" s="449">
        <f t="shared" si="240"/>
        <v>583.33333333333337</v>
      </c>
      <c r="AG238" s="449">
        <f t="shared" si="240"/>
        <v>583.33333333333337</v>
      </c>
      <c r="AH238" s="449">
        <f t="shared" si="240"/>
        <v>583.33333333333337</v>
      </c>
      <c r="AI238" s="449">
        <f t="shared" si="240"/>
        <v>583.33333333333337</v>
      </c>
      <c r="AJ238" s="449">
        <f t="shared" si="240"/>
        <v>583.33333333333337</v>
      </c>
      <c r="AK238" s="449">
        <f t="shared" si="240"/>
        <v>583.33333333333337</v>
      </c>
      <c r="AL238" s="449">
        <f t="shared" si="240"/>
        <v>583.33333333333337</v>
      </c>
      <c r="AN238" s="500">
        <f t="shared" si="236"/>
        <v>7000</v>
      </c>
      <c r="AO238" s="449">
        <f t="shared" si="237"/>
        <v>6999.9999999999991</v>
      </c>
      <c r="AP238" s="449">
        <f t="shared" si="226"/>
        <v>-9.0949470177292824E-13</v>
      </c>
      <c r="AQ238" s="453">
        <f t="shared" si="227"/>
        <v>-1.2992781453898976E-16</v>
      </c>
      <c r="AR238" s="449">
        <f t="shared" si="211"/>
        <v>6999.9999999999991</v>
      </c>
      <c r="AS238" s="449">
        <f t="shared" si="228"/>
        <v>0</v>
      </c>
      <c r="AT238" s="426">
        <f t="shared" si="238"/>
        <v>0</v>
      </c>
      <c r="AU238" s="421"/>
      <c r="AV238" s="449">
        <f t="shared" si="239"/>
        <v>583.33333333333337</v>
      </c>
      <c r="AW238" s="449">
        <f t="shared" si="239"/>
        <v>583.33333333333337</v>
      </c>
      <c r="AX238" s="449">
        <f t="shared" si="239"/>
        <v>583.33333333333337</v>
      </c>
      <c r="AY238" s="449">
        <f t="shared" si="230"/>
        <v>583.33333333333337</v>
      </c>
      <c r="AZ238" s="449">
        <f t="shared" si="230"/>
        <v>583.33333333333337</v>
      </c>
      <c r="BA238" s="449">
        <f t="shared" si="230"/>
        <v>583.33333333333337</v>
      </c>
      <c r="BB238" s="449">
        <f t="shared" si="222"/>
        <v>583.33333333333337</v>
      </c>
      <c r="BC238" s="449">
        <f t="shared" si="222"/>
        <v>583.33333333333337</v>
      </c>
      <c r="BD238" s="449">
        <f t="shared" si="222"/>
        <v>583.33333333333337</v>
      </c>
      <c r="BE238" s="449">
        <f t="shared" ref="BE238:BG240" si="245">BR238</f>
        <v>583.33333333333337</v>
      </c>
      <c r="BF238" s="449">
        <f t="shared" si="245"/>
        <v>583.33333333333337</v>
      </c>
      <c r="BG238" s="449">
        <f t="shared" si="245"/>
        <v>583.33333333333337</v>
      </c>
      <c r="BH238" s="400"/>
      <c r="BI238" s="449">
        <f>IFERROR(($H238)/12,0)</f>
        <v>583.33333333333337</v>
      </c>
      <c r="BJ238" s="449">
        <f t="shared" ref="BJ238:BT238" si="246">IFERROR(($H238)/12,0)</f>
        <v>583.33333333333337</v>
      </c>
      <c r="BK238" s="449">
        <f t="shared" si="246"/>
        <v>583.33333333333337</v>
      </c>
      <c r="BL238" s="449">
        <f t="shared" si="246"/>
        <v>583.33333333333337</v>
      </c>
      <c r="BM238" s="449">
        <f t="shared" si="246"/>
        <v>583.33333333333337</v>
      </c>
      <c r="BN238" s="449">
        <f t="shared" si="246"/>
        <v>583.33333333333337</v>
      </c>
      <c r="BO238" s="449">
        <f t="shared" si="246"/>
        <v>583.33333333333337</v>
      </c>
      <c r="BP238" s="449">
        <f t="shared" si="246"/>
        <v>583.33333333333337</v>
      </c>
      <c r="BQ238" s="449">
        <f t="shared" si="246"/>
        <v>583.33333333333337</v>
      </c>
      <c r="BR238" s="449">
        <f t="shared" si="246"/>
        <v>583.33333333333337</v>
      </c>
      <c r="BS238" s="449">
        <f t="shared" si="246"/>
        <v>583.33333333333337</v>
      </c>
      <c r="BT238" s="449">
        <f t="shared" si="246"/>
        <v>583.33333333333337</v>
      </c>
    </row>
    <row r="239" spans="1:72" ht="15" x14ac:dyDescent="0.25">
      <c r="A239" s="502" t="s">
        <v>404</v>
      </c>
      <c r="B239" s="502" t="s">
        <v>1430</v>
      </c>
      <c r="C239" s="538"/>
      <c r="D239" s="500">
        <f t="shared" si="231"/>
        <v>28000</v>
      </c>
      <c r="E239" s="449">
        <v>0</v>
      </c>
      <c r="F239" s="449">
        <f t="shared" si="225"/>
        <v>28000</v>
      </c>
      <c r="G239" s="421">
        <f t="shared" si="232"/>
        <v>0</v>
      </c>
      <c r="H239" s="449">
        <f>35000-7000</f>
        <v>28000</v>
      </c>
      <c r="I239" s="449">
        <f t="shared" si="233"/>
        <v>0</v>
      </c>
      <c r="J239" s="426">
        <f t="shared" si="234"/>
        <v>0</v>
      </c>
      <c r="K239" s="421"/>
      <c r="L239" s="449">
        <v>10293.34</v>
      </c>
      <c r="M239" s="449">
        <v>508.01000000000022</v>
      </c>
      <c r="N239" s="449">
        <v>-7430.1900000000005</v>
      </c>
      <c r="O239" s="449">
        <v>407.5</v>
      </c>
      <c r="P239" s="449">
        <v>9908.3700000000008</v>
      </c>
      <c r="Q239" s="449">
        <v>112.95999999999913</v>
      </c>
      <c r="R239" s="449">
        <f>($H239-SUM($L239:Q239))/R$694</f>
        <v>2366.6683333333335</v>
      </c>
      <c r="S239" s="449">
        <f>($H239-SUM($L239:R239))/S$694</f>
        <v>2366.6683333333335</v>
      </c>
      <c r="T239" s="449">
        <f>($H239-SUM($L239:S239))/T$694</f>
        <v>2366.6683333333331</v>
      </c>
      <c r="U239" s="449">
        <f>($H239-SUM($L239:T239))/U$694</f>
        <v>2366.6683333333326</v>
      </c>
      <c r="V239" s="449">
        <f>($H239-SUM($L239:U239))/V$694</f>
        <v>2366.6683333333331</v>
      </c>
      <c r="W239" s="449">
        <f>($H239-SUM($L239:V239))/W$694</f>
        <v>2366.6683333333349</v>
      </c>
      <c r="X239" s="449"/>
      <c r="Y239" s="449">
        <f t="shared" si="235"/>
        <v>28000</v>
      </c>
      <c r="Z239" s="531"/>
      <c r="AA239" s="449">
        <f t="shared" si="240"/>
        <v>2333.3333333333335</v>
      </c>
      <c r="AB239" s="449">
        <f t="shared" si="240"/>
        <v>2333.3333333333335</v>
      </c>
      <c r="AC239" s="449">
        <f t="shared" si="240"/>
        <v>2333.3333333333335</v>
      </c>
      <c r="AD239" s="449">
        <f t="shared" si="240"/>
        <v>2333.3333333333335</v>
      </c>
      <c r="AE239" s="449">
        <f t="shared" si="240"/>
        <v>2333.3333333333335</v>
      </c>
      <c r="AF239" s="449">
        <f t="shared" si="240"/>
        <v>2333.3333333333335</v>
      </c>
      <c r="AG239" s="449">
        <f t="shared" si="240"/>
        <v>2333.3333333333335</v>
      </c>
      <c r="AH239" s="449">
        <f t="shared" si="240"/>
        <v>2333.3333333333335</v>
      </c>
      <c r="AI239" s="449">
        <f t="shared" si="240"/>
        <v>2333.3333333333335</v>
      </c>
      <c r="AJ239" s="449">
        <f t="shared" si="240"/>
        <v>2333.3333333333335</v>
      </c>
      <c r="AK239" s="449">
        <f t="shared" si="240"/>
        <v>2333.3333333333335</v>
      </c>
      <c r="AL239" s="449">
        <f t="shared" si="240"/>
        <v>2333.3333333333335</v>
      </c>
      <c r="AN239" s="500">
        <f t="shared" si="236"/>
        <v>28000</v>
      </c>
      <c r="AO239" s="449">
        <f t="shared" si="237"/>
        <v>60000</v>
      </c>
      <c r="AP239" s="449">
        <f t="shared" si="226"/>
        <v>32000</v>
      </c>
      <c r="AQ239" s="453">
        <f t="shared" si="227"/>
        <v>1.1428571428571428</v>
      </c>
      <c r="AR239" s="449">
        <f t="shared" si="211"/>
        <v>60000</v>
      </c>
      <c r="AS239" s="449">
        <f t="shared" si="228"/>
        <v>0</v>
      </c>
      <c r="AT239" s="426">
        <f t="shared" si="238"/>
        <v>0</v>
      </c>
      <c r="AU239" s="421"/>
      <c r="AV239" s="449">
        <f t="shared" si="239"/>
        <v>5000</v>
      </c>
      <c r="AW239" s="449">
        <f t="shared" si="239"/>
        <v>5000</v>
      </c>
      <c r="AX239" s="449">
        <f t="shared" si="239"/>
        <v>5000</v>
      </c>
      <c r="AY239" s="449">
        <f t="shared" si="230"/>
        <v>5000</v>
      </c>
      <c r="AZ239" s="449">
        <f t="shared" si="230"/>
        <v>5000</v>
      </c>
      <c r="BA239" s="449">
        <f t="shared" si="230"/>
        <v>5000</v>
      </c>
      <c r="BB239" s="449">
        <f t="shared" si="230"/>
        <v>5000</v>
      </c>
      <c r="BC239" s="449">
        <f t="shared" si="230"/>
        <v>5000</v>
      </c>
      <c r="BD239" s="449">
        <f t="shared" si="230"/>
        <v>5000</v>
      </c>
      <c r="BE239" s="449">
        <f t="shared" si="245"/>
        <v>5000</v>
      </c>
      <c r="BF239" s="449">
        <f t="shared" si="245"/>
        <v>5000</v>
      </c>
      <c r="BG239" s="449">
        <f t="shared" si="245"/>
        <v>5000</v>
      </c>
      <c r="BH239" s="400"/>
      <c r="BI239" s="449">
        <f>IFERROR(60000/12,0)</f>
        <v>5000</v>
      </c>
      <c r="BJ239" s="449">
        <f t="shared" ref="BJ239:BT239" si="247">IFERROR(60000/12,0)</f>
        <v>5000</v>
      </c>
      <c r="BK239" s="449">
        <f t="shared" si="247"/>
        <v>5000</v>
      </c>
      <c r="BL239" s="449">
        <f t="shared" si="247"/>
        <v>5000</v>
      </c>
      <c r="BM239" s="449">
        <f t="shared" si="247"/>
        <v>5000</v>
      </c>
      <c r="BN239" s="449">
        <f t="shared" si="247"/>
        <v>5000</v>
      </c>
      <c r="BO239" s="449">
        <f t="shared" si="247"/>
        <v>5000</v>
      </c>
      <c r="BP239" s="449">
        <f t="shared" si="247"/>
        <v>5000</v>
      </c>
      <c r="BQ239" s="449">
        <f t="shared" si="247"/>
        <v>5000</v>
      </c>
      <c r="BR239" s="449">
        <f t="shared" si="247"/>
        <v>5000</v>
      </c>
      <c r="BS239" s="449">
        <f t="shared" si="247"/>
        <v>5000</v>
      </c>
      <c r="BT239" s="449">
        <f t="shared" si="247"/>
        <v>5000</v>
      </c>
    </row>
    <row r="240" spans="1:72" ht="15" x14ac:dyDescent="0.25">
      <c r="A240" s="502" t="s">
        <v>406</v>
      </c>
      <c r="B240" s="502" t="s">
        <v>405</v>
      </c>
      <c r="C240" s="538"/>
      <c r="D240" s="500">
        <f t="shared" si="231"/>
        <v>5000</v>
      </c>
      <c r="E240" s="449">
        <v>40000</v>
      </c>
      <c r="F240" s="449">
        <f t="shared" si="225"/>
        <v>-35000</v>
      </c>
      <c r="G240" s="421">
        <f t="shared" si="232"/>
        <v>-0.875</v>
      </c>
      <c r="H240" s="449">
        <f>10000-5000</f>
        <v>5000</v>
      </c>
      <c r="I240" s="449">
        <f t="shared" si="233"/>
        <v>0</v>
      </c>
      <c r="J240" s="426">
        <f t="shared" si="234"/>
        <v>0</v>
      </c>
      <c r="K240" s="421"/>
      <c r="L240" s="449">
        <v>465.33</v>
      </c>
      <c r="M240" s="449">
        <v>0</v>
      </c>
      <c r="N240" s="449">
        <v>0</v>
      </c>
      <c r="O240" s="449">
        <v>90.000000000000057</v>
      </c>
      <c r="P240" s="449">
        <v>0</v>
      </c>
      <c r="Q240" s="449">
        <v>0</v>
      </c>
      <c r="R240" s="449">
        <f>($H240-SUM($L240:Q240))/R$694</f>
        <v>740.77833333333331</v>
      </c>
      <c r="S240" s="449">
        <f>($H240-SUM($L240:R240))/S$694</f>
        <v>740.77833333333331</v>
      </c>
      <c r="T240" s="449">
        <f>($H240-SUM($L240:S240))/T$694</f>
        <v>740.77833333333331</v>
      </c>
      <c r="U240" s="449">
        <f>($H240-SUM($L240:T240))/U$694</f>
        <v>740.77833333333331</v>
      </c>
      <c r="V240" s="449">
        <f>($H240-SUM($L240:U240))/V$694</f>
        <v>740.77833333333342</v>
      </c>
      <c r="W240" s="449">
        <f>($H240-SUM($L240:V240))/W$694</f>
        <v>740.77833333333365</v>
      </c>
      <c r="X240" s="449"/>
      <c r="Y240" s="449">
        <f t="shared" si="235"/>
        <v>5000</v>
      </c>
      <c r="Z240" s="531"/>
      <c r="AA240" s="449">
        <f t="shared" si="240"/>
        <v>416.66666666666669</v>
      </c>
      <c r="AB240" s="449">
        <f t="shared" si="240"/>
        <v>416.66666666666669</v>
      </c>
      <c r="AC240" s="449">
        <f t="shared" si="240"/>
        <v>416.66666666666669</v>
      </c>
      <c r="AD240" s="449">
        <f t="shared" si="240"/>
        <v>416.66666666666669</v>
      </c>
      <c r="AE240" s="449">
        <f t="shared" si="240"/>
        <v>416.66666666666669</v>
      </c>
      <c r="AF240" s="449">
        <f t="shared" si="240"/>
        <v>416.66666666666669</v>
      </c>
      <c r="AG240" s="449">
        <f t="shared" si="240"/>
        <v>416.66666666666669</v>
      </c>
      <c r="AH240" s="449">
        <f t="shared" si="240"/>
        <v>416.66666666666669</v>
      </c>
      <c r="AI240" s="449">
        <f t="shared" si="240"/>
        <v>416.66666666666669</v>
      </c>
      <c r="AJ240" s="449">
        <f t="shared" si="240"/>
        <v>416.66666666666669</v>
      </c>
      <c r="AK240" s="449">
        <f t="shared" si="240"/>
        <v>416.66666666666669</v>
      </c>
      <c r="AL240" s="449">
        <f t="shared" si="240"/>
        <v>416.66666666666669</v>
      </c>
      <c r="AN240" s="500">
        <f t="shared" si="236"/>
        <v>5000</v>
      </c>
      <c r="AO240" s="449">
        <f t="shared" si="237"/>
        <v>0</v>
      </c>
      <c r="AP240" s="449">
        <f t="shared" si="226"/>
        <v>-5000</v>
      </c>
      <c r="AQ240" s="453">
        <f t="shared" si="227"/>
        <v>-1</v>
      </c>
      <c r="AR240" s="449">
        <f t="shared" si="211"/>
        <v>0</v>
      </c>
      <c r="AS240" s="449">
        <f t="shared" si="228"/>
        <v>0</v>
      </c>
      <c r="AT240" s="426">
        <f t="shared" si="238"/>
        <v>0</v>
      </c>
      <c r="AU240" s="421"/>
      <c r="AV240" s="449">
        <f t="shared" si="239"/>
        <v>0</v>
      </c>
      <c r="AW240" s="449">
        <f t="shared" si="239"/>
        <v>0</v>
      </c>
      <c r="AX240" s="449">
        <f t="shared" si="239"/>
        <v>0</v>
      </c>
      <c r="AY240" s="449">
        <f t="shared" si="230"/>
        <v>0</v>
      </c>
      <c r="AZ240" s="449">
        <f t="shared" si="230"/>
        <v>0</v>
      </c>
      <c r="BA240" s="449">
        <f t="shared" si="230"/>
        <v>0</v>
      </c>
      <c r="BB240" s="449">
        <f t="shared" si="230"/>
        <v>0</v>
      </c>
      <c r="BC240" s="449">
        <f t="shared" si="230"/>
        <v>0</v>
      </c>
      <c r="BD240" s="449">
        <f t="shared" si="230"/>
        <v>0</v>
      </c>
      <c r="BE240" s="449">
        <f t="shared" si="245"/>
        <v>0</v>
      </c>
      <c r="BF240" s="449">
        <f t="shared" si="245"/>
        <v>0</v>
      </c>
      <c r="BG240" s="449">
        <f t="shared" si="245"/>
        <v>0</v>
      </c>
      <c r="BH240" s="400"/>
      <c r="BI240" s="449">
        <f>IFERROR((($H240/$H$5)*BI$5)/12,0)*0</f>
        <v>0</v>
      </c>
      <c r="BJ240" s="449">
        <f t="shared" ref="BJ240:BT240" si="248">IFERROR((($H240/$H$5)*BJ$5)/12,0)*0</f>
        <v>0</v>
      </c>
      <c r="BK240" s="449">
        <f t="shared" si="248"/>
        <v>0</v>
      </c>
      <c r="BL240" s="449">
        <f t="shared" si="248"/>
        <v>0</v>
      </c>
      <c r="BM240" s="449">
        <f t="shared" si="248"/>
        <v>0</v>
      </c>
      <c r="BN240" s="449">
        <f t="shared" si="248"/>
        <v>0</v>
      </c>
      <c r="BO240" s="449">
        <f t="shared" si="248"/>
        <v>0</v>
      </c>
      <c r="BP240" s="449">
        <f t="shared" si="248"/>
        <v>0</v>
      </c>
      <c r="BQ240" s="449">
        <f t="shared" si="248"/>
        <v>0</v>
      </c>
      <c r="BR240" s="449">
        <f t="shared" si="248"/>
        <v>0</v>
      </c>
      <c r="BS240" s="449">
        <f t="shared" si="248"/>
        <v>0</v>
      </c>
      <c r="BT240" s="449">
        <f t="shared" si="248"/>
        <v>0</v>
      </c>
    </row>
    <row r="241" spans="1:74" ht="9.75" customHeight="1" x14ac:dyDescent="0.25">
      <c r="A241" s="502"/>
      <c r="B241" s="502"/>
      <c r="C241" s="541"/>
      <c r="D241" s="500"/>
      <c r="E241" s="449"/>
      <c r="F241" s="449"/>
      <c r="G241" s="421"/>
      <c r="H241" s="449"/>
      <c r="I241" s="449"/>
      <c r="J241" s="426"/>
      <c r="K241" s="421"/>
      <c r="L241" s="449"/>
      <c r="M241" s="449"/>
      <c r="N241" s="449"/>
      <c r="O241" s="449"/>
      <c r="P241" s="449"/>
      <c r="Q241" s="449"/>
      <c r="R241" s="449"/>
      <c r="S241" s="449"/>
      <c r="T241" s="449"/>
      <c r="U241" s="449"/>
      <c r="V241" s="449"/>
      <c r="W241" s="449"/>
      <c r="X241" s="449"/>
      <c r="Y241" s="449"/>
      <c r="Z241" s="531"/>
      <c r="AA241" s="449"/>
      <c r="AB241" s="449"/>
      <c r="AC241" s="449"/>
      <c r="AD241" s="449"/>
      <c r="AE241" s="449"/>
      <c r="AF241" s="449"/>
      <c r="AG241" s="449"/>
      <c r="AH241" s="449"/>
      <c r="AI241" s="449"/>
      <c r="AJ241" s="449"/>
      <c r="AK241" s="449"/>
      <c r="AL241" s="449"/>
      <c r="AN241" s="500"/>
      <c r="AO241" s="449"/>
      <c r="AP241" s="449"/>
      <c r="AQ241" s="453"/>
      <c r="AR241" s="449"/>
      <c r="AS241" s="449"/>
      <c r="AT241" s="426"/>
      <c r="AU241" s="421"/>
      <c r="AV241" s="449"/>
      <c r="AW241" s="449"/>
      <c r="AX241" s="449"/>
      <c r="AY241" s="449"/>
      <c r="AZ241" s="449"/>
      <c r="BA241" s="449"/>
      <c r="BB241" s="449"/>
      <c r="BC241" s="449"/>
      <c r="BD241" s="449"/>
      <c r="BE241" s="449"/>
      <c r="BF241" s="449"/>
      <c r="BG241" s="449"/>
      <c r="BH241" s="531"/>
      <c r="BI241" s="449"/>
      <c r="BJ241" s="449"/>
      <c r="BK241" s="449"/>
      <c r="BL241" s="449"/>
      <c r="BM241" s="449"/>
      <c r="BN241" s="449"/>
      <c r="BO241" s="449"/>
      <c r="BP241" s="449"/>
      <c r="BQ241" s="449"/>
      <c r="BR241" s="449"/>
      <c r="BS241" s="449"/>
      <c r="BT241" s="449"/>
    </row>
    <row r="242" spans="1:74" s="536" customFormat="1" ht="15" customHeight="1" thickBot="1" x14ac:dyDescent="0.3">
      <c r="A242" s="524"/>
      <c r="B242" s="524" t="s">
        <v>407</v>
      </c>
      <c r="C242" s="539"/>
      <c r="D242" s="532">
        <f>SUM(D147:D241)</f>
        <v>1153198.18</v>
      </c>
      <c r="E242" s="533">
        <f>SUM(E147:E241)</f>
        <v>1018157</v>
      </c>
      <c r="F242" s="533">
        <f>IFERROR(D242-E242,0)</f>
        <v>135041.17999999993</v>
      </c>
      <c r="G242" s="520">
        <f>IFERROR(F242/ABS(E242),0)</f>
        <v>0.13263296328562288</v>
      </c>
      <c r="H242" s="533">
        <f>SUM(H147:H240)</f>
        <v>1098858</v>
      </c>
      <c r="I242" s="533">
        <f>IFERROR(D242-H242,0)</f>
        <v>54340.179999999935</v>
      </c>
      <c r="J242" s="521">
        <f>IFERROR(I242/ABS(H242),0)</f>
        <v>4.9451503287958894E-2</v>
      </c>
      <c r="K242" s="507"/>
      <c r="L242" s="533">
        <f t="shared" ref="L242:W242" si="249">SUM(L147:L241)</f>
        <v>116313.13</v>
      </c>
      <c r="M242" s="533">
        <f t="shared" si="249"/>
        <v>92756.52</v>
      </c>
      <c r="N242" s="533">
        <f t="shared" si="249"/>
        <v>39029.919999999998</v>
      </c>
      <c r="O242" s="533">
        <f t="shared" si="249"/>
        <v>131938.66000000003</v>
      </c>
      <c r="P242" s="533">
        <f t="shared" si="249"/>
        <v>74352.770000000033</v>
      </c>
      <c r="Q242" s="533">
        <f t="shared" si="249"/>
        <v>46001.899999999994</v>
      </c>
      <c r="R242" s="533">
        <f t="shared" si="249"/>
        <v>108800.88000000002</v>
      </c>
      <c r="S242" s="533">
        <f t="shared" si="249"/>
        <v>108800.88000000002</v>
      </c>
      <c r="T242" s="533">
        <f t="shared" si="249"/>
        <v>108800.88</v>
      </c>
      <c r="U242" s="533">
        <f t="shared" si="249"/>
        <v>108800.88</v>
      </c>
      <c r="V242" s="533">
        <f t="shared" si="249"/>
        <v>108800.88</v>
      </c>
      <c r="W242" s="533">
        <f t="shared" si="249"/>
        <v>108800.88</v>
      </c>
      <c r="X242" s="533"/>
      <c r="Y242" s="533">
        <f>SUM(L242:W242)</f>
        <v>1153198.1800000002</v>
      </c>
      <c r="Z242" s="508"/>
      <c r="AA242" s="533">
        <f t="shared" ref="AA242:AL242" si="250">SUM(AA147:AA241)</f>
        <v>91571.499999999971</v>
      </c>
      <c r="AB242" s="533">
        <f t="shared" si="250"/>
        <v>91571.499999999971</v>
      </c>
      <c r="AC242" s="533">
        <f t="shared" si="250"/>
        <v>91571.499999999971</v>
      </c>
      <c r="AD242" s="533">
        <f t="shared" si="250"/>
        <v>91571.499999999971</v>
      </c>
      <c r="AE242" s="533">
        <f t="shared" si="250"/>
        <v>91571.499999999971</v>
      </c>
      <c r="AF242" s="533">
        <f t="shared" si="250"/>
        <v>91571.499999999971</v>
      </c>
      <c r="AG242" s="533">
        <f t="shared" si="250"/>
        <v>91571.499999999971</v>
      </c>
      <c r="AH242" s="533">
        <f t="shared" si="250"/>
        <v>91571.499999999971</v>
      </c>
      <c r="AI242" s="533">
        <f t="shared" si="250"/>
        <v>91571.499999999971</v>
      </c>
      <c r="AJ242" s="533">
        <f t="shared" si="250"/>
        <v>91571.499999999971</v>
      </c>
      <c r="AK242" s="533">
        <f t="shared" si="250"/>
        <v>91571.499999999971</v>
      </c>
      <c r="AL242" s="533">
        <f t="shared" si="250"/>
        <v>91571.499999999971</v>
      </c>
      <c r="AN242" s="532">
        <f>SUM(AN147:AN241)</f>
        <v>1153198.18</v>
      </c>
      <c r="AO242" s="533">
        <f>SUM(AO147:AO241)</f>
        <v>1259728.99501975</v>
      </c>
      <c r="AP242" s="533">
        <f>IFERROR(AO242-AN242,0)</f>
        <v>106530.81501975004</v>
      </c>
      <c r="AQ242" s="523">
        <f>IFERROR(AP242/ABS(AN242),"-")</f>
        <v>9.2378584069348804E-2</v>
      </c>
      <c r="AR242" s="533">
        <f>SUM(AR147:AR240)</f>
        <v>1259728.99501975</v>
      </c>
      <c r="AS242" s="533">
        <f>IFERROR(AO242-AR242,0)</f>
        <v>0</v>
      </c>
      <c r="AT242" s="521">
        <f>IFERROR(AS242/ABS(AR242),0)</f>
        <v>0</v>
      </c>
      <c r="AU242" s="507"/>
      <c r="AV242" s="533">
        <f t="shared" ref="AV242:BG242" si="251">SUM(AV147:AV241)</f>
        <v>28993.954771619818</v>
      </c>
      <c r="AW242" s="533">
        <f t="shared" si="251"/>
        <v>104150.70050987875</v>
      </c>
      <c r="AX242" s="533">
        <f t="shared" si="251"/>
        <v>98173.633314698032</v>
      </c>
      <c r="AY242" s="533">
        <f t="shared" si="251"/>
        <v>186893.13331469812</v>
      </c>
      <c r="AZ242" s="533">
        <f t="shared" si="251"/>
        <v>98173.633314698032</v>
      </c>
      <c r="BA242" s="533">
        <f t="shared" si="251"/>
        <v>88781.099150842609</v>
      </c>
      <c r="BB242" s="533">
        <f t="shared" si="251"/>
        <v>88781.099150842609</v>
      </c>
      <c r="BC242" s="533">
        <f t="shared" si="251"/>
        <v>88781.099150842609</v>
      </c>
      <c r="BD242" s="533">
        <f t="shared" si="251"/>
        <v>88781.099150842609</v>
      </c>
      <c r="BE242" s="533">
        <f t="shared" si="251"/>
        <v>135500.59915084258</v>
      </c>
      <c r="BF242" s="533">
        <f t="shared" si="251"/>
        <v>88781.099150842609</v>
      </c>
      <c r="BG242" s="533">
        <f t="shared" si="251"/>
        <v>163937.84488910154</v>
      </c>
      <c r="BH242" s="508"/>
      <c r="BI242" s="533">
        <f t="shared" ref="BI242:BT242" si="252">SUM(BI147:BI241)</f>
        <v>28993.954771619818</v>
      </c>
      <c r="BJ242" s="533">
        <f t="shared" si="252"/>
        <v>104150.70050987875</v>
      </c>
      <c r="BK242" s="533">
        <f t="shared" si="252"/>
        <v>98173.633314698032</v>
      </c>
      <c r="BL242" s="533">
        <f t="shared" si="252"/>
        <v>186893.13331469812</v>
      </c>
      <c r="BM242" s="533">
        <f t="shared" si="252"/>
        <v>98173.633314698032</v>
      </c>
      <c r="BN242" s="533">
        <f t="shared" si="252"/>
        <v>88781.099150842609</v>
      </c>
      <c r="BO242" s="533">
        <f t="shared" si="252"/>
        <v>88781.099150842609</v>
      </c>
      <c r="BP242" s="533">
        <f t="shared" si="252"/>
        <v>88781.099150842609</v>
      </c>
      <c r="BQ242" s="533">
        <f t="shared" si="252"/>
        <v>88781.099150842609</v>
      </c>
      <c r="BR242" s="533">
        <f t="shared" si="252"/>
        <v>135500.59915084258</v>
      </c>
      <c r="BS242" s="533">
        <f t="shared" si="252"/>
        <v>88781.099150842609</v>
      </c>
      <c r="BT242" s="533">
        <f t="shared" si="252"/>
        <v>163937.84488910154</v>
      </c>
      <c r="BV242" s="400"/>
    </row>
    <row r="243" spans="1:74" ht="15" customHeight="1" thickTop="1" x14ac:dyDescent="0.25">
      <c r="A243" s="502"/>
      <c r="B243" s="502"/>
      <c r="C243" s="541"/>
      <c r="D243" s="500"/>
      <c r="E243" s="449"/>
      <c r="F243" s="449"/>
      <c r="G243" s="421"/>
      <c r="H243" s="449"/>
      <c r="I243" s="449"/>
      <c r="J243" s="426"/>
      <c r="K243" s="421"/>
      <c r="L243" s="449"/>
      <c r="M243" s="449"/>
      <c r="N243" s="449"/>
      <c r="O243" s="449"/>
      <c r="P243" s="449"/>
      <c r="Q243" s="449"/>
      <c r="R243" s="449"/>
      <c r="S243" s="449"/>
      <c r="T243" s="449"/>
      <c r="U243" s="449"/>
      <c r="V243" s="449"/>
      <c r="W243" s="449"/>
      <c r="X243" s="449"/>
      <c r="Y243" s="449"/>
      <c r="Z243" s="531"/>
      <c r="AA243" s="449"/>
      <c r="AB243" s="449"/>
      <c r="AC243" s="449"/>
      <c r="AD243" s="449"/>
      <c r="AE243" s="449"/>
      <c r="AF243" s="449"/>
      <c r="AG243" s="449"/>
      <c r="AH243" s="449"/>
      <c r="AI243" s="449"/>
      <c r="AJ243" s="449"/>
      <c r="AK243" s="449"/>
      <c r="AL243" s="449"/>
      <c r="AN243" s="500"/>
      <c r="AO243" s="449"/>
      <c r="AP243" s="449">
        <f>SUM(AO236:AO240)</f>
        <v>81000</v>
      </c>
      <c r="AQ243" s="453"/>
      <c r="AR243" s="449"/>
      <c r="AS243" s="449"/>
      <c r="AT243" s="426"/>
      <c r="AU243" s="421"/>
      <c r="AV243" s="449"/>
      <c r="AW243" s="449"/>
      <c r="AX243" s="449"/>
      <c r="AY243" s="449"/>
      <c r="AZ243" s="449"/>
      <c r="BA243" s="449"/>
      <c r="BB243" s="449"/>
      <c r="BC243" s="449"/>
      <c r="BD243" s="449"/>
      <c r="BE243" s="449"/>
      <c r="BF243" s="449"/>
      <c r="BG243" s="449"/>
      <c r="BH243" s="531"/>
      <c r="BI243" s="449"/>
      <c r="BJ243" s="449"/>
      <c r="BK243" s="449"/>
      <c r="BL243" s="449"/>
      <c r="BM243" s="449"/>
      <c r="BN243" s="449"/>
      <c r="BO243" s="449"/>
      <c r="BP243" s="449"/>
      <c r="BQ243" s="449"/>
      <c r="BR243" s="449"/>
      <c r="BS243" s="449"/>
      <c r="BT243" s="449"/>
    </row>
    <row r="244" spans="1:74" ht="15" customHeight="1" x14ac:dyDescent="0.25">
      <c r="A244" s="502"/>
      <c r="B244" s="525" t="s">
        <v>408</v>
      </c>
      <c r="C244" s="541"/>
      <c r="D244" s="500"/>
      <c r="E244" s="449"/>
      <c r="F244" s="449"/>
      <c r="G244" s="421"/>
      <c r="H244" s="449"/>
      <c r="I244" s="449"/>
      <c r="J244" s="426"/>
      <c r="K244" s="421"/>
      <c r="L244" s="449"/>
      <c r="M244" s="449"/>
      <c r="N244" s="449"/>
      <c r="O244" s="449"/>
      <c r="P244" s="449"/>
      <c r="Q244" s="449"/>
      <c r="R244" s="449"/>
      <c r="S244" s="449"/>
      <c r="T244" s="449"/>
      <c r="U244" s="449"/>
      <c r="V244" s="449"/>
      <c r="W244" s="449"/>
      <c r="X244" s="449"/>
      <c r="Y244" s="449"/>
      <c r="Z244" s="531"/>
      <c r="AA244" s="449"/>
      <c r="AB244" s="449"/>
      <c r="AC244" s="449"/>
      <c r="AD244" s="449"/>
      <c r="AE244" s="449"/>
      <c r="AF244" s="449"/>
      <c r="AG244" s="449"/>
      <c r="AH244" s="449"/>
      <c r="AI244" s="449"/>
      <c r="AJ244" s="449"/>
      <c r="AK244" s="449"/>
      <c r="AL244" s="449"/>
      <c r="AN244" s="500"/>
      <c r="AO244" s="449"/>
      <c r="AP244" s="449"/>
      <c r="AQ244" s="453"/>
      <c r="AR244" s="449"/>
      <c r="AS244" s="449"/>
      <c r="AT244" s="426"/>
      <c r="AU244" s="421"/>
      <c r="AV244" s="449"/>
      <c r="AW244" s="449"/>
      <c r="AX244" s="449"/>
      <c r="AY244" s="449"/>
      <c r="AZ244" s="449"/>
      <c r="BA244" s="449"/>
      <c r="BB244" s="449"/>
      <c r="BC244" s="449"/>
      <c r="BD244" s="449"/>
      <c r="BE244" s="449"/>
      <c r="BF244" s="449"/>
      <c r="BG244" s="449"/>
      <c r="BH244" s="531"/>
      <c r="BI244" s="449"/>
      <c r="BJ244" s="449"/>
      <c r="BK244" s="449"/>
      <c r="BL244" s="449"/>
      <c r="BM244" s="449"/>
      <c r="BN244" s="449"/>
      <c r="BO244" s="449"/>
      <c r="BP244" s="449"/>
      <c r="BQ244" s="449"/>
      <c r="BR244" s="449"/>
      <c r="BS244" s="449"/>
      <c r="BT244" s="449"/>
    </row>
    <row r="245" spans="1:74" ht="6" customHeight="1" x14ac:dyDescent="0.25">
      <c r="A245" s="502"/>
      <c r="B245" s="502"/>
      <c r="C245" s="541"/>
      <c r="D245" s="500"/>
      <c r="E245" s="449"/>
      <c r="F245" s="449"/>
      <c r="G245" s="421"/>
      <c r="H245" s="449"/>
      <c r="I245" s="449"/>
      <c r="J245" s="426"/>
      <c r="K245" s="421"/>
      <c r="L245" s="449"/>
      <c r="M245" s="449"/>
      <c r="N245" s="449"/>
      <c r="O245" s="449"/>
      <c r="P245" s="449"/>
      <c r="Q245" s="449"/>
      <c r="R245" s="449"/>
      <c r="S245" s="449"/>
      <c r="T245" s="449"/>
      <c r="U245" s="449"/>
      <c r="V245" s="449"/>
      <c r="W245" s="449"/>
      <c r="X245" s="449"/>
      <c r="Y245" s="449"/>
      <c r="Z245" s="531"/>
      <c r="AA245" s="449"/>
      <c r="AB245" s="449"/>
      <c r="AC245" s="449"/>
      <c r="AD245" s="449"/>
      <c r="AE245" s="449"/>
      <c r="AF245" s="449"/>
      <c r="AG245" s="449"/>
      <c r="AH245" s="449"/>
      <c r="AI245" s="449"/>
      <c r="AJ245" s="449"/>
      <c r="AK245" s="449"/>
      <c r="AL245" s="449"/>
      <c r="AN245" s="500"/>
      <c r="AO245" s="449"/>
      <c r="AP245" s="449"/>
      <c r="AQ245" s="453"/>
      <c r="AR245" s="449"/>
      <c r="AS245" s="449"/>
      <c r="AT245" s="426"/>
      <c r="AU245" s="421"/>
      <c r="AV245" s="449"/>
      <c r="AW245" s="449"/>
      <c r="AX245" s="449"/>
      <c r="AY245" s="449"/>
      <c r="AZ245" s="449"/>
      <c r="BA245" s="449"/>
      <c r="BB245" s="449"/>
      <c r="BC245" s="449"/>
      <c r="BD245" s="449"/>
      <c r="BE245" s="449"/>
      <c r="BF245" s="449"/>
      <c r="BG245" s="449"/>
      <c r="BH245" s="531"/>
      <c r="BI245" s="449"/>
      <c r="BJ245" s="449"/>
      <c r="BK245" s="449"/>
      <c r="BL245" s="449"/>
      <c r="BM245" s="449"/>
      <c r="BN245" s="449"/>
      <c r="BO245" s="449"/>
      <c r="BP245" s="449"/>
      <c r="BQ245" s="449"/>
      <c r="BR245" s="449"/>
      <c r="BS245" s="449"/>
      <c r="BT245" s="449"/>
    </row>
    <row r="246" spans="1:74" s="536" customFormat="1" ht="15" hidden="1" x14ac:dyDescent="0.25">
      <c r="A246" s="524" t="s">
        <v>409</v>
      </c>
      <c r="B246" s="524" t="s">
        <v>410</v>
      </c>
      <c r="C246" s="595"/>
      <c r="D246" s="527"/>
      <c r="E246" s="528">
        <v>0</v>
      </c>
      <c r="F246" s="528"/>
      <c r="G246" s="507"/>
      <c r="H246" s="528">
        <v>0</v>
      </c>
      <c r="I246" s="528"/>
      <c r="J246" s="529"/>
      <c r="K246" s="507"/>
      <c r="L246" s="528"/>
      <c r="M246" s="528"/>
      <c r="N246" s="528"/>
      <c r="O246" s="528"/>
      <c r="P246" s="528"/>
      <c r="Q246" s="528"/>
      <c r="R246" s="528"/>
      <c r="S246" s="528"/>
      <c r="T246" s="528"/>
      <c r="U246" s="528"/>
      <c r="V246" s="528"/>
      <c r="W246" s="528"/>
      <c r="X246" s="528"/>
      <c r="Y246" s="528">
        <v>0</v>
      </c>
      <c r="Z246" s="530"/>
      <c r="AA246" s="528"/>
      <c r="AB246" s="528"/>
      <c r="AC246" s="528"/>
      <c r="AD246" s="528"/>
      <c r="AE246" s="528"/>
      <c r="AF246" s="528"/>
      <c r="AG246" s="528"/>
      <c r="AH246" s="528"/>
      <c r="AI246" s="528"/>
      <c r="AJ246" s="528"/>
      <c r="AK246" s="528"/>
      <c r="AL246" s="528"/>
      <c r="AN246" s="527"/>
      <c r="AO246" s="528"/>
      <c r="AP246" s="528"/>
      <c r="AQ246" s="499"/>
      <c r="AR246" s="528">
        <v>0</v>
      </c>
      <c r="AS246" s="528"/>
      <c r="AT246" s="529"/>
      <c r="AU246" s="507"/>
      <c r="AV246" s="528"/>
      <c r="AW246" s="528"/>
      <c r="AX246" s="528"/>
      <c r="AY246" s="528"/>
      <c r="AZ246" s="528"/>
      <c r="BA246" s="528"/>
      <c r="BB246" s="528"/>
      <c r="BC246" s="528"/>
      <c r="BD246" s="528"/>
      <c r="BE246" s="528"/>
      <c r="BF246" s="528"/>
      <c r="BG246" s="528"/>
      <c r="BH246" s="530"/>
      <c r="BI246" s="528"/>
      <c r="BJ246" s="528"/>
      <c r="BK246" s="528"/>
      <c r="BL246" s="528"/>
      <c r="BM246" s="528"/>
      <c r="BN246" s="528"/>
      <c r="BO246" s="528"/>
      <c r="BP246" s="528"/>
      <c r="BQ246" s="528"/>
      <c r="BR246" s="528"/>
      <c r="BS246" s="528"/>
      <c r="BT246" s="528"/>
      <c r="BV246" s="400"/>
    </row>
    <row r="247" spans="1:74" s="536" customFormat="1" ht="15" hidden="1" x14ac:dyDescent="0.25">
      <c r="A247" s="524" t="s">
        <v>411</v>
      </c>
      <c r="B247" s="524" t="s">
        <v>412</v>
      </c>
      <c r="C247" s="595"/>
      <c r="D247" s="527"/>
      <c r="E247" s="528">
        <v>0</v>
      </c>
      <c r="F247" s="528"/>
      <c r="G247" s="507"/>
      <c r="H247" s="528">
        <v>0</v>
      </c>
      <c r="I247" s="528"/>
      <c r="J247" s="529"/>
      <c r="K247" s="507"/>
      <c r="L247" s="528"/>
      <c r="M247" s="528"/>
      <c r="N247" s="528"/>
      <c r="O247" s="528"/>
      <c r="P247" s="528"/>
      <c r="Q247" s="528"/>
      <c r="R247" s="528"/>
      <c r="S247" s="528"/>
      <c r="T247" s="528"/>
      <c r="U247" s="528"/>
      <c r="V247" s="528"/>
      <c r="W247" s="528"/>
      <c r="X247" s="528"/>
      <c r="Y247" s="528">
        <v>0</v>
      </c>
      <c r="Z247" s="530"/>
      <c r="AA247" s="528"/>
      <c r="AB247" s="528"/>
      <c r="AC247" s="528"/>
      <c r="AD247" s="528"/>
      <c r="AE247" s="528"/>
      <c r="AF247" s="528"/>
      <c r="AG247" s="528"/>
      <c r="AH247" s="528"/>
      <c r="AI247" s="528"/>
      <c r="AJ247" s="528"/>
      <c r="AK247" s="528"/>
      <c r="AL247" s="528"/>
      <c r="AN247" s="527"/>
      <c r="AO247" s="528"/>
      <c r="AP247" s="528"/>
      <c r="AQ247" s="499"/>
      <c r="AR247" s="528">
        <v>0</v>
      </c>
      <c r="AS247" s="528"/>
      <c r="AT247" s="529"/>
      <c r="AU247" s="507"/>
      <c r="AV247" s="528"/>
      <c r="AW247" s="528"/>
      <c r="AX247" s="528"/>
      <c r="AY247" s="528"/>
      <c r="AZ247" s="528"/>
      <c r="BA247" s="528"/>
      <c r="BB247" s="528"/>
      <c r="BC247" s="528"/>
      <c r="BD247" s="528"/>
      <c r="BE247" s="528"/>
      <c r="BF247" s="528"/>
      <c r="BG247" s="528"/>
      <c r="BH247" s="530"/>
      <c r="BI247" s="528"/>
      <c r="BJ247" s="528"/>
      <c r="BK247" s="528"/>
      <c r="BL247" s="528"/>
      <c r="BM247" s="528"/>
      <c r="BN247" s="528"/>
      <c r="BO247" s="528"/>
      <c r="BP247" s="528"/>
      <c r="BQ247" s="528"/>
      <c r="BR247" s="528"/>
      <c r="BS247" s="528"/>
      <c r="BT247" s="528"/>
      <c r="BV247" s="400"/>
    </row>
    <row r="248" spans="1:74" ht="15" hidden="1" x14ac:dyDescent="0.25">
      <c r="A248" s="502" t="s">
        <v>413</v>
      </c>
      <c r="B248" s="502" t="s">
        <v>414</v>
      </c>
      <c r="C248" s="541"/>
      <c r="D248" s="500"/>
      <c r="E248" s="449">
        <v>0</v>
      </c>
      <c r="F248" s="449"/>
      <c r="G248" s="421"/>
      <c r="H248" s="449">
        <v>0</v>
      </c>
      <c r="I248" s="449"/>
      <c r="J248" s="426"/>
      <c r="K248" s="421"/>
      <c r="L248" s="449"/>
      <c r="M248" s="449"/>
      <c r="N248" s="449"/>
      <c r="O248" s="449"/>
      <c r="P248" s="449"/>
      <c r="Q248" s="449"/>
      <c r="R248" s="449"/>
      <c r="S248" s="449"/>
      <c r="T248" s="449"/>
      <c r="U248" s="449"/>
      <c r="V248" s="449"/>
      <c r="W248" s="449"/>
      <c r="X248" s="449"/>
      <c r="Y248" s="449">
        <v>0</v>
      </c>
      <c r="Z248" s="531"/>
      <c r="AA248" s="449"/>
      <c r="AB248" s="449"/>
      <c r="AC248" s="449"/>
      <c r="AD248" s="449"/>
      <c r="AE248" s="449"/>
      <c r="AF248" s="449"/>
      <c r="AG248" s="449"/>
      <c r="AH248" s="449"/>
      <c r="AI248" s="449"/>
      <c r="AJ248" s="449"/>
      <c r="AK248" s="449"/>
      <c r="AL248" s="449"/>
      <c r="AN248" s="500"/>
      <c r="AO248" s="449"/>
      <c r="AP248" s="449"/>
      <c r="AQ248" s="453"/>
      <c r="AR248" s="449">
        <v>0</v>
      </c>
      <c r="AS248" s="449"/>
      <c r="AT248" s="426"/>
      <c r="AU248" s="421"/>
      <c r="AV248" s="449"/>
      <c r="AW248" s="449"/>
      <c r="AX248" s="449"/>
      <c r="AY248" s="449"/>
      <c r="AZ248" s="449"/>
      <c r="BA248" s="449"/>
      <c r="BB248" s="449"/>
      <c r="BC248" s="449"/>
      <c r="BD248" s="449"/>
      <c r="BE248" s="449"/>
      <c r="BF248" s="449"/>
      <c r="BG248" s="449"/>
      <c r="BH248" s="531"/>
      <c r="BI248" s="449"/>
      <c r="BJ248" s="449"/>
      <c r="BK248" s="449"/>
      <c r="BL248" s="449"/>
      <c r="BM248" s="449"/>
      <c r="BN248" s="449"/>
      <c r="BO248" s="449"/>
      <c r="BP248" s="449"/>
      <c r="BQ248" s="449"/>
      <c r="BR248" s="449"/>
      <c r="BS248" s="449"/>
      <c r="BT248" s="449"/>
    </row>
    <row r="249" spans="1:74" ht="15" hidden="1" x14ac:dyDescent="0.25">
      <c r="A249" s="502" t="s">
        <v>415</v>
      </c>
      <c r="B249" s="502" t="s">
        <v>416</v>
      </c>
      <c r="C249" s="541"/>
      <c r="D249" s="500"/>
      <c r="E249" s="449">
        <v>0</v>
      </c>
      <c r="F249" s="449"/>
      <c r="G249" s="421"/>
      <c r="H249" s="449">
        <v>0</v>
      </c>
      <c r="I249" s="449"/>
      <c r="J249" s="426"/>
      <c r="K249" s="421"/>
      <c r="L249" s="449"/>
      <c r="M249" s="449"/>
      <c r="N249" s="449"/>
      <c r="O249" s="449"/>
      <c r="P249" s="449"/>
      <c r="Q249" s="449"/>
      <c r="R249" s="449"/>
      <c r="S249" s="449"/>
      <c r="T249" s="449"/>
      <c r="U249" s="449"/>
      <c r="V249" s="449"/>
      <c r="W249" s="449"/>
      <c r="X249" s="449"/>
      <c r="Y249" s="449">
        <v>0</v>
      </c>
      <c r="Z249" s="531"/>
      <c r="AA249" s="449"/>
      <c r="AB249" s="449"/>
      <c r="AC249" s="449"/>
      <c r="AD249" s="449"/>
      <c r="AE249" s="449"/>
      <c r="AF249" s="449"/>
      <c r="AG249" s="449"/>
      <c r="AH249" s="449"/>
      <c r="AI249" s="449"/>
      <c r="AJ249" s="449"/>
      <c r="AK249" s="449"/>
      <c r="AL249" s="449"/>
      <c r="AN249" s="500"/>
      <c r="AO249" s="449"/>
      <c r="AP249" s="449"/>
      <c r="AQ249" s="453"/>
      <c r="AR249" s="449">
        <v>0</v>
      </c>
      <c r="AS249" s="449"/>
      <c r="AT249" s="426"/>
      <c r="AU249" s="421"/>
      <c r="AV249" s="449"/>
      <c r="AW249" s="449"/>
      <c r="AX249" s="449"/>
      <c r="AY249" s="449"/>
      <c r="AZ249" s="449"/>
      <c r="BA249" s="449"/>
      <c r="BB249" s="449"/>
      <c r="BC249" s="449"/>
      <c r="BD249" s="449"/>
      <c r="BE249" s="449"/>
      <c r="BF249" s="449"/>
      <c r="BG249" s="449"/>
      <c r="BH249" s="531"/>
      <c r="BI249" s="449"/>
      <c r="BJ249" s="449"/>
      <c r="BK249" s="449"/>
      <c r="BL249" s="449"/>
      <c r="BM249" s="449"/>
      <c r="BN249" s="449"/>
      <c r="BO249" s="449"/>
      <c r="BP249" s="449"/>
      <c r="BQ249" s="449"/>
      <c r="BR249" s="449"/>
      <c r="BS249" s="449"/>
      <c r="BT249" s="449"/>
    </row>
    <row r="250" spans="1:74" ht="15" hidden="1" x14ac:dyDescent="0.25">
      <c r="A250" s="502" t="s">
        <v>417</v>
      </c>
      <c r="B250" s="502" t="s">
        <v>418</v>
      </c>
      <c r="C250" s="541"/>
      <c r="D250" s="500"/>
      <c r="E250" s="449">
        <v>0</v>
      </c>
      <c r="F250" s="449"/>
      <c r="G250" s="421"/>
      <c r="H250" s="449">
        <v>0</v>
      </c>
      <c r="I250" s="449"/>
      <c r="J250" s="426"/>
      <c r="K250" s="421"/>
      <c r="L250" s="449"/>
      <c r="M250" s="449"/>
      <c r="N250" s="449"/>
      <c r="O250" s="449"/>
      <c r="P250" s="449"/>
      <c r="Q250" s="449"/>
      <c r="R250" s="449"/>
      <c r="S250" s="449"/>
      <c r="T250" s="449"/>
      <c r="U250" s="449"/>
      <c r="V250" s="449"/>
      <c r="W250" s="449"/>
      <c r="X250" s="449"/>
      <c r="Y250" s="449">
        <v>0</v>
      </c>
      <c r="Z250" s="531"/>
      <c r="AA250" s="449"/>
      <c r="AB250" s="449"/>
      <c r="AC250" s="449"/>
      <c r="AD250" s="449"/>
      <c r="AE250" s="449"/>
      <c r="AF250" s="449"/>
      <c r="AG250" s="449"/>
      <c r="AH250" s="449"/>
      <c r="AI250" s="449"/>
      <c r="AJ250" s="449"/>
      <c r="AK250" s="449"/>
      <c r="AL250" s="449"/>
      <c r="AN250" s="500"/>
      <c r="AO250" s="449"/>
      <c r="AP250" s="449"/>
      <c r="AQ250" s="453"/>
      <c r="AR250" s="449">
        <v>0</v>
      </c>
      <c r="AS250" s="449"/>
      <c r="AT250" s="426"/>
      <c r="AU250" s="421"/>
      <c r="AV250" s="449"/>
      <c r="AW250" s="449"/>
      <c r="AX250" s="449"/>
      <c r="AY250" s="449"/>
      <c r="AZ250" s="449"/>
      <c r="BA250" s="449"/>
      <c r="BB250" s="449"/>
      <c r="BC250" s="449"/>
      <c r="BD250" s="449"/>
      <c r="BE250" s="449"/>
      <c r="BF250" s="449"/>
      <c r="BG250" s="449"/>
      <c r="BH250" s="531"/>
      <c r="BI250" s="449"/>
      <c r="BJ250" s="449"/>
      <c r="BK250" s="449"/>
      <c r="BL250" s="449"/>
      <c r="BM250" s="449"/>
      <c r="BN250" s="449"/>
      <c r="BO250" s="449"/>
      <c r="BP250" s="449"/>
      <c r="BQ250" s="449"/>
      <c r="BR250" s="449"/>
      <c r="BS250" s="449"/>
      <c r="BT250" s="449"/>
    </row>
    <row r="251" spans="1:74" ht="15" hidden="1" x14ac:dyDescent="0.25">
      <c r="A251" s="502" t="s">
        <v>419</v>
      </c>
      <c r="B251" s="502" t="s">
        <v>420</v>
      </c>
      <c r="C251" s="541"/>
      <c r="D251" s="500"/>
      <c r="E251" s="449">
        <v>0</v>
      </c>
      <c r="F251" s="449"/>
      <c r="G251" s="421"/>
      <c r="H251" s="449">
        <v>0</v>
      </c>
      <c r="I251" s="449"/>
      <c r="J251" s="426"/>
      <c r="K251" s="421"/>
      <c r="L251" s="449"/>
      <c r="M251" s="449"/>
      <c r="N251" s="449"/>
      <c r="O251" s="449"/>
      <c r="P251" s="449"/>
      <c r="Q251" s="449"/>
      <c r="R251" s="449"/>
      <c r="S251" s="449"/>
      <c r="T251" s="449"/>
      <c r="U251" s="449"/>
      <c r="V251" s="449"/>
      <c r="W251" s="449"/>
      <c r="X251" s="449"/>
      <c r="Y251" s="449">
        <v>0</v>
      </c>
      <c r="Z251" s="531"/>
      <c r="AA251" s="449"/>
      <c r="AB251" s="449"/>
      <c r="AC251" s="449"/>
      <c r="AD251" s="449"/>
      <c r="AE251" s="449"/>
      <c r="AF251" s="449"/>
      <c r="AG251" s="449"/>
      <c r="AH251" s="449"/>
      <c r="AI251" s="449"/>
      <c r="AJ251" s="449"/>
      <c r="AK251" s="449"/>
      <c r="AL251" s="449"/>
      <c r="AN251" s="500"/>
      <c r="AO251" s="449"/>
      <c r="AP251" s="449"/>
      <c r="AQ251" s="453"/>
      <c r="AR251" s="449">
        <v>0</v>
      </c>
      <c r="AS251" s="449"/>
      <c r="AT251" s="426"/>
      <c r="AU251" s="421"/>
      <c r="AV251" s="449"/>
      <c r="AW251" s="449"/>
      <c r="AX251" s="449"/>
      <c r="AY251" s="449"/>
      <c r="AZ251" s="449"/>
      <c r="BA251" s="449"/>
      <c r="BB251" s="449"/>
      <c r="BC251" s="449"/>
      <c r="BD251" s="449"/>
      <c r="BE251" s="449"/>
      <c r="BF251" s="449"/>
      <c r="BG251" s="449"/>
      <c r="BH251" s="531"/>
      <c r="BI251" s="449"/>
      <c r="BJ251" s="449"/>
      <c r="BK251" s="449"/>
      <c r="BL251" s="449"/>
      <c r="BM251" s="449"/>
      <c r="BN251" s="449"/>
      <c r="BO251" s="449"/>
      <c r="BP251" s="449"/>
      <c r="BQ251" s="449"/>
      <c r="BR251" s="449"/>
      <c r="BS251" s="449"/>
      <c r="BT251" s="449"/>
    </row>
    <row r="252" spans="1:74" ht="15" hidden="1" x14ac:dyDescent="0.25">
      <c r="A252" s="587" t="s">
        <v>421</v>
      </c>
      <c r="B252" s="502" t="s">
        <v>422</v>
      </c>
      <c r="C252" s="541"/>
      <c r="D252" s="500"/>
      <c r="E252" s="449">
        <v>0</v>
      </c>
      <c r="F252" s="449"/>
      <c r="G252" s="421"/>
      <c r="H252" s="449">
        <v>0</v>
      </c>
      <c r="I252" s="449"/>
      <c r="J252" s="426"/>
      <c r="K252" s="421"/>
      <c r="L252" s="449"/>
      <c r="M252" s="449"/>
      <c r="N252" s="449"/>
      <c r="O252" s="449"/>
      <c r="P252" s="449"/>
      <c r="Q252" s="449"/>
      <c r="R252" s="449"/>
      <c r="S252" s="449"/>
      <c r="T252" s="449"/>
      <c r="U252" s="449"/>
      <c r="V252" s="449"/>
      <c r="W252" s="449"/>
      <c r="X252" s="449"/>
      <c r="Y252" s="449">
        <v>0</v>
      </c>
      <c r="Z252" s="531"/>
      <c r="AA252" s="449"/>
      <c r="AB252" s="449"/>
      <c r="AC252" s="449"/>
      <c r="AD252" s="449"/>
      <c r="AE252" s="449"/>
      <c r="AF252" s="449"/>
      <c r="AG252" s="449"/>
      <c r="AH252" s="449"/>
      <c r="AI252" s="449"/>
      <c r="AJ252" s="449"/>
      <c r="AK252" s="449"/>
      <c r="AL252" s="449"/>
      <c r="AN252" s="500"/>
      <c r="AO252" s="449"/>
      <c r="AP252" s="449"/>
      <c r="AQ252" s="453"/>
      <c r="AR252" s="449">
        <v>0</v>
      </c>
      <c r="AS252" s="449"/>
      <c r="AT252" s="426"/>
      <c r="AU252" s="421"/>
      <c r="AV252" s="449"/>
      <c r="AW252" s="449"/>
      <c r="AX252" s="449"/>
      <c r="AY252" s="449"/>
      <c r="AZ252" s="449"/>
      <c r="BA252" s="449"/>
      <c r="BB252" s="449"/>
      <c r="BC252" s="449"/>
      <c r="BD252" s="449"/>
      <c r="BE252" s="449"/>
      <c r="BF252" s="449"/>
      <c r="BG252" s="449"/>
      <c r="BH252" s="531"/>
      <c r="BI252" s="449"/>
      <c r="BJ252" s="449"/>
      <c r="BK252" s="449"/>
      <c r="BL252" s="449"/>
      <c r="BM252" s="449"/>
      <c r="BN252" s="449"/>
      <c r="BO252" s="449"/>
      <c r="BP252" s="449"/>
      <c r="BQ252" s="449"/>
      <c r="BR252" s="449"/>
      <c r="BS252" s="449"/>
      <c r="BT252" s="449"/>
    </row>
    <row r="253" spans="1:74" ht="15" hidden="1" x14ac:dyDescent="0.25">
      <c r="A253" s="587" t="s">
        <v>423</v>
      </c>
      <c r="B253" s="502" t="s">
        <v>424</v>
      </c>
      <c r="C253" s="541"/>
      <c r="D253" s="500"/>
      <c r="E253" s="449">
        <v>0</v>
      </c>
      <c r="F253" s="449"/>
      <c r="G253" s="421"/>
      <c r="H253" s="449">
        <v>0</v>
      </c>
      <c r="I253" s="449"/>
      <c r="J253" s="426"/>
      <c r="K253" s="421"/>
      <c r="L253" s="449"/>
      <c r="M253" s="449"/>
      <c r="N253" s="449"/>
      <c r="O253" s="449"/>
      <c r="P253" s="449"/>
      <c r="Q253" s="449"/>
      <c r="R253" s="449"/>
      <c r="S253" s="449"/>
      <c r="T253" s="449"/>
      <c r="U253" s="449"/>
      <c r="V253" s="449"/>
      <c r="W253" s="449"/>
      <c r="X253" s="449"/>
      <c r="Y253" s="449">
        <v>0</v>
      </c>
      <c r="Z253" s="531"/>
      <c r="AA253" s="449"/>
      <c r="AB253" s="449"/>
      <c r="AC253" s="449"/>
      <c r="AD253" s="449"/>
      <c r="AE253" s="449"/>
      <c r="AF253" s="449"/>
      <c r="AG253" s="449"/>
      <c r="AH253" s="449"/>
      <c r="AI253" s="449"/>
      <c r="AJ253" s="449"/>
      <c r="AK253" s="449"/>
      <c r="AL253" s="449"/>
      <c r="AN253" s="500"/>
      <c r="AO253" s="449"/>
      <c r="AP253" s="449"/>
      <c r="AQ253" s="453"/>
      <c r="AR253" s="449">
        <v>0</v>
      </c>
      <c r="AS253" s="449"/>
      <c r="AT253" s="426"/>
      <c r="AU253" s="421"/>
      <c r="AV253" s="449"/>
      <c r="AW253" s="449"/>
      <c r="AX253" s="449"/>
      <c r="AY253" s="449"/>
      <c r="AZ253" s="449"/>
      <c r="BA253" s="449"/>
      <c r="BB253" s="449"/>
      <c r="BC253" s="449"/>
      <c r="BD253" s="449"/>
      <c r="BE253" s="449"/>
      <c r="BF253" s="449"/>
      <c r="BG253" s="449"/>
      <c r="BH253" s="531"/>
      <c r="BI253" s="449"/>
      <c r="BJ253" s="449"/>
      <c r="BK253" s="449"/>
      <c r="BL253" s="449"/>
      <c r="BM253" s="449"/>
      <c r="BN253" s="449"/>
      <c r="BO253" s="449"/>
      <c r="BP253" s="449"/>
      <c r="BQ253" s="449"/>
      <c r="BR253" s="449"/>
      <c r="BS253" s="449"/>
      <c r="BT253" s="449"/>
    </row>
    <row r="254" spans="1:74" ht="15" hidden="1" x14ac:dyDescent="0.25">
      <c r="A254" s="502" t="s">
        <v>425</v>
      </c>
      <c r="B254" s="502" t="s">
        <v>426</v>
      </c>
      <c r="C254" s="541"/>
      <c r="D254" s="500"/>
      <c r="E254" s="449">
        <v>0</v>
      </c>
      <c r="F254" s="449"/>
      <c r="G254" s="421"/>
      <c r="H254" s="449">
        <v>0</v>
      </c>
      <c r="I254" s="449"/>
      <c r="J254" s="426"/>
      <c r="K254" s="421"/>
      <c r="L254" s="449"/>
      <c r="M254" s="449"/>
      <c r="N254" s="449"/>
      <c r="O254" s="449"/>
      <c r="P254" s="449"/>
      <c r="Q254" s="449"/>
      <c r="R254" s="449"/>
      <c r="S254" s="449"/>
      <c r="T254" s="449"/>
      <c r="U254" s="449"/>
      <c r="V254" s="449"/>
      <c r="W254" s="449"/>
      <c r="X254" s="449"/>
      <c r="Y254" s="449">
        <v>0</v>
      </c>
      <c r="Z254" s="531"/>
      <c r="AA254" s="449"/>
      <c r="AB254" s="449"/>
      <c r="AC254" s="449"/>
      <c r="AD254" s="449"/>
      <c r="AE254" s="449"/>
      <c r="AF254" s="449"/>
      <c r="AG254" s="449"/>
      <c r="AH254" s="449"/>
      <c r="AI254" s="449"/>
      <c r="AJ254" s="449"/>
      <c r="AK254" s="449"/>
      <c r="AL254" s="449"/>
      <c r="AN254" s="500"/>
      <c r="AO254" s="449"/>
      <c r="AP254" s="449"/>
      <c r="AQ254" s="453"/>
      <c r="AR254" s="449">
        <v>0</v>
      </c>
      <c r="AS254" s="449"/>
      <c r="AT254" s="426"/>
      <c r="AU254" s="421"/>
      <c r="AV254" s="449"/>
      <c r="AW254" s="449"/>
      <c r="AX254" s="449"/>
      <c r="AY254" s="449"/>
      <c r="AZ254" s="449"/>
      <c r="BA254" s="449"/>
      <c r="BB254" s="449"/>
      <c r="BC254" s="449"/>
      <c r="BD254" s="449"/>
      <c r="BE254" s="449"/>
      <c r="BF254" s="449"/>
      <c r="BG254" s="449"/>
      <c r="BH254" s="531"/>
      <c r="BI254" s="449"/>
      <c r="BJ254" s="449"/>
      <c r="BK254" s="449"/>
      <c r="BL254" s="449"/>
      <c r="BM254" s="449"/>
      <c r="BN254" s="449"/>
      <c r="BO254" s="449"/>
      <c r="BP254" s="449"/>
      <c r="BQ254" s="449"/>
      <c r="BR254" s="449"/>
      <c r="BS254" s="449"/>
      <c r="BT254" s="449"/>
    </row>
    <row r="255" spans="1:74" ht="15" hidden="1" x14ac:dyDescent="0.25">
      <c r="A255" s="502" t="s">
        <v>427</v>
      </c>
      <c r="B255" s="502" t="s">
        <v>428</v>
      </c>
      <c r="C255" s="541"/>
      <c r="D255" s="500"/>
      <c r="E255" s="449">
        <v>0</v>
      </c>
      <c r="F255" s="449"/>
      <c r="G255" s="421"/>
      <c r="H255" s="449">
        <v>0</v>
      </c>
      <c r="I255" s="449"/>
      <c r="J255" s="426"/>
      <c r="K255" s="421"/>
      <c r="L255" s="449"/>
      <c r="M255" s="449"/>
      <c r="N255" s="449"/>
      <c r="O255" s="449"/>
      <c r="P255" s="449"/>
      <c r="Q255" s="449"/>
      <c r="R255" s="449"/>
      <c r="S255" s="449"/>
      <c r="T255" s="449"/>
      <c r="U255" s="449"/>
      <c r="V255" s="449"/>
      <c r="W255" s="449"/>
      <c r="X255" s="449"/>
      <c r="Y255" s="449">
        <v>0</v>
      </c>
      <c r="Z255" s="531"/>
      <c r="AA255" s="449"/>
      <c r="AB255" s="449"/>
      <c r="AC255" s="449"/>
      <c r="AD255" s="449"/>
      <c r="AE255" s="449"/>
      <c r="AF255" s="449"/>
      <c r="AG255" s="449"/>
      <c r="AH255" s="449"/>
      <c r="AI255" s="449"/>
      <c r="AJ255" s="449"/>
      <c r="AK255" s="449"/>
      <c r="AL255" s="449"/>
      <c r="AN255" s="500"/>
      <c r="AO255" s="449"/>
      <c r="AP255" s="449"/>
      <c r="AQ255" s="453"/>
      <c r="AR255" s="449">
        <v>0</v>
      </c>
      <c r="AS255" s="449"/>
      <c r="AT255" s="426"/>
      <c r="AU255" s="421"/>
      <c r="AV255" s="449"/>
      <c r="AW255" s="449"/>
      <c r="AX255" s="449"/>
      <c r="AY255" s="449"/>
      <c r="AZ255" s="449"/>
      <c r="BA255" s="449"/>
      <c r="BB255" s="449"/>
      <c r="BC255" s="449"/>
      <c r="BD255" s="449"/>
      <c r="BE255" s="449"/>
      <c r="BF255" s="449"/>
      <c r="BG255" s="449"/>
      <c r="BH255" s="531"/>
      <c r="BI255" s="449"/>
      <c r="BJ255" s="449"/>
      <c r="BK255" s="449"/>
      <c r="BL255" s="449"/>
      <c r="BM255" s="449"/>
      <c r="BN255" s="449"/>
      <c r="BO255" s="449"/>
      <c r="BP255" s="449"/>
      <c r="BQ255" s="449"/>
      <c r="BR255" s="449"/>
      <c r="BS255" s="449"/>
      <c r="BT255" s="449"/>
    </row>
    <row r="256" spans="1:74" ht="15" hidden="1" x14ac:dyDescent="0.25">
      <c r="A256" s="502" t="s">
        <v>429</v>
      </c>
      <c r="B256" s="502" t="s">
        <v>430</v>
      </c>
      <c r="C256" s="541"/>
      <c r="D256" s="500"/>
      <c r="E256" s="449">
        <v>0</v>
      </c>
      <c r="F256" s="449"/>
      <c r="G256" s="421"/>
      <c r="H256" s="449">
        <v>0</v>
      </c>
      <c r="I256" s="449"/>
      <c r="J256" s="426"/>
      <c r="K256" s="421"/>
      <c r="L256" s="449"/>
      <c r="M256" s="449"/>
      <c r="N256" s="449"/>
      <c r="O256" s="449"/>
      <c r="P256" s="449"/>
      <c r="Q256" s="449"/>
      <c r="R256" s="449"/>
      <c r="S256" s="449"/>
      <c r="T256" s="449"/>
      <c r="U256" s="449"/>
      <c r="V256" s="449"/>
      <c r="W256" s="449"/>
      <c r="X256" s="449"/>
      <c r="Y256" s="449">
        <v>0</v>
      </c>
      <c r="Z256" s="531"/>
      <c r="AA256" s="449"/>
      <c r="AB256" s="449"/>
      <c r="AC256" s="449"/>
      <c r="AD256" s="449"/>
      <c r="AE256" s="449"/>
      <c r="AF256" s="449"/>
      <c r="AG256" s="449"/>
      <c r="AH256" s="449"/>
      <c r="AI256" s="449"/>
      <c r="AJ256" s="449"/>
      <c r="AK256" s="449"/>
      <c r="AL256" s="449"/>
      <c r="AN256" s="500"/>
      <c r="AO256" s="449"/>
      <c r="AP256" s="449"/>
      <c r="AQ256" s="453"/>
      <c r="AR256" s="449">
        <v>0</v>
      </c>
      <c r="AS256" s="449"/>
      <c r="AT256" s="426"/>
      <c r="AU256" s="421"/>
      <c r="AV256" s="449"/>
      <c r="AW256" s="449"/>
      <c r="AX256" s="449"/>
      <c r="AY256" s="449"/>
      <c r="AZ256" s="449"/>
      <c r="BA256" s="449"/>
      <c r="BB256" s="449"/>
      <c r="BC256" s="449"/>
      <c r="BD256" s="449"/>
      <c r="BE256" s="449"/>
      <c r="BF256" s="449"/>
      <c r="BG256" s="449"/>
      <c r="BH256" s="531"/>
      <c r="BI256" s="449"/>
      <c r="BJ256" s="449"/>
      <c r="BK256" s="449"/>
      <c r="BL256" s="449"/>
      <c r="BM256" s="449"/>
      <c r="BN256" s="449"/>
      <c r="BO256" s="449"/>
      <c r="BP256" s="449"/>
      <c r="BQ256" s="449"/>
      <c r="BR256" s="449"/>
      <c r="BS256" s="449"/>
      <c r="BT256" s="449"/>
    </row>
    <row r="257" spans="1:74" ht="15" hidden="1" x14ac:dyDescent="0.25">
      <c r="A257" s="502" t="s">
        <v>431</v>
      </c>
      <c r="B257" s="502" t="s">
        <v>432</v>
      </c>
      <c r="C257" s="541"/>
      <c r="D257" s="500"/>
      <c r="E257" s="449">
        <v>0</v>
      </c>
      <c r="F257" s="449"/>
      <c r="G257" s="421"/>
      <c r="H257" s="449">
        <v>0</v>
      </c>
      <c r="I257" s="449"/>
      <c r="J257" s="426"/>
      <c r="K257" s="421"/>
      <c r="L257" s="449"/>
      <c r="M257" s="449"/>
      <c r="N257" s="449"/>
      <c r="O257" s="449"/>
      <c r="P257" s="449"/>
      <c r="Q257" s="449"/>
      <c r="R257" s="449"/>
      <c r="S257" s="449"/>
      <c r="T257" s="449"/>
      <c r="U257" s="449"/>
      <c r="V257" s="449"/>
      <c r="W257" s="449"/>
      <c r="X257" s="449"/>
      <c r="Y257" s="449">
        <v>0</v>
      </c>
      <c r="Z257" s="531"/>
      <c r="AA257" s="449"/>
      <c r="AB257" s="449"/>
      <c r="AC257" s="449"/>
      <c r="AD257" s="449"/>
      <c r="AE257" s="449"/>
      <c r="AF257" s="449"/>
      <c r="AG257" s="449"/>
      <c r="AH257" s="449"/>
      <c r="AI257" s="449"/>
      <c r="AJ257" s="449"/>
      <c r="AK257" s="449"/>
      <c r="AL257" s="449"/>
      <c r="AN257" s="500"/>
      <c r="AO257" s="449"/>
      <c r="AP257" s="449"/>
      <c r="AQ257" s="453"/>
      <c r="AR257" s="449">
        <v>0</v>
      </c>
      <c r="AS257" s="449"/>
      <c r="AT257" s="426"/>
      <c r="AU257" s="421"/>
      <c r="AV257" s="449"/>
      <c r="AW257" s="449"/>
      <c r="AX257" s="449"/>
      <c r="AY257" s="449"/>
      <c r="AZ257" s="449"/>
      <c r="BA257" s="449"/>
      <c r="BB257" s="449"/>
      <c r="BC257" s="449"/>
      <c r="BD257" s="449"/>
      <c r="BE257" s="449"/>
      <c r="BF257" s="449"/>
      <c r="BG257" s="449"/>
      <c r="BH257" s="531"/>
      <c r="BI257" s="449"/>
      <c r="BJ257" s="449"/>
      <c r="BK257" s="449"/>
      <c r="BL257" s="449"/>
      <c r="BM257" s="449"/>
      <c r="BN257" s="449"/>
      <c r="BO257" s="449"/>
      <c r="BP257" s="449"/>
      <c r="BQ257" s="449"/>
      <c r="BR257" s="449"/>
      <c r="BS257" s="449"/>
      <c r="BT257" s="449"/>
    </row>
    <row r="258" spans="1:74" ht="15" hidden="1" x14ac:dyDescent="0.25">
      <c r="A258" s="502" t="s">
        <v>433</v>
      </c>
      <c r="B258" s="502" t="s">
        <v>434</v>
      </c>
      <c r="C258" s="541"/>
      <c r="D258" s="500"/>
      <c r="E258" s="449">
        <v>0</v>
      </c>
      <c r="F258" s="449"/>
      <c r="G258" s="421"/>
      <c r="H258" s="449">
        <v>0</v>
      </c>
      <c r="I258" s="449"/>
      <c r="J258" s="426"/>
      <c r="K258" s="421"/>
      <c r="L258" s="449"/>
      <c r="M258" s="449"/>
      <c r="N258" s="449"/>
      <c r="O258" s="449"/>
      <c r="P258" s="449"/>
      <c r="Q258" s="449"/>
      <c r="R258" s="449"/>
      <c r="S258" s="449"/>
      <c r="T258" s="449"/>
      <c r="U258" s="449"/>
      <c r="V258" s="449"/>
      <c r="W258" s="449"/>
      <c r="X258" s="449"/>
      <c r="Y258" s="449">
        <v>0</v>
      </c>
      <c r="Z258" s="531"/>
      <c r="AA258" s="449"/>
      <c r="AB258" s="449"/>
      <c r="AC258" s="449"/>
      <c r="AD258" s="449"/>
      <c r="AE258" s="449"/>
      <c r="AF258" s="449"/>
      <c r="AG258" s="449"/>
      <c r="AH258" s="449"/>
      <c r="AI258" s="449"/>
      <c r="AJ258" s="449"/>
      <c r="AK258" s="449"/>
      <c r="AL258" s="449"/>
      <c r="AN258" s="500"/>
      <c r="AO258" s="449"/>
      <c r="AP258" s="449"/>
      <c r="AQ258" s="453"/>
      <c r="AR258" s="449">
        <v>0</v>
      </c>
      <c r="AS258" s="449"/>
      <c r="AT258" s="426"/>
      <c r="AU258" s="421"/>
      <c r="AV258" s="449"/>
      <c r="AW258" s="449"/>
      <c r="AX258" s="449"/>
      <c r="AY258" s="449"/>
      <c r="AZ258" s="449"/>
      <c r="BA258" s="449"/>
      <c r="BB258" s="449"/>
      <c r="BC258" s="449"/>
      <c r="BD258" s="449"/>
      <c r="BE258" s="449"/>
      <c r="BF258" s="449"/>
      <c r="BG258" s="449"/>
      <c r="BH258" s="531"/>
      <c r="BI258" s="449"/>
      <c r="BJ258" s="449"/>
      <c r="BK258" s="449"/>
      <c r="BL258" s="449"/>
      <c r="BM258" s="449"/>
      <c r="BN258" s="449"/>
      <c r="BO258" s="449"/>
      <c r="BP258" s="449"/>
      <c r="BQ258" s="449"/>
      <c r="BR258" s="449"/>
      <c r="BS258" s="449"/>
      <c r="BT258" s="449"/>
    </row>
    <row r="259" spans="1:74" ht="15" hidden="1" x14ac:dyDescent="0.25">
      <c r="A259" s="502" t="s">
        <v>435</v>
      </c>
      <c r="B259" s="502" t="s">
        <v>436</v>
      </c>
      <c r="C259" s="541"/>
      <c r="D259" s="500"/>
      <c r="E259" s="449">
        <v>0</v>
      </c>
      <c r="F259" s="449"/>
      <c r="G259" s="421"/>
      <c r="H259" s="449">
        <v>0</v>
      </c>
      <c r="I259" s="449"/>
      <c r="J259" s="426"/>
      <c r="K259" s="421"/>
      <c r="L259" s="449"/>
      <c r="M259" s="449"/>
      <c r="N259" s="449"/>
      <c r="O259" s="449"/>
      <c r="P259" s="449"/>
      <c r="Q259" s="449"/>
      <c r="R259" s="449"/>
      <c r="S259" s="449"/>
      <c r="T259" s="449"/>
      <c r="U259" s="449"/>
      <c r="V259" s="449"/>
      <c r="W259" s="449"/>
      <c r="X259" s="449"/>
      <c r="Y259" s="449">
        <v>0</v>
      </c>
      <c r="Z259" s="531"/>
      <c r="AA259" s="449"/>
      <c r="AB259" s="449"/>
      <c r="AC259" s="449"/>
      <c r="AD259" s="449"/>
      <c r="AE259" s="449"/>
      <c r="AF259" s="449"/>
      <c r="AG259" s="449"/>
      <c r="AH259" s="449"/>
      <c r="AI259" s="449"/>
      <c r="AJ259" s="449"/>
      <c r="AK259" s="449"/>
      <c r="AL259" s="449"/>
      <c r="AN259" s="500"/>
      <c r="AO259" s="449"/>
      <c r="AP259" s="449"/>
      <c r="AQ259" s="453"/>
      <c r="AR259" s="449">
        <v>0</v>
      </c>
      <c r="AS259" s="449"/>
      <c r="AT259" s="426"/>
      <c r="AU259" s="421"/>
      <c r="AV259" s="449"/>
      <c r="AW259" s="449"/>
      <c r="AX259" s="449"/>
      <c r="AY259" s="449"/>
      <c r="AZ259" s="449"/>
      <c r="BA259" s="449"/>
      <c r="BB259" s="449"/>
      <c r="BC259" s="449"/>
      <c r="BD259" s="449"/>
      <c r="BE259" s="449"/>
      <c r="BF259" s="449"/>
      <c r="BG259" s="449"/>
      <c r="BH259" s="531"/>
      <c r="BI259" s="449"/>
      <c r="BJ259" s="449"/>
      <c r="BK259" s="449"/>
      <c r="BL259" s="449"/>
      <c r="BM259" s="449"/>
      <c r="BN259" s="449"/>
      <c r="BO259" s="449"/>
      <c r="BP259" s="449"/>
      <c r="BQ259" s="449"/>
      <c r="BR259" s="449"/>
      <c r="BS259" s="449"/>
      <c r="BT259" s="449"/>
    </row>
    <row r="260" spans="1:74" ht="15" x14ac:dyDescent="0.25">
      <c r="A260" s="502" t="s">
        <v>437</v>
      </c>
      <c r="B260" s="502" t="s">
        <v>438</v>
      </c>
      <c r="C260" s="538"/>
      <c r="D260" s="500">
        <f>SUM(L260:W260)</f>
        <v>0</v>
      </c>
      <c r="E260" s="449">
        <v>0</v>
      </c>
      <c r="F260" s="449">
        <f>IFERROR(D260-E260,0)</f>
        <v>0</v>
      </c>
      <c r="G260" s="421">
        <f>IFERROR(F260/ABS(E260),0)</f>
        <v>0</v>
      </c>
      <c r="H260" s="449">
        <v>0</v>
      </c>
      <c r="I260" s="449">
        <f>IFERROR(D260-H260,0)</f>
        <v>0</v>
      </c>
      <c r="J260" s="426">
        <f>IFERROR(I260/ABS(H260),0)</f>
        <v>0</v>
      </c>
      <c r="K260" s="421"/>
      <c r="L260" s="449">
        <v>0</v>
      </c>
      <c r="M260" s="449">
        <v>0</v>
      </c>
      <c r="N260" s="449">
        <v>0</v>
      </c>
      <c r="O260" s="449">
        <v>0</v>
      </c>
      <c r="P260" s="449">
        <v>0</v>
      </c>
      <c r="Q260" s="449">
        <v>0</v>
      </c>
      <c r="R260" s="449">
        <f>($H260-SUM($L260:Q260))/R$694</f>
        <v>0</v>
      </c>
      <c r="S260" s="449">
        <f>($H260-SUM($L260:R260))/S$694</f>
        <v>0</v>
      </c>
      <c r="T260" s="449">
        <f>($H260-SUM($L260:S260))/T$694</f>
        <v>0</v>
      </c>
      <c r="U260" s="449">
        <f>($H260-SUM($L260:T260))/U$694</f>
        <v>0</v>
      </c>
      <c r="V260" s="449">
        <f>($H260-SUM($L260:U260))/V$694</f>
        <v>0</v>
      </c>
      <c r="W260" s="449">
        <f>($H260-SUM($L260:V260))/W$694</f>
        <v>0</v>
      </c>
      <c r="X260" s="449"/>
      <c r="Y260" s="449">
        <f>SUM(L260:W260)</f>
        <v>0</v>
      </c>
      <c r="Z260" s="531"/>
      <c r="AA260" s="449">
        <f t="shared" ref="AA260:AL262" si="253">IFERROR($H260/12,0)</f>
        <v>0</v>
      </c>
      <c r="AB260" s="449">
        <f t="shared" si="253"/>
        <v>0</v>
      </c>
      <c r="AC260" s="449">
        <f t="shared" si="253"/>
        <v>0</v>
      </c>
      <c r="AD260" s="449">
        <f t="shared" si="253"/>
        <v>0</v>
      </c>
      <c r="AE260" s="449">
        <f t="shared" si="253"/>
        <v>0</v>
      </c>
      <c r="AF260" s="449">
        <f t="shared" si="253"/>
        <v>0</v>
      </c>
      <c r="AG260" s="449">
        <f t="shared" si="253"/>
        <v>0</v>
      </c>
      <c r="AH260" s="449">
        <f t="shared" si="253"/>
        <v>0</v>
      </c>
      <c r="AI260" s="449">
        <f t="shared" si="253"/>
        <v>0</v>
      </c>
      <c r="AJ260" s="449">
        <f t="shared" si="253"/>
        <v>0</v>
      </c>
      <c r="AK260" s="449">
        <f t="shared" si="253"/>
        <v>0</v>
      </c>
      <c r="AL260" s="449">
        <f t="shared" si="253"/>
        <v>0</v>
      </c>
      <c r="AN260" s="500">
        <f>SUM(L260:W260)</f>
        <v>0</v>
      </c>
      <c r="AO260" s="449">
        <f>SUM(BI260:BT260)</f>
        <v>0</v>
      </c>
      <c r="AP260" s="449">
        <f>IFERROR(AO260-AN260,0)</f>
        <v>0</v>
      </c>
      <c r="AQ260" s="453" t="str">
        <f>IFERROR(AP260/ABS(AN260),"-")</f>
        <v>-</v>
      </c>
      <c r="AR260" s="449">
        <f>SUM(BI260:BT260)</f>
        <v>0</v>
      </c>
      <c r="AS260" s="449">
        <f>IFERROR(AO260-AR260,0)</f>
        <v>0</v>
      </c>
      <c r="AT260" s="426">
        <f>IFERROR(AS260/ABS(AR260),0)</f>
        <v>0</v>
      </c>
      <c r="AU260" s="421"/>
      <c r="AV260" s="449">
        <f t="shared" ref="AV260:BG262" si="254">BI260</f>
        <v>0</v>
      </c>
      <c r="AW260" s="449">
        <f t="shared" si="254"/>
        <v>0</v>
      </c>
      <c r="AX260" s="449">
        <f t="shared" si="254"/>
        <v>0</v>
      </c>
      <c r="AY260" s="449">
        <f t="shared" si="254"/>
        <v>0</v>
      </c>
      <c r="AZ260" s="449">
        <f t="shared" si="254"/>
        <v>0</v>
      </c>
      <c r="BA260" s="449">
        <f t="shared" si="254"/>
        <v>0</v>
      </c>
      <c r="BB260" s="449">
        <f t="shared" si="254"/>
        <v>0</v>
      </c>
      <c r="BC260" s="449">
        <f t="shared" si="254"/>
        <v>0</v>
      </c>
      <c r="BD260" s="449">
        <f t="shared" si="254"/>
        <v>0</v>
      </c>
      <c r="BE260" s="449">
        <f t="shared" si="254"/>
        <v>0</v>
      </c>
      <c r="BF260" s="449">
        <f t="shared" si="254"/>
        <v>0</v>
      </c>
      <c r="BG260" s="449">
        <f t="shared" si="254"/>
        <v>0</v>
      </c>
      <c r="BH260" s="400"/>
      <c r="BI260" s="449">
        <f t="shared" ref="BI260:BT262" si="255">IFERROR((($H260/$H$5)*BI$5)/12,0)</f>
        <v>0</v>
      </c>
      <c r="BJ260" s="449">
        <f t="shared" si="255"/>
        <v>0</v>
      </c>
      <c r="BK260" s="449">
        <f t="shared" si="255"/>
        <v>0</v>
      </c>
      <c r="BL260" s="449">
        <f t="shared" si="255"/>
        <v>0</v>
      </c>
      <c r="BM260" s="449">
        <f t="shared" si="255"/>
        <v>0</v>
      </c>
      <c r="BN260" s="449">
        <f t="shared" si="255"/>
        <v>0</v>
      </c>
      <c r="BO260" s="449">
        <f t="shared" si="255"/>
        <v>0</v>
      </c>
      <c r="BP260" s="449">
        <f t="shared" si="255"/>
        <v>0</v>
      </c>
      <c r="BQ260" s="449">
        <f t="shared" si="255"/>
        <v>0</v>
      </c>
      <c r="BR260" s="449">
        <f t="shared" si="255"/>
        <v>0</v>
      </c>
      <c r="BS260" s="449">
        <f t="shared" si="255"/>
        <v>0</v>
      </c>
      <c r="BT260" s="449">
        <f t="shared" si="255"/>
        <v>0</v>
      </c>
    </row>
    <row r="261" spans="1:74" ht="15" x14ac:dyDescent="0.25">
      <c r="A261" s="615" t="s">
        <v>439</v>
      </c>
      <c r="B261" s="502" t="s">
        <v>440</v>
      </c>
      <c r="C261" s="538" t="s">
        <v>441</v>
      </c>
      <c r="D261" s="500">
        <f>SUM(L261:W261)</f>
        <v>731800</v>
      </c>
      <c r="E261" s="449">
        <v>722424.58169999986</v>
      </c>
      <c r="F261" s="449">
        <f>IFERROR(D261-E261,0)</f>
        <v>9375.4183000001358</v>
      </c>
      <c r="G261" s="421">
        <f>IFERROR(F261/ABS(E261),0)</f>
        <v>1.2977712189607428E-2</v>
      </c>
      <c r="H261" s="449">
        <v>731800</v>
      </c>
      <c r="I261" s="449">
        <f>IFERROR(D261-H261,0)</f>
        <v>0</v>
      </c>
      <c r="J261" s="426">
        <f>IFERROR(I261/ABS(H261),0)</f>
        <v>0</v>
      </c>
      <c r="K261" s="421"/>
      <c r="L261" s="449">
        <v>58221.4</v>
      </c>
      <c r="M261" s="449">
        <v>58221.4</v>
      </c>
      <c r="N261" s="449">
        <v>66502.749999999985</v>
      </c>
      <c r="O261" s="449">
        <v>67135.97</v>
      </c>
      <c r="P261" s="449">
        <v>59755.98000000001</v>
      </c>
      <c r="Q261" s="449">
        <v>61166.119999999995</v>
      </c>
      <c r="R261" s="449">
        <f>($H261-SUM($L261:Q261))/R$694</f>
        <v>60132.73</v>
      </c>
      <c r="S261" s="449">
        <f>($H261-SUM($L261:R261))/S$694</f>
        <v>60132.73</v>
      </c>
      <c r="T261" s="449">
        <f>($H261-SUM($L261:S261))/T$694</f>
        <v>60132.73000000001</v>
      </c>
      <c r="U261" s="449">
        <f>($H261-SUM($L261:T261))/U$694</f>
        <v>60132.730000000018</v>
      </c>
      <c r="V261" s="449">
        <f>($H261-SUM($L261:U261))/V$694</f>
        <v>60132.73000000004</v>
      </c>
      <c r="W261" s="449">
        <f>($H261-SUM($L261:V261))/W$694</f>
        <v>60132.729999999981</v>
      </c>
      <c r="X261" s="449"/>
      <c r="Y261" s="449">
        <f>SUM(L261:W261)</f>
        <v>731800</v>
      </c>
      <c r="Z261" s="531"/>
      <c r="AA261" s="449">
        <f t="shared" si="253"/>
        <v>60983.333333333336</v>
      </c>
      <c r="AB261" s="449">
        <f t="shared" si="253"/>
        <v>60983.333333333336</v>
      </c>
      <c r="AC261" s="449">
        <f t="shared" si="253"/>
        <v>60983.333333333336</v>
      </c>
      <c r="AD261" s="449">
        <f t="shared" si="253"/>
        <v>60983.333333333336</v>
      </c>
      <c r="AE261" s="449">
        <f t="shared" si="253"/>
        <v>60983.333333333336</v>
      </c>
      <c r="AF261" s="449">
        <f t="shared" si="253"/>
        <v>60983.333333333336</v>
      </c>
      <c r="AG261" s="449">
        <f t="shared" si="253"/>
        <v>60983.333333333336</v>
      </c>
      <c r="AH261" s="449">
        <f t="shared" si="253"/>
        <v>60983.333333333336</v>
      </c>
      <c r="AI261" s="449">
        <f t="shared" si="253"/>
        <v>60983.333333333336</v>
      </c>
      <c r="AJ261" s="449">
        <f t="shared" si="253"/>
        <v>60983.333333333336</v>
      </c>
      <c r="AK261" s="449">
        <f t="shared" si="253"/>
        <v>60983.333333333336</v>
      </c>
      <c r="AL261" s="449">
        <f t="shared" si="253"/>
        <v>60983.333333333336</v>
      </c>
      <c r="AN261" s="500">
        <f>SUM(L261:W261)</f>
        <v>731800</v>
      </c>
      <c r="AO261" s="449">
        <f>SUM(BI261:BT261)</f>
        <v>804686.10441767098</v>
      </c>
      <c r="AP261" s="449">
        <f>IFERROR(AO261-AN261,0)</f>
        <v>72886.104417670984</v>
      </c>
      <c r="AQ261" s="453">
        <f>IFERROR(AP261/ABS(AN261),"-")</f>
        <v>9.9598393574297603E-2</v>
      </c>
      <c r="AR261" s="449">
        <f>SUM(BI261:BT261)</f>
        <v>804686.10441767098</v>
      </c>
      <c r="AS261" s="449">
        <f>IFERROR(AO261-AR261,0)</f>
        <v>0</v>
      </c>
      <c r="AT261" s="426">
        <f>IFERROR(AS261/ABS(AR261),0)</f>
        <v>0</v>
      </c>
      <c r="AU261" s="421"/>
      <c r="AV261" s="449">
        <f t="shared" si="254"/>
        <v>67057.175368139229</v>
      </c>
      <c r="AW261" s="449">
        <f t="shared" si="254"/>
        <v>67057.175368139229</v>
      </c>
      <c r="AX261" s="449">
        <f t="shared" si="254"/>
        <v>67057.175368139229</v>
      </c>
      <c r="AY261" s="449">
        <f t="shared" si="254"/>
        <v>67057.175368139229</v>
      </c>
      <c r="AZ261" s="449">
        <f t="shared" si="254"/>
        <v>67057.175368139229</v>
      </c>
      <c r="BA261" s="449">
        <f t="shared" si="254"/>
        <v>67057.175368139229</v>
      </c>
      <c r="BB261" s="449">
        <f t="shared" si="254"/>
        <v>67057.175368139229</v>
      </c>
      <c r="BC261" s="449">
        <f t="shared" si="254"/>
        <v>67057.175368139229</v>
      </c>
      <c r="BD261" s="449">
        <f t="shared" si="254"/>
        <v>67057.175368139229</v>
      </c>
      <c r="BE261" s="449">
        <f t="shared" si="254"/>
        <v>67057.175368139229</v>
      </c>
      <c r="BF261" s="449">
        <f t="shared" si="254"/>
        <v>67057.175368139229</v>
      </c>
      <c r="BG261" s="449">
        <f t="shared" si="254"/>
        <v>67057.175368139229</v>
      </c>
      <c r="BH261" s="400"/>
      <c r="BI261" s="449">
        <f t="shared" si="255"/>
        <v>67057.175368139229</v>
      </c>
      <c r="BJ261" s="449">
        <f t="shared" si="255"/>
        <v>67057.175368139229</v>
      </c>
      <c r="BK261" s="449">
        <f t="shared" si="255"/>
        <v>67057.175368139229</v>
      </c>
      <c r="BL261" s="449">
        <f t="shared" si="255"/>
        <v>67057.175368139229</v>
      </c>
      <c r="BM261" s="449">
        <f t="shared" si="255"/>
        <v>67057.175368139229</v>
      </c>
      <c r="BN261" s="449">
        <f t="shared" si="255"/>
        <v>67057.175368139229</v>
      </c>
      <c r="BO261" s="449">
        <f t="shared" si="255"/>
        <v>67057.175368139229</v>
      </c>
      <c r="BP261" s="449">
        <f t="shared" si="255"/>
        <v>67057.175368139229</v>
      </c>
      <c r="BQ261" s="449">
        <f t="shared" si="255"/>
        <v>67057.175368139229</v>
      </c>
      <c r="BR261" s="449">
        <f t="shared" si="255"/>
        <v>67057.175368139229</v>
      </c>
      <c r="BS261" s="449">
        <f t="shared" si="255"/>
        <v>67057.175368139229</v>
      </c>
      <c r="BT261" s="449">
        <f t="shared" si="255"/>
        <v>67057.175368139229</v>
      </c>
    </row>
    <row r="262" spans="1:74" ht="15" x14ac:dyDescent="0.25">
      <c r="A262" s="502" t="s">
        <v>442</v>
      </c>
      <c r="B262" s="612" t="s">
        <v>443</v>
      </c>
      <c r="C262" s="596"/>
      <c r="D262" s="500">
        <f>SUM(L262:W262)</f>
        <v>0</v>
      </c>
      <c r="E262" s="449">
        <v>0</v>
      </c>
      <c r="F262" s="449">
        <f>IFERROR(D262-E262,0)</f>
        <v>0</v>
      </c>
      <c r="G262" s="421">
        <f>IFERROR(F262/ABS(E262),0)</f>
        <v>0</v>
      </c>
      <c r="H262" s="449">
        <v>0</v>
      </c>
      <c r="I262" s="449">
        <f>IFERROR(D262-H262,0)</f>
        <v>0</v>
      </c>
      <c r="J262" s="426">
        <f>IFERROR(I262/ABS(H262),0)</f>
        <v>0</v>
      </c>
      <c r="K262" s="421"/>
      <c r="L262" s="449">
        <v>0</v>
      </c>
      <c r="M262" s="449">
        <v>0</v>
      </c>
      <c r="N262" s="449">
        <v>0</v>
      </c>
      <c r="O262" s="449">
        <v>0</v>
      </c>
      <c r="P262" s="449">
        <v>0</v>
      </c>
      <c r="Q262" s="449">
        <v>0</v>
      </c>
      <c r="R262" s="449">
        <f>($H262-SUM($L262:Q262))/R$694</f>
        <v>0</v>
      </c>
      <c r="S262" s="449">
        <f>($H262-SUM($L262:R262))/S$694</f>
        <v>0</v>
      </c>
      <c r="T262" s="449">
        <f>($H262-SUM($L262:S262))/T$694</f>
        <v>0</v>
      </c>
      <c r="U262" s="449">
        <f>($H262-SUM($L262:T262))/U$694</f>
        <v>0</v>
      </c>
      <c r="V262" s="449">
        <f>($H262-SUM($L262:U262))/V$694</f>
        <v>0</v>
      </c>
      <c r="W262" s="449">
        <f>($H262-SUM($L262:V262))/W$694</f>
        <v>0</v>
      </c>
      <c r="X262" s="449"/>
      <c r="Y262" s="449">
        <f>SUM(L262:W262)</f>
        <v>0</v>
      </c>
      <c r="Z262" s="531"/>
      <c r="AA262" s="449">
        <f t="shared" si="253"/>
        <v>0</v>
      </c>
      <c r="AB262" s="449">
        <f t="shared" si="253"/>
        <v>0</v>
      </c>
      <c r="AC262" s="449">
        <f t="shared" si="253"/>
        <v>0</v>
      </c>
      <c r="AD262" s="449">
        <f t="shared" si="253"/>
        <v>0</v>
      </c>
      <c r="AE262" s="449">
        <f t="shared" si="253"/>
        <v>0</v>
      </c>
      <c r="AF262" s="449">
        <f t="shared" si="253"/>
        <v>0</v>
      </c>
      <c r="AG262" s="449">
        <f t="shared" si="253"/>
        <v>0</v>
      </c>
      <c r="AH262" s="449">
        <f t="shared" si="253"/>
        <v>0</v>
      </c>
      <c r="AI262" s="449">
        <f t="shared" si="253"/>
        <v>0</v>
      </c>
      <c r="AJ262" s="449">
        <f t="shared" si="253"/>
        <v>0</v>
      </c>
      <c r="AK262" s="449">
        <f t="shared" si="253"/>
        <v>0</v>
      </c>
      <c r="AL262" s="449">
        <f t="shared" si="253"/>
        <v>0</v>
      </c>
      <c r="AN262" s="500">
        <f>SUM(L262:W262)</f>
        <v>0</v>
      </c>
      <c r="AO262" s="449">
        <f>SUM(BI262:BT262)</f>
        <v>0</v>
      </c>
      <c r="AP262" s="449">
        <f>IFERROR(AO262-AN262,0)</f>
        <v>0</v>
      </c>
      <c r="AQ262" s="453" t="str">
        <f>IFERROR(AP262/ABS(AN262),"-")</f>
        <v>-</v>
      </c>
      <c r="AR262" s="449">
        <f>SUM(BI262:BT262)</f>
        <v>0</v>
      </c>
      <c r="AS262" s="449">
        <f>IFERROR(AO262-AR262,0)</f>
        <v>0</v>
      </c>
      <c r="AT262" s="426">
        <f>IFERROR(AS262/ABS(AR262),0)</f>
        <v>0</v>
      </c>
      <c r="AU262" s="421"/>
      <c r="AV262" s="449">
        <f t="shared" si="254"/>
        <v>0</v>
      </c>
      <c r="AW262" s="449">
        <f t="shared" si="254"/>
        <v>0</v>
      </c>
      <c r="AX262" s="449">
        <f t="shared" si="254"/>
        <v>0</v>
      </c>
      <c r="AY262" s="449">
        <f t="shared" si="254"/>
        <v>0</v>
      </c>
      <c r="AZ262" s="449">
        <f t="shared" si="254"/>
        <v>0</v>
      </c>
      <c r="BA262" s="449">
        <f t="shared" si="254"/>
        <v>0</v>
      </c>
      <c r="BB262" s="449">
        <f t="shared" si="254"/>
        <v>0</v>
      </c>
      <c r="BC262" s="449">
        <f t="shared" si="254"/>
        <v>0</v>
      </c>
      <c r="BD262" s="449">
        <f t="shared" si="254"/>
        <v>0</v>
      </c>
      <c r="BE262" s="449">
        <f t="shared" si="254"/>
        <v>0</v>
      </c>
      <c r="BF262" s="449">
        <f t="shared" si="254"/>
        <v>0</v>
      </c>
      <c r="BG262" s="449">
        <f t="shared" si="254"/>
        <v>0</v>
      </c>
      <c r="BH262" s="400"/>
      <c r="BI262" s="449">
        <f t="shared" si="255"/>
        <v>0</v>
      </c>
      <c r="BJ262" s="449">
        <f t="shared" si="255"/>
        <v>0</v>
      </c>
      <c r="BK262" s="449">
        <f t="shared" si="255"/>
        <v>0</v>
      </c>
      <c r="BL262" s="449">
        <f t="shared" si="255"/>
        <v>0</v>
      </c>
      <c r="BM262" s="449">
        <f t="shared" si="255"/>
        <v>0</v>
      </c>
      <c r="BN262" s="449">
        <f t="shared" si="255"/>
        <v>0</v>
      </c>
      <c r="BO262" s="449">
        <f t="shared" si="255"/>
        <v>0</v>
      </c>
      <c r="BP262" s="449">
        <f t="shared" si="255"/>
        <v>0</v>
      </c>
      <c r="BQ262" s="449">
        <f t="shared" si="255"/>
        <v>0</v>
      </c>
      <c r="BR262" s="449">
        <f t="shared" si="255"/>
        <v>0</v>
      </c>
      <c r="BS262" s="449">
        <f t="shared" si="255"/>
        <v>0</v>
      </c>
      <c r="BT262" s="449">
        <f t="shared" si="255"/>
        <v>0</v>
      </c>
    </row>
    <row r="263" spans="1:74" ht="10.5" customHeight="1" x14ac:dyDescent="0.25">
      <c r="A263" s="587"/>
      <c r="B263" s="612"/>
      <c r="C263" s="596"/>
      <c r="D263" s="500"/>
      <c r="E263" s="449"/>
      <c r="F263" s="449"/>
      <c r="G263" s="421"/>
      <c r="H263" s="449"/>
      <c r="I263" s="449"/>
      <c r="J263" s="426"/>
      <c r="K263" s="421"/>
      <c r="L263" s="449"/>
      <c r="M263" s="449"/>
      <c r="N263" s="449"/>
      <c r="O263" s="449"/>
      <c r="P263" s="449"/>
      <c r="Q263" s="449"/>
      <c r="R263" s="449"/>
      <c r="S263" s="449"/>
      <c r="T263" s="449"/>
      <c r="U263" s="449"/>
      <c r="V263" s="449"/>
      <c r="W263" s="449"/>
      <c r="X263" s="449"/>
      <c r="Y263" s="449"/>
      <c r="Z263" s="531"/>
      <c r="AA263" s="449"/>
      <c r="AB263" s="449"/>
      <c r="AC263" s="449"/>
      <c r="AD263" s="449"/>
      <c r="AE263" s="449"/>
      <c r="AF263" s="449"/>
      <c r="AG263" s="449"/>
      <c r="AH263" s="449"/>
      <c r="AI263" s="449"/>
      <c r="AJ263" s="449"/>
      <c r="AK263" s="449"/>
      <c r="AL263" s="449"/>
      <c r="AN263" s="500"/>
      <c r="AO263" s="449"/>
      <c r="AP263" s="449"/>
      <c r="AQ263" s="453"/>
      <c r="AR263" s="449"/>
      <c r="AS263" s="449"/>
      <c r="AT263" s="426"/>
      <c r="AU263" s="421"/>
      <c r="AV263" s="449"/>
      <c r="AW263" s="449"/>
      <c r="AX263" s="449"/>
      <c r="AY263" s="449"/>
      <c r="AZ263" s="449"/>
      <c r="BA263" s="449"/>
      <c r="BB263" s="449"/>
      <c r="BC263" s="449"/>
      <c r="BD263" s="449"/>
      <c r="BE263" s="449"/>
      <c r="BF263" s="449"/>
      <c r="BG263" s="449"/>
      <c r="BH263" s="531"/>
      <c r="BI263" s="449"/>
      <c r="BJ263" s="449"/>
      <c r="BK263" s="449"/>
      <c r="BL263" s="449"/>
      <c r="BM263" s="449"/>
      <c r="BN263" s="449"/>
      <c r="BO263" s="449"/>
      <c r="BP263" s="449"/>
      <c r="BQ263" s="449"/>
      <c r="BR263" s="449"/>
      <c r="BS263" s="449"/>
      <c r="BT263" s="449"/>
    </row>
    <row r="264" spans="1:74" s="536" customFormat="1" ht="15.75" thickBot="1" x14ac:dyDescent="0.3">
      <c r="A264" s="526"/>
      <c r="B264" s="611" t="s">
        <v>444</v>
      </c>
      <c r="C264" s="598"/>
      <c r="D264" s="532">
        <f>SUM(D246:D263)</f>
        <v>731800</v>
      </c>
      <c r="E264" s="533">
        <f>SUM(E246:E263)</f>
        <v>722424.58169999986</v>
      </c>
      <c r="F264" s="533">
        <f>IFERROR(D264-E264,0)</f>
        <v>9375.4183000001358</v>
      </c>
      <c r="G264" s="520">
        <f>IFERROR(F264/ABS(E264),0)</f>
        <v>1.2977712189607428E-2</v>
      </c>
      <c r="H264" s="533">
        <f>SUM(H260:H262)</f>
        <v>731800</v>
      </c>
      <c r="I264" s="533">
        <f>IFERROR(D264-H264,0)</f>
        <v>0</v>
      </c>
      <c r="J264" s="521">
        <f>IFERROR(I264/ABS(H264),0)</f>
        <v>0</v>
      </c>
      <c r="K264" s="507"/>
      <c r="L264" s="533">
        <f>SUM(L246:L263)</f>
        <v>58221.4</v>
      </c>
      <c r="M264" s="533">
        <f t="shared" ref="M264:W264" si="256">SUM(M246:M263)</f>
        <v>58221.4</v>
      </c>
      <c r="N264" s="533">
        <f t="shared" si="256"/>
        <v>66502.749999999985</v>
      </c>
      <c r="O264" s="533">
        <f t="shared" si="256"/>
        <v>67135.97</v>
      </c>
      <c r="P264" s="533">
        <f t="shared" si="256"/>
        <v>59755.98000000001</v>
      </c>
      <c r="Q264" s="533">
        <f t="shared" si="256"/>
        <v>61166.119999999995</v>
      </c>
      <c r="R264" s="533">
        <f t="shared" si="256"/>
        <v>60132.73</v>
      </c>
      <c r="S264" s="533">
        <f t="shared" si="256"/>
        <v>60132.73</v>
      </c>
      <c r="T264" s="533">
        <f t="shared" si="256"/>
        <v>60132.73000000001</v>
      </c>
      <c r="U264" s="533">
        <f t="shared" si="256"/>
        <v>60132.730000000018</v>
      </c>
      <c r="V264" s="533">
        <f t="shared" si="256"/>
        <v>60132.73000000004</v>
      </c>
      <c r="W264" s="533">
        <f t="shared" si="256"/>
        <v>60132.729999999981</v>
      </c>
      <c r="X264" s="533"/>
      <c r="Y264" s="533">
        <f>SUM(L264:W264)</f>
        <v>731800</v>
      </c>
      <c r="Z264" s="508"/>
      <c r="AA264" s="533">
        <f t="shared" ref="AA264:AL264" si="257">SUM(AA246:AA263)</f>
        <v>60983.333333333336</v>
      </c>
      <c r="AB264" s="533">
        <f t="shared" si="257"/>
        <v>60983.333333333336</v>
      </c>
      <c r="AC264" s="533">
        <f t="shared" si="257"/>
        <v>60983.333333333336</v>
      </c>
      <c r="AD264" s="533">
        <f t="shared" si="257"/>
        <v>60983.333333333336</v>
      </c>
      <c r="AE264" s="533">
        <f t="shared" si="257"/>
        <v>60983.333333333336</v>
      </c>
      <c r="AF264" s="533">
        <f t="shared" si="257"/>
        <v>60983.333333333336</v>
      </c>
      <c r="AG264" s="533">
        <f t="shared" si="257"/>
        <v>60983.333333333336</v>
      </c>
      <c r="AH264" s="533">
        <f t="shared" si="257"/>
        <v>60983.333333333336</v>
      </c>
      <c r="AI264" s="533">
        <f t="shared" si="257"/>
        <v>60983.333333333336</v>
      </c>
      <c r="AJ264" s="533">
        <f t="shared" si="257"/>
        <v>60983.333333333336</v>
      </c>
      <c r="AK264" s="533">
        <f t="shared" si="257"/>
        <v>60983.333333333336</v>
      </c>
      <c r="AL264" s="533">
        <f t="shared" si="257"/>
        <v>60983.333333333336</v>
      </c>
      <c r="AN264" s="532">
        <f>SUM(AN246:AN263)</f>
        <v>731800</v>
      </c>
      <c r="AO264" s="533">
        <f>SUM(AO246:AO263)</f>
        <v>804686.10441767098</v>
      </c>
      <c r="AP264" s="533">
        <f>IFERROR(AO264-AN264,0)</f>
        <v>72886.104417670984</v>
      </c>
      <c r="AQ264" s="523">
        <f>IFERROR(AP264/ABS(AN264),"-")</f>
        <v>9.9598393574297603E-2</v>
      </c>
      <c r="AR264" s="533">
        <f>SUM(AR260:AR262)</f>
        <v>804686.10441767098</v>
      </c>
      <c r="AS264" s="533">
        <f>IFERROR(AO264-AR264,0)</f>
        <v>0</v>
      </c>
      <c r="AT264" s="521">
        <f>IFERROR(AS264/ABS(AR264),0)</f>
        <v>0</v>
      </c>
      <c r="AU264" s="507"/>
      <c r="AV264" s="533">
        <f>SUM(AV246:AV263)</f>
        <v>67057.175368139229</v>
      </c>
      <c r="AW264" s="533">
        <f t="shared" ref="AW264:BG264" si="258">SUM(AW246:AW263)</f>
        <v>67057.175368139229</v>
      </c>
      <c r="AX264" s="533">
        <f t="shared" si="258"/>
        <v>67057.175368139229</v>
      </c>
      <c r="AY264" s="533">
        <f t="shared" si="258"/>
        <v>67057.175368139229</v>
      </c>
      <c r="AZ264" s="533">
        <f t="shared" si="258"/>
        <v>67057.175368139229</v>
      </c>
      <c r="BA264" s="533">
        <f t="shared" si="258"/>
        <v>67057.175368139229</v>
      </c>
      <c r="BB264" s="533">
        <f t="shared" si="258"/>
        <v>67057.175368139229</v>
      </c>
      <c r="BC264" s="533">
        <f t="shared" si="258"/>
        <v>67057.175368139229</v>
      </c>
      <c r="BD264" s="533">
        <f t="shared" si="258"/>
        <v>67057.175368139229</v>
      </c>
      <c r="BE264" s="533">
        <f t="shared" si="258"/>
        <v>67057.175368139229</v>
      </c>
      <c r="BF264" s="533">
        <f t="shared" si="258"/>
        <v>67057.175368139229</v>
      </c>
      <c r="BG264" s="533">
        <f t="shared" si="258"/>
        <v>67057.175368139229</v>
      </c>
      <c r="BH264" s="508"/>
      <c r="BI264" s="533">
        <f t="shared" ref="BI264:BT264" si="259">SUM(BI246:BI263)</f>
        <v>67057.175368139229</v>
      </c>
      <c r="BJ264" s="533">
        <f t="shared" si="259"/>
        <v>67057.175368139229</v>
      </c>
      <c r="BK264" s="533">
        <f t="shared" si="259"/>
        <v>67057.175368139229</v>
      </c>
      <c r="BL264" s="533">
        <f t="shared" si="259"/>
        <v>67057.175368139229</v>
      </c>
      <c r="BM264" s="533">
        <f t="shared" si="259"/>
        <v>67057.175368139229</v>
      </c>
      <c r="BN264" s="533">
        <f t="shared" si="259"/>
        <v>67057.175368139229</v>
      </c>
      <c r="BO264" s="533">
        <f t="shared" si="259"/>
        <v>67057.175368139229</v>
      </c>
      <c r="BP264" s="533">
        <f t="shared" si="259"/>
        <v>67057.175368139229</v>
      </c>
      <c r="BQ264" s="533">
        <f t="shared" si="259"/>
        <v>67057.175368139229</v>
      </c>
      <c r="BR264" s="533">
        <f t="shared" si="259"/>
        <v>67057.175368139229</v>
      </c>
      <c r="BS264" s="533">
        <f t="shared" si="259"/>
        <v>67057.175368139229</v>
      </c>
      <c r="BT264" s="533">
        <f t="shared" si="259"/>
        <v>67057.175368139229</v>
      </c>
      <c r="BV264" s="400"/>
    </row>
    <row r="265" spans="1:74" ht="15.75" thickTop="1" x14ac:dyDescent="0.25">
      <c r="A265" s="587"/>
      <c r="B265" s="612"/>
      <c r="C265" s="596"/>
      <c r="D265" s="500"/>
      <c r="E265" s="449"/>
      <c r="F265" s="449"/>
      <c r="G265" s="421"/>
      <c r="H265" s="449"/>
      <c r="I265" s="449"/>
      <c r="J265" s="426"/>
      <c r="K265" s="421"/>
      <c r="L265" s="449"/>
      <c r="M265" s="449"/>
      <c r="N265" s="449"/>
      <c r="O265" s="449"/>
      <c r="P265" s="449"/>
      <c r="Q265" s="449"/>
      <c r="R265" s="449"/>
      <c r="S265" s="449"/>
      <c r="T265" s="449"/>
      <c r="U265" s="449"/>
      <c r="V265" s="449"/>
      <c r="W265" s="449"/>
      <c r="X265" s="449"/>
      <c r="Y265" s="449"/>
      <c r="Z265" s="531"/>
      <c r="AA265" s="449"/>
      <c r="AB265" s="449"/>
      <c r="AC265" s="449"/>
      <c r="AD265" s="449"/>
      <c r="AE265" s="449"/>
      <c r="AF265" s="449"/>
      <c r="AG265" s="449"/>
      <c r="AH265" s="449"/>
      <c r="AI265" s="449"/>
      <c r="AJ265" s="449"/>
      <c r="AK265" s="449"/>
      <c r="AL265" s="449"/>
      <c r="AN265" s="500"/>
      <c r="AO265" s="449"/>
      <c r="AP265" s="449"/>
      <c r="AQ265" s="453"/>
      <c r="AR265" s="449"/>
      <c r="AS265" s="449"/>
      <c r="AT265" s="426"/>
      <c r="AU265" s="421"/>
      <c r="AV265" s="449"/>
      <c r="AW265" s="449"/>
      <c r="AX265" s="449"/>
      <c r="AY265" s="449"/>
      <c r="AZ265" s="449"/>
      <c r="BA265" s="449"/>
      <c r="BB265" s="449"/>
      <c r="BC265" s="449"/>
      <c r="BD265" s="449"/>
      <c r="BE265" s="449"/>
      <c r="BF265" s="449"/>
      <c r="BG265" s="449"/>
      <c r="BH265" s="531"/>
      <c r="BI265" s="449"/>
      <c r="BJ265" s="449"/>
      <c r="BK265" s="449"/>
      <c r="BL265" s="449"/>
      <c r="BM265" s="449"/>
      <c r="BN265" s="449"/>
      <c r="BO265" s="449"/>
      <c r="BP265" s="449"/>
      <c r="BQ265" s="449"/>
      <c r="BR265" s="449"/>
      <c r="BS265" s="449"/>
      <c r="BT265" s="449"/>
    </row>
    <row r="266" spans="1:74" ht="15.75" x14ac:dyDescent="0.25">
      <c r="A266" s="587"/>
      <c r="B266" s="525" t="s">
        <v>445</v>
      </c>
      <c r="C266" s="538"/>
      <c r="D266" s="500"/>
      <c r="E266" s="449"/>
      <c r="F266" s="449"/>
      <c r="G266" s="421"/>
      <c r="H266" s="449"/>
      <c r="I266" s="449"/>
      <c r="J266" s="426"/>
      <c r="K266" s="421"/>
      <c r="L266" s="449"/>
      <c r="M266" s="449"/>
      <c r="N266" s="449"/>
      <c r="O266" s="449"/>
      <c r="P266" s="449"/>
      <c r="Q266" s="449"/>
      <c r="R266" s="449"/>
      <c r="S266" s="449"/>
      <c r="T266" s="449"/>
      <c r="U266" s="449"/>
      <c r="V266" s="449"/>
      <c r="W266" s="449"/>
      <c r="X266" s="449"/>
      <c r="Y266" s="449"/>
      <c r="Z266" s="531"/>
      <c r="AA266" s="449"/>
      <c r="AB266" s="449"/>
      <c r="AC266" s="449"/>
      <c r="AD266" s="449"/>
      <c r="AE266" s="449"/>
      <c r="AF266" s="449"/>
      <c r="AG266" s="449"/>
      <c r="AH266" s="449"/>
      <c r="AI266" s="449"/>
      <c r="AJ266" s="449"/>
      <c r="AK266" s="449"/>
      <c r="AL266" s="449"/>
      <c r="AN266" s="500"/>
      <c r="AO266" s="449"/>
      <c r="AP266" s="449"/>
      <c r="AQ266" s="453"/>
      <c r="AR266" s="449"/>
      <c r="AS266" s="449"/>
      <c r="AT266" s="426"/>
      <c r="AU266" s="421"/>
      <c r="AV266" s="449"/>
      <c r="AW266" s="449"/>
      <c r="AX266" s="449"/>
      <c r="AY266" s="449"/>
      <c r="AZ266" s="449"/>
      <c r="BA266" s="449"/>
      <c r="BB266" s="449"/>
      <c r="BC266" s="449"/>
      <c r="BD266" s="449"/>
      <c r="BE266" s="449"/>
      <c r="BF266" s="449"/>
      <c r="BG266" s="449"/>
      <c r="BH266" s="531"/>
      <c r="BI266" s="449"/>
      <c r="BJ266" s="449"/>
      <c r="BK266" s="449"/>
      <c r="BL266" s="449"/>
      <c r="BM266" s="449"/>
      <c r="BN266" s="449"/>
      <c r="BO266" s="449"/>
      <c r="BP266" s="449"/>
      <c r="BQ266" s="449"/>
      <c r="BR266" s="449"/>
      <c r="BS266" s="449"/>
      <c r="BT266" s="449"/>
    </row>
    <row r="267" spans="1:74" ht="6.75" customHeight="1" x14ac:dyDescent="0.25">
      <c r="A267" s="587"/>
      <c r="B267" s="502"/>
      <c r="C267" s="538"/>
      <c r="D267" s="500"/>
      <c r="E267" s="449"/>
      <c r="F267" s="449"/>
      <c r="G267" s="421"/>
      <c r="H267" s="449"/>
      <c r="I267" s="449"/>
      <c r="J267" s="426"/>
      <c r="K267" s="421"/>
      <c r="L267" s="449"/>
      <c r="M267" s="449"/>
      <c r="N267" s="449"/>
      <c r="O267" s="449"/>
      <c r="P267" s="449"/>
      <c r="Q267" s="449"/>
      <c r="R267" s="449"/>
      <c r="S267" s="449"/>
      <c r="T267" s="449"/>
      <c r="U267" s="449"/>
      <c r="V267" s="449"/>
      <c r="W267" s="449"/>
      <c r="X267" s="449"/>
      <c r="Y267" s="449"/>
      <c r="Z267" s="531"/>
      <c r="AA267" s="449"/>
      <c r="AB267" s="449"/>
      <c r="AC267" s="449"/>
      <c r="AD267" s="449"/>
      <c r="AE267" s="449"/>
      <c r="AF267" s="449"/>
      <c r="AG267" s="449"/>
      <c r="AH267" s="449"/>
      <c r="AI267" s="449"/>
      <c r="AJ267" s="449"/>
      <c r="AK267" s="449"/>
      <c r="AL267" s="449"/>
      <c r="AN267" s="500"/>
      <c r="AO267" s="449"/>
      <c r="AP267" s="449"/>
      <c r="AQ267" s="453"/>
      <c r="AR267" s="449"/>
      <c r="AS267" s="449"/>
      <c r="AT267" s="426"/>
      <c r="AU267" s="421"/>
      <c r="AV267" s="449"/>
      <c r="AW267" s="449"/>
      <c r="AX267" s="449"/>
      <c r="AY267" s="449"/>
      <c r="AZ267" s="449"/>
      <c r="BA267" s="449"/>
      <c r="BB267" s="449"/>
      <c r="BC267" s="449"/>
      <c r="BD267" s="449"/>
      <c r="BE267" s="449"/>
      <c r="BF267" s="449"/>
      <c r="BG267" s="449"/>
      <c r="BH267" s="531"/>
      <c r="BI267" s="449"/>
      <c r="BJ267" s="449"/>
      <c r="BK267" s="449"/>
      <c r="BL267" s="449"/>
      <c r="BM267" s="449"/>
      <c r="BN267" s="449"/>
      <c r="BO267" s="449"/>
      <c r="BP267" s="449"/>
      <c r="BQ267" s="449"/>
      <c r="BR267" s="449"/>
      <c r="BS267" s="449"/>
      <c r="BT267" s="449"/>
    </row>
    <row r="268" spans="1:74" ht="15" x14ac:dyDescent="0.25">
      <c r="A268" s="502" t="s">
        <v>446</v>
      </c>
      <c r="B268" s="502" t="s">
        <v>447</v>
      </c>
      <c r="C268" s="630"/>
      <c r="D268" s="500">
        <f t="shared" ref="D268:D329" si="260">SUM(L268:W268)</f>
        <v>39923</v>
      </c>
      <c r="E268" s="449">
        <v>39923</v>
      </c>
      <c r="F268" s="449">
        <f t="shared" ref="F268:F329" si="261">IFERROR(D268-E268,0)</f>
        <v>0</v>
      </c>
      <c r="G268" s="421">
        <f t="shared" ref="G268:G329" si="262">IFERROR(F268/ABS(E268),0)</f>
        <v>0</v>
      </c>
      <c r="H268" s="449">
        <v>39923</v>
      </c>
      <c r="I268" s="449">
        <f t="shared" ref="I268:I329" si="263">IFERROR(D268-H268,0)</f>
        <v>0</v>
      </c>
      <c r="J268" s="426">
        <f t="shared" ref="J268:J329" si="264">IFERROR(I268/ABS(H268),0)</f>
        <v>0</v>
      </c>
      <c r="K268" s="421"/>
      <c r="L268" s="449">
        <v>0.01</v>
      </c>
      <c r="M268" s="449">
        <v>8116.34</v>
      </c>
      <c r="N268" s="449">
        <v>7101.91</v>
      </c>
      <c r="O268" s="449">
        <v>6763.7199999999993</v>
      </c>
      <c r="P268" s="449">
        <v>6763.7200000000012</v>
      </c>
      <c r="Q268" s="449">
        <v>8454.6499999999978</v>
      </c>
      <c r="R268" s="449">
        <f>($H268-SUM($L268:Q268))/R$694</f>
        <v>453.77500000000026</v>
      </c>
      <c r="S268" s="449">
        <f>($H268-SUM($L268:R268))/S$694</f>
        <v>453.77499999999998</v>
      </c>
      <c r="T268" s="449">
        <f>($H268-SUM($L268:S268))/T$694</f>
        <v>453.77499999999964</v>
      </c>
      <c r="U268" s="449">
        <f>($H268-SUM($L268:T268))/U$694</f>
        <v>453.77499999999901</v>
      </c>
      <c r="V268" s="449">
        <f>($H268-SUM($L268:U268))/V$694</f>
        <v>453.77499999999782</v>
      </c>
      <c r="W268" s="449">
        <f>($H268-SUM($L268:V268))/W$694</f>
        <v>453.77499999999418</v>
      </c>
      <c r="X268" s="449"/>
      <c r="Y268" s="449">
        <f t="shared" ref="Y268:Y329" si="265">SUM(L268:W268)</f>
        <v>39923</v>
      </c>
      <c r="Z268" s="531"/>
      <c r="AA268" s="449">
        <f t="shared" ref="AA268:AL283" si="266">IFERROR($H268/12,0)</f>
        <v>3326.9166666666665</v>
      </c>
      <c r="AB268" s="449">
        <f t="shared" si="266"/>
        <v>3326.9166666666665</v>
      </c>
      <c r="AC268" s="449">
        <f t="shared" si="266"/>
        <v>3326.9166666666665</v>
      </c>
      <c r="AD268" s="449">
        <f t="shared" si="266"/>
        <v>3326.9166666666665</v>
      </c>
      <c r="AE268" s="449">
        <f t="shared" si="266"/>
        <v>3326.9166666666665</v>
      </c>
      <c r="AF268" s="449">
        <f t="shared" si="266"/>
        <v>3326.9166666666665</v>
      </c>
      <c r="AG268" s="449">
        <f t="shared" si="266"/>
        <v>3326.9166666666665</v>
      </c>
      <c r="AH268" s="449">
        <f t="shared" si="266"/>
        <v>3326.9166666666665</v>
      </c>
      <c r="AI268" s="449">
        <f t="shared" si="266"/>
        <v>3326.9166666666665</v>
      </c>
      <c r="AJ268" s="449">
        <f t="shared" si="266"/>
        <v>3326.9166666666665</v>
      </c>
      <c r="AK268" s="449">
        <f t="shared" si="266"/>
        <v>3326.9166666666665</v>
      </c>
      <c r="AL268" s="449">
        <f t="shared" si="266"/>
        <v>3326.9166666666665</v>
      </c>
      <c r="AN268" s="500">
        <f t="shared" ref="AN268:AN303" si="267">SUM(L268:W268)</f>
        <v>39923</v>
      </c>
      <c r="AO268" s="449">
        <f t="shared" ref="AO268:AO329" si="268">SUM(BI268:BT268)</f>
        <v>41119.660000000003</v>
      </c>
      <c r="AP268" s="449">
        <f t="shared" ref="AP268:AP329" si="269">IFERROR(AO268-AN268,0)</f>
        <v>1196.6600000000035</v>
      </c>
      <c r="AQ268" s="453">
        <f t="shared" ref="AQ268:AQ329" si="270">IFERROR(AP268/ABS(AN268),"-")</f>
        <v>2.9974200335646205E-2</v>
      </c>
      <c r="AR268" s="449">
        <f t="shared" ref="AR268:AR329" si="271">SUM(BI268:BT268)</f>
        <v>41119.660000000003</v>
      </c>
      <c r="AS268" s="449">
        <f t="shared" ref="AS268:AS329" si="272">IFERROR(AO268-AR268,0)</f>
        <v>0</v>
      </c>
      <c r="AT268" s="426">
        <f t="shared" ref="AT268:AT329" si="273">IFERROR(AS268/ABS(AR268),0)</f>
        <v>0</v>
      </c>
      <c r="AU268" s="421"/>
      <c r="AV268" s="449">
        <f t="shared" ref="AV268:BG289" si="274">BI268</f>
        <v>3426.6383333333338</v>
      </c>
      <c r="AW268" s="449">
        <f t="shared" si="274"/>
        <v>3426.6383333333338</v>
      </c>
      <c r="AX268" s="449">
        <f t="shared" si="274"/>
        <v>3426.6383333333338</v>
      </c>
      <c r="AY268" s="449">
        <f t="shared" si="274"/>
        <v>3426.6383333333338</v>
      </c>
      <c r="AZ268" s="449">
        <f t="shared" si="274"/>
        <v>3426.6383333333338</v>
      </c>
      <c r="BA268" s="449">
        <f t="shared" si="274"/>
        <v>3426.6383333333338</v>
      </c>
      <c r="BB268" s="449">
        <f t="shared" si="274"/>
        <v>3426.6383333333338</v>
      </c>
      <c r="BC268" s="449">
        <f t="shared" si="274"/>
        <v>3426.6383333333338</v>
      </c>
      <c r="BD268" s="449">
        <f t="shared" si="274"/>
        <v>3426.6383333333338</v>
      </c>
      <c r="BE268" s="449">
        <f t="shared" si="274"/>
        <v>3426.6383333333338</v>
      </c>
      <c r="BF268" s="449">
        <f t="shared" si="274"/>
        <v>3426.6383333333338</v>
      </c>
      <c r="BG268" s="449">
        <f t="shared" si="274"/>
        <v>3426.6383333333338</v>
      </c>
      <c r="BH268" s="400"/>
      <c r="BI268" s="449">
        <f>SUM('FY19 Staffing V1-1 (3)'!$P$226)/12</f>
        <v>3426.6383333333338</v>
      </c>
      <c r="BJ268" s="449">
        <f>SUM('FY19 Staffing V1-1 (3)'!$P$226)/12</f>
        <v>3426.6383333333338</v>
      </c>
      <c r="BK268" s="449">
        <f>SUM('FY19 Staffing V1-1 (3)'!$P$226)/12</f>
        <v>3426.6383333333338</v>
      </c>
      <c r="BL268" s="449">
        <f>SUM('FY19 Staffing V1-1 (3)'!$P$226)/12</f>
        <v>3426.6383333333338</v>
      </c>
      <c r="BM268" s="449">
        <f>SUM('FY19 Staffing V1-1 (3)'!$P$226)/12</f>
        <v>3426.6383333333338</v>
      </c>
      <c r="BN268" s="449">
        <f>SUM('FY19 Staffing V1-1 (3)'!$P$226)/12</f>
        <v>3426.6383333333338</v>
      </c>
      <c r="BO268" s="449">
        <f>SUM('FY19 Staffing V1-1 (3)'!$P$226)/12</f>
        <v>3426.6383333333338</v>
      </c>
      <c r="BP268" s="449">
        <f>SUM('FY19 Staffing V1-1 (3)'!$P$226)/12</f>
        <v>3426.6383333333338</v>
      </c>
      <c r="BQ268" s="449">
        <f>SUM('FY19 Staffing V1-1 (3)'!$P$226)/12</f>
        <v>3426.6383333333338</v>
      </c>
      <c r="BR268" s="449">
        <f>SUM('FY19 Staffing V1-1 (3)'!$P$226)/12</f>
        <v>3426.6383333333338</v>
      </c>
      <c r="BS268" s="449">
        <f>SUM('FY19 Staffing V1-1 (3)'!$P$226)/12</f>
        <v>3426.6383333333338</v>
      </c>
      <c r="BT268" s="449">
        <f>SUM('FY19 Staffing V1-1 (3)'!$P$226)/12</f>
        <v>3426.6383333333338</v>
      </c>
    </row>
    <row r="269" spans="1:74" ht="15" x14ac:dyDescent="0.25">
      <c r="A269" s="502" t="s">
        <v>448</v>
      </c>
      <c r="B269" s="502" t="s">
        <v>449</v>
      </c>
      <c r="C269" s="630"/>
      <c r="D269" s="500">
        <f t="shared" si="260"/>
        <v>48000</v>
      </c>
      <c r="E269" s="449">
        <v>94880</v>
      </c>
      <c r="F269" s="449">
        <f t="shared" si="261"/>
        <v>-46880</v>
      </c>
      <c r="G269" s="421">
        <f t="shared" si="262"/>
        <v>-0.49409780775716694</v>
      </c>
      <c r="H269" s="449">
        <v>48000</v>
      </c>
      <c r="I269" s="449">
        <f t="shared" si="263"/>
        <v>0</v>
      </c>
      <c r="J269" s="426">
        <f t="shared" si="264"/>
        <v>0</v>
      </c>
      <c r="K269" s="421"/>
      <c r="L269" s="449">
        <v>0</v>
      </c>
      <c r="M269" s="449">
        <v>4384.6099999999997</v>
      </c>
      <c r="N269" s="449">
        <v>3836.5299999999997</v>
      </c>
      <c r="O269" s="449">
        <v>3653.84</v>
      </c>
      <c r="P269" s="449">
        <v>3653.84</v>
      </c>
      <c r="Q269" s="449">
        <v>4567.2999999999993</v>
      </c>
      <c r="R269" s="449">
        <f>($H269-SUM($L269:Q269))/R$694</f>
        <v>4650.6466666666665</v>
      </c>
      <c r="S269" s="449">
        <f>($H269-SUM($L269:R269))/S$694</f>
        <v>4650.6466666666665</v>
      </c>
      <c r="T269" s="449">
        <f>($H269-SUM($L269:S269))/T$694</f>
        <v>4650.6466666666665</v>
      </c>
      <c r="U269" s="449">
        <f>($H269-SUM($L269:T269))/U$694</f>
        <v>4650.6466666666674</v>
      </c>
      <c r="V269" s="449">
        <f>($H269-SUM($L269:U269))/V$694</f>
        <v>4650.6466666666674</v>
      </c>
      <c r="W269" s="449">
        <f>($H269-SUM($L269:V269))/W$694</f>
        <v>4650.6466666666674</v>
      </c>
      <c r="X269" s="449"/>
      <c r="Y269" s="449">
        <f t="shared" si="265"/>
        <v>48000</v>
      </c>
      <c r="Z269" s="531"/>
      <c r="AA269" s="449">
        <f t="shared" si="266"/>
        <v>4000</v>
      </c>
      <c r="AB269" s="449">
        <f t="shared" si="266"/>
        <v>4000</v>
      </c>
      <c r="AC269" s="449">
        <f t="shared" si="266"/>
        <v>4000</v>
      </c>
      <c r="AD269" s="449">
        <f t="shared" si="266"/>
        <v>4000</v>
      </c>
      <c r="AE269" s="449">
        <f t="shared" si="266"/>
        <v>4000</v>
      </c>
      <c r="AF269" s="449">
        <f t="shared" si="266"/>
        <v>4000</v>
      </c>
      <c r="AG269" s="449">
        <f t="shared" si="266"/>
        <v>4000</v>
      </c>
      <c r="AH269" s="449">
        <f t="shared" si="266"/>
        <v>4000</v>
      </c>
      <c r="AI269" s="449">
        <f t="shared" si="266"/>
        <v>4000</v>
      </c>
      <c r="AJ269" s="449">
        <f t="shared" si="266"/>
        <v>4000</v>
      </c>
      <c r="AK269" s="449">
        <f t="shared" si="266"/>
        <v>4000</v>
      </c>
      <c r="AL269" s="449">
        <f t="shared" si="266"/>
        <v>4000</v>
      </c>
      <c r="AN269" s="500">
        <f t="shared" si="267"/>
        <v>48000</v>
      </c>
      <c r="AO269" s="449">
        <f t="shared" si="268"/>
        <v>95934.886666666658</v>
      </c>
      <c r="AP269" s="449">
        <f t="shared" si="269"/>
        <v>47934.886666666658</v>
      </c>
      <c r="AQ269" s="453">
        <f t="shared" si="270"/>
        <v>0.99864347222222205</v>
      </c>
      <c r="AR269" s="449">
        <f t="shared" si="271"/>
        <v>95934.886666666658</v>
      </c>
      <c r="AS269" s="449">
        <f t="shared" si="272"/>
        <v>0</v>
      </c>
      <c r="AT269" s="426">
        <f t="shared" si="273"/>
        <v>0</v>
      </c>
      <c r="AU269" s="421"/>
      <c r="AV269" s="449">
        <f t="shared" si="274"/>
        <v>7994.5738888888882</v>
      </c>
      <c r="AW269" s="449">
        <f t="shared" si="274"/>
        <v>7994.5738888888882</v>
      </c>
      <c r="AX269" s="449">
        <f t="shared" si="274"/>
        <v>7994.5738888888882</v>
      </c>
      <c r="AY269" s="449">
        <f t="shared" si="274"/>
        <v>7994.5738888888882</v>
      </c>
      <c r="AZ269" s="449">
        <f t="shared" si="274"/>
        <v>7994.5738888888882</v>
      </c>
      <c r="BA269" s="449">
        <f t="shared" si="274"/>
        <v>7994.5738888888882</v>
      </c>
      <c r="BB269" s="449">
        <f t="shared" si="274"/>
        <v>7994.5738888888882</v>
      </c>
      <c r="BC269" s="449">
        <f t="shared" si="274"/>
        <v>7994.5738888888882</v>
      </c>
      <c r="BD269" s="449">
        <f t="shared" si="274"/>
        <v>7994.5738888888882</v>
      </c>
      <c r="BE269" s="449">
        <f t="shared" si="274"/>
        <v>7994.5738888888882</v>
      </c>
      <c r="BF269" s="449">
        <f t="shared" si="274"/>
        <v>7994.5738888888882</v>
      </c>
      <c r="BG269" s="449">
        <f t="shared" si="274"/>
        <v>7994.5738888888882</v>
      </c>
      <c r="BH269" s="400"/>
      <c r="BI269" s="449">
        <f>SUM('FY19 Staffing V1-1 (3)'!$P$227,'FY19 Staffing V1-1 (3)'!$P$229)/12</f>
        <v>7994.5738888888882</v>
      </c>
      <c r="BJ269" s="449">
        <f>SUM('FY19 Staffing V1-1 (3)'!$P$227,'FY19 Staffing V1-1 (3)'!$P$229)/12</f>
        <v>7994.5738888888882</v>
      </c>
      <c r="BK269" s="449">
        <f>SUM('FY19 Staffing V1-1 (3)'!$P$227,'FY19 Staffing V1-1 (3)'!$P$229)/12</f>
        <v>7994.5738888888882</v>
      </c>
      <c r="BL269" s="449">
        <f>SUM('FY19 Staffing V1-1 (3)'!$P$227,'FY19 Staffing V1-1 (3)'!$P$229)/12</f>
        <v>7994.5738888888882</v>
      </c>
      <c r="BM269" s="449">
        <f>SUM('FY19 Staffing V1-1 (3)'!$P$227,'FY19 Staffing V1-1 (3)'!$P$229)/12</f>
        <v>7994.5738888888882</v>
      </c>
      <c r="BN269" s="449">
        <f>SUM('FY19 Staffing V1-1 (3)'!$P$227,'FY19 Staffing V1-1 (3)'!$P$229)/12</f>
        <v>7994.5738888888882</v>
      </c>
      <c r="BO269" s="449">
        <f>SUM('FY19 Staffing V1-1 (3)'!$P$227,'FY19 Staffing V1-1 (3)'!$P$229)/12</f>
        <v>7994.5738888888882</v>
      </c>
      <c r="BP269" s="449">
        <f>SUM('FY19 Staffing V1-1 (3)'!$P$227,'FY19 Staffing V1-1 (3)'!$P$229)/12</f>
        <v>7994.5738888888882</v>
      </c>
      <c r="BQ269" s="449">
        <f>SUM('FY19 Staffing V1-1 (3)'!$P$227,'FY19 Staffing V1-1 (3)'!$P$229)/12</f>
        <v>7994.5738888888882</v>
      </c>
      <c r="BR269" s="449">
        <f>SUM('FY19 Staffing V1-1 (3)'!$P$227,'FY19 Staffing V1-1 (3)'!$P$229)/12</f>
        <v>7994.5738888888882</v>
      </c>
      <c r="BS269" s="449">
        <f>SUM('FY19 Staffing V1-1 (3)'!$P$227,'FY19 Staffing V1-1 (3)'!$P$229)/12</f>
        <v>7994.5738888888882</v>
      </c>
      <c r="BT269" s="449">
        <f>SUM('FY19 Staffing V1-1 (3)'!$P$227,'FY19 Staffing V1-1 (3)'!$P$229)/12</f>
        <v>7994.5738888888882</v>
      </c>
    </row>
    <row r="270" spans="1:74" ht="15" x14ac:dyDescent="0.25">
      <c r="A270" s="537" t="s">
        <v>450</v>
      </c>
      <c r="B270" s="537" t="s">
        <v>451</v>
      </c>
      <c r="C270" s="630"/>
      <c r="D270" s="500">
        <f t="shared" si="260"/>
        <v>47500</v>
      </c>
      <c r="E270" s="449">
        <v>0</v>
      </c>
      <c r="F270" s="449">
        <f t="shared" si="261"/>
        <v>47500</v>
      </c>
      <c r="G270" s="421">
        <f t="shared" si="262"/>
        <v>0</v>
      </c>
      <c r="H270" s="449">
        <v>47500</v>
      </c>
      <c r="I270" s="449">
        <f t="shared" si="263"/>
        <v>0</v>
      </c>
      <c r="J270" s="426">
        <f t="shared" si="264"/>
        <v>0</v>
      </c>
      <c r="K270" s="421"/>
      <c r="L270" s="449">
        <v>0</v>
      </c>
      <c r="M270" s="449">
        <v>0</v>
      </c>
      <c r="N270" s="449">
        <v>0</v>
      </c>
      <c r="O270" s="449">
        <v>0</v>
      </c>
      <c r="P270" s="449">
        <v>0</v>
      </c>
      <c r="Q270" s="449">
        <v>0</v>
      </c>
      <c r="R270" s="449">
        <f>($H270-SUM($L270:Q270))/R$694</f>
        <v>7916.666666666667</v>
      </c>
      <c r="S270" s="449">
        <f>($H270-SUM($L270:R270))/S$694</f>
        <v>7916.666666666667</v>
      </c>
      <c r="T270" s="449">
        <f>($H270-SUM($L270:S270))/T$694</f>
        <v>7916.6666666666661</v>
      </c>
      <c r="U270" s="449">
        <f>($H270-SUM($L270:T270))/U$694</f>
        <v>7916.666666666667</v>
      </c>
      <c r="V270" s="449">
        <f>($H270-SUM($L270:U270))/V$694</f>
        <v>7916.6666666666661</v>
      </c>
      <c r="W270" s="449">
        <f>($H270-SUM($L270:V270))/W$694</f>
        <v>7916.6666666666642</v>
      </c>
      <c r="X270" s="449"/>
      <c r="Y270" s="449">
        <f t="shared" si="265"/>
        <v>47500</v>
      </c>
      <c r="Z270" s="531"/>
      <c r="AA270" s="449">
        <f t="shared" si="266"/>
        <v>3958.3333333333335</v>
      </c>
      <c r="AB270" s="449">
        <f t="shared" si="266"/>
        <v>3958.3333333333335</v>
      </c>
      <c r="AC270" s="449">
        <f t="shared" si="266"/>
        <v>3958.3333333333335</v>
      </c>
      <c r="AD270" s="449">
        <f t="shared" si="266"/>
        <v>3958.3333333333335</v>
      </c>
      <c r="AE270" s="449">
        <f t="shared" si="266"/>
        <v>3958.3333333333335</v>
      </c>
      <c r="AF270" s="449">
        <f t="shared" si="266"/>
        <v>3958.3333333333335</v>
      </c>
      <c r="AG270" s="449">
        <f t="shared" si="266"/>
        <v>3958.3333333333335</v>
      </c>
      <c r="AH270" s="449">
        <f t="shared" si="266"/>
        <v>3958.3333333333335</v>
      </c>
      <c r="AI270" s="449">
        <f t="shared" si="266"/>
        <v>3958.3333333333335</v>
      </c>
      <c r="AJ270" s="449">
        <f t="shared" si="266"/>
        <v>3958.3333333333335</v>
      </c>
      <c r="AK270" s="449">
        <f t="shared" si="266"/>
        <v>3958.3333333333335</v>
      </c>
      <c r="AL270" s="449">
        <f t="shared" si="266"/>
        <v>3958.3333333333335</v>
      </c>
      <c r="AN270" s="500">
        <f t="shared" si="267"/>
        <v>47500</v>
      </c>
      <c r="AO270" s="449">
        <f t="shared" si="268"/>
        <v>48925.000000000007</v>
      </c>
      <c r="AP270" s="449">
        <f t="shared" si="269"/>
        <v>1425.0000000000073</v>
      </c>
      <c r="AQ270" s="453">
        <f t="shared" si="270"/>
        <v>3.0000000000000152E-2</v>
      </c>
      <c r="AR270" s="449">
        <f t="shared" si="271"/>
        <v>48925.000000000007</v>
      </c>
      <c r="AS270" s="449">
        <f t="shared" si="272"/>
        <v>0</v>
      </c>
      <c r="AT270" s="426">
        <f t="shared" si="273"/>
        <v>0</v>
      </c>
      <c r="AU270" s="421"/>
      <c r="AV270" s="449">
        <f t="shared" si="274"/>
        <v>4077.0833333333335</v>
      </c>
      <c r="AW270" s="449">
        <f t="shared" si="274"/>
        <v>4077.0833333333335</v>
      </c>
      <c r="AX270" s="449">
        <f t="shared" si="274"/>
        <v>4077.0833333333335</v>
      </c>
      <c r="AY270" s="449">
        <f t="shared" si="274"/>
        <v>4077.0833333333335</v>
      </c>
      <c r="AZ270" s="449">
        <f t="shared" si="274"/>
        <v>4077.0833333333335</v>
      </c>
      <c r="BA270" s="449">
        <f t="shared" si="274"/>
        <v>4077.0833333333335</v>
      </c>
      <c r="BB270" s="449">
        <f t="shared" si="274"/>
        <v>4077.0833333333335</v>
      </c>
      <c r="BC270" s="449">
        <f t="shared" si="274"/>
        <v>4077.0833333333335</v>
      </c>
      <c r="BD270" s="449">
        <f t="shared" si="274"/>
        <v>4077.0833333333335</v>
      </c>
      <c r="BE270" s="449">
        <f t="shared" si="274"/>
        <v>4077.0833333333335</v>
      </c>
      <c r="BF270" s="449">
        <f t="shared" si="274"/>
        <v>4077.0833333333335</v>
      </c>
      <c r="BG270" s="449">
        <f t="shared" si="274"/>
        <v>4077.0833333333335</v>
      </c>
      <c r="BH270" s="400"/>
      <c r="BI270" s="449">
        <f>SUM('FY19 Staffing V1-1 (3)'!$P$228)/12</f>
        <v>4077.0833333333335</v>
      </c>
      <c r="BJ270" s="449">
        <f>SUM('FY19 Staffing V1-1 (3)'!$P$228)/12</f>
        <v>4077.0833333333335</v>
      </c>
      <c r="BK270" s="449">
        <f>SUM('FY19 Staffing V1-1 (3)'!$P$228)/12</f>
        <v>4077.0833333333335</v>
      </c>
      <c r="BL270" s="449">
        <f>SUM('FY19 Staffing V1-1 (3)'!$P$228)/12</f>
        <v>4077.0833333333335</v>
      </c>
      <c r="BM270" s="449">
        <f>SUM('FY19 Staffing V1-1 (3)'!$P$228)/12</f>
        <v>4077.0833333333335</v>
      </c>
      <c r="BN270" s="449">
        <f>SUM('FY19 Staffing V1-1 (3)'!$P$228)/12</f>
        <v>4077.0833333333335</v>
      </c>
      <c r="BO270" s="449">
        <f>SUM('FY19 Staffing V1-1 (3)'!$P$228)/12</f>
        <v>4077.0833333333335</v>
      </c>
      <c r="BP270" s="449">
        <f>SUM('FY19 Staffing V1-1 (3)'!$P$228)/12</f>
        <v>4077.0833333333335</v>
      </c>
      <c r="BQ270" s="449">
        <f>SUM('FY19 Staffing V1-1 (3)'!$P$228)/12</f>
        <v>4077.0833333333335</v>
      </c>
      <c r="BR270" s="449">
        <f>SUM('FY19 Staffing V1-1 (3)'!$P$228)/12</f>
        <v>4077.0833333333335</v>
      </c>
      <c r="BS270" s="449">
        <f>SUM('FY19 Staffing V1-1 (3)'!$P$228)/12</f>
        <v>4077.0833333333335</v>
      </c>
      <c r="BT270" s="449">
        <f>SUM('FY19 Staffing V1-1 (3)'!$P$228)/12</f>
        <v>4077.0833333333335</v>
      </c>
    </row>
    <row r="271" spans="1:74" ht="15" x14ac:dyDescent="0.25">
      <c r="A271" s="502" t="s">
        <v>452</v>
      </c>
      <c r="B271" s="502" t="s">
        <v>453</v>
      </c>
      <c r="C271" s="630"/>
      <c r="D271" s="500">
        <f t="shared" si="260"/>
        <v>0</v>
      </c>
      <c r="E271" s="449">
        <v>0</v>
      </c>
      <c r="F271" s="449">
        <f t="shared" si="261"/>
        <v>0</v>
      </c>
      <c r="G271" s="421">
        <f t="shared" si="262"/>
        <v>0</v>
      </c>
      <c r="H271" s="449">
        <v>0</v>
      </c>
      <c r="I271" s="449">
        <f t="shared" si="263"/>
        <v>0</v>
      </c>
      <c r="J271" s="426">
        <f t="shared" si="264"/>
        <v>0</v>
      </c>
      <c r="K271" s="421"/>
      <c r="L271" s="449">
        <v>0</v>
      </c>
      <c r="M271" s="449">
        <v>0</v>
      </c>
      <c r="N271" s="449">
        <v>0</v>
      </c>
      <c r="O271" s="449">
        <v>0</v>
      </c>
      <c r="P271" s="449">
        <v>0</v>
      </c>
      <c r="Q271" s="449">
        <v>0</v>
      </c>
      <c r="R271" s="449">
        <f>($H271-SUM($L271:Q271))/R$694</f>
        <v>0</v>
      </c>
      <c r="S271" s="449">
        <f>($H271-SUM($L271:R271))/S$694</f>
        <v>0</v>
      </c>
      <c r="T271" s="449">
        <f>($H271-SUM($L271:S271))/T$694</f>
        <v>0</v>
      </c>
      <c r="U271" s="449">
        <f>($H271-SUM($L271:T271))/U$694</f>
        <v>0</v>
      </c>
      <c r="V271" s="449">
        <f>($H271-SUM($L271:U271))/V$694</f>
        <v>0</v>
      </c>
      <c r="W271" s="449">
        <f>($H271-SUM($L271:V271))/W$694</f>
        <v>0</v>
      </c>
      <c r="X271" s="449"/>
      <c r="Y271" s="449">
        <f t="shared" si="265"/>
        <v>0</v>
      </c>
      <c r="Z271" s="531"/>
      <c r="AA271" s="449">
        <f t="shared" si="266"/>
        <v>0</v>
      </c>
      <c r="AB271" s="449">
        <f t="shared" si="266"/>
        <v>0</v>
      </c>
      <c r="AC271" s="449">
        <f t="shared" si="266"/>
        <v>0</v>
      </c>
      <c r="AD271" s="449">
        <f t="shared" si="266"/>
        <v>0</v>
      </c>
      <c r="AE271" s="449">
        <f t="shared" si="266"/>
        <v>0</v>
      </c>
      <c r="AF271" s="449">
        <f t="shared" si="266"/>
        <v>0</v>
      </c>
      <c r="AG271" s="449">
        <f t="shared" si="266"/>
        <v>0</v>
      </c>
      <c r="AH271" s="449">
        <f t="shared" si="266"/>
        <v>0</v>
      </c>
      <c r="AI271" s="449">
        <f t="shared" si="266"/>
        <v>0</v>
      </c>
      <c r="AJ271" s="449">
        <f t="shared" si="266"/>
        <v>0</v>
      </c>
      <c r="AK271" s="449">
        <f t="shared" si="266"/>
        <v>0</v>
      </c>
      <c r="AL271" s="449">
        <f t="shared" si="266"/>
        <v>0</v>
      </c>
      <c r="AN271" s="500">
        <f t="shared" si="267"/>
        <v>0</v>
      </c>
      <c r="AO271" s="449">
        <f t="shared" si="268"/>
        <v>0</v>
      </c>
      <c r="AP271" s="449">
        <f t="shared" si="269"/>
        <v>0</v>
      </c>
      <c r="AQ271" s="453" t="str">
        <f t="shared" si="270"/>
        <v>-</v>
      </c>
      <c r="AR271" s="449">
        <f t="shared" si="271"/>
        <v>0</v>
      </c>
      <c r="AS271" s="449">
        <f t="shared" si="272"/>
        <v>0</v>
      </c>
      <c r="AT271" s="426">
        <f t="shared" si="273"/>
        <v>0</v>
      </c>
      <c r="AU271" s="421"/>
      <c r="AV271" s="449">
        <f t="shared" si="274"/>
        <v>0</v>
      </c>
      <c r="AW271" s="449">
        <f t="shared" si="274"/>
        <v>0</v>
      </c>
      <c r="AX271" s="449">
        <f t="shared" si="274"/>
        <v>0</v>
      </c>
      <c r="AY271" s="449">
        <f t="shared" si="274"/>
        <v>0</v>
      </c>
      <c r="AZ271" s="449">
        <f t="shared" si="274"/>
        <v>0</v>
      </c>
      <c r="BA271" s="449">
        <f t="shared" si="274"/>
        <v>0</v>
      </c>
      <c r="BB271" s="449">
        <f t="shared" si="274"/>
        <v>0</v>
      </c>
      <c r="BC271" s="449">
        <f t="shared" si="274"/>
        <v>0</v>
      </c>
      <c r="BD271" s="449">
        <f t="shared" si="274"/>
        <v>0</v>
      </c>
      <c r="BE271" s="449">
        <f t="shared" si="274"/>
        <v>0</v>
      </c>
      <c r="BF271" s="449">
        <f t="shared" si="274"/>
        <v>0</v>
      </c>
      <c r="BG271" s="449">
        <f t="shared" si="274"/>
        <v>0</v>
      </c>
      <c r="BH271" s="400"/>
      <c r="BI271" s="449">
        <v>0</v>
      </c>
      <c r="BJ271" s="449">
        <v>0</v>
      </c>
      <c r="BK271" s="449">
        <v>0</v>
      </c>
      <c r="BL271" s="449">
        <v>0</v>
      </c>
      <c r="BM271" s="449">
        <v>0</v>
      </c>
      <c r="BN271" s="449">
        <v>0</v>
      </c>
      <c r="BO271" s="449">
        <v>0</v>
      </c>
      <c r="BP271" s="449">
        <v>0</v>
      </c>
      <c r="BQ271" s="449">
        <v>0</v>
      </c>
      <c r="BR271" s="449">
        <v>0</v>
      </c>
      <c r="BS271" s="449">
        <v>0</v>
      </c>
      <c r="BT271" s="449">
        <v>0</v>
      </c>
    </row>
    <row r="272" spans="1:74" ht="15" x14ac:dyDescent="0.25">
      <c r="A272" s="502" t="s">
        <v>454</v>
      </c>
      <c r="B272" s="502" t="s">
        <v>455</v>
      </c>
      <c r="C272" s="630"/>
      <c r="D272" s="500">
        <f t="shared" si="260"/>
        <v>30900</v>
      </c>
      <c r="E272" s="449">
        <v>34027</v>
      </c>
      <c r="F272" s="449">
        <f t="shared" si="261"/>
        <v>-3127</v>
      </c>
      <c r="G272" s="421">
        <f t="shared" si="262"/>
        <v>-9.189761072089811E-2</v>
      </c>
      <c r="H272" s="449">
        <v>30900</v>
      </c>
      <c r="I272" s="449">
        <f t="shared" si="263"/>
        <v>0</v>
      </c>
      <c r="J272" s="426">
        <f t="shared" si="264"/>
        <v>0</v>
      </c>
      <c r="K272" s="421"/>
      <c r="L272" s="449">
        <v>0</v>
      </c>
      <c r="M272" s="449">
        <v>2819.19</v>
      </c>
      <c r="N272" s="449">
        <v>2459.4900000000002</v>
      </c>
      <c r="O272" s="449">
        <v>2347.79</v>
      </c>
      <c r="P272" s="449">
        <v>2244.6400000000003</v>
      </c>
      <c r="Q272" s="449">
        <v>2971.3199999999997</v>
      </c>
      <c r="R272" s="449">
        <f>($H272-SUM($L272:Q272))/R$694</f>
        <v>3009.5949999999998</v>
      </c>
      <c r="S272" s="449">
        <f>($H272-SUM($L272:R272))/S$694</f>
        <v>3009.5950000000003</v>
      </c>
      <c r="T272" s="449">
        <f>($H272-SUM($L272:S272))/T$694</f>
        <v>3009.5950000000003</v>
      </c>
      <c r="U272" s="449">
        <f>($H272-SUM($L272:T272))/U$694</f>
        <v>3009.5949999999998</v>
      </c>
      <c r="V272" s="449">
        <f>($H272-SUM($L272:U272))/V$694</f>
        <v>3009.5949999999993</v>
      </c>
      <c r="W272" s="449">
        <f>($H272-SUM($L272:V272))/W$694</f>
        <v>3009.5950000000012</v>
      </c>
      <c r="X272" s="449"/>
      <c r="Y272" s="449">
        <f t="shared" si="265"/>
        <v>30900</v>
      </c>
      <c r="Z272" s="531"/>
      <c r="AA272" s="449">
        <f t="shared" si="266"/>
        <v>2575</v>
      </c>
      <c r="AB272" s="449">
        <f t="shared" si="266"/>
        <v>2575</v>
      </c>
      <c r="AC272" s="449">
        <f t="shared" si="266"/>
        <v>2575</v>
      </c>
      <c r="AD272" s="449">
        <f t="shared" si="266"/>
        <v>2575</v>
      </c>
      <c r="AE272" s="449">
        <f t="shared" si="266"/>
        <v>2575</v>
      </c>
      <c r="AF272" s="449">
        <f t="shared" si="266"/>
        <v>2575</v>
      </c>
      <c r="AG272" s="449">
        <f t="shared" si="266"/>
        <v>2575</v>
      </c>
      <c r="AH272" s="449">
        <f t="shared" si="266"/>
        <v>2575</v>
      </c>
      <c r="AI272" s="449">
        <f t="shared" si="266"/>
        <v>2575</v>
      </c>
      <c r="AJ272" s="449">
        <f t="shared" si="266"/>
        <v>2575</v>
      </c>
      <c r="AK272" s="449">
        <f t="shared" si="266"/>
        <v>2575</v>
      </c>
      <c r="AL272" s="449">
        <f t="shared" si="266"/>
        <v>2575</v>
      </c>
      <c r="AN272" s="500">
        <f t="shared" si="267"/>
        <v>30900</v>
      </c>
      <c r="AO272" s="449">
        <f t="shared" si="268"/>
        <v>34669.80000000001</v>
      </c>
      <c r="AP272" s="449">
        <f t="shared" si="269"/>
        <v>3769.8000000000102</v>
      </c>
      <c r="AQ272" s="453">
        <f t="shared" si="270"/>
        <v>0.12200000000000033</v>
      </c>
      <c r="AR272" s="449">
        <f t="shared" si="271"/>
        <v>34669.80000000001</v>
      </c>
      <c r="AS272" s="449">
        <f t="shared" si="272"/>
        <v>0</v>
      </c>
      <c r="AT272" s="426">
        <f t="shared" si="273"/>
        <v>0</v>
      </c>
      <c r="AU272" s="421"/>
      <c r="AV272" s="449">
        <f t="shared" si="274"/>
        <v>2889.15</v>
      </c>
      <c r="AW272" s="449">
        <f t="shared" si="274"/>
        <v>2889.15</v>
      </c>
      <c r="AX272" s="449">
        <f t="shared" si="274"/>
        <v>2889.15</v>
      </c>
      <c r="AY272" s="449">
        <f t="shared" si="274"/>
        <v>2889.15</v>
      </c>
      <c r="AZ272" s="449">
        <f t="shared" si="274"/>
        <v>2889.15</v>
      </c>
      <c r="BA272" s="449">
        <f t="shared" si="274"/>
        <v>2889.15</v>
      </c>
      <c r="BB272" s="449">
        <f t="shared" si="274"/>
        <v>2889.15</v>
      </c>
      <c r="BC272" s="449">
        <f t="shared" si="274"/>
        <v>2889.15</v>
      </c>
      <c r="BD272" s="449">
        <f t="shared" si="274"/>
        <v>2889.15</v>
      </c>
      <c r="BE272" s="449">
        <f t="shared" si="274"/>
        <v>2889.15</v>
      </c>
      <c r="BF272" s="449">
        <f t="shared" si="274"/>
        <v>2889.15</v>
      </c>
      <c r="BG272" s="449">
        <f t="shared" si="274"/>
        <v>2889.15</v>
      </c>
      <c r="BH272" s="400"/>
      <c r="BI272" s="449">
        <f>SUM('FY19 Staffing V1-1 (3)'!$P$269)/12</f>
        <v>2889.15</v>
      </c>
      <c r="BJ272" s="449">
        <f>SUM('FY19 Staffing V1-1 (3)'!$P$269)/12</f>
        <v>2889.15</v>
      </c>
      <c r="BK272" s="449">
        <f>SUM('FY19 Staffing V1-1 (3)'!$P$269)/12</f>
        <v>2889.15</v>
      </c>
      <c r="BL272" s="449">
        <f>SUM('FY19 Staffing V1-1 (3)'!$P$269)/12</f>
        <v>2889.15</v>
      </c>
      <c r="BM272" s="449">
        <f>SUM('FY19 Staffing V1-1 (3)'!$P$269)/12</f>
        <v>2889.15</v>
      </c>
      <c r="BN272" s="449">
        <f>SUM('FY19 Staffing V1-1 (3)'!$P$269)/12</f>
        <v>2889.15</v>
      </c>
      <c r="BO272" s="449">
        <f>SUM('FY19 Staffing V1-1 (3)'!$P$269)/12</f>
        <v>2889.15</v>
      </c>
      <c r="BP272" s="449">
        <f>SUM('FY19 Staffing V1-1 (3)'!$P$269)/12</f>
        <v>2889.15</v>
      </c>
      <c r="BQ272" s="449">
        <f>SUM('FY19 Staffing V1-1 (3)'!$P$269)/12</f>
        <v>2889.15</v>
      </c>
      <c r="BR272" s="449">
        <f>SUM('FY19 Staffing V1-1 (3)'!$P$269)/12</f>
        <v>2889.15</v>
      </c>
      <c r="BS272" s="449">
        <f>SUM('FY19 Staffing V1-1 (3)'!$P$269)/12</f>
        <v>2889.15</v>
      </c>
      <c r="BT272" s="449">
        <f>SUM('FY19 Staffing V1-1 (3)'!$P$269)/12</f>
        <v>2889.15</v>
      </c>
    </row>
    <row r="273" spans="1:72" ht="15" x14ac:dyDescent="0.25">
      <c r="A273" s="502" t="s">
        <v>456</v>
      </c>
      <c r="B273" s="502" t="s">
        <v>457</v>
      </c>
      <c r="C273" s="630"/>
      <c r="D273" s="500">
        <f t="shared" si="260"/>
        <v>3000</v>
      </c>
      <c r="E273" s="449">
        <v>34027</v>
      </c>
      <c r="F273" s="449">
        <f t="shared" si="261"/>
        <v>-31027</v>
      </c>
      <c r="G273" s="421">
        <f t="shared" si="262"/>
        <v>-0.91183471948746586</v>
      </c>
      <c r="H273" s="449">
        <v>3000</v>
      </c>
      <c r="I273" s="449">
        <f t="shared" si="263"/>
        <v>0</v>
      </c>
      <c r="J273" s="426">
        <f t="shared" si="264"/>
        <v>0</v>
      </c>
      <c r="K273" s="421"/>
      <c r="L273" s="449">
        <v>0</v>
      </c>
      <c r="M273" s="449">
        <v>0</v>
      </c>
      <c r="N273" s="449">
        <v>0</v>
      </c>
      <c r="O273" s="449">
        <v>0</v>
      </c>
      <c r="P273" s="449">
        <v>0</v>
      </c>
      <c r="Q273" s="449">
        <v>0</v>
      </c>
      <c r="R273" s="449">
        <f>($H273-SUM($L273:Q273))/R$694</f>
        <v>500</v>
      </c>
      <c r="S273" s="449">
        <f>($H273-SUM($L273:R273))/S$694</f>
        <v>500</v>
      </c>
      <c r="T273" s="449">
        <f>($H273-SUM($L273:S273))/T$694</f>
        <v>500</v>
      </c>
      <c r="U273" s="449">
        <f>($H273-SUM($L273:T273))/U$694</f>
        <v>500</v>
      </c>
      <c r="V273" s="449">
        <f>($H273-SUM($L273:U273))/V$694</f>
        <v>500</v>
      </c>
      <c r="W273" s="449">
        <f>($H273-SUM($L273:V273))/W$694</f>
        <v>500</v>
      </c>
      <c r="X273" s="449"/>
      <c r="Y273" s="449">
        <f t="shared" si="265"/>
        <v>3000</v>
      </c>
      <c r="Z273" s="531"/>
      <c r="AA273" s="449">
        <f t="shared" si="266"/>
        <v>250</v>
      </c>
      <c r="AB273" s="449">
        <f t="shared" si="266"/>
        <v>250</v>
      </c>
      <c r="AC273" s="449">
        <f t="shared" si="266"/>
        <v>250</v>
      </c>
      <c r="AD273" s="449">
        <f t="shared" si="266"/>
        <v>250</v>
      </c>
      <c r="AE273" s="449">
        <f t="shared" si="266"/>
        <v>250</v>
      </c>
      <c r="AF273" s="449">
        <f t="shared" si="266"/>
        <v>250</v>
      </c>
      <c r="AG273" s="449">
        <f t="shared" si="266"/>
        <v>250</v>
      </c>
      <c r="AH273" s="449">
        <f t="shared" si="266"/>
        <v>250</v>
      </c>
      <c r="AI273" s="449">
        <f t="shared" si="266"/>
        <v>250</v>
      </c>
      <c r="AJ273" s="449">
        <f t="shared" si="266"/>
        <v>250</v>
      </c>
      <c r="AK273" s="449">
        <f t="shared" si="266"/>
        <v>250</v>
      </c>
      <c r="AL273" s="449">
        <f t="shared" si="266"/>
        <v>250</v>
      </c>
      <c r="AN273" s="500">
        <f t="shared" si="267"/>
        <v>3000</v>
      </c>
      <c r="AO273" s="449">
        <f t="shared" si="268"/>
        <v>0</v>
      </c>
      <c r="AP273" s="449">
        <f t="shared" si="269"/>
        <v>-3000</v>
      </c>
      <c r="AQ273" s="453">
        <f t="shared" si="270"/>
        <v>-1</v>
      </c>
      <c r="AR273" s="449">
        <f t="shared" si="271"/>
        <v>0</v>
      </c>
      <c r="AS273" s="449">
        <f t="shared" si="272"/>
        <v>0</v>
      </c>
      <c r="AT273" s="426">
        <f t="shared" si="273"/>
        <v>0</v>
      </c>
      <c r="AU273" s="421"/>
      <c r="AV273" s="449">
        <f t="shared" si="274"/>
        <v>0</v>
      </c>
      <c r="AW273" s="449">
        <f t="shared" si="274"/>
        <v>0</v>
      </c>
      <c r="AX273" s="449">
        <f t="shared" si="274"/>
        <v>0</v>
      </c>
      <c r="AY273" s="449">
        <f t="shared" si="274"/>
        <v>0</v>
      </c>
      <c r="AZ273" s="449">
        <f t="shared" si="274"/>
        <v>0</v>
      </c>
      <c r="BA273" s="449">
        <f t="shared" si="274"/>
        <v>0</v>
      </c>
      <c r="BB273" s="449">
        <f t="shared" si="274"/>
        <v>0</v>
      </c>
      <c r="BC273" s="449">
        <f t="shared" si="274"/>
        <v>0</v>
      </c>
      <c r="BD273" s="449">
        <f t="shared" si="274"/>
        <v>0</v>
      </c>
      <c r="BE273" s="449">
        <f t="shared" si="274"/>
        <v>0</v>
      </c>
      <c r="BF273" s="449">
        <f t="shared" si="274"/>
        <v>0</v>
      </c>
      <c r="BG273" s="449">
        <f t="shared" si="274"/>
        <v>0</v>
      </c>
      <c r="BH273" s="400"/>
      <c r="BI273" s="449">
        <v>0</v>
      </c>
      <c r="BJ273" s="449">
        <v>0</v>
      </c>
      <c r="BK273" s="449">
        <v>0</v>
      </c>
      <c r="BL273" s="449">
        <v>0</v>
      </c>
      <c r="BM273" s="449">
        <v>0</v>
      </c>
      <c r="BN273" s="449">
        <v>0</v>
      </c>
      <c r="BO273" s="449">
        <v>0</v>
      </c>
      <c r="BP273" s="449">
        <v>0</v>
      </c>
      <c r="BQ273" s="449">
        <v>0</v>
      </c>
      <c r="BR273" s="449">
        <v>0</v>
      </c>
      <c r="BS273" s="449">
        <v>0</v>
      </c>
      <c r="BT273" s="449">
        <v>0</v>
      </c>
    </row>
    <row r="274" spans="1:72" ht="15" x14ac:dyDescent="0.25">
      <c r="A274" s="502" t="s">
        <v>458</v>
      </c>
      <c r="B274" s="502" t="s">
        <v>459</v>
      </c>
      <c r="C274" s="630"/>
      <c r="D274" s="500">
        <f t="shared" si="260"/>
        <v>0</v>
      </c>
      <c r="E274" s="449">
        <v>0</v>
      </c>
      <c r="F274" s="449">
        <f t="shared" si="261"/>
        <v>0</v>
      </c>
      <c r="G274" s="421">
        <f t="shared" si="262"/>
        <v>0</v>
      </c>
      <c r="H274" s="449">
        <v>0</v>
      </c>
      <c r="I274" s="449">
        <f t="shared" si="263"/>
        <v>0</v>
      </c>
      <c r="J274" s="426">
        <f t="shared" si="264"/>
        <v>0</v>
      </c>
      <c r="K274" s="421"/>
      <c r="L274" s="449">
        <v>0</v>
      </c>
      <c r="M274" s="449">
        <v>0</v>
      </c>
      <c r="N274" s="449">
        <v>0</v>
      </c>
      <c r="O274" s="449">
        <v>0</v>
      </c>
      <c r="P274" s="449">
        <v>0</v>
      </c>
      <c r="Q274" s="449">
        <v>0</v>
      </c>
      <c r="R274" s="449">
        <f>($H274-SUM($L274:Q274))/R$694</f>
        <v>0</v>
      </c>
      <c r="S274" s="449">
        <f>($H274-SUM($L274:R274))/S$694</f>
        <v>0</v>
      </c>
      <c r="T274" s="449">
        <f>($H274-SUM($L274:S274))/T$694</f>
        <v>0</v>
      </c>
      <c r="U274" s="449">
        <f>($H274-SUM($L274:T274))/U$694</f>
        <v>0</v>
      </c>
      <c r="V274" s="449">
        <f>($H274-SUM($L274:U274))/V$694</f>
        <v>0</v>
      </c>
      <c r="W274" s="449">
        <f>($H274-SUM($L274:V274))/W$694</f>
        <v>0</v>
      </c>
      <c r="X274" s="449"/>
      <c r="Y274" s="449">
        <f t="shared" si="265"/>
        <v>0</v>
      </c>
      <c r="Z274" s="531"/>
      <c r="AA274" s="449">
        <f t="shared" si="266"/>
        <v>0</v>
      </c>
      <c r="AB274" s="449">
        <f t="shared" si="266"/>
        <v>0</v>
      </c>
      <c r="AC274" s="449">
        <f t="shared" si="266"/>
        <v>0</v>
      </c>
      <c r="AD274" s="449">
        <f t="shared" si="266"/>
        <v>0</v>
      </c>
      <c r="AE274" s="449">
        <f t="shared" si="266"/>
        <v>0</v>
      </c>
      <c r="AF274" s="449">
        <f t="shared" si="266"/>
        <v>0</v>
      </c>
      <c r="AG274" s="449">
        <f t="shared" si="266"/>
        <v>0</v>
      </c>
      <c r="AH274" s="449">
        <f t="shared" si="266"/>
        <v>0</v>
      </c>
      <c r="AI274" s="449">
        <f t="shared" si="266"/>
        <v>0</v>
      </c>
      <c r="AJ274" s="449">
        <f t="shared" si="266"/>
        <v>0</v>
      </c>
      <c r="AK274" s="449">
        <f t="shared" si="266"/>
        <v>0</v>
      </c>
      <c r="AL274" s="449">
        <f t="shared" si="266"/>
        <v>0</v>
      </c>
      <c r="AN274" s="500">
        <f t="shared" si="267"/>
        <v>0</v>
      </c>
      <c r="AO274" s="449">
        <f t="shared" si="268"/>
        <v>0</v>
      </c>
      <c r="AP274" s="449">
        <f t="shared" si="269"/>
        <v>0</v>
      </c>
      <c r="AQ274" s="453" t="str">
        <f t="shared" si="270"/>
        <v>-</v>
      </c>
      <c r="AR274" s="449">
        <f t="shared" si="271"/>
        <v>0</v>
      </c>
      <c r="AS274" s="449">
        <f t="shared" si="272"/>
        <v>0</v>
      </c>
      <c r="AT274" s="426">
        <f t="shared" si="273"/>
        <v>0</v>
      </c>
      <c r="AU274" s="421"/>
      <c r="AV274" s="449">
        <f t="shared" si="274"/>
        <v>0</v>
      </c>
      <c r="AW274" s="449">
        <f t="shared" si="274"/>
        <v>0</v>
      </c>
      <c r="AX274" s="449">
        <f t="shared" si="274"/>
        <v>0</v>
      </c>
      <c r="AY274" s="449">
        <f t="shared" si="274"/>
        <v>0</v>
      </c>
      <c r="AZ274" s="449">
        <f t="shared" si="274"/>
        <v>0</v>
      </c>
      <c r="BA274" s="449">
        <f t="shared" si="274"/>
        <v>0</v>
      </c>
      <c r="BB274" s="449">
        <f t="shared" si="274"/>
        <v>0</v>
      </c>
      <c r="BC274" s="449">
        <f t="shared" si="274"/>
        <v>0</v>
      </c>
      <c r="BD274" s="449">
        <f t="shared" si="274"/>
        <v>0</v>
      </c>
      <c r="BE274" s="449">
        <f t="shared" si="274"/>
        <v>0</v>
      </c>
      <c r="BF274" s="449">
        <f t="shared" si="274"/>
        <v>0</v>
      </c>
      <c r="BG274" s="449">
        <f t="shared" si="274"/>
        <v>0</v>
      </c>
      <c r="BH274" s="400"/>
      <c r="BI274" s="449">
        <v>0</v>
      </c>
      <c r="BJ274" s="449">
        <v>0</v>
      </c>
      <c r="BK274" s="449">
        <v>0</v>
      </c>
      <c r="BL274" s="449">
        <v>0</v>
      </c>
      <c r="BM274" s="449">
        <v>0</v>
      </c>
      <c r="BN274" s="449">
        <v>0</v>
      </c>
      <c r="BO274" s="449">
        <v>0</v>
      </c>
      <c r="BP274" s="449">
        <v>0</v>
      </c>
      <c r="BQ274" s="449">
        <v>0</v>
      </c>
      <c r="BR274" s="449">
        <v>0</v>
      </c>
      <c r="BS274" s="449">
        <v>0</v>
      </c>
      <c r="BT274" s="449">
        <v>0</v>
      </c>
    </row>
    <row r="275" spans="1:72" ht="15" x14ac:dyDescent="0.25">
      <c r="A275" s="537" t="s">
        <v>460</v>
      </c>
      <c r="B275" s="537" t="s">
        <v>461</v>
      </c>
      <c r="C275" s="630"/>
      <c r="D275" s="500">
        <f>SUM(L275:W275)</f>
        <v>0</v>
      </c>
      <c r="E275" s="449">
        <v>0</v>
      </c>
      <c r="F275" s="449">
        <f t="shared" si="261"/>
        <v>0</v>
      </c>
      <c r="G275" s="421">
        <f t="shared" si="262"/>
        <v>0</v>
      </c>
      <c r="H275" s="449">
        <v>0</v>
      </c>
      <c r="I275" s="449">
        <f t="shared" si="263"/>
        <v>0</v>
      </c>
      <c r="J275" s="426">
        <f t="shared" si="264"/>
        <v>0</v>
      </c>
      <c r="K275" s="421"/>
      <c r="L275" s="449">
        <v>0</v>
      </c>
      <c r="M275" s="449">
        <v>0</v>
      </c>
      <c r="N275" s="449">
        <v>0</v>
      </c>
      <c r="O275" s="449">
        <v>0</v>
      </c>
      <c r="P275" s="449">
        <v>0</v>
      </c>
      <c r="Q275" s="449">
        <v>0</v>
      </c>
      <c r="R275" s="449">
        <f>($H275-SUM($L275:Q275))/R$694</f>
        <v>0</v>
      </c>
      <c r="S275" s="449">
        <f>($H275-SUM($L275:R275))/S$694</f>
        <v>0</v>
      </c>
      <c r="T275" s="449">
        <f>($H275-SUM($L275:S275))/T$694</f>
        <v>0</v>
      </c>
      <c r="U275" s="449">
        <f>($H275-SUM($L275:T275))/U$694</f>
        <v>0</v>
      </c>
      <c r="V275" s="449">
        <f>($H275-SUM($L275:U275))/V$694</f>
        <v>0</v>
      </c>
      <c r="W275" s="449">
        <f>($H275-SUM($L275:V275))/W$694</f>
        <v>0</v>
      </c>
      <c r="X275" s="449"/>
      <c r="Y275" s="449">
        <f t="shared" si="265"/>
        <v>0</v>
      </c>
      <c r="Z275" s="531"/>
      <c r="AA275" s="449">
        <f t="shared" si="266"/>
        <v>0</v>
      </c>
      <c r="AB275" s="449">
        <f t="shared" si="266"/>
        <v>0</v>
      </c>
      <c r="AC275" s="449">
        <f t="shared" si="266"/>
        <v>0</v>
      </c>
      <c r="AD275" s="449">
        <f t="shared" si="266"/>
        <v>0</v>
      </c>
      <c r="AE275" s="449">
        <f t="shared" si="266"/>
        <v>0</v>
      </c>
      <c r="AF275" s="449">
        <f t="shared" si="266"/>
        <v>0</v>
      </c>
      <c r="AG275" s="449">
        <f t="shared" si="266"/>
        <v>0</v>
      </c>
      <c r="AH275" s="449">
        <f t="shared" si="266"/>
        <v>0</v>
      </c>
      <c r="AI275" s="449">
        <f t="shared" si="266"/>
        <v>0</v>
      </c>
      <c r="AJ275" s="449">
        <f t="shared" si="266"/>
        <v>0</v>
      </c>
      <c r="AK275" s="449">
        <f t="shared" si="266"/>
        <v>0</v>
      </c>
      <c r="AL275" s="449">
        <f t="shared" si="266"/>
        <v>0</v>
      </c>
      <c r="AN275" s="500">
        <f>SUM(L275:W275)</f>
        <v>0</v>
      </c>
      <c r="AO275" s="449">
        <f>SUM(BI275:BT275)</f>
        <v>0</v>
      </c>
      <c r="AP275" s="449">
        <f t="shared" si="269"/>
        <v>0</v>
      </c>
      <c r="AQ275" s="453" t="str">
        <f t="shared" si="270"/>
        <v>-</v>
      </c>
      <c r="AR275" s="449">
        <f t="shared" si="271"/>
        <v>0</v>
      </c>
      <c r="AS275" s="449">
        <f t="shared" si="272"/>
        <v>0</v>
      </c>
      <c r="AT275" s="426">
        <f t="shared" si="273"/>
        <v>0</v>
      </c>
      <c r="AU275" s="421"/>
      <c r="AV275" s="449">
        <f t="shared" si="274"/>
        <v>0</v>
      </c>
      <c r="AW275" s="449">
        <f t="shared" si="274"/>
        <v>0</v>
      </c>
      <c r="AX275" s="449">
        <f t="shared" si="274"/>
        <v>0</v>
      </c>
      <c r="AY275" s="449">
        <f t="shared" si="274"/>
        <v>0</v>
      </c>
      <c r="AZ275" s="449">
        <f t="shared" si="274"/>
        <v>0</v>
      </c>
      <c r="BA275" s="449">
        <f t="shared" si="274"/>
        <v>0</v>
      </c>
      <c r="BB275" s="449">
        <f t="shared" si="274"/>
        <v>0</v>
      </c>
      <c r="BC275" s="449">
        <f t="shared" si="274"/>
        <v>0</v>
      </c>
      <c r="BD275" s="449">
        <f t="shared" si="274"/>
        <v>0</v>
      </c>
      <c r="BE275" s="449">
        <f t="shared" si="274"/>
        <v>0</v>
      </c>
      <c r="BF275" s="449">
        <f t="shared" si="274"/>
        <v>0</v>
      </c>
      <c r="BG275" s="449">
        <f t="shared" si="274"/>
        <v>0</v>
      </c>
      <c r="BH275" s="400"/>
      <c r="BI275" s="449">
        <v>0</v>
      </c>
      <c r="BJ275" s="449">
        <v>0</v>
      </c>
      <c r="BK275" s="449">
        <v>0</v>
      </c>
      <c r="BL275" s="449">
        <v>0</v>
      </c>
      <c r="BM275" s="449">
        <v>0</v>
      </c>
      <c r="BN275" s="449">
        <v>0</v>
      </c>
      <c r="BO275" s="449">
        <v>0</v>
      </c>
      <c r="BP275" s="449">
        <v>0</v>
      </c>
      <c r="BQ275" s="449">
        <v>0</v>
      </c>
      <c r="BR275" s="449">
        <v>0</v>
      </c>
      <c r="BS275" s="449">
        <v>0</v>
      </c>
      <c r="BT275" s="449">
        <v>0</v>
      </c>
    </row>
    <row r="276" spans="1:72" ht="15" x14ac:dyDescent="0.25">
      <c r="A276" s="502" t="s">
        <v>462</v>
      </c>
      <c r="B276" s="502" t="s">
        <v>463</v>
      </c>
      <c r="C276" s="630"/>
      <c r="D276" s="500">
        <f t="shared" si="260"/>
        <v>6000</v>
      </c>
      <c r="E276" s="449">
        <v>6000</v>
      </c>
      <c r="F276" s="449">
        <f t="shared" si="261"/>
        <v>0</v>
      </c>
      <c r="G276" s="421">
        <f t="shared" si="262"/>
        <v>0</v>
      </c>
      <c r="H276" s="449">
        <v>6000</v>
      </c>
      <c r="I276" s="449">
        <f t="shared" si="263"/>
        <v>0</v>
      </c>
      <c r="J276" s="426">
        <f t="shared" si="264"/>
        <v>0</v>
      </c>
      <c r="K276" s="421"/>
      <c r="L276" s="449">
        <v>0</v>
      </c>
      <c r="M276" s="449">
        <v>0</v>
      </c>
      <c r="N276" s="449">
        <v>0</v>
      </c>
      <c r="O276" s="449">
        <v>6000</v>
      </c>
      <c r="P276" s="449">
        <v>0</v>
      </c>
      <c r="Q276" s="449">
        <v>0</v>
      </c>
      <c r="R276" s="449">
        <f>($H276-SUM($L276:Q276))/R$694</f>
        <v>0</v>
      </c>
      <c r="S276" s="449">
        <f>($H276-SUM($L276:R276))/S$694</f>
        <v>0</v>
      </c>
      <c r="T276" s="449">
        <f>($H276-SUM($L276:S276))/T$694</f>
        <v>0</v>
      </c>
      <c r="U276" s="449">
        <f>($H276-SUM($L276:T276))/U$694</f>
        <v>0</v>
      </c>
      <c r="V276" s="449">
        <f>($H276-SUM($L276:U276))/V$694</f>
        <v>0</v>
      </c>
      <c r="W276" s="449">
        <f>($H276-SUM($L276:V276))/W$694</f>
        <v>0</v>
      </c>
      <c r="X276" s="449"/>
      <c r="Y276" s="449">
        <f t="shared" si="265"/>
        <v>6000</v>
      </c>
      <c r="Z276" s="531"/>
      <c r="AA276" s="449">
        <f t="shared" si="266"/>
        <v>500</v>
      </c>
      <c r="AB276" s="449">
        <f t="shared" si="266"/>
        <v>500</v>
      </c>
      <c r="AC276" s="449">
        <f t="shared" si="266"/>
        <v>500</v>
      </c>
      <c r="AD276" s="449">
        <f t="shared" si="266"/>
        <v>500</v>
      </c>
      <c r="AE276" s="449">
        <f t="shared" si="266"/>
        <v>500</v>
      </c>
      <c r="AF276" s="449">
        <f t="shared" si="266"/>
        <v>500</v>
      </c>
      <c r="AG276" s="449">
        <f t="shared" si="266"/>
        <v>500</v>
      </c>
      <c r="AH276" s="449">
        <f t="shared" si="266"/>
        <v>500</v>
      </c>
      <c r="AI276" s="449">
        <f t="shared" si="266"/>
        <v>500</v>
      </c>
      <c r="AJ276" s="449">
        <f t="shared" si="266"/>
        <v>500</v>
      </c>
      <c r="AK276" s="449">
        <f t="shared" si="266"/>
        <v>500</v>
      </c>
      <c r="AL276" s="449">
        <f t="shared" si="266"/>
        <v>500</v>
      </c>
      <c r="AN276" s="500">
        <f t="shared" si="267"/>
        <v>6000</v>
      </c>
      <c r="AO276" s="449">
        <f t="shared" si="268"/>
        <v>3000</v>
      </c>
      <c r="AP276" s="449">
        <f t="shared" si="269"/>
        <v>-3000</v>
      </c>
      <c r="AQ276" s="453">
        <f t="shared" si="270"/>
        <v>-0.5</v>
      </c>
      <c r="AR276" s="449">
        <f t="shared" si="271"/>
        <v>3000</v>
      </c>
      <c r="AS276" s="449">
        <f t="shared" si="272"/>
        <v>0</v>
      </c>
      <c r="AT276" s="426">
        <f t="shared" si="273"/>
        <v>0</v>
      </c>
      <c r="AU276" s="421"/>
      <c r="AV276" s="449">
        <f t="shared" si="274"/>
        <v>0</v>
      </c>
      <c r="AW276" s="449">
        <f t="shared" si="274"/>
        <v>0</v>
      </c>
      <c r="AX276" s="449">
        <f t="shared" si="274"/>
        <v>0</v>
      </c>
      <c r="AY276" s="449">
        <f t="shared" si="274"/>
        <v>3000</v>
      </c>
      <c r="AZ276" s="449">
        <f t="shared" si="274"/>
        <v>0</v>
      </c>
      <c r="BA276" s="449">
        <f t="shared" si="274"/>
        <v>0</v>
      </c>
      <c r="BB276" s="449">
        <f t="shared" si="274"/>
        <v>0</v>
      </c>
      <c r="BC276" s="449">
        <f t="shared" si="274"/>
        <v>0</v>
      </c>
      <c r="BD276" s="449">
        <f t="shared" si="274"/>
        <v>0</v>
      </c>
      <c r="BE276" s="449">
        <f t="shared" si="274"/>
        <v>0</v>
      </c>
      <c r="BF276" s="449">
        <f t="shared" si="274"/>
        <v>0</v>
      </c>
      <c r="BG276" s="449">
        <f t="shared" si="274"/>
        <v>0</v>
      </c>
      <c r="BH276" s="400"/>
      <c r="BI276" s="449">
        <v>0</v>
      </c>
      <c r="BJ276" s="449">
        <v>0</v>
      </c>
      <c r="BK276" s="449">
        <v>0</v>
      </c>
      <c r="BL276" s="449">
        <f>SUM('FY19 Staffing V1-1 (3)'!$J$226)</f>
        <v>3000</v>
      </c>
      <c r="BM276" s="449">
        <v>0</v>
      </c>
      <c r="BN276" s="449">
        <v>0</v>
      </c>
      <c r="BO276" s="449">
        <v>0</v>
      </c>
      <c r="BP276" s="449">
        <v>0</v>
      </c>
      <c r="BQ276" s="449">
        <v>0</v>
      </c>
      <c r="BR276" s="449">
        <v>0</v>
      </c>
      <c r="BS276" s="449">
        <v>0</v>
      </c>
      <c r="BT276" s="449">
        <v>0</v>
      </c>
    </row>
    <row r="277" spans="1:72" ht="15" x14ac:dyDescent="0.25">
      <c r="A277" s="537" t="s">
        <v>464</v>
      </c>
      <c r="B277" s="537" t="s">
        <v>465</v>
      </c>
      <c r="C277" s="630"/>
      <c r="D277" s="500">
        <f>SUM(L277:W277)</f>
        <v>0</v>
      </c>
      <c r="E277" s="449">
        <v>0</v>
      </c>
      <c r="F277" s="449">
        <f t="shared" si="261"/>
        <v>0</v>
      </c>
      <c r="G277" s="421">
        <f t="shared" si="262"/>
        <v>0</v>
      </c>
      <c r="H277" s="449">
        <v>0</v>
      </c>
      <c r="I277" s="449">
        <f t="shared" si="263"/>
        <v>0</v>
      </c>
      <c r="J277" s="426">
        <f t="shared" si="264"/>
        <v>0</v>
      </c>
      <c r="K277" s="421"/>
      <c r="L277" s="449">
        <v>0</v>
      </c>
      <c r="M277" s="449">
        <v>0</v>
      </c>
      <c r="N277" s="449">
        <v>0</v>
      </c>
      <c r="O277" s="449">
        <v>0</v>
      </c>
      <c r="P277" s="449">
        <v>0</v>
      </c>
      <c r="Q277" s="449">
        <v>0</v>
      </c>
      <c r="R277" s="449">
        <f>($H277-SUM($L277:Q277))/R$694</f>
        <v>0</v>
      </c>
      <c r="S277" s="449">
        <f>($H277-SUM($L277:R277))/S$694</f>
        <v>0</v>
      </c>
      <c r="T277" s="449">
        <f>($H277-SUM($L277:S277))/T$694</f>
        <v>0</v>
      </c>
      <c r="U277" s="449">
        <f>($H277-SUM($L277:T277))/U$694</f>
        <v>0</v>
      </c>
      <c r="V277" s="449">
        <f>($H277-SUM($L277:U277))/V$694</f>
        <v>0</v>
      </c>
      <c r="W277" s="449">
        <f>($H277-SUM($L277:V277))/W$694</f>
        <v>0</v>
      </c>
      <c r="X277" s="449"/>
      <c r="Y277" s="449">
        <f t="shared" si="265"/>
        <v>0</v>
      </c>
      <c r="Z277" s="531"/>
      <c r="AA277" s="449">
        <f t="shared" si="266"/>
        <v>0</v>
      </c>
      <c r="AB277" s="449">
        <f t="shared" si="266"/>
        <v>0</v>
      </c>
      <c r="AC277" s="449">
        <f t="shared" si="266"/>
        <v>0</v>
      </c>
      <c r="AD277" s="449">
        <f t="shared" si="266"/>
        <v>0</v>
      </c>
      <c r="AE277" s="449">
        <f t="shared" si="266"/>
        <v>0</v>
      </c>
      <c r="AF277" s="449">
        <f t="shared" si="266"/>
        <v>0</v>
      </c>
      <c r="AG277" s="449">
        <f t="shared" si="266"/>
        <v>0</v>
      </c>
      <c r="AH277" s="449">
        <f t="shared" si="266"/>
        <v>0</v>
      </c>
      <c r="AI277" s="449">
        <f t="shared" si="266"/>
        <v>0</v>
      </c>
      <c r="AJ277" s="449">
        <f t="shared" si="266"/>
        <v>0</v>
      </c>
      <c r="AK277" s="449">
        <f t="shared" si="266"/>
        <v>0</v>
      </c>
      <c r="AL277" s="449">
        <f t="shared" si="266"/>
        <v>0</v>
      </c>
      <c r="AN277" s="500">
        <f>SUM(L277:W277)</f>
        <v>0</v>
      </c>
      <c r="AO277" s="449">
        <f>SUM(BI277:BT277)</f>
        <v>3000</v>
      </c>
      <c r="AP277" s="449">
        <f t="shared" si="269"/>
        <v>3000</v>
      </c>
      <c r="AQ277" s="453" t="str">
        <f t="shared" si="270"/>
        <v>-</v>
      </c>
      <c r="AR277" s="449">
        <f t="shared" si="271"/>
        <v>3000</v>
      </c>
      <c r="AS277" s="449">
        <f t="shared" si="272"/>
        <v>0</v>
      </c>
      <c r="AT277" s="426">
        <f t="shared" si="273"/>
        <v>0</v>
      </c>
      <c r="AU277" s="421"/>
      <c r="AV277" s="449">
        <f t="shared" si="274"/>
        <v>0</v>
      </c>
      <c r="AW277" s="449">
        <f t="shared" si="274"/>
        <v>0</v>
      </c>
      <c r="AX277" s="449">
        <f t="shared" si="274"/>
        <v>0</v>
      </c>
      <c r="AY277" s="449">
        <f t="shared" si="274"/>
        <v>3000</v>
      </c>
      <c r="AZ277" s="449">
        <f t="shared" si="274"/>
        <v>0</v>
      </c>
      <c r="BA277" s="449">
        <f t="shared" si="274"/>
        <v>0</v>
      </c>
      <c r="BB277" s="449">
        <f t="shared" si="274"/>
        <v>0</v>
      </c>
      <c r="BC277" s="449">
        <f t="shared" si="274"/>
        <v>0</v>
      </c>
      <c r="BD277" s="449">
        <f t="shared" si="274"/>
        <v>0</v>
      </c>
      <c r="BE277" s="449">
        <f t="shared" si="274"/>
        <v>0</v>
      </c>
      <c r="BF277" s="449">
        <f t="shared" si="274"/>
        <v>0</v>
      </c>
      <c r="BG277" s="449">
        <f t="shared" si="274"/>
        <v>0</v>
      </c>
      <c r="BH277" s="400"/>
      <c r="BI277" s="449">
        <v>0</v>
      </c>
      <c r="BJ277" s="449">
        <v>0</v>
      </c>
      <c r="BK277" s="449">
        <v>0</v>
      </c>
      <c r="BL277" s="449">
        <f>SUM('FY19 Staffing V1-1 (3)'!$J$227,'FY19 Staffing V1-1 (3)'!$J$229)</f>
        <v>3000</v>
      </c>
      <c r="BM277" s="449">
        <v>0</v>
      </c>
      <c r="BN277" s="449">
        <v>0</v>
      </c>
      <c r="BO277" s="449">
        <v>0</v>
      </c>
      <c r="BP277" s="449">
        <v>0</v>
      </c>
      <c r="BQ277" s="449">
        <v>0</v>
      </c>
      <c r="BR277" s="449">
        <v>0</v>
      </c>
      <c r="BS277" s="449">
        <v>0</v>
      </c>
      <c r="BT277" s="449">
        <v>0</v>
      </c>
    </row>
    <row r="278" spans="1:72" ht="15" x14ac:dyDescent="0.25">
      <c r="A278" s="537" t="s">
        <v>466</v>
      </c>
      <c r="B278" s="537" t="s">
        <v>467</v>
      </c>
      <c r="C278" s="630"/>
      <c r="D278" s="500">
        <f>SUM(L278:W278)</f>
        <v>0</v>
      </c>
      <c r="E278" s="449">
        <v>0</v>
      </c>
      <c r="F278" s="449">
        <f t="shared" si="261"/>
        <v>0</v>
      </c>
      <c r="G278" s="421">
        <f t="shared" si="262"/>
        <v>0</v>
      </c>
      <c r="H278" s="449">
        <v>0</v>
      </c>
      <c r="I278" s="449">
        <f t="shared" si="263"/>
        <v>0</v>
      </c>
      <c r="J278" s="426">
        <f t="shared" si="264"/>
        <v>0</v>
      </c>
      <c r="K278" s="421"/>
      <c r="L278" s="449">
        <v>0</v>
      </c>
      <c r="M278" s="449">
        <v>0</v>
      </c>
      <c r="N278" s="449">
        <v>0</v>
      </c>
      <c r="O278" s="449">
        <v>0</v>
      </c>
      <c r="P278" s="449">
        <v>0</v>
      </c>
      <c r="Q278" s="449">
        <v>0</v>
      </c>
      <c r="R278" s="449">
        <f>($H278-SUM($L278:Q278))/R$694</f>
        <v>0</v>
      </c>
      <c r="S278" s="449">
        <f>($H278-SUM($L278:R278))/S$694</f>
        <v>0</v>
      </c>
      <c r="T278" s="449">
        <f>($H278-SUM($L278:S278))/T$694</f>
        <v>0</v>
      </c>
      <c r="U278" s="449">
        <f>($H278-SUM($L278:T278))/U$694</f>
        <v>0</v>
      </c>
      <c r="V278" s="449">
        <f>($H278-SUM($L278:U278))/V$694</f>
        <v>0</v>
      </c>
      <c r="W278" s="449">
        <f>($H278-SUM($L278:V278))/W$694</f>
        <v>0</v>
      </c>
      <c r="X278" s="449"/>
      <c r="Y278" s="449">
        <f t="shared" si="265"/>
        <v>0</v>
      </c>
      <c r="Z278" s="531"/>
      <c r="AA278" s="449">
        <f t="shared" si="266"/>
        <v>0</v>
      </c>
      <c r="AB278" s="449">
        <f t="shared" si="266"/>
        <v>0</v>
      </c>
      <c r="AC278" s="449">
        <f t="shared" si="266"/>
        <v>0</v>
      </c>
      <c r="AD278" s="449">
        <f t="shared" si="266"/>
        <v>0</v>
      </c>
      <c r="AE278" s="449">
        <f t="shared" si="266"/>
        <v>0</v>
      </c>
      <c r="AF278" s="449">
        <f t="shared" si="266"/>
        <v>0</v>
      </c>
      <c r="AG278" s="449">
        <f t="shared" si="266"/>
        <v>0</v>
      </c>
      <c r="AH278" s="449">
        <f t="shared" si="266"/>
        <v>0</v>
      </c>
      <c r="AI278" s="449">
        <f t="shared" si="266"/>
        <v>0</v>
      </c>
      <c r="AJ278" s="449">
        <f t="shared" si="266"/>
        <v>0</v>
      </c>
      <c r="AK278" s="449">
        <f t="shared" si="266"/>
        <v>0</v>
      </c>
      <c r="AL278" s="449">
        <f t="shared" si="266"/>
        <v>0</v>
      </c>
      <c r="AN278" s="500">
        <f>SUM(L278:W278)</f>
        <v>0</v>
      </c>
      <c r="AO278" s="449">
        <f>SUM(BI278:BT278)</f>
        <v>3000</v>
      </c>
      <c r="AP278" s="449">
        <f t="shared" si="269"/>
        <v>3000</v>
      </c>
      <c r="AQ278" s="453" t="str">
        <f t="shared" si="270"/>
        <v>-</v>
      </c>
      <c r="AR278" s="449">
        <f t="shared" si="271"/>
        <v>3000</v>
      </c>
      <c r="AS278" s="449">
        <f t="shared" si="272"/>
        <v>0</v>
      </c>
      <c r="AT278" s="426">
        <f t="shared" si="273"/>
        <v>0</v>
      </c>
      <c r="AU278" s="421"/>
      <c r="AV278" s="449">
        <f t="shared" si="274"/>
        <v>0</v>
      </c>
      <c r="AW278" s="449">
        <f t="shared" si="274"/>
        <v>0</v>
      </c>
      <c r="AX278" s="449">
        <f t="shared" si="274"/>
        <v>0</v>
      </c>
      <c r="AY278" s="449">
        <f t="shared" si="274"/>
        <v>3000</v>
      </c>
      <c r="AZ278" s="449">
        <f t="shared" si="274"/>
        <v>0</v>
      </c>
      <c r="BA278" s="449">
        <f t="shared" si="274"/>
        <v>0</v>
      </c>
      <c r="BB278" s="449">
        <f t="shared" si="274"/>
        <v>0</v>
      </c>
      <c r="BC278" s="449">
        <f t="shared" si="274"/>
        <v>0</v>
      </c>
      <c r="BD278" s="449">
        <f t="shared" si="274"/>
        <v>0</v>
      </c>
      <c r="BE278" s="449">
        <f t="shared" si="274"/>
        <v>0</v>
      </c>
      <c r="BF278" s="449">
        <f t="shared" si="274"/>
        <v>0</v>
      </c>
      <c r="BG278" s="449">
        <f t="shared" si="274"/>
        <v>0</v>
      </c>
      <c r="BH278" s="400"/>
      <c r="BI278" s="449">
        <v>0</v>
      </c>
      <c r="BJ278" s="449">
        <v>0</v>
      </c>
      <c r="BK278" s="449">
        <v>0</v>
      </c>
      <c r="BL278" s="449">
        <f>SUM('FY19 Staffing V1-1 (3)'!$J$228)</f>
        <v>3000</v>
      </c>
      <c r="BM278" s="449">
        <v>0</v>
      </c>
      <c r="BN278" s="449">
        <v>0</v>
      </c>
      <c r="BO278" s="449">
        <v>0</v>
      </c>
      <c r="BP278" s="449">
        <v>0</v>
      </c>
      <c r="BQ278" s="449">
        <v>0</v>
      </c>
      <c r="BR278" s="449">
        <v>0</v>
      </c>
      <c r="BS278" s="449">
        <v>0</v>
      </c>
      <c r="BT278" s="449">
        <v>0</v>
      </c>
    </row>
    <row r="279" spans="1:72" ht="15" x14ac:dyDescent="0.25">
      <c r="A279" s="502" t="s">
        <v>468</v>
      </c>
      <c r="B279" s="502" t="s">
        <v>469</v>
      </c>
      <c r="C279" s="630"/>
      <c r="D279" s="500">
        <f t="shared" si="260"/>
        <v>0</v>
      </c>
      <c r="E279" s="449">
        <v>0</v>
      </c>
      <c r="F279" s="449">
        <f t="shared" si="261"/>
        <v>0</v>
      </c>
      <c r="G279" s="421">
        <f t="shared" si="262"/>
        <v>0</v>
      </c>
      <c r="H279" s="449">
        <v>0</v>
      </c>
      <c r="I279" s="449">
        <f t="shared" si="263"/>
        <v>0</v>
      </c>
      <c r="J279" s="426">
        <f t="shared" si="264"/>
        <v>0</v>
      </c>
      <c r="K279" s="421"/>
      <c r="L279" s="449">
        <v>0</v>
      </c>
      <c r="M279" s="449">
        <v>0</v>
      </c>
      <c r="N279" s="449">
        <v>0</v>
      </c>
      <c r="O279" s="449">
        <v>0</v>
      </c>
      <c r="P279" s="449">
        <v>0</v>
      </c>
      <c r="Q279" s="449">
        <v>0</v>
      </c>
      <c r="R279" s="449">
        <f>($H279-SUM($L279:Q279))/R$694</f>
        <v>0</v>
      </c>
      <c r="S279" s="449">
        <f>($H279-SUM($L279:R279))/S$694</f>
        <v>0</v>
      </c>
      <c r="T279" s="449">
        <f>($H279-SUM($L279:S279))/T$694</f>
        <v>0</v>
      </c>
      <c r="U279" s="449">
        <f>($H279-SUM($L279:T279))/U$694</f>
        <v>0</v>
      </c>
      <c r="V279" s="449">
        <f>($H279-SUM($L279:U279))/V$694</f>
        <v>0</v>
      </c>
      <c r="W279" s="449">
        <f>($H279-SUM($L279:V279))/W$694</f>
        <v>0</v>
      </c>
      <c r="X279" s="449"/>
      <c r="Y279" s="449">
        <f t="shared" si="265"/>
        <v>0</v>
      </c>
      <c r="Z279" s="531"/>
      <c r="AA279" s="449">
        <f t="shared" si="266"/>
        <v>0</v>
      </c>
      <c r="AB279" s="449">
        <f t="shared" si="266"/>
        <v>0</v>
      </c>
      <c r="AC279" s="449">
        <f t="shared" si="266"/>
        <v>0</v>
      </c>
      <c r="AD279" s="449">
        <f t="shared" si="266"/>
        <v>0</v>
      </c>
      <c r="AE279" s="449">
        <f t="shared" si="266"/>
        <v>0</v>
      </c>
      <c r="AF279" s="449">
        <f t="shared" si="266"/>
        <v>0</v>
      </c>
      <c r="AG279" s="449">
        <f t="shared" si="266"/>
        <v>0</v>
      </c>
      <c r="AH279" s="449">
        <f t="shared" si="266"/>
        <v>0</v>
      </c>
      <c r="AI279" s="449">
        <f t="shared" si="266"/>
        <v>0</v>
      </c>
      <c r="AJ279" s="449">
        <f t="shared" si="266"/>
        <v>0</v>
      </c>
      <c r="AK279" s="449">
        <f t="shared" si="266"/>
        <v>0</v>
      </c>
      <c r="AL279" s="449">
        <f t="shared" si="266"/>
        <v>0</v>
      </c>
      <c r="AN279" s="500">
        <f t="shared" si="267"/>
        <v>0</v>
      </c>
      <c r="AO279" s="449">
        <f t="shared" si="268"/>
        <v>0</v>
      </c>
      <c r="AP279" s="449">
        <f t="shared" si="269"/>
        <v>0</v>
      </c>
      <c r="AQ279" s="453" t="str">
        <f t="shared" si="270"/>
        <v>-</v>
      </c>
      <c r="AR279" s="449">
        <f t="shared" si="271"/>
        <v>0</v>
      </c>
      <c r="AS279" s="449">
        <f t="shared" si="272"/>
        <v>0</v>
      </c>
      <c r="AT279" s="426">
        <f t="shared" si="273"/>
        <v>0</v>
      </c>
      <c r="AU279" s="421"/>
      <c r="AV279" s="449">
        <f t="shared" si="274"/>
        <v>0</v>
      </c>
      <c r="AW279" s="449">
        <f t="shared" si="274"/>
        <v>0</v>
      </c>
      <c r="AX279" s="449">
        <f t="shared" si="274"/>
        <v>0</v>
      </c>
      <c r="AY279" s="449">
        <f t="shared" si="274"/>
        <v>0</v>
      </c>
      <c r="AZ279" s="449">
        <f t="shared" si="274"/>
        <v>0</v>
      </c>
      <c r="BA279" s="449">
        <f t="shared" si="274"/>
        <v>0</v>
      </c>
      <c r="BB279" s="449">
        <f t="shared" si="274"/>
        <v>0</v>
      </c>
      <c r="BC279" s="449">
        <f t="shared" si="274"/>
        <v>0</v>
      </c>
      <c r="BD279" s="449">
        <f t="shared" si="274"/>
        <v>0</v>
      </c>
      <c r="BE279" s="449">
        <f t="shared" si="274"/>
        <v>0</v>
      </c>
      <c r="BF279" s="449">
        <f t="shared" si="274"/>
        <v>0</v>
      </c>
      <c r="BG279" s="449">
        <f t="shared" si="274"/>
        <v>0</v>
      </c>
      <c r="BH279" s="400"/>
      <c r="BI279" s="449">
        <v>0</v>
      </c>
      <c r="BJ279" s="449">
        <v>0</v>
      </c>
      <c r="BK279" s="449">
        <v>0</v>
      </c>
      <c r="BL279" s="449">
        <v>0</v>
      </c>
      <c r="BM279" s="449">
        <v>0</v>
      </c>
      <c r="BN279" s="449">
        <v>0</v>
      </c>
      <c r="BO279" s="449">
        <v>0</v>
      </c>
      <c r="BP279" s="449">
        <v>0</v>
      </c>
      <c r="BQ279" s="449">
        <v>0</v>
      </c>
      <c r="BR279" s="449">
        <v>0</v>
      </c>
      <c r="BS279" s="449">
        <v>0</v>
      </c>
      <c r="BT279" s="449">
        <v>0</v>
      </c>
    </row>
    <row r="280" spans="1:72" ht="15" x14ac:dyDescent="0.25">
      <c r="A280" s="502" t="s">
        <v>470</v>
      </c>
      <c r="B280" s="502" t="s">
        <v>471</v>
      </c>
      <c r="C280" s="630"/>
      <c r="D280" s="500">
        <f t="shared" si="260"/>
        <v>3000</v>
      </c>
      <c r="E280" s="449">
        <v>3000</v>
      </c>
      <c r="F280" s="449">
        <f t="shared" si="261"/>
        <v>0</v>
      </c>
      <c r="G280" s="421">
        <f t="shared" si="262"/>
        <v>0</v>
      </c>
      <c r="H280" s="449">
        <v>3000</v>
      </c>
      <c r="I280" s="449">
        <f t="shared" si="263"/>
        <v>0</v>
      </c>
      <c r="J280" s="426">
        <f t="shared" si="264"/>
        <v>0</v>
      </c>
      <c r="K280" s="421"/>
      <c r="L280" s="449">
        <v>0</v>
      </c>
      <c r="M280" s="449">
        <v>0</v>
      </c>
      <c r="N280" s="449">
        <v>0</v>
      </c>
      <c r="O280" s="449">
        <v>0</v>
      </c>
      <c r="P280" s="449">
        <v>0</v>
      </c>
      <c r="Q280" s="449">
        <v>0</v>
      </c>
      <c r="R280" s="449">
        <f>($H280-SUM($L280:Q280))/R$694</f>
        <v>500</v>
      </c>
      <c r="S280" s="449">
        <f>($H280-SUM($L280:R280))/S$694</f>
        <v>500</v>
      </c>
      <c r="T280" s="449">
        <f>($H280-SUM($L280:S280))/T$694</f>
        <v>500</v>
      </c>
      <c r="U280" s="449">
        <f>($H280-SUM($L280:T280))/U$694</f>
        <v>500</v>
      </c>
      <c r="V280" s="449">
        <f>($H280-SUM($L280:U280))/V$694</f>
        <v>500</v>
      </c>
      <c r="W280" s="449">
        <f>($H280-SUM($L280:V280))/W$694</f>
        <v>500</v>
      </c>
      <c r="X280" s="449"/>
      <c r="Y280" s="449">
        <f t="shared" si="265"/>
        <v>3000</v>
      </c>
      <c r="Z280" s="531"/>
      <c r="AA280" s="449">
        <f t="shared" si="266"/>
        <v>250</v>
      </c>
      <c r="AB280" s="449">
        <f t="shared" si="266"/>
        <v>250</v>
      </c>
      <c r="AC280" s="449">
        <f t="shared" si="266"/>
        <v>250</v>
      </c>
      <c r="AD280" s="449">
        <f t="shared" si="266"/>
        <v>250</v>
      </c>
      <c r="AE280" s="449">
        <f t="shared" si="266"/>
        <v>250</v>
      </c>
      <c r="AF280" s="449">
        <f t="shared" si="266"/>
        <v>250</v>
      </c>
      <c r="AG280" s="449">
        <f t="shared" si="266"/>
        <v>250</v>
      </c>
      <c r="AH280" s="449">
        <f t="shared" si="266"/>
        <v>250</v>
      </c>
      <c r="AI280" s="449">
        <f t="shared" si="266"/>
        <v>250</v>
      </c>
      <c r="AJ280" s="449">
        <f t="shared" si="266"/>
        <v>250</v>
      </c>
      <c r="AK280" s="449">
        <f t="shared" si="266"/>
        <v>250</v>
      </c>
      <c r="AL280" s="449">
        <f t="shared" si="266"/>
        <v>250</v>
      </c>
      <c r="AN280" s="500">
        <f t="shared" si="267"/>
        <v>3000</v>
      </c>
      <c r="AO280" s="449">
        <f t="shared" si="268"/>
        <v>3000</v>
      </c>
      <c r="AP280" s="449">
        <f t="shared" si="269"/>
        <v>0</v>
      </c>
      <c r="AQ280" s="453">
        <f t="shared" si="270"/>
        <v>0</v>
      </c>
      <c r="AR280" s="449">
        <f t="shared" si="271"/>
        <v>3000</v>
      </c>
      <c r="AS280" s="449">
        <f t="shared" si="272"/>
        <v>0</v>
      </c>
      <c r="AT280" s="426">
        <f t="shared" si="273"/>
        <v>0</v>
      </c>
      <c r="AU280" s="421"/>
      <c r="AV280" s="449">
        <f t="shared" si="274"/>
        <v>0</v>
      </c>
      <c r="AW280" s="449">
        <f t="shared" si="274"/>
        <v>0</v>
      </c>
      <c r="AX280" s="449">
        <f t="shared" si="274"/>
        <v>0</v>
      </c>
      <c r="AY280" s="449">
        <f t="shared" si="274"/>
        <v>3000</v>
      </c>
      <c r="AZ280" s="449">
        <f t="shared" si="274"/>
        <v>0</v>
      </c>
      <c r="BA280" s="449">
        <f t="shared" si="274"/>
        <v>0</v>
      </c>
      <c r="BB280" s="449">
        <f t="shared" si="274"/>
        <v>0</v>
      </c>
      <c r="BC280" s="449">
        <f t="shared" si="274"/>
        <v>0</v>
      </c>
      <c r="BD280" s="449">
        <f t="shared" si="274"/>
        <v>0</v>
      </c>
      <c r="BE280" s="449">
        <f t="shared" si="274"/>
        <v>0</v>
      </c>
      <c r="BF280" s="449">
        <f t="shared" si="274"/>
        <v>0</v>
      </c>
      <c r="BG280" s="449">
        <f t="shared" si="274"/>
        <v>0</v>
      </c>
      <c r="BH280" s="400"/>
      <c r="BI280" s="449">
        <v>0</v>
      </c>
      <c r="BJ280" s="449">
        <v>0</v>
      </c>
      <c r="BK280" s="449">
        <v>0</v>
      </c>
      <c r="BL280" s="449">
        <f>SUM('FY19 Staffing V1-1 (3)'!$J$269)</f>
        <v>3000</v>
      </c>
      <c r="BM280" s="449">
        <v>0</v>
      </c>
      <c r="BN280" s="449">
        <v>0</v>
      </c>
      <c r="BO280" s="449">
        <v>0</v>
      </c>
      <c r="BP280" s="449">
        <v>0</v>
      </c>
      <c r="BQ280" s="449">
        <v>0</v>
      </c>
      <c r="BR280" s="449">
        <v>0</v>
      </c>
      <c r="BS280" s="449">
        <v>0</v>
      </c>
      <c r="BT280" s="449">
        <v>0</v>
      </c>
    </row>
    <row r="281" spans="1:72" ht="15" x14ac:dyDescent="0.25">
      <c r="A281" s="537" t="s">
        <v>472</v>
      </c>
      <c r="B281" s="537" t="s">
        <v>473</v>
      </c>
      <c r="C281" s="630"/>
      <c r="D281" s="500">
        <f>SUM(L281:W281)</f>
        <v>0</v>
      </c>
      <c r="E281" s="449">
        <v>0</v>
      </c>
      <c r="F281" s="449">
        <f t="shared" si="261"/>
        <v>0</v>
      </c>
      <c r="G281" s="421">
        <f t="shared" si="262"/>
        <v>0</v>
      </c>
      <c r="H281" s="449">
        <v>0</v>
      </c>
      <c r="I281" s="449">
        <f t="shared" si="263"/>
        <v>0</v>
      </c>
      <c r="J281" s="426">
        <f t="shared" si="264"/>
        <v>0</v>
      </c>
      <c r="K281" s="421"/>
      <c r="L281" s="449">
        <v>0</v>
      </c>
      <c r="M281" s="449">
        <v>0</v>
      </c>
      <c r="N281" s="449">
        <v>0</v>
      </c>
      <c r="O281" s="449">
        <v>0</v>
      </c>
      <c r="P281" s="449">
        <v>0</v>
      </c>
      <c r="Q281" s="449">
        <v>0</v>
      </c>
      <c r="R281" s="449">
        <f>($H281-SUM($L281:Q281))/R$694</f>
        <v>0</v>
      </c>
      <c r="S281" s="449">
        <f>($H281-SUM($L281:R281))/S$694</f>
        <v>0</v>
      </c>
      <c r="T281" s="449">
        <f>($H281-SUM($L281:S281))/T$694</f>
        <v>0</v>
      </c>
      <c r="U281" s="449">
        <f>($H281-SUM($L281:T281))/U$694</f>
        <v>0</v>
      </c>
      <c r="V281" s="449">
        <f>($H281-SUM($L281:U281))/V$694</f>
        <v>0</v>
      </c>
      <c r="W281" s="449">
        <f>($H281-SUM($L281:V281))/W$694</f>
        <v>0</v>
      </c>
      <c r="X281" s="449"/>
      <c r="Y281" s="449">
        <f t="shared" si="265"/>
        <v>0</v>
      </c>
      <c r="Z281" s="531"/>
      <c r="AA281" s="449">
        <f t="shared" si="266"/>
        <v>0</v>
      </c>
      <c r="AB281" s="449">
        <f t="shared" si="266"/>
        <v>0</v>
      </c>
      <c r="AC281" s="449">
        <f t="shared" si="266"/>
        <v>0</v>
      </c>
      <c r="AD281" s="449">
        <f t="shared" si="266"/>
        <v>0</v>
      </c>
      <c r="AE281" s="449">
        <f t="shared" si="266"/>
        <v>0</v>
      </c>
      <c r="AF281" s="449">
        <f t="shared" si="266"/>
        <v>0</v>
      </c>
      <c r="AG281" s="449">
        <f t="shared" si="266"/>
        <v>0</v>
      </c>
      <c r="AH281" s="449">
        <f t="shared" si="266"/>
        <v>0</v>
      </c>
      <c r="AI281" s="449">
        <f t="shared" si="266"/>
        <v>0</v>
      </c>
      <c r="AJ281" s="449">
        <f t="shared" si="266"/>
        <v>0</v>
      </c>
      <c r="AK281" s="449">
        <f t="shared" si="266"/>
        <v>0</v>
      </c>
      <c r="AL281" s="449">
        <f t="shared" si="266"/>
        <v>0</v>
      </c>
      <c r="AN281" s="500">
        <f>SUM(L281:W281)</f>
        <v>0</v>
      </c>
      <c r="AO281" s="449">
        <f>SUM(BI281:BT281)</f>
        <v>0</v>
      </c>
      <c r="AP281" s="449">
        <f t="shared" si="269"/>
        <v>0</v>
      </c>
      <c r="AQ281" s="453" t="str">
        <f t="shared" si="270"/>
        <v>-</v>
      </c>
      <c r="AR281" s="449">
        <f t="shared" si="271"/>
        <v>0</v>
      </c>
      <c r="AS281" s="449">
        <f t="shared" si="272"/>
        <v>0</v>
      </c>
      <c r="AT281" s="426">
        <f t="shared" si="273"/>
        <v>0</v>
      </c>
      <c r="AU281" s="421"/>
      <c r="AV281" s="449">
        <f t="shared" si="274"/>
        <v>0</v>
      </c>
      <c r="AW281" s="449">
        <f t="shared" si="274"/>
        <v>0</v>
      </c>
      <c r="AX281" s="449">
        <f t="shared" si="274"/>
        <v>0</v>
      </c>
      <c r="AY281" s="449">
        <f t="shared" si="274"/>
        <v>0</v>
      </c>
      <c r="AZ281" s="449">
        <f t="shared" si="274"/>
        <v>0</v>
      </c>
      <c r="BA281" s="449">
        <f t="shared" si="274"/>
        <v>0</v>
      </c>
      <c r="BB281" s="449">
        <f t="shared" si="274"/>
        <v>0</v>
      </c>
      <c r="BC281" s="449">
        <f t="shared" si="274"/>
        <v>0</v>
      </c>
      <c r="BD281" s="449">
        <f t="shared" si="274"/>
        <v>0</v>
      </c>
      <c r="BE281" s="449">
        <f t="shared" si="274"/>
        <v>0</v>
      </c>
      <c r="BF281" s="449">
        <f t="shared" si="274"/>
        <v>0</v>
      </c>
      <c r="BG281" s="449">
        <f t="shared" si="274"/>
        <v>0</v>
      </c>
      <c r="BH281" s="400"/>
      <c r="BI281" s="449">
        <v>0</v>
      </c>
      <c r="BJ281" s="449">
        <v>0</v>
      </c>
      <c r="BK281" s="449">
        <v>0</v>
      </c>
      <c r="BL281" s="449">
        <v>0</v>
      </c>
      <c r="BM281" s="449">
        <v>0</v>
      </c>
      <c r="BN281" s="449">
        <v>0</v>
      </c>
      <c r="BO281" s="449">
        <v>0</v>
      </c>
      <c r="BP281" s="449">
        <v>0</v>
      </c>
      <c r="BQ281" s="449">
        <v>0</v>
      </c>
      <c r="BR281" s="449">
        <v>0</v>
      </c>
      <c r="BS281" s="449">
        <v>0</v>
      </c>
      <c r="BT281" s="449">
        <v>0</v>
      </c>
    </row>
    <row r="282" spans="1:72" ht="15" x14ac:dyDescent="0.25">
      <c r="A282" s="502" t="s">
        <v>474</v>
      </c>
      <c r="B282" s="502" t="s">
        <v>475</v>
      </c>
      <c r="C282" s="541"/>
      <c r="D282" s="500">
        <f t="shared" si="260"/>
        <v>4909</v>
      </c>
      <c r="E282" s="449">
        <v>4909</v>
      </c>
      <c r="F282" s="449">
        <f t="shared" si="261"/>
        <v>0</v>
      </c>
      <c r="G282" s="421">
        <f t="shared" si="262"/>
        <v>0</v>
      </c>
      <c r="H282" s="449">
        <v>4909</v>
      </c>
      <c r="I282" s="449">
        <f t="shared" si="263"/>
        <v>0</v>
      </c>
      <c r="J282" s="426">
        <f t="shared" si="264"/>
        <v>0</v>
      </c>
      <c r="K282" s="421"/>
      <c r="L282" s="449">
        <v>11.67</v>
      </c>
      <c r="M282" s="449">
        <v>1276.1699999999998</v>
      </c>
      <c r="N282" s="449">
        <v>873.75000000000023</v>
      </c>
      <c r="O282" s="449">
        <v>1485.6099999999997</v>
      </c>
      <c r="P282" s="449">
        <v>517.42000000000007</v>
      </c>
      <c r="Q282" s="449">
        <v>646.77999999999975</v>
      </c>
      <c r="R282" s="449">
        <f>($H282-SUM($L282:Q282))/R$694</f>
        <v>16.266666666666726</v>
      </c>
      <c r="S282" s="449">
        <f>($H282-SUM($L282:R282))/S$694</f>
        <v>16.266666666666787</v>
      </c>
      <c r="T282" s="449">
        <f>($H282-SUM($L282:S282))/T$694</f>
        <v>16.266666666666879</v>
      </c>
      <c r="U282" s="449">
        <f>($H282-SUM($L282:T282))/U$694</f>
        <v>16.266666666667032</v>
      </c>
      <c r="V282" s="449">
        <f>($H282-SUM($L282:U282))/V$694</f>
        <v>16.266666666666879</v>
      </c>
      <c r="W282" s="449">
        <f>($H282-SUM($L282:V282))/W$694</f>
        <v>16.266666666666424</v>
      </c>
      <c r="X282" s="449"/>
      <c r="Y282" s="449">
        <f t="shared" si="265"/>
        <v>4909</v>
      </c>
      <c r="Z282" s="531"/>
      <c r="AA282" s="449">
        <f t="shared" si="266"/>
        <v>409.08333333333331</v>
      </c>
      <c r="AB282" s="449">
        <f t="shared" si="266"/>
        <v>409.08333333333331</v>
      </c>
      <c r="AC282" s="449">
        <f t="shared" si="266"/>
        <v>409.08333333333331</v>
      </c>
      <c r="AD282" s="449">
        <f t="shared" si="266"/>
        <v>409.08333333333331</v>
      </c>
      <c r="AE282" s="449">
        <f t="shared" si="266"/>
        <v>409.08333333333331</v>
      </c>
      <c r="AF282" s="449">
        <f t="shared" si="266"/>
        <v>409.08333333333331</v>
      </c>
      <c r="AG282" s="449">
        <f t="shared" si="266"/>
        <v>409.08333333333331</v>
      </c>
      <c r="AH282" s="449">
        <f t="shared" si="266"/>
        <v>409.08333333333331</v>
      </c>
      <c r="AI282" s="449">
        <f t="shared" si="266"/>
        <v>409.08333333333331</v>
      </c>
      <c r="AJ282" s="449">
        <f t="shared" si="266"/>
        <v>409.08333333333331</v>
      </c>
      <c r="AK282" s="449">
        <f t="shared" si="266"/>
        <v>409.08333333333331</v>
      </c>
      <c r="AL282" s="449">
        <f t="shared" si="266"/>
        <v>409.08333333333331</v>
      </c>
      <c r="AN282" s="500">
        <f t="shared" si="267"/>
        <v>4909</v>
      </c>
      <c r="AO282" s="449">
        <f t="shared" si="268"/>
        <v>4766.66</v>
      </c>
      <c r="AP282" s="449">
        <f t="shared" si="269"/>
        <v>-142.34000000000015</v>
      </c>
      <c r="AQ282" s="453">
        <f t="shared" si="270"/>
        <v>-2.8995722143002677E-2</v>
      </c>
      <c r="AR282" s="449">
        <f t="shared" si="271"/>
        <v>4766.66</v>
      </c>
      <c r="AS282" s="449">
        <f t="shared" si="272"/>
        <v>0</v>
      </c>
      <c r="AT282" s="426">
        <f t="shared" si="273"/>
        <v>0</v>
      </c>
      <c r="AU282" s="421"/>
      <c r="AV282" s="449">
        <f t="shared" si="274"/>
        <v>397.22166666666664</v>
      </c>
      <c r="AW282" s="449">
        <f t="shared" si="274"/>
        <v>397.22166666666664</v>
      </c>
      <c r="AX282" s="449">
        <f t="shared" si="274"/>
        <v>397.22166666666664</v>
      </c>
      <c r="AY282" s="449">
        <f t="shared" si="274"/>
        <v>397.22166666666664</v>
      </c>
      <c r="AZ282" s="449">
        <f t="shared" si="274"/>
        <v>397.22166666666664</v>
      </c>
      <c r="BA282" s="449">
        <f t="shared" si="274"/>
        <v>397.22166666666664</v>
      </c>
      <c r="BB282" s="449">
        <f t="shared" si="274"/>
        <v>397.22166666666664</v>
      </c>
      <c r="BC282" s="449">
        <f t="shared" si="274"/>
        <v>397.22166666666664</v>
      </c>
      <c r="BD282" s="449">
        <f t="shared" si="274"/>
        <v>397.22166666666664</v>
      </c>
      <c r="BE282" s="449">
        <f t="shared" si="274"/>
        <v>397.22166666666664</v>
      </c>
      <c r="BF282" s="449">
        <f t="shared" si="274"/>
        <v>397.22166666666664</v>
      </c>
      <c r="BG282" s="449">
        <f t="shared" si="274"/>
        <v>397.22166666666664</v>
      </c>
      <c r="BH282" s="400"/>
      <c r="BI282" s="449">
        <f>SUM('FY19 Staffing V1-1 (3)'!$Q$226:$R$226,'FY19 Staffing V1-1 (3)'!$T$226:$U$226)/12</f>
        <v>397.22166666666664</v>
      </c>
      <c r="BJ282" s="449">
        <f>SUM('FY19 Staffing V1-1 (3)'!$Q$226:$R$226,'FY19 Staffing V1-1 (3)'!$T$226:$U$226)/12</f>
        <v>397.22166666666664</v>
      </c>
      <c r="BK282" s="449">
        <f>SUM('FY19 Staffing V1-1 (3)'!$Q$226:$R$226,'FY19 Staffing V1-1 (3)'!$T$226:$U$226)/12</f>
        <v>397.22166666666664</v>
      </c>
      <c r="BL282" s="449">
        <f>SUM('FY19 Staffing V1-1 (3)'!$Q$226:$R$226,'FY19 Staffing V1-1 (3)'!$T$226:$U$226)/12</f>
        <v>397.22166666666664</v>
      </c>
      <c r="BM282" s="449">
        <f>SUM('FY19 Staffing V1-1 (3)'!$Q$226:$R$226,'FY19 Staffing V1-1 (3)'!$T$226:$U$226)/12</f>
        <v>397.22166666666664</v>
      </c>
      <c r="BN282" s="449">
        <f>SUM('FY19 Staffing V1-1 (3)'!$Q$226:$R$226,'FY19 Staffing V1-1 (3)'!$T$226:$U$226)/12</f>
        <v>397.22166666666664</v>
      </c>
      <c r="BO282" s="449">
        <f>SUM('FY19 Staffing V1-1 (3)'!$Q$226:$R$226,'FY19 Staffing V1-1 (3)'!$T$226:$U$226)/12</f>
        <v>397.22166666666664</v>
      </c>
      <c r="BP282" s="449">
        <f>SUM('FY19 Staffing V1-1 (3)'!$Q$226:$R$226,'FY19 Staffing V1-1 (3)'!$T$226:$U$226)/12</f>
        <v>397.22166666666664</v>
      </c>
      <c r="BQ282" s="449">
        <f>SUM('FY19 Staffing V1-1 (3)'!$Q$226:$R$226,'FY19 Staffing V1-1 (3)'!$T$226:$U$226)/12</f>
        <v>397.22166666666664</v>
      </c>
      <c r="BR282" s="449">
        <f>SUM('FY19 Staffing V1-1 (3)'!$Q$226:$R$226,'FY19 Staffing V1-1 (3)'!$T$226:$U$226)/12</f>
        <v>397.22166666666664</v>
      </c>
      <c r="BS282" s="449">
        <f>SUM('FY19 Staffing V1-1 (3)'!$Q$226:$R$226,'FY19 Staffing V1-1 (3)'!$T$226:$U$226)/12</f>
        <v>397.22166666666664</v>
      </c>
      <c r="BT282" s="449">
        <f>SUM('FY19 Staffing V1-1 (3)'!$Q$226:$R$226,'FY19 Staffing V1-1 (3)'!$T$226:$U$226)/12</f>
        <v>397.22166666666664</v>
      </c>
    </row>
    <row r="283" spans="1:72" ht="15" x14ac:dyDescent="0.25">
      <c r="A283" s="502" t="s">
        <v>476</v>
      </c>
      <c r="B283" s="502" t="s">
        <v>477</v>
      </c>
      <c r="C283" s="541"/>
      <c r="D283" s="500">
        <f t="shared" si="260"/>
        <v>11494</v>
      </c>
      <c r="E283" s="449">
        <v>11446</v>
      </c>
      <c r="F283" s="449">
        <f t="shared" si="261"/>
        <v>48</v>
      </c>
      <c r="G283" s="421">
        <f t="shared" si="262"/>
        <v>4.1936047527520535E-3</v>
      </c>
      <c r="H283" s="449">
        <v>11494</v>
      </c>
      <c r="I283" s="449">
        <f t="shared" si="263"/>
        <v>0</v>
      </c>
      <c r="J283" s="426">
        <f t="shared" si="264"/>
        <v>0</v>
      </c>
      <c r="K283" s="421"/>
      <c r="L283" s="449">
        <v>0</v>
      </c>
      <c r="M283" s="449">
        <v>682</v>
      </c>
      <c r="N283" s="449">
        <v>471.8900000000001</v>
      </c>
      <c r="O283" s="449">
        <v>469.52</v>
      </c>
      <c r="P283" s="449">
        <v>312.02</v>
      </c>
      <c r="Q283" s="449">
        <v>349.39999999999986</v>
      </c>
      <c r="R283" s="449">
        <f>($H283-SUM($L283:Q283))/R$694</f>
        <v>1534.8616666666667</v>
      </c>
      <c r="S283" s="449">
        <f>($H283-SUM($L283:R283))/S$694</f>
        <v>1534.8616666666667</v>
      </c>
      <c r="T283" s="449">
        <f>($H283-SUM($L283:S283))/T$694</f>
        <v>1534.8616666666667</v>
      </c>
      <c r="U283" s="449">
        <f>($H283-SUM($L283:T283))/U$694</f>
        <v>1534.8616666666667</v>
      </c>
      <c r="V283" s="449">
        <f>($H283-SUM($L283:U283))/V$694</f>
        <v>1534.8616666666667</v>
      </c>
      <c r="W283" s="449">
        <f>($H283-SUM($L283:V283))/W$694</f>
        <v>1534.8616666666676</v>
      </c>
      <c r="X283" s="449"/>
      <c r="Y283" s="449">
        <f t="shared" si="265"/>
        <v>11494</v>
      </c>
      <c r="Z283" s="531"/>
      <c r="AA283" s="449">
        <f t="shared" si="266"/>
        <v>957.83333333333337</v>
      </c>
      <c r="AB283" s="449">
        <f t="shared" si="266"/>
        <v>957.83333333333337</v>
      </c>
      <c r="AC283" s="449">
        <f t="shared" si="266"/>
        <v>957.83333333333337</v>
      </c>
      <c r="AD283" s="449">
        <f t="shared" si="266"/>
        <v>957.83333333333337</v>
      </c>
      <c r="AE283" s="449">
        <f t="shared" si="266"/>
        <v>957.83333333333337</v>
      </c>
      <c r="AF283" s="449">
        <f t="shared" si="266"/>
        <v>957.83333333333337</v>
      </c>
      <c r="AG283" s="449">
        <f t="shared" si="266"/>
        <v>957.83333333333337</v>
      </c>
      <c r="AH283" s="449">
        <f t="shared" si="266"/>
        <v>957.83333333333337</v>
      </c>
      <c r="AI283" s="449">
        <f t="shared" si="266"/>
        <v>957.83333333333337</v>
      </c>
      <c r="AJ283" s="449">
        <f t="shared" si="266"/>
        <v>957.83333333333337</v>
      </c>
      <c r="AK283" s="449">
        <f t="shared" si="266"/>
        <v>957.83333333333337</v>
      </c>
      <c r="AL283" s="449">
        <f t="shared" si="266"/>
        <v>957.83333333333337</v>
      </c>
      <c r="AN283" s="500">
        <f t="shared" si="267"/>
        <v>11494</v>
      </c>
      <c r="AO283" s="449">
        <f t="shared" si="268"/>
        <v>12202.019999999997</v>
      </c>
      <c r="AP283" s="449">
        <f t="shared" si="269"/>
        <v>708.0199999999968</v>
      </c>
      <c r="AQ283" s="453">
        <f t="shared" si="270"/>
        <v>6.1599095180093683E-2</v>
      </c>
      <c r="AR283" s="449">
        <f t="shared" si="271"/>
        <v>12202.019999999997</v>
      </c>
      <c r="AS283" s="449">
        <f t="shared" si="272"/>
        <v>0</v>
      </c>
      <c r="AT283" s="426">
        <f t="shared" si="273"/>
        <v>0</v>
      </c>
      <c r="AU283" s="421"/>
      <c r="AV283" s="449">
        <f t="shared" si="274"/>
        <v>1016.835</v>
      </c>
      <c r="AW283" s="449">
        <f t="shared" si="274"/>
        <v>1016.835</v>
      </c>
      <c r="AX283" s="449">
        <f t="shared" si="274"/>
        <v>1016.835</v>
      </c>
      <c r="AY283" s="449">
        <f t="shared" si="274"/>
        <v>1016.835</v>
      </c>
      <c r="AZ283" s="449">
        <f t="shared" si="274"/>
        <v>1016.835</v>
      </c>
      <c r="BA283" s="449">
        <f t="shared" si="274"/>
        <v>1016.835</v>
      </c>
      <c r="BB283" s="449">
        <f t="shared" si="274"/>
        <v>1016.835</v>
      </c>
      <c r="BC283" s="449">
        <f t="shared" si="274"/>
        <v>1016.835</v>
      </c>
      <c r="BD283" s="449">
        <f t="shared" si="274"/>
        <v>1016.835</v>
      </c>
      <c r="BE283" s="449">
        <f t="shared" si="274"/>
        <v>1016.835</v>
      </c>
      <c r="BF283" s="449">
        <f t="shared" si="274"/>
        <v>1016.835</v>
      </c>
      <c r="BG283" s="449">
        <f t="shared" si="274"/>
        <v>1016.835</v>
      </c>
      <c r="BH283" s="400"/>
      <c r="BI283" s="449">
        <f>SUM('FY19 Staffing V1-1 (3)'!$Q$227:$R$227,'FY19 Staffing V1-1 (3)'!$Q$229:$R$229,'FY19 Staffing V1-1 (3)'!$T$227:$U$227,'FY19 Staffing V1-1 (3)'!$T$229:$U$229)/12</f>
        <v>1016.835</v>
      </c>
      <c r="BJ283" s="449">
        <f>SUM('FY19 Staffing V1-1 (3)'!$Q$227:$R$227,'FY19 Staffing V1-1 (3)'!$Q$229:$R$229,'FY19 Staffing V1-1 (3)'!$T$227:$U$227,'FY19 Staffing V1-1 (3)'!$T$229:$U$229)/12</f>
        <v>1016.835</v>
      </c>
      <c r="BK283" s="449">
        <f>SUM('FY19 Staffing V1-1 (3)'!$Q$227:$R$227,'FY19 Staffing V1-1 (3)'!$Q$229:$R$229,'FY19 Staffing V1-1 (3)'!$T$227:$U$227,'FY19 Staffing V1-1 (3)'!$T$229:$U$229)/12</f>
        <v>1016.835</v>
      </c>
      <c r="BL283" s="449">
        <f>SUM('FY19 Staffing V1-1 (3)'!$Q$227:$R$227,'FY19 Staffing V1-1 (3)'!$Q$229:$R$229,'FY19 Staffing V1-1 (3)'!$T$227:$U$227,'FY19 Staffing V1-1 (3)'!$T$229:$U$229)/12</f>
        <v>1016.835</v>
      </c>
      <c r="BM283" s="449">
        <f>SUM('FY19 Staffing V1-1 (3)'!$Q$227:$R$227,'FY19 Staffing V1-1 (3)'!$Q$229:$R$229,'FY19 Staffing V1-1 (3)'!$T$227:$U$227,'FY19 Staffing V1-1 (3)'!$T$229:$U$229)/12</f>
        <v>1016.835</v>
      </c>
      <c r="BN283" s="449">
        <f>SUM('FY19 Staffing V1-1 (3)'!$Q$227:$R$227,'FY19 Staffing V1-1 (3)'!$Q$229:$R$229,'FY19 Staffing V1-1 (3)'!$T$227:$U$227,'FY19 Staffing V1-1 (3)'!$T$229:$U$229)/12</f>
        <v>1016.835</v>
      </c>
      <c r="BO283" s="449">
        <f>SUM('FY19 Staffing V1-1 (3)'!$Q$227:$R$227,'FY19 Staffing V1-1 (3)'!$Q$229:$R$229,'FY19 Staffing V1-1 (3)'!$T$227:$U$227,'FY19 Staffing V1-1 (3)'!$T$229:$U$229)/12</f>
        <v>1016.835</v>
      </c>
      <c r="BP283" s="449">
        <f>SUM('FY19 Staffing V1-1 (3)'!$Q$227:$R$227,'FY19 Staffing V1-1 (3)'!$Q$229:$R$229,'FY19 Staffing V1-1 (3)'!$T$227:$U$227,'FY19 Staffing V1-1 (3)'!$T$229:$U$229)/12</f>
        <v>1016.835</v>
      </c>
      <c r="BQ283" s="449">
        <f>SUM('FY19 Staffing V1-1 (3)'!$Q$227:$R$227,'FY19 Staffing V1-1 (3)'!$Q$229:$R$229,'FY19 Staffing V1-1 (3)'!$T$227:$U$227,'FY19 Staffing V1-1 (3)'!$T$229:$U$229)/12</f>
        <v>1016.835</v>
      </c>
      <c r="BR283" s="449">
        <f>SUM('FY19 Staffing V1-1 (3)'!$Q$227:$R$227,'FY19 Staffing V1-1 (3)'!$Q$229:$R$229,'FY19 Staffing V1-1 (3)'!$T$227:$U$227,'FY19 Staffing V1-1 (3)'!$T$229:$U$229)/12</f>
        <v>1016.835</v>
      </c>
      <c r="BS283" s="449">
        <f>SUM('FY19 Staffing V1-1 (3)'!$Q$227:$R$227,'FY19 Staffing V1-1 (3)'!$Q$229:$R$229,'FY19 Staffing V1-1 (3)'!$T$227:$U$227,'FY19 Staffing V1-1 (3)'!$T$229:$U$229)/12</f>
        <v>1016.835</v>
      </c>
      <c r="BT283" s="449">
        <f>SUM('FY19 Staffing V1-1 (3)'!$Q$227:$R$227,'FY19 Staffing V1-1 (3)'!$Q$229:$R$229,'FY19 Staffing V1-1 (3)'!$T$227:$U$227,'FY19 Staffing V1-1 (3)'!$T$229:$U$229)/12</f>
        <v>1016.835</v>
      </c>
    </row>
    <row r="284" spans="1:72" ht="15" x14ac:dyDescent="0.25">
      <c r="A284" s="537" t="s">
        <v>478</v>
      </c>
      <c r="B284" s="502" t="s">
        <v>479</v>
      </c>
      <c r="C284" s="541"/>
      <c r="D284" s="500">
        <f t="shared" si="260"/>
        <v>0</v>
      </c>
      <c r="E284" s="449">
        <v>0</v>
      </c>
      <c r="F284" s="449">
        <f t="shared" si="261"/>
        <v>0</v>
      </c>
      <c r="G284" s="421">
        <f t="shared" si="262"/>
        <v>0</v>
      </c>
      <c r="H284" s="449">
        <v>0</v>
      </c>
      <c r="I284" s="449">
        <f t="shared" si="263"/>
        <v>0</v>
      </c>
      <c r="J284" s="426">
        <f t="shared" si="264"/>
        <v>0</v>
      </c>
      <c r="K284" s="421"/>
      <c r="L284" s="449">
        <v>0</v>
      </c>
      <c r="M284" s="449">
        <v>0</v>
      </c>
      <c r="N284" s="449">
        <v>0</v>
      </c>
      <c r="O284" s="449">
        <v>0</v>
      </c>
      <c r="P284" s="449">
        <v>0</v>
      </c>
      <c r="Q284" s="449">
        <v>0</v>
      </c>
      <c r="R284" s="449">
        <f>($H284-SUM($L284:Q284))/R$694</f>
        <v>0</v>
      </c>
      <c r="S284" s="449">
        <f>($H284-SUM($L284:R284))/S$694</f>
        <v>0</v>
      </c>
      <c r="T284" s="449">
        <f>($H284-SUM($L284:S284))/T$694</f>
        <v>0</v>
      </c>
      <c r="U284" s="449">
        <f>($H284-SUM($L284:T284))/U$694</f>
        <v>0</v>
      </c>
      <c r="V284" s="449">
        <f>($H284-SUM($L284:U284))/V$694</f>
        <v>0</v>
      </c>
      <c r="W284" s="449">
        <f>($H284-SUM($L284:V284))/W$694</f>
        <v>0</v>
      </c>
      <c r="X284" s="449"/>
      <c r="Y284" s="449">
        <f t="shared" si="265"/>
        <v>0</v>
      </c>
      <c r="Z284" s="531"/>
      <c r="AA284" s="449">
        <f t="shared" ref="AA284:AL299" si="275">IFERROR($H284/12,0)</f>
        <v>0</v>
      </c>
      <c r="AB284" s="449">
        <f t="shared" si="275"/>
        <v>0</v>
      </c>
      <c r="AC284" s="449">
        <f t="shared" si="275"/>
        <v>0</v>
      </c>
      <c r="AD284" s="449">
        <f t="shared" si="275"/>
        <v>0</v>
      </c>
      <c r="AE284" s="449">
        <f t="shared" si="275"/>
        <v>0</v>
      </c>
      <c r="AF284" s="449">
        <f t="shared" si="275"/>
        <v>0</v>
      </c>
      <c r="AG284" s="449">
        <f t="shared" si="275"/>
        <v>0</v>
      </c>
      <c r="AH284" s="449">
        <f t="shared" si="275"/>
        <v>0</v>
      </c>
      <c r="AI284" s="449">
        <f t="shared" si="275"/>
        <v>0</v>
      </c>
      <c r="AJ284" s="449">
        <f t="shared" si="275"/>
        <v>0</v>
      </c>
      <c r="AK284" s="449">
        <f t="shared" si="275"/>
        <v>0</v>
      </c>
      <c r="AL284" s="449">
        <f t="shared" si="275"/>
        <v>0</v>
      </c>
      <c r="AN284" s="500">
        <f t="shared" si="267"/>
        <v>0</v>
      </c>
      <c r="AO284" s="449">
        <f t="shared" si="268"/>
        <v>5363.76</v>
      </c>
      <c r="AP284" s="449">
        <f t="shared" si="269"/>
        <v>5363.76</v>
      </c>
      <c r="AQ284" s="453" t="str">
        <f t="shared" si="270"/>
        <v>-</v>
      </c>
      <c r="AR284" s="449">
        <f t="shared" si="271"/>
        <v>5363.76</v>
      </c>
      <c r="AS284" s="449">
        <f t="shared" si="272"/>
        <v>0</v>
      </c>
      <c r="AT284" s="426">
        <f t="shared" si="273"/>
        <v>0</v>
      </c>
      <c r="AU284" s="421"/>
      <c r="AV284" s="449">
        <f t="shared" si="274"/>
        <v>446.98</v>
      </c>
      <c r="AW284" s="449">
        <f t="shared" si="274"/>
        <v>446.98</v>
      </c>
      <c r="AX284" s="449">
        <f t="shared" si="274"/>
        <v>446.98</v>
      </c>
      <c r="AY284" s="449">
        <f t="shared" si="274"/>
        <v>446.98</v>
      </c>
      <c r="AZ284" s="449">
        <f t="shared" si="274"/>
        <v>446.98</v>
      </c>
      <c r="BA284" s="449">
        <f t="shared" si="274"/>
        <v>446.98</v>
      </c>
      <c r="BB284" s="449">
        <f t="shared" si="274"/>
        <v>446.98</v>
      </c>
      <c r="BC284" s="449">
        <f t="shared" si="274"/>
        <v>446.98</v>
      </c>
      <c r="BD284" s="449">
        <f t="shared" si="274"/>
        <v>446.98</v>
      </c>
      <c r="BE284" s="449">
        <f t="shared" si="274"/>
        <v>446.98</v>
      </c>
      <c r="BF284" s="449">
        <f t="shared" si="274"/>
        <v>446.98</v>
      </c>
      <c r="BG284" s="449">
        <f t="shared" si="274"/>
        <v>446.98</v>
      </c>
      <c r="BH284" s="400"/>
      <c r="BI284" s="449">
        <f>SUM('FY19 Staffing V1-1 (3)'!$Q$228:$R$228,'FY19 Staffing V1-1 (3)'!$T$228:$U$228)/12</f>
        <v>446.98</v>
      </c>
      <c r="BJ284" s="449">
        <f>SUM('FY19 Staffing V1-1 (3)'!$Q$228:$R$228,'FY19 Staffing V1-1 (3)'!$T$228:$U$228)/12</f>
        <v>446.98</v>
      </c>
      <c r="BK284" s="449">
        <f>SUM('FY19 Staffing V1-1 (3)'!$Q$228:$R$228,'FY19 Staffing V1-1 (3)'!$T$228:$U$228)/12</f>
        <v>446.98</v>
      </c>
      <c r="BL284" s="449">
        <f>SUM('FY19 Staffing V1-1 (3)'!$Q$228:$R$228,'FY19 Staffing V1-1 (3)'!$T$228:$U$228)/12</f>
        <v>446.98</v>
      </c>
      <c r="BM284" s="449">
        <f>SUM('FY19 Staffing V1-1 (3)'!$Q$228:$R$228,'FY19 Staffing V1-1 (3)'!$T$228:$U$228)/12</f>
        <v>446.98</v>
      </c>
      <c r="BN284" s="449">
        <f>SUM('FY19 Staffing V1-1 (3)'!$Q$228:$R$228,'FY19 Staffing V1-1 (3)'!$T$228:$U$228)/12</f>
        <v>446.98</v>
      </c>
      <c r="BO284" s="449">
        <f>SUM('FY19 Staffing V1-1 (3)'!$Q$228:$R$228,'FY19 Staffing V1-1 (3)'!$T$228:$U$228)/12</f>
        <v>446.98</v>
      </c>
      <c r="BP284" s="449">
        <f>SUM('FY19 Staffing V1-1 (3)'!$Q$228:$R$228,'FY19 Staffing V1-1 (3)'!$T$228:$U$228)/12</f>
        <v>446.98</v>
      </c>
      <c r="BQ284" s="449">
        <f>SUM('FY19 Staffing V1-1 (3)'!$Q$228:$R$228,'FY19 Staffing V1-1 (3)'!$T$228:$U$228)/12</f>
        <v>446.98</v>
      </c>
      <c r="BR284" s="449">
        <f>SUM('FY19 Staffing V1-1 (3)'!$Q$228:$R$228,'FY19 Staffing V1-1 (3)'!$T$228:$U$228)/12</f>
        <v>446.98</v>
      </c>
      <c r="BS284" s="449">
        <f>SUM('FY19 Staffing V1-1 (3)'!$Q$228:$R$228,'FY19 Staffing V1-1 (3)'!$T$228:$U$228)/12</f>
        <v>446.98</v>
      </c>
      <c r="BT284" s="449">
        <f>SUM('FY19 Staffing V1-1 (3)'!$Q$228:$R$228,'FY19 Staffing V1-1 (3)'!$T$228:$U$228)/12</f>
        <v>446.98</v>
      </c>
    </row>
    <row r="285" spans="1:72" ht="15" x14ac:dyDescent="0.25">
      <c r="A285" s="502" t="s">
        <v>480</v>
      </c>
      <c r="B285" s="502" t="s">
        <v>481</v>
      </c>
      <c r="C285" s="541"/>
      <c r="D285" s="500">
        <f t="shared" si="260"/>
        <v>11.69</v>
      </c>
      <c r="E285" s="449">
        <v>0</v>
      </c>
      <c r="F285" s="449">
        <f t="shared" si="261"/>
        <v>11.69</v>
      </c>
      <c r="G285" s="421">
        <f t="shared" si="262"/>
        <v>0</v>
      </c>
      <c r="H285" s="449">
        <v>0</v>
      </c>
      <c r="I285" s="449">
        <f t="shared" si="263"/>
        <v>11.69</v>
      </c>
      <c r="J285" s="426">
        <f t="shared" si="264"/>
        <v>0</v>
      </c>
      <c r="K285" s="421"/>
      <c r="L285" s="449">
        <v>11.69</v>
      </c>
      <c r="M285" s="449">
        <v>0</v>
      </c>
      <c r="N285" s="449">
        <v>0</v>
      </c>
      <c r="O285" s="449">
        <v>0</v>
      </c>
      <c r="P285" s="449">
        <v>0</v>
      </c>
      <c r="Q285" s="449">
        <v>0</v>
      </c>
      <c r="R285" s="449">
        <v>0</v>
      </c>
      <c r="S285" s="449">
        <v>0</v>
      </c>
      <c r="T285" s="449">
        <v>0</v>
      </c>
      <c r="U285" s="449">
        <v>0</v>
      </c>
      <c r="V285" s="449">
        <v>0</v>
      </c>
      <c r="W285" s="449">
        <v>0</v>
      </c>
      <c r="X285" s="449"/>
      <c r="Y285" s="449">
        <f t="shared" si="265"/>
        <v>11.69</v>
      </c>
      <c r="Z285" s="531"/>
      <c r="AA285" s="449">
        <f t="shared" si="275"/>
        <v>0</v>
      </c>
      <c r="AB285" s="449">
        <f t="shared" si="275"/>
        <v>0</v>
      </c>
      <c r="AC285" s="449">
        <f t="shared" si="275"/>
        <v>0</v>
      </c>
      <c r="AD285" s="449">
        <f t="shared" si="275"/>
        <v>0</v>
      </c>
      <c r="AE285" s="449">
        <f t="shared" si="275"/>
        <v>0</v>
      </c>
      <c r="AF285" s="449">
        <f t="shared" si="275"/>
        <v>0</v>
      </c>
      <c r="AG285" s="449">
        <f t="shared" si="275"/>
        <v>0</v>
      </c>
      <c r="AH285" s="449">
        <f t="shared" si="275"/>
        <v>0</v>
      </c>
      <c r="AI285" s="449">
        <f t="shared" si="275"/>
        <v>0</v>
      </c>
      <c r="AJ285" s="449">
        <f t="shared" si="275"/>
        <v>0</v>
      </c>
      <c r="AK285" s="449">
        <f t="shared" si="275"/>
        <v>0</v>
      </c>
      <c r="AL285" s="449">
        <f t="shared" si="275"/>
        <v>0</v>
      </c>
      <c r="AN285" s="500">
        <f t="shared" si="267"/>
        <v>11.69</v>
      </c>
      <c r="AO285" s="449">
        <f t="shared" si="268"/>
        <v>0</v>
      </c>
      <c r="AP285" s="449">
        <f t="shared" si="269"/>
        <v>-11.69</v>
      </c>
      <c r="AQ285" s="453">
        <f t="shared" si="270"/>
        <v>-1</v>
      </c>
      <c r="AR285" s="449">
        <f t="shared" si="271"/>
        <v>0</v>
      </c>
      <c r="AS285" s="449">
        <f t="shared" si="272"/>
        <v>0</v>
      </c>
      <c r="AT285" s="426">
        <f t="shared" si="273"/>
        <v>0</v>
      </c>
      <c r="AU285" s="421"/>
      <c r="AV285" s="449">
        <f t="shared" si="274"/>
        <v>0</v>
      </c>
      <c r="AW285" s="449">
        <f t="shared" si="274"/>
        <v>0</v>
      </c>
      <c r="AX285" s="449">
        <f t="shared" si="274"/>
        <v>0</v>
      </c>
      <c r="AY285" s="449">
        <f t="shared" si="274"/>
        <v>0</v>
      </c>
      <c r="AZ285" s="449">
        <f t="shared" si="274"/>
        <v>0</v>
      </c>
      <c r="BA285" s="449">
        <f t="shared" si="274"/>
        <v>0</v>
      </c>
      <c r="BB285" s="449">
        <f t="shared" si="274"/>
        <v>0</v>
      </c>
      <c r="BC285" s="449">
        <f t="shared" si="274"/>
        <v>0</v>
      </c>
      <c r="BD285" s="449">
        <f t="shared" si="274"/>
        <v>0</v>
      </c>
      <c r="BE285" s="449">
        <f t="shared" si="274"/>
        <v>0</v>
      </c>
      <c r="BF285" s="449">
        <f t="shared" si="274"/>
        <v>0</v>
      </c>
      <c r="BG285" s="449">
        <f t="shared" si="274"/>
        <v>0</v>
      </c>
      <c r="BH285" s="400"/>
      <c r="BI285" s="449">
        <v>0</v>
      </c>
      <c r="BJ285" s="449">
        <v>0</v>
      </c>
      <c r="BK285" s="449">
        <v>0</v>
      </c>
      <c r="BL285" s="449">
        <v>0</v>
      </c>
      <c r="BM285" s="449">
        <v>0</v>
      </c>
      <c r="BN285" s="449">
        <v>0</v>
      </c>
      <c r="BO285" s="449">
        <v>0</v>
      </c>
      <c r="BP285" s="449">
        <v>0</v>
      </c>
      <c r="BQ285" s="449">
        <v>0</v>
      </c>
      <c r="BR285" s="449">
        <v>0</v>
      </c>
      <c r="BS285" s="449">
        <v>0</v>
      </c>
      <c r="BT285" s="449">
        <v>0</v>
      </c>
    </row>
    <row r="286" spans="1:72" ht="15" x14ac:dyDescent="0.25">
      <c r="A286" s="502" t="s">
        <v>482</v>
      </c>
      <c r="B286" s="502" t="s">
        <v>483</v>
      </c>
      <c r="C286" s="541"/>
      <c r="D286" s="500">
        <f t="shared" si="260"/>
        <v>3989</v>
      </c>
      <c r="E286" s="449">
        <v>4229</v>
      </c>
      <c r="F286" s="449">
        <f t="shared" si="261"/>
        <v>-240</v>
      </c>
      <c r="G286" s="421">
        <f t="shared" si="262"/>
        <v>-5.6751004965712934E-2</v>
      </c>
      <c r="H286" s="449">
        <v>3989</v>
      </c>
      <c r="I286" s="449">
        <f t="shared" si="263"/>
        <v>0</v>
      </c>
      <c r="J286" s="426">
        <f t="shared" si="264"/>
        <v>0</v>
      </c>
      <c r="K286" s="421"/>
      <c r="L286" s="449">
        <v>0</v>
      </c>
      <c r="M286" s="449">
        <v>477.28</v>
      </c>
      <c r="N286" s="449">
        <v>291.84000000000003</v>
      </c>
      <c r="O286" s="449">
        <v>301.69999999999993</v>
      </c>
      <c r="P286" s="449">
        <v>218.74</v>
      </c>
      <c r="Q286" s="449">
        <v>227.28999999999996</v>
      </c>
      <c r="R286" s="449">
        <f>($H286-SUM($L286:Q286))/R$694</f>
        <v>412.02500000000003</v>
      </c>
      <c r="S286" s="449">
        <f>($H286-SUM($L286:R286))/S$694</f>
        <v>412.02499999999998</v>
      </c>
      <c r="T286" s="449">
        <f>($H286-SUM($L286:S286))/T$694</f>
        <v>412.02499999999998</v>
      </c>
      <c r="U286" s="449">
        <f>($H286-SUM($L286:T286))/U$694</f>
        <v>412.02499999999992</v>
      </c>
      <c r="V286" s="449">
        <f>($H286-SUM($L286:U286))/V$694</f>
        <v>412.02499999999986</v>
      </c>
      <c r="W286" s="449">
        <f>($H286-SUM($L286:V286))/W$694</f>
        <v>412.02499999999964</v>
      </c>
      <c r="X286" s="449"/>
      <c r="Y286" s="449">
        <f t="shared" si="265"/>
        <v>3989</v>
      </c>
      <c r="Z286" s="531"/>
      <c r="AA286" s="449">
        <f t="shared" si="275"/>
        <v>332.41666666666669</v>
      </c>
      <c r="AB286" s="449">
        <f t="shared" si="275"/>
        <v>332.41666666666669</v>
      </c>
      <c r="AC286" s="449">
        <f t="shared" si="275"/>
        <v>332.41666666666669</v>
      </c>
      <c r="AD286" s="449">
        <f t="shared" si="275"/>
        <v>332.41666666666669</v>
      </c>
      <c r="AE286" s="449">
        <f t="shared" si="275"/>
        <v>332.41666666666669</v>
      </c>
      <c r="AF286" s="449">
        <f t="shared" si="275"/>
        <v>332.41666666666669</v>
      </c>
      <c r="AG286" s="449">
        <f t="shared" si="275"/>
        <v>332.41666666666669</v>
      </c>
      <c r="AH286" s="449">
        <f t="shared" si="275"/>
        <v>332.41666666666669</v>
      </c>
      <c r="AI286" s="449">
        <f t="shared" si="275"/>
        <v>332.41666666666669</v>
      </c>
      <c r="AJ286" s="449">
        <f t="shared" si="275"/>
        <v>332.41666666666669</v>
      </c>
      <c r="AK286" s="449">
        <f t="shared" si="275"/>
        <v>332.41666666666669</v>
      </c>
      <c r="AL286" s="449">
        <f t="shared" si="275"/>
        <v>332.41666666666669</v>
      </c>
      <c r="AN286" s="500">
        <f t="shared" si="267"/>
        <v>3989</v>
      </c>
      <c r="AO286" s="449">
        <f t="shared" si="268"/>
        <v>4273.2400000000007</v>
      </c>
      <c r="AP286" s="449">
        <f t="shared" si="269"/>
        <v>284.24000000000069</v>
      </c>
      <c r="AQ286" s="453">
        <f t="shared" si="270"/>
        <v>7.125595387315134E-2</v>
      </c>
      <c r="AR286" s="449">
        <f t="shared" si="271"/>
        <v>4273.2400000000007</v>
      </c>
      <c r="AS286" s="449">
        <f t="shared" si="272"/>
        <v>0</v>
      </c>
      <c r="AT286" s="426">
        <f t="shared" si="273"/>
        <v>0</v>
      </c>
      <c r="AU286" s="421"/>
      <c r="AV286" s="449">
        <f t="shared" si="274"/>
        <v>356.1033333333333</v>
      </c>
      <c r="AW286" s="449">
        <f t="shared" si="274"/>
        <v>356.1033333333333</v>
      </c>
      <c r="AX286" s="449">
        <f t="shared" si="274"/>
        <v>356.1033333333333</v>
      </c>
      <c r="AY286" s="449">
        <f t="shared" si="274"/>
        <v>356.1033333333333</v>
      </c>
      <c r="AZ286" s="449">
        <f t="shared" si="274"/>
        <v>356.1033333333333</v>
      </c>
      <c r="BA286" s="449">
        <f t="shared" si="274"/>
        <v>356.1033333333333</v>
      </c>
      <c r="BB286" s="449">
        <f t="shared" si="274"/>
        <v>356.1033333333333</v>
      </c>
      <c r="BC286" s="449">
        <f t="shared" si="274"/>
        <v>356.1033333333333</v>
      </c>
      <c r="BD286" s="449">
        <f t="shared" si="274"/>
        <v>356.1033333333333</v>
      </c>
      <c r="BE286" s="449">
        <f t="shared" si="274"/>
        <v>356.1033333333333</v>
      </c>
      <c r="BF286" s="449">
        <f t="shared" si="274"/>
        <v>356.1033333333333</v>
      </c>
      <c r="BG286" s="449">
        <f t="shared" si="274"/>
        <v>356.1033333333333</v>
      </c>
      <c r="BH286" s="400"/>
      <c r="BI286" s="449">
        <f>SUM('FY19 Staffing V1-1 (3)'!$Q$269:$R$269,'FY19 Staffing V1-1 (3)'!$T$269:$U$269)/12</f>
        <v>356.1033333333333</v>
      </c>
      <c r="BJ286" s="449">
        <f>SUM('FY19 Staffing V1-1 (3)'!$Q$269:$R$269,'FY19 Staffing V1-1 (3)'!$T$269:$U$269)/12</f>
        <v>356.1033333333333</v>
      </c>
      <c r="BK286" s="449">
        <f>SUM('FY19 Staffing V1-1 (3)'!$Q$269:$R$269,'FY19 Staffing V1-1 (3)'!$T$269:$U$269)/12</f>
        <v>356.1033333333333</v>
      </c>
      <c r="BL286" s="449">
        <f>SUM('FY19 Staffing V1-1 (3)'!$Q$269:$R$269,'FY19 Staffing V1-1 (3)'!$T$269:$U$269)/12</f>
        <v>356.1033333333333</v>
      </c>
      <c r="BM286" s="449">
        <f>SUM('FY19 Staffing V1-1 (3)'!$Q$269:$R$269,'FY19 Staffing V1-1 (3)'!$T$269:$U$269)/12</f>
        <v>356.1033333333333</v>
      </c>
      <c r="BN286" s="449">
        <f>SUM('FY19 Staffing V1-1 (3)'!$Q$269:$R$269,'FY19 Staffing V1-1 (3)'!$T$269:$U$269)/12</f>
        <v>356.1033333333333</v>
      </c>
      <c r="BO286" s="449">
        <f>SUM('FY19 Staffing V1-1 (3)'!$Q$269:$R$269,'FY19 Staffing V1-1 (3)'!$T$269:$U$269)/12</f>
        <v>356.1033333333333</v>
      </c>
      <c r="BP286" s="449">
        <f>SUM('FY19 Staffing V1-1 (3)'!$Q$269:$R$269,'FY19 Staffing V1-1 (3)'!$T$269:$U$269)/12</f>
        <v>356.1033333333333</v>
      </c>
      <c r="BQ286" s="449">
        <f>SUM('FY19 Staffing V1-1 (3)'!$Q$269:$R$269,'FY19 Staffing V1-1 (3)'!$T$269:$U$269)/12</f>
        <v>356.1033333333333</v>
      </c>
      <c r="BR286" s="449">
        <f>SUM('FY19 Staffing V1-1 (3)'!$Q$269:$R$269,'FY19 Staffing V1-1 (3)'!$T$269:$U$269)/12</f>
        <v>356.1033333333333</v>
      </c>
      <c r="BS286" s="449">
        <f>SUM('FY19 Staffing V1-1 (3)'!$Q$269:$R$269,'FY19 Staffing V1-1 (3)'!$T$269:$U$269)/12</f>
        <v>356.1033333333333</v>
      </c>
      <c r="BT286" s="449">
        <f>SUM('FY19 Staffing V1-1 (3)'!$Q$269:$R$269,'FY19 Staffing V1-1 (3)'!$T$269:$U$269)/12</f>
        <v>356.1033333333333</v>
      </c>
    </row>
    <row r="287" spans="1:72" ht="15" x14ac:dyDescent="0.25">
      <c r="A287" s="502" t="s">
        <v>484</v>
      </c>
      <c r="B287" s="502" t="s">
        <v>485</v>
      </c>
      <c r="C287" s="541"/>
      <c r="D287" s="500">
        <f t="shared" si="260"/>
        <v>1070</v>
      </c>
      <c r="E287" s="449">
        <v>5395</v>
      </c>
      <c r="F287" s="449">
        <f t="shared" si="261"/>
        <v>-4325</v>
      </c>
      <c r="G287" s="421">
        <f t="shared" si="262"/>
        <v>-0.80166821130676558</v>
      </c>
      <c r="H287" s="449">
        <v>1070</v>
      </c>
      <c r="I287" s="449">
        <f t="shared" si="263"/>
        <v>0</v>
      </c>
      <c r="J287" s="426">
        <f t="shared" si="264"/>
        <v>0</v>
      </c>
      <c r="K287" s="421"/>
      <c r="L287" s="449">
        <v>0</v>
      </c>
      <c r="M287" s="449">
        <v>0</v>
      </c>
      <c r="N287" s="449">
        <v>0</v>
      </c>
      <c r="O287" s="449">
        <v>0</v>
      </c>
      <c r="P287" s="449">
        <v>0</v>
      </c>
      <c r="Q287" s="449">
        <v>0</v>
      </c>
      <c r="R287" s="449">
        <f>($H287-SUM($L287:Q287))/R$694</f>
        <v>178.33333333333334</v>
      </c>
      <c r="S287" s="449">
        <f>($H287-SUM($L287:R287))/S$694</f>
        <v>178.33333333333331</v>
      </c>
      <c r="T287" s="449">
        <f>($H287-SUM($L287:S287))/T$694</f>
        <v>178.33333333333334</v>
      </c>
      <c r="U287" s="449">
        <f>($H287-SUM($L287:T287))/U$694</f>
        <v>178.33333333333334</v>
      </c>
      <c r="V287" s="449">
        <f>($H287-SUM($L287:U287))/V$694</f>
        <v>178.33333333333331</v>
      </c>
      <c r="W287" s="449">
        <f>($H287-SUM($L287:V287))/W$694</f>
        <v>178.33333333333326</v>
      </c>
      <c r="X287" s="449"/>
      <c r="Y287" s="449">
        <f t="shared" si="265"/>
        <v>1070</v>
      </c>
      <c r="Z287" s="531"/>
      <c r="AA287" s="449">
        <f t="shared" si="275"/>
        <v>89.166666666666671</v>
      </c>
      <c r="AB287" s="449">
        <f t="shared" si="275"/>
        <v>89.166666666666671</v>
      </c>
      <c r="AC287" s="449">
        <f t="shared" si="275"/>
        <v>89.166666666666671</v>
      </c>
      <c r="AD287" s="449">
        <f t="shared" si="275"/>
        <v>89.166666666666671</v>
      </c>
      <c r="AE287" s="449">
        <f t="shared" si="275"/>
        <v>89.166666666666671</v>
      </c>
      <c r="AF287" s="449">
        <f t="shared" si="275"/>
        <v>89.166666666666671</v>
      </c>
      <c r="AG287" s="449">
        <f t="shared" si="275"/>
        <v>89.166666666666671</v>
      </c>
      <c r="AH287" s="449">
        <f t="shared" si="275"/>
        <v>89.166666666666671</v>
      </c>
      <c r="AI287" s="449">
        <f t="shared" si="275"/>
        <v>89.166666666666671</v>
      </c>
      <c r="AJ287" s="449">
        <f t="shared" si="275"/>
        <v>89.166666666666671</v>
      </c>
      <c r="AK287" s="449">
        <f t="shared" si="275"/>
        <v>89.166666666666671</v>
      </c>
      <c r="AL287" s="449">
        <f t="shared" si="275"/>
        <v>89.166666666666671</v>
      </c>
      <c r="AN287" s="500">
        <f t="shared" si="267"/>
        <v>1070</v>
      </c>
      <c r="AO287" s="449">
        <f t="shared" si="268"/>
        <v>0</v>
      </c>
      <c r="AP287" s="449">
        <f t="shared" si="269"/>
        <v>-1070</v>
      </c>
      <c r="AQ287" s="453">
        <f t="shared" si="270"/>
        <v>-1</v>
      </c>
      <c r="AR287" s="449">
        <f t="shared" si="271"/>
        <v>0</v>
      </c>
      <c r="AS287" s="449">
        <f t="shared" si="272"/>
        <v>0</v>
      </c>
      <c r="AT287" s="426">
        <f t="shared" si="273"/>
        <v>0</v>
      </c>
      <c r="AU287" s="421"/>
      <c r="AV287" s="449">
        <f t="shared" si="274"/>
        <v>0</v>
      </c>
      <c r="AW287" s="449">
        <f t="shared" si="274"/>
        <v>0</v>
      </c>
      <c r="AX287" s="449">
        <f t="shared" si="274"/>
        <v>0</v>
      </c>
      <c r="AY287" s="449">
        <f t="shared" si="274"/>
        <v>0</v>
      </c>
      <c r="AZ287" s="449">
        <f t="shared" si="274"/>
        <v>0</v>
      </c>
      <c r="BA287" s="449">
        <f t="shared" si="274"/>
        <v>0</v>
      </c>
      <c r="BB287" s="449">
        <f t="shared" si="274"/>
        <v>0</v>
      </c>
      <c r="BC287" s="449">
        <f t="shared" si="274"/>
        <v>0</v>
      </c>
      <c r="BD287" s="449">
        <f t="shared" si="274"/>
        <v>0</v>
      </c>
      <c r="BE287" s="449">
        <f t="shared" si="274"/>
        <v>0</v>
      </c>
      <c r="BF287" s="449">
        <f t="shared" si="274"/>
        <v>0</v>
      </c>
      <c r="BG287" s="449">
        <f t="shared" si="274"/>
        <v>0</v>
      </c>
      <c r="BH287" s="400"/>
      <c r="BI287" s="449">
        <v>0</v>
      </c>
      <c r="BJ287" s="449">
        <v>0</v>
      </c>
      <c r="BK287" s="449">
        <v>0</v>
      </c>
      <c r="BL287" s="449">
        <v>0</v>
      </c>
      <c r="BM287" s="449">
        <v>0</v>
      </c>
      <c r="BN287" s="449">
        <v>0</v>
      </c>
      <c r="BO287" s="449">
        <v>0</v>
      </c>
      <c r="BP287" s="449">
        <v>0</v>
      </c>
      <c r="BQ287" s="449">
        <v>0</v>
      </c>
      <c r="BR287" s="449">
        <v>0</v>
      </c>
      <c r="BS287" s="449">
        <v>0</v>
      </c>
      <c r="BT287" s="449">
        <v>0</v>
      </c>
    </row>
    <row r="288" spans="1:72" ht="15" x14ac:dyDescent="0.25">
      <c r="A288" s="502" t="s">
        <v>486</v>
      </c>
      <c r="B288" s="502" t="s">
        <v>487</v>
      </c>
      <c r="C288" s="541"/>
      <c r="D288" s="500">
        <f t="shared" si="260"/>
        <v>15244</v>
      </c>
      <c r="E288" s="449">
        <v>5244</v>
      </c>
      <c r="F288" s="449">
        <f t="shared" si="261"/>
        <v>10000</v>
      </c>
      <c r="G288" s="421">
        <f t="shared" si="262"/>
        <v>1.9069412662090008</v>
      </c>
      <c r="H288" s="449">
        <v>15244</v>
      </c>
      <c r="I288" s="449">
        <f t="shared" si="263"/>
        <v>0</v>
      </c>
      <c r="J288" s="426">
        <f t="shared" si="264"/>
        <v>0</v>
      </c>
      <c r="K288" s="421"/>
      <c r="L288" s="449">
        <v>68.650000000000006</v>
      </c>
      <c r="M288" s="449">
        <v>1304.4499999999998</v>
      </c>
      <c r="N288" s="449">
        <v>2135.87</v>
      </c>
      <c r="O288" s="449">
        <v>2401.0099999999998</v>
      </c>
      <c r="P288" s="449">
        <v>1589.6500000000005</v>
      </c>
      <c r="Q288" s="449">
        <v>1194.1999999999998</v>
      </c>
      <c r="R288" s="449">
        <f>($H288-SUM($L288:Q288))/R$694</f>
        <v>1091.6949999999999</v>
      </c>
      <c r="S288" s="449">
        <f>($H288-SUM($L288:R288))/S$694</f>
        <v>1091.6950000000002</v>
      </c>
      <c r="T288" s="449">
        <f>($H288-SUM($L288:S288))/T$694</f>
        <v>1091.6950000000002</v>
      </c>
      <c r="U288" s="449">
        <f>($H288-SUM($L288:T288))/U$694</f>
        <v>1091.6950000000004</v>
      </c>
      <c r="V288" s="449">
        <f>($H288-SUM($L288:U288))/V$694</f>
        <v>1091.6950000000006</v>
      </c>
      <c r="W288" s="449">
        <f>($H288-SUM($L288:V288))/W$694</f>
        <v>1091.6949999999997</v>
      </c>
      <c r="X288" s="449"/>
      <c r="Y288" s="449">
        <f t="shared" si="265"/>
        <v>15244</v>
      </c>
      <c r="Z288" s="531"/>
      <c r="AA288" s="449">
        <f t="shared" si="275"/>
        <v>1270.3333333333333</v>
      </c>
      <c r="AB288" s="449">
        <f t="shared" si="275"/>
        <v>1270.3333333333333</v>
      </c>
      <c r="AC288" s="449">
        <f t="shared" si="275"/>
        <v>1270.3333333333333</v>
      </c>
      <c r="AD288" s="449">
        <f t="shared" si="275"/>
        <v>1270.3333333333333</v>
      </c>
      <c r="AE288" s="449">
        <f t="shared" si="275"/>
        <v>1270.3333333333333</v>
      </c>
      <c r="AF288" s="449">
        <f t="shared" si="275"/>
        <v>1270.3333333333333</v>
      </c>
      <c r="AG288" s="449">
        <f t="shared" si="275"/>
        <v>1270.3333333333333</v>
      </c>
      <c r="AH288" s="449">
        <f t="shared" si="275"/>
        <v>1270.3333333333333</v>
      </c>
      <c r="AI288" s="449">
        <f t="shared" si="275"/>
        <v>1270.3333333333333</v>
      </c>
      <c r="AJ288" s="449">
        <f t="shared" si="275"/>
        <v>1270.3333333333333</v>
      </c>
      <c r="AK288" s="449">
        <f t="shared" si="275"/>
        <v>1270.3333333333333</v>
      </c>
      <c r="AL288" s="449">
        <f t="shared" si="275"/>
        <v>1270.3333333333333</v>
      </c>
      <c r="AN288" s="500">
        <f t="shared" si="267"/>
        <v>15244</v>
      </c>
      <c r="AO288" s="449">
        <f t="shared" si="268"/>
        <v>6274.8601160000026</v>
      </c>
      <c r="AP288" s="449">
        <f t="shared" si="269"/>
        <v>-8969.1398839999965</v>
      </c>
      <c r="AQ288" s="453">
        <f t="shared" si="270"/>
        <v>-0.58837181081081058</v>
      </c>
      <c r="AR288" s="449">
        <f t="shared" si="271"/>
        <v>6274.8601160000026</v>
      </c>
      <c r="AS288" s="449">
        <f t="shared" si="272"/>
        <v>0</v>
      </c>
      <c r="AT288" s="426">
        <f t="shared" si="273"/>
        <v>0</v>
      </c>
      <c r="AU288" s="421"/>
      <c r="AV288" s="449">
        <f t="shared" si="274"/>
        <v>522.90500966666673</v>
      </c>
      <c r="AW288" s="449">
        <f t="shared" si="274"/>
        <v>522.90500966666673</v>
      </c>
      <c r="AX288" s="449">
        <f t="shared" si="274"/>
        <v>522.90500966666673</v>
      </c>
      <c r="AY288" s="449">
        <f t="shared" si="274"/>
        <v>522.90500966666673</v>
      </c>
      <c r="AZ288" s="449">
        <f t="shared" si="274"/>
        <v>522.90500966666673</v>
      </c>
      <c r="BA288" s="449">
        <f t="shared" si="274"/>
        <v>522.90500966666673</v>
      </c>
      <c r="BB288" s="449">
        <f t="shared" si="274"/>
        <v>522.90500966666673</v>
      </c>
      <c r="BC288" s="449">
        <f t="shared" si="274"/>
        <v>522.90500966666673</v>
      </c>
      <c r="BD288" s="449">
        <f t="shared" si="274"/>
        <v>522.90500966666673</v>
      </c>
      <c r="BE288" s="449">
        <f t="shared" si="274"/>
        <v>522.90500966666673</v>
      </c>
      <c r="BF288" s="449">
        <f t="shared" si="274"/>
        <v>522.90500966666673</v>
      </c>
      <c r="BG288" s="449">
        <f t="shared" si="274"/>
        <v>522.90500966666673</v>
      </c>
      <c r="BH288" s="400"/>
      <c r="BI288" s="449">
        <f>SUM('FY19 Staffing V1-1 (3)'!$W$226)/12</f>
        <v>522.90500966666673</v>
      </c>
      <c r="BJ288" s="449">
        <f>SUM('FY19 Staffing V1-1 (3)'!$W$226)/12</f>
        <v>522.90500966666673</v>
      </c>
      <c r="BK288" s="449">
        <f>SUM('FY19 Staffing V1-1 (3)'!$W$226)/12</f>
        <v>522.90500966666673</v>
      </c>
      <c r="BL288" s="449">
        <f>SUM('FY19 Staffing V1-1 (3)'!$W$226)/12</f>
        <v>522.90500966666673</v>
      </c>
      <c r="BM288" s="449">
        <f>SUM('FY19 Staffing V1-1 (3)'!$W$226)/12</f>
        <v>522.90500966666673</v>
      </c>
      <c r="BN288" s="449">
        <f>SUM('FY19 Staffing V1-1 (3)'!$W$226)/12</f>
        <v>522.90500966666673</v>
      </c>
      <c r="BO288" s="449">
        <f>SUM('FY19 Staffing V1-1 (3)'!$W$226)/12</f>
        <v>522.90500966666673</v>
      </c>
      <c r="BP288" s="449">
        <f>SUM('FY19 Staffing V1-1 (3)'!$W$226)/12</f>
        <v>522.90500966666673</v>
      </c>
      <c r="BQ288" s="449">
        <f>SUM('FY19 Staffing V1-1 (3)'!$W$226)/12</f>
        <v>522.90500966666673</v>
      </c>
      <c r="BR288" s="449">
        <f>SUM('FY19 Staffing V1-1 (3)'!$W$226)/12</f>
        <v>522.90500966666673</v>
      </c>
      <c r="BS288" s="449">
        <f>SUM('FY19 Staffing V1-1 (3)'!$W$226)/12</f>
        <v>522.90500966666673</v>
      </c>
      <c r="BT288" s="449">
        <f>SUM('FY19 Staffing V1-1 (3)'!$W$226)/12</f>
        <v>522.90500966666673</v>
      </c>
    </row>
    <row r="289" spans="1:72" ht="15" x14ac:dyDescent="0.25">
      <c r="A289" s="502" t="s">
        <v>488</v>
      </c>
      <c r="B289" s="502" t="s">
        <v>489</v>
      </c>
      <c r="C289" s="541"/>
      <c r="D289" s="500">
        <f t="shared" si="260"/>
        <v>5216</v>
      </c>
      <c r="E289" s="449">
        <v>15216</v>
      </c>
      <c r="F289" s="449">
        <f t="shared" si="261"/>
        <v>-10000</v>
      </c>
      <c r="G289" s="421">
        <f t="shared" si="262"/>
        <v>-0.65720294426919035</v>
      </c>
      <c r="H289" s="449">
        <v>5216</v>
      </c>
      <c r="I289" s="449">
        <f t="shared" si="263"/>
        <v>0</v>
      </c>
      <c r="J289" s="426">
        <f t="shared" si="264"/>
        <v>0</v>
      </c>
      <c r="K289" s="421"/>
      <c r="L289" s="449">
        <v>0</v>
      </c>
      <c r="M289" s="449">
        <v>0</v>
      </c>
      <c r="N289" s="449">
        <v>0</v>
      </c>
      <c r="O289" s="449">
        <v>0</v>
      </c>
      <c r="P289" s="449">
        <v>0</v>
      </c>
      <c r="Q289" s="449">
        <v>0</v>
      </c>
      <c r="R289" s="449">
        <f>($H289-SUM($L289:Q289))/R$694</f>
        <v>869.33333333333337</v>
      </c>
      <c r="S289" s="449">
        <f>($H289-SUM($L289:R289))/S$694</f>
        <v>869.33333333333337</v>
      </c>
      <c r="T289" s="449">
        <f>($H289-SUM($L289:S289))/T$694</f>
        <v>869.33333333333326</v>
      </c>
      <c r="U289" s="449">
        <f>($H289-SUM($L289:T289))/U$694</f>
        <v>869.33333333333337</v>
      </c>
      <c r="V289" s="449">
        <f>($H289-SUM($L289:U289))/V$694</f>
        <v>869.33333333333326</v>
      </c>
      <c r="W289" s="449">
        <f>($H289-SUM($L289:V289))/W$694</f>
        <v>869.33333333333303</v>
      </c>
      <c r="X289" s="449"/>
      <c r="Y289" s="449">
        <f t="shared" si="265"/>
        <v>5216</v>
      </c>
      <c r="Z289" s="531"/>
      <c r="AA289" s="449">
        <f t="shared" si="275"/>
        <v>434.66666666666669</v>
      </c>
      <c r="AB289" s="449">
        <f t="shared" si="275"/>
        <v>434.66666666666669</v>
      </c>
      <c r="AC289" s="449">
        <f t="shared" si="275"/>
        <v>434.66666666666669</v>
      </c>
      <c r="AD289" s="449">
        <f t="shared" si="275"/>
        <v>434.66666666666669</v>
      </c>
      <c r="AE289" s="449">
        <f t="shared" si="275"/>
        <v>434.66666666666669</v>
      </c>
      <c r="AF289" s="449">
        <f t="shared" si="275"/>
        <v>434.66666666666669</v>
      </c>
      <c r="AG289" s="449">
        <f t="shared" si="275"/>
        <v>434.66666666666669</v>
      </c>
      <c r="AH289" s="449">
        <f t="shared" si="275"/>
        <v>434.66666666666669</v>
      </c>
      <c r="AI289" s="449">
        <f t="shared" si="275"/>
        <v>434.66666666666669</v>
      </c>
      <c r="AJ289" s="449">
        <f t="shared" si="275"/>
        <v>434.66666666666669</v>
      </c>
      <c r="AK289" s="449">
        <f t="shared" si="275"/>
        <v>434.66666666666669</v>
      </c>
      <c r="AL289" s="449">
        <f t="shared" si="275"/>
        <v>434.66666666666669</v>
      </c>
      <c r="AN289" s="500">
        <f t="shared" si="267"/>
        <v>5216</v>
      </c>
      <c r="AO289" s="449">
        <f t="shared" si="268"/>
        <v>14639.663705333338</v>
      </c>
      <c r="AP289" s="449">
        <f t="shared" si="269"/>
        <v>9423.6637053333379</v>
      </c>
      <c r="AQ289" s="453">
        <f t="shared" si="270"/>
        <v>1.8066839925869129</v>
      </c>
      <c r="AR289" s="449">
        <f t="shared" si="271"/>
        <v>14639.663705333338</v>
      </c>
      <c r="AS289" s="449">
        <f t="shared" si="272"/>
        <v>0</v>
      </c>
      <c r="AT289" s="426">
        <f t="shared" si="273"/>
        <v>0</v>
      </c>
      <c r="AU289" s="421"/>
      <c r="AV289" s="449">
        <f t="shared" si="274"/>
        <v>1219.9719754444445</v>
      </c>
      <c r="AW289" s="449">
        <f t="shared" si="274"/>
        <v>1219.9719754444445</v>
      </c>
      <c r="AX289" s="449">
        <f t="shared" si="274"/>
        <v>1219.9719754444445</v>
      </c>
      <c r="AY289" s="449">
        <f t="shared" ref="AY289:BG317" si="276">BL289</f>
        <v>1219.9719754444445</v>
      </c>
      <c r="AZ289" s="449">
        <f t="shared" si="276"/>
        <v>1219.9719754444445</v>
      </c>
      <c r="BA289" s="449">
        <f t="shared" si="276"/>
        <v>1219.9719754444445</v>
      </c>
      <c r="BB289" s="449">
        <f t="shared" si="276"/>
        <v>1219.9719754444445</v>
      </c>
      <c r="BC289" s="449">
        <f t="shared" si="276"/>
        <v>1219.9719754444445</v>
      </c>
      <c r="BD289" s="449">
        <f t="shared" si="276"/>
        <v>1219.9719754444445</v>
      </c>
      <c r="BE289" s="449">
        <f t="shared" si="276"/>
        <v>1219.9719754444445</v>
      </c>
      <c r="BF289" s="449">
        <f t="shared" si="276"/>
        <v>1219.9719754444445</v>
      </c>
      <c r="BG289" s="449">
        <f t="shared" si="276"/>
        <v>1219.9719754444445</v>
      </c>
      <c r="BH289" s="400"/>
      <c r="BI289" s="449">
        <f>SUM('FY19 Staffing V1-1 (3)'!$W$227,'FY19 Staffing V1-1 (3)'!$W$229)/12</f>
        <v>1219.9719754444445</v>
      </c>
      <c r="BJ289" s="449">
        <f>SUM('FY19 Staffing V1-1 (3)'!$W$227,'FY19 Staffing V1-1 (3)'!$W$229)/12</f>
        <v>1219.9719754444445</v>
      </c>
      <c r="BK289" s="449">
        <f>SUM('FY19 Staffing V1-1 (3)'!$W$227,'FY19 Staffing V1-1 (3)'!$W$229)/12</f>
        <v>1219.9719754444445</v>
      </c>
      <c r="BL289" s="449">
        <f>SUM('FY19 Staffing V1-1 (3)'!$W$227,'FY19 Staffing V1-1 (3)'!$W$229)/12</f>
        <v>1219.9719754444445</v>
      </c>
      <c r="BM289" s="449">
        <f>SUM('FY19 Staffing V1-1 (3)'!$W$227,'FY19 Staffing V1-1 (3)'!$W$229)/12</f>
        <v>1219.9719754444445</v>
      </c>
      <c r="BN289" s="449">
        <f>SUM('FY19 Staffing V1-1 (3)'!$W$227,'FY19 Staffing V1-1 (3)'!$W$229)/12</f>
        <v>1219.9719754444445</v>
      </c>
      <c r="BO289" s="449">
        <f>SUM('FY19 Staffing V1-1 (3)'!$W$227,'FY19 Staffing V1-1 (3)'!$W$229)/12</f>
        <v>1219.9719754444445</v>
      </c>
      <c r="BP289" s="449">
        <f>SUM('FY19 Staffing V1-1 (3)'!$W$227,'FY19 Staffing V1-1 (3)'!$W$229)/12</f>
        <v>1219.9719754444445</v>
      </c>
      <c r="BQ289" s="449">
        <f>SUM('FY19 Staffing V1-1 (3)'!$W$227,'FY19 Staffing V1-1 (3)'!$W$229)/12</f>
        <v>1219.9719754444445</v>
      </c>
      <c r="BR289" s="449">
        <f>SUM('FY19 Staffing V1-1 (3)'!$W$227,'FY19 Staffing V1-1 (3)'!$W$229)/12</f>
        <v>1219.9719754444445</v>
      </c>
      <c r="BS289" s="449">
        <f>SUM('FY19 Staffing V1-1 (3)'!$W$227,'FY19 Staffing V1-1 (3)'!$W$229)/12</f>
        <v>1219.9719754444445</v>
      </c>
      <c r="BT289" s="449">
        <f>SUM('FY19 Staffing V1-1 (3)'!$W$227,'FY19 Staffing V1-1 (3)'!$W$229)/12</f>
        <v>1219.9719754444445</v>
      </c>
    </row>
    <row r="290" spans="1:72" ht="15" x14ac:dyDescent="0.25">
      <c r="A290" s="502" t="s">
        <v>490</v>
      </c>
      <c r="B290" s="502" t="s">
        <v>491</v>
      </c>
      <c r="C290" s="541"/>
      <c r="D290" s="500">
        <f t="shared" si="260"/>
        <v>455.46</v>
      </c>
      <c r="E290" s="449">
        <v>0</v>
      </c>
      <c r="F290" s="449">
        <f t="shared" si="261"/>
        <v>455.46</v>
      </c>
      <c r="G290" s="421">
        <f t="shared" si="262"/>
        <v>0</v>
      </c>
      <c r="H290" s="449">
        <v>0</v>
      </c>
      <c r="I290" s="449">
        <f t="shared" si="263"/>
        <v>455.46</v>
      </c>
      <c r="J290" s="426">
        <f t="shared" si="264"/>
        <v>0</v>
      </c>
      <c r="K290" s="421"/>
      <c r="L290" s="449">
        <v>0</v>
      </c>
      <c r="M290" s="449">
        <v>0</v>
      </c>
      <c r="N290" s="449">
        <v>0</v>
      </c>
      <c r="O290" s="449">
        <v>201.65</v>
      </c>
      <c r="P290" s="449">
        <v>115.4</v>
      </c>
      <c r="Q290" s="449">
        <v>138.40999999999997</v>
      </c>
      <c r="R290" s="449">
        <v>0</v>
      </c>
      <c r="S290" s="449">
        <v>0</v>
      </c>
      <c r="T290" s="449">
        <v>0</v>
      </c>
      <c r="U290" s="449">
        <v>0</v>
      </c>
      <c r="V290" s="449">
        <v>0</v>
      </c>
      <c r="W290" s="449">
        <v>0</v>
      </c>
      <c r="X290" s="449"/>
      <c r="Y290" s="449">
        <f t="shared" si="265"/>
        <v>455.46</v>
      </c>
      <c r="Z290" s="531"/>
      <c r="AA290" s="449">
        <f t="shared" si="275"/>
        <v>0</v>
      </c>
      <c r="AB290" s="449">
        <f t="shared" si="275"/>
        <v>0</v>
      </c>
      <c r="AC290" s="449">
        <f t="shared" si="275"/>
        <v>0</v>
      </c>
      <c r="AD290" s="449">
        <f t="shared" si="275"/>
        <v>0</v>
      </c>
      <c r="AE290" s="449">
        <f t="shared" si="275"/>
        <v>0</v>
      </c>
      <c r="AF290" s="449">
        <f t="shared" si="275"/>
        <v>0</v>
      </c>
      <c r="AG290" s="449">
        <f t="shared" si="275"/>
        <v>0</v>
      </c>
      <c r="AH290" s="449">
        <f t="shared" si="275"/>
        <v>0</v>
      </c>
      <c r="AI290" s="449">
        <f t="shared" si="275"/>
        <v>0</v>
      </c>
      <c r="AJ290" s="449">
        <f t="shared" si="275"/>
        <v>0</v>
      </c>
      <c r="AK290" s="449">
        <f t="shared" si="275"/>
        <v>0</v>
      </c>
      <c r="AL290" s="449">
        <f t="shared" si="275"/>
        <v>0</v>
      </c>
      <c r="AN290" s="500">
        <f t="shared" si="267"/>
        <v>455.46</v>
      </c>
      <c r="AO290" s="449">
        <f t="shared" si="268"/>
        <v>7465.9550000000027</v>
      </c>
      <c r="AP290" s="449">
        <f t="shared" si="269"/>
        <v>7010.4950000000026</v>
      </c>
      <c r="AQ290" s="453">
        <f t="shared" si="270"/>
        <v>15.392120054450452</v>
      </c>
      <c r="AR290" s="449">
        <f t="shared" si="271"/>
        <v>7465.9550000000027</v>
      </c>
      <c r="AS290" s="449">
        <f t="shared" si="272"/>
        <v>0</v>
      </c>
      <c r="AT290" s="426">
        <f t="shared" si="273"/>
        <v>0</v>
      </c>
      <c r="AU290" s="421"/>
      <c r="AV290" s="449">
        <f t="shared" ref="AV290:BA329" si="277">BI290</f>
        <v>622.16291666666677</v>
      </c>
      <c r="AW290" s="449">
        <f t="shared" si="277"/>
        <v>622.16291666666677</v>
      </c>
      <c r="AX290" s="449">
        <f t="shared" si="277"/>
        <v>622.16291666666677</v>
      </c>
      <c r="AY290" s="449">
        <f t="shared" si="276"/>
        <v>622.16291666666677</v>
      </c>
      <c r="AZ290" s="449">
        <f t="shared" si="276"/>
        <v>622.16291666666677</v>
      </c>
      <c r="BA290" s="449">
        <f t="shared" si="276"/>
        <v>622.16291666666677</v>
      </c>
      <c r="BB290" s="449">
        <f t="shared" si="276"/>
        <v>622.16291666666677</v>
      </c>
      <c r="BC290" s="449">
        <f t="shared" si="276"/>
        <v>622.16291666666677</v>
      </c>
      <c r="BD290" s="449">
        <f t="shared" si="276"/>
        <v>622.16291666666677</v>
      </c>
      <c r="BE290" s="449">
        <f t="shared" si="276"/>
        <v>622.16291666666677</v>
      </c>
      <c r="BF290" s="449">
        <f t="shared" si="276"/>
        <v>622.16291666666677</v>
      </c>
      <c r="BG290" s="449">
        <f t="shared" si="276"/>
        <v>622.16291666666677</v>
      </c>
      <c r="BH290" s="400"/>
      <c r="BI290" s="449">
        <f>SUM('FY19 Staffing V1-1 (3)'!$W$228)/12</f>
        <v>622.16291666666677</v>
      </c>
      <c r="BJ290" s="449">
        <f>SUM('FY19 Staffing V1-1 (3)'!$W$228)/12</f>
        <v>622.16291666666677</v>
      </c>
      <c r="BK290" s="449">
        <f>SUM('FY19 Staffing V1-1 (3)'!$W$228)/12</f>
        <v>622.16291666666677</v>
      </c>
      <c r="BL290" s="449">
        <f>SUM('FY19 Staffing V1-1 (3)'!$W$228)/12</f>
        <v>622.16291666666677</v>
      </c>
      <c r="BM290" s="449">
        <f>SUM('FY19 Staffing V1-1 (3)'!$W$228)/12</f>
        <v>622.16291666666677</v>
      </c>
      <c r="BN290" s="449">
        <f>SUM('FY19 Staffing V1-1 (3)'!$W$228)/12</f>
        <v>622.16291666666677</v>
      </c>
      <c r="BO290" s="449">
        <f>SUM('FY19 Staffing V1-1 (3)'!$W$228)/12</f>
        <v>622.16291666666677</v>
      </c>
      <c r="BP290" s="449">
        <f>SUM('FY19 Staffing V1-1 (3)'!$W$228)/12</f>
        <v>622.16291666666677</v>
      </c>
      <c r="BQ290" s="449">
        <f>SUM('FY19 Staffing V1-1 (3)'!$W$228)/12</f>
        <v>622.16291666666677</v>
      </c>
      <c r="BR290" s="449">
        <f>SUM('FY19 Staffing V1-1 (3)'!$W$228)/12</f>
        <v>622.16291666666677</v>
      </c>
      <c r="BS290" s="449">
        <f>SUM('FY19 Staffing V1-1 (3)'!$W$228)/12</f>
        <v>622.16291666666677</v>
      </c>
      <c r="BT290" s="449">
        <f>SUM('FY19 Staffing V1-1 (3)'!$W$228)/12</f>
        <v>622.16291666666677</v>
      </c>
    </row>
    <row r="291" spans="1:72" ht="15" x14ac:dyDescent="0.25">
      <c r="A291" s="502" t="s">
        <v>492</v>
      </c>
      <c r="B291" s="502" t="s">
        <v>493</v>
      </c>
      <c r="C291" s="541"/>
      <c r="D291" s="500">
        <f t="shared" si="260"/>
        <v>55.84</v>
      </c>
      <c r="E291" s="449">
        <v>0</v>
      </c>
      <c r="F291" s="449">
        <f t="shared" si="261"/>
        <v>55.84</v>
      </c>
      <c r="G291" s="421">
        <f t="shared" si="262"/>
        <v>0</v>
      </c>
      <c r="H291" s="449">
        <v>0</v>
      </c>
      <c r="I291" s="449">
        <f t="shared" si="263"/>
        <v>55.84</v>
      </c>
      <c r="J291" s="426">
        <f t="shared" si="264"/>
        <v>0</v>
      </c>
      <c r="K291" s="421"/>
      <c r="L291" s="449">
        <v>55.84</v>
      </c>
      <c r="M291" s="449">
        <v>1071.94</v>
      </c>
      <c r="N291" s="449">
        <v>1755.16</v>
      </c>
      <c r="O291" s="449">
        <v>-2827.1</v>
      </c>
      <c r="P291" s="449">
        <v>-1.4210854715202004E-13</v>
      </c>
      <c r="Q291" s="449">
        <v>0</v>
      </c>
      <c r="R291" s="449">
        <v>0</v>
      </c>
      <c r="S291" s="449">
        <v>0</v>
      </c>
      <c r="T291" s="449">
        <v>0</v>
      </c>
      <c r="U291" s="449">
        <v>0</v>
      </c>
      <c r="V291" s="449">
        <v>0</v>
      </c>
      <c r="W291" s="449">
        <v>0</v>
      </c>
      <c r="X291" s="449"/>
      <c r="Y291" s="449">
        <f t="shared" si="265"/>
        <v>55.84</v>
      </c>
      <c r="Z291" s="531"/>
      <c r="AA291" s="449">
        <f t="shared" si="275"/>
        <v>0</v>
      </c>
      <c r="AB291" s="449">
        <f t="shared" si="275"/>
        <v>0</v>
      </c>
      <c r="AC291" s="449">
        <f t="shared" si="275"/>
        <v>0</v>
      </c>
      <c r="AD291" s="449">
        <f t="shared" si="275"/>
        <v>0</v>
      </c>
      <c r="AE291" s="449">
        <f t="shared" si="275"/>
        <v>0</v>
      </c>
      <c r="AF291" s="449">
        <f t="shared" si="275"/>
        <v>0</v>
      </c>
      <c r="AG291" s="449">
        <f t="shared" si="275"/>
        <v>0</v>
      </c>
      <c r="AH291" s="449">
        <f t="shared" si="275"/>
        <v>0</v>
      </c>
      <c r="AI291" s="449">
        <f t="shared" si="275"/>
        <v>0</v>
      </c>
      <c r="AJ291" s="449">
        <f t="shared" si="275"/>
        <v>0</v>
      </c>
      <c r="AK291" s="449">
        <f t="shared" si="275"/>
        <v>0</v>
      </c>
      <c r="AL291" s="449">
        <f t="shared" si="275"/>
        <v>0</v>
      </c>
      <c r="AN291" s="500">
        <f t="shared" si="267"/>
        <v>55.84</v>
      </c>
      <c r="AO291" s="449">
        <f t="shared" si="268"/>
        <v>0</v>
      </c>
      <c r="AP291" s="449">
        <f t="shared" si="269"/>
        <v>-55.84</v>
      </c>
      <c r="AQ291" s="453">
        <f t="shared" si="270"/>
        <v>-1</v>
      </c>
      <c r="AR291" s="449">
        <f t="shared" si="271"/>
        <v>0</v>
      </c>
      <c r="AS291" s="449">
        <f t="shared" si="272"/>
        <v>0</v>
      </c>
      <c r="AT291" s="426">
        <f t="shared" si="273"/>
        <v>0</v>
      </c>
      <c r="AU291" s="421"/>
      <c r="AV291" s="449">
        <f t="shared" si="277"/>
        <v>0</v>
      </c>
      <c r="AW291" s="449">
        <f t="shared" si="277"/>
        <v>0</v>
      </c>
      <c r="AX291" s="449">
        <f t="shared" si="277"/>
        <v>0</v>
      </c>
      <c r="AY291" s="449">
        <f t="shared" si="276"/>
        <v>0</v>
      </c>
      <c r="AZ291" s="449">
        <f t="shared" si="276"/>
        <v>0</v>
      </c>
      <c r="BA291" s="449">
        <f t="shared" si="276"/>
        <v>0</v>
      </c>
      <c r="BB291" s="449">
        <f t="shared" si="276"/>
        <v>0</v>
      </c>
      <c r="BC291" s="449">
        <f t="shared" si="276"/>
        <v>0</v>
      </c>
      <c r="BD291" s="449">
        <f t="shared" si="276"/>
        <v>0</v>
      </c>
      <c r="BE291" s="449">
        <f t="shared" si="276"/>
        <v>0</v>
      </c>
      <c r="BF291" s="449">
        <f t="shared" si="276"/>
        <v>0</v>
      </c>
      <c r="BG291" s="449">
        <f t="shared" si="276"/>
        <v>0</v>
      </c>
      <c r="BH291" s="400"/>
      <c r="BI291" s="449">
        <v>0</v>
      </c>
      <c r="BJ291" s="449">
        <v>0</v>
      </c>
      <c r="BK291" s="449">
        <v>0</v>
      </c>
      <c r="BL291" s="449">
        <v>0</v>
      </c>
      <c r="BM291" s="449">
        <v>0</v>
      </c>
      <c r="BN291" s="449">
        <v>0</v>
      </c>
      <c r="BO291" s="449">
        <v>0</v>
      </c>
      <c r="BP291" s="449">
        <v>0</v>
      </c>
      <c r="BQ291" s="449">
        <v>0</v>
      </c>
      <c r="BR291" s="449">
        <v>0</v>
      </c>
      <c r="BS291" s="449">
        <v>0</v>
      </c>
      <c r="BT291" s="449">
        <v>0</v>
      </c>
    </row>
    <row r="292" spans="1:72" ht="15" customHeight="1" x14ac:dyDescent="0.25">
      <c r="A292" s="502" t="s">
        <v>494</v>
      </c>
      <c r="B292" s="502" t="s">
        <v>495</v>
      </c>
      <c r="C292" s="541"/>
      <c r="D292" s="500">
        <f t="shared" si="260"/>
        <v>5225</v>
      </c>
      <c r="E292" s="449">
        <v>5225</v>
      </c>
      <c r="F292" s="449">
        <f t="shared" si="261"/>
        <v>0</v>
      </c>
      <c r="G292" s="421">
        <f t="shared" si="262"/>
        <v>0</v>
      </c>
      <c r="H292" s="449">
        <v>5225</v>
      </c>
      <c r="I292" s="449">
        <f t="shared" si="263"/>
        <v>0</v>
      </c>
      <c r="J292" s="426">
        <f t="shared" si="264"/>
        <v>0</v>
      </c>
      <c r="K292" s="421"/>
      <c r="L292" s="449">
        <v>0</v>
      </c>
      <c r="M292" s="449">
        <v>0</v>
      </c>
      <c r="N292" s="449">
        <v>0</v>
      </c>
      <c r="O292" s="449">
        <v>-209.6</v>
      </c>
      <c r="P292" s="449">
        <v>-366.95999999999992</v>
      </c>
      <c r="Q292" s="449">
        <v>-521.92000000000007</v>
      </c>
      <c r="R292" s="449">
        <f>($H292-SUM($L292:Q292))/R$694</f>
        <v>1053.9133333333332</v>
      </c>
      <c r="S292" s="449">
        <f>($H292-SUM($L292:R292))/S$694</f>
        <v>1053.9133333333334</v>
      </c>
      <c r="T292" s="449">
        <f>($H292-SUM($L292:S292))/T$694</f>
        <v>1053.9133333333334</v>
      </c>
      <c r="U292" s="449">
        <f>($H292-SUM($L292:T292))/U$694</f>
        <v>1053.9133333333332</v>
      </c>
      <c r="V292" s="449">
        <f>($H292-SUM($L292:U292))/V$694</f>
        <v>1053.9133333333334</v>
      </c>
      <c r="W292" s="449">
        <f>($H292-SUM($L292:V292))/W$694</f>
        <v>1053.9133333333339</v>
      </c>
      <c r="X292" s="449"/>
      <c r="Y292" s="449">
        <f t="shared" si="265"/>
        <v>5225</v>
      </c>
      <c r="Z292" s="531"/>
      <c r="AA292" s="449">
        <f t="shared" si="275"/>
        <v>435.41666666666669</v>
      </c>
      <c r="AB292" s="449">
        <f t="shared" si="275"/>
        <v>435.41666666666669</v>
      </c>
      <c r="AC292" s="449">
        <f t="shared" si="275"/>
        <v>435.41666666666669</v>
      </c>
      <c r="AD292" s="449">
        <f t="shared" si="275"/>
        <v>435.41666666666669</v>
      </c>
      <c r="AE292" s="449">
        <f t="shared" si="275"/>
        <v>435.41666666666669</v>
      </c>
      <c r="AF292" s="449">
        <f t="shared" si="275"/>
        <v>435.41666666666669</v>
      </c>
      <c r="AG292" s="449">
        <f t="shared" si="275"/>
        <v>435.41666666666669</v>
      </c>
      <c r="AH292" s="449">
        <f t="shared" si="275"/>
        <v>435.41666666666669</v>
      </c>
      <c r="AI292" s="449">
        <f t="shared" si="275"/>
        <v>435.41666666666669</v>
      </c>
      <c r="AJ292" s="449">
        <f t="shared" si="275"/>
        <v>435.41666666666669</v>
      </c>
      <c r="AK292" s="449">
        <f t="shared" si="275"/>
        <v>435.41666666666669</v>
      </c>
      <c r="AL292" s="449">
        <f t="shared" si="275"/>
        <v>435.41666666666669</v>
      </c>
      <c r="AN292" s="500">
        <f t="shared" si="267"/>
        <v>5225</v>
      </c>
      <c r="AO292" s="449">
        <f t="shared" si="268"/>
        <v>5290.6114800000005</v>
      </c>
      <c r="AP292" s="449">
        <f t="shared" si="269"/>
        <v>65.611480000000483</v>
      </c>
      <c r="AQ292" s="453">
        <f t="shared" si="270"/>
        <v>1.2557221052631672E-2</v>
      </c>
      <c r="AR292" s="449">
        <f t="shared" si="271"/>
        <v>5290.6114800000005</v>
      </c>
      <c r="AS292" s="449">
        <f t="shared" si="272"/>
        <v>0</v>
      </c>
      <c r="AT292" s="426">
        <f t="shared" si="273"/>
        <v>0</v>
      </c>
      <c r="AU292" s="421"/>
      <c r="AV292" s="449">
        <f t="shared" si="277"/>
        <v>440.88429000000002</v>
      </c>
      <c r="AW292" s="449">
        <f t="shared" si="277"/>
        <v>440.88429000000002</v>
      </c>
      <c r="AX292" s="449">
        <f t="shared" si="277"/>
        <v>440.88429000000002</v>
      </c>
      <c r="AY292" s="449">
        <f t="shared" si="276"/>
        <v>440.88429000000002</v>
      </c>
      <c r="AZ292" s="449">
        <f t="shared" si="276"/>
        <v>440.88429000000002</v>
      </c>
      <c r="BA292" s="449">
        <f t="shared" si="276"/>
        <v>440.88429000000002</v>
      </c>
      <c r="BB292" s="449">
        <f t="shared" si="276"/>
        <v>440.88429000000002</v>
      </c>
      <c r="BC292" s="449">
        <f t="shared" si="276"/>
        <v>440.88429000000002</v>
      </c>
      <c r="BD292" s="449">
        <f t="shared" si="276"/>
        <v>440.88429000000002</v>
      </c>
      <c r="BE292" s="449">
        <f t="shared" si="276"/>
        <v>440.88429000000002</v>
      </c>
      <c r="BF292" s="449">
        <f t="shared" si="276"/>
        <v>440.88429000000002</v>
      </c>
      <c r="BG292" s="449">
        <f t="shared" si="276"/>
        <v>440.88429000000002</v>
      </c>
      <c r="BH292" s="400"/>
      <c r="BI292" s="449">
        <f>SUM('FY19 Staffing V1-1 (3)'!$W$269)/12</f>
        <v>440.88429000000002</v>
      </c>
      <c r="BJ292" s="449">
        <f>SUM('FY19 Staffing V1-1 (3)'!$W$269)/12</f>
        <v>440.88429000000002</v>
      </c>
      <c r="BK292" s="449">
        <f>SUM('FY19 Staffing V1-1 (3)'!$W$269)/12</f>
        <v>440.88429000000002</v>
      </c>
      <c r="BL292" s="449">
        <f>SUM('FY19 Staffing V1-1 (3)'!$W$269)/12</f>
        <v>440.88429000000002</v>
      </c>
      <c r="BM292" s="449">
        <f>SUM('FY19 Staffing V1-1 (3)'!$W$269)/12</f>
        <v>440.88429000000002</v>
      </c>
      <c r="BN292" s="449">
        <f>SUM('FY19 Staffing V1-1 (3)'!$W$269)/12</f>
        <v>440.88429000000002</v>
      </c>
      <c r="BO292" s="449">
        <f>SUM('FY19 Staffing V1-1 (3)'!$W$269)/12</f>
        <v>440.88429000000002</v>
      </c>
      <c r="BP292" s="449">
        <f>SUM('FY19 Staffing V1-1 (3)'!$W$269)/12</f>
        <v>440.88429000000002</v>
      </c>
      <c r="BQ292" s="449">
        <f>SUM('FY19 Staffing V1-1 (3)'!$W$269)/12</f>
        <v>440.88429000000002</v>
      </c>
      <c r="BR292" s="449">
        <f>SUM('FY19 Staffing V1-1 (3)'!$W$269)/12</f>
        <v>440.88429000000002</v>
      </c>
      <c r="BS292" s="449">
        <f>SUM('FY19 Staffing V1-1 (3)'!$W$269)/12</f>
        <v>440.88429000000002</v>
      </c>
      <c r="BT292" s="449">
        <f>SUM('FY19 Staffing V1-1 (3)'!$W$269)/12</f>
        <v>440.88429000000002</v>
      </c>
    </row>
    <row r="293" spans="1:72" ht="15" hidden="1" x14ac:dyDescent="0.25">
      <c r="A293" s="502" t="s">
        <v>496</v>
      </c>
      <c r="B293" s="502" t="s">
        <v>497</v>
      </c>
      <c r="C293" s="541"/>
      <c r="D293" s="500">
        <f t="shared" si="260"/>
        <v>0</v>
      </c>
      <c r="E293" s="449">
        <v>0</v>
      </c>
      <c r="F293" s="449">
        <f t="shared" si="261"/>
        <v>0</v>
      </c>
      <c r="G293" s="421">
        <f t="shared" si="262"/>
        <v>0</v>
      </c>
      <c r="H293" s="449">
        <v>0</v>
      </c>
      <c r="I293" s="449">
        <f t="shared" si="263"/>
        <v>0</v>
      </c>
      <c r="J293" s="426">
        <f t="shared" si="264"/>
        <v>0</v>
      </c>
      <c r="K293" s="421"/>
      <c r="L293" s="449">
        <v>0</v>
      </c>
      <c r="M293" s="449">
        <v>0</v>
      </c>
      <c r="N293" s="449">
        <v>0</v>
      </c>
      <c r="O293" s="449">
        <v>0</v>
      </c>
      <c r="P293" s="449">
        <v>0</v>
      </c>
      <c r="Q293" s="449">
        <v>0</v>
      </c>
      <c r="R293" s="449">
        <f>($H293-SUM($L293:Q293))/R$694</f>
        <v>0</v>
      </c>
      <c r="S293" s="449">
        <f>($H293-SUM($L293:R293))/S$694</f>
        <v>0</v>
      </c>
      <c r="T293" s="449">
        <f>($H293-SUM($L293:S293))/T$694</f>
        <v>0</v>
      </c>
      <c r="U293" s="449">
        <f>($H293-SUM($L293:T293))/U$694</f>
        <v>0</v>
      </c>
      <c r="V293" s="449">
        <f>($H293-SUM($L293:U293))/V$694</f>
        <v>0</v>
      </c>
      <c r="W293" s="449">
        <f>($H293-SUM($L293:V293))/W$694</f>
        <v>0</v>
      </c>
      <c r="X293" s="449"/>
      <c r="Y293" s="449">
        <f t="shared" si="265"/>
        <v>0</v>
      </c>
      <c r="Z293" s="531"/>
      <c r="AA293" s="449">
        <f t="shared" si="275"/>
        <v>0</v>
      </c>
      <c r="AB293" s="449">
        <f t="shared" si="275"/>
        <v>0</v>
      </c>
      <c r="AC293" s="449">
        <f t="shared" si="275"/>
        <v>0</v>
      </c>
      <c r="AD293" s="449">
        <f t="shared" si="275"/>
        <v>0</v>
      </c>
      <c r="AE293" s="449">
        <f t="shared" si="275"/>
        <v>0</v>
      </c>
      <c r="AF293" s="449">
        <f t="shared" si="275"/>
        <v>0</v>
      </c>
      <c r="AG293" s="449">
        <f t="shared" si="275"/>
        <v>0</v>
      </c>
      <c r="AH293" s="449">
        <f t="shared" si="275"/>
        <v>0</v>
      </c>
      <c r="AI293" s="449">
        <f t="shared" si="275"/>
        <v>0</v>
      </c>
      <c r="AJ293" s="449">
        <f t="shared" si="275"/>
        <v>0</v>
      </c>
      <c r="AK293" s="449">
        <f t="shared" si="275"/>
        <v>0</v>
      </c>
      <c r="AL293" s="449">
        <f t="shared" si="275"/>
        <v>0</v>
      </c>
      <c r="AN293" s="500">
        <f t="shared" si="267"/>
        <v>0</v>
      </c>
      <c r="AO293" s="449">
        <f t="shared" si="268"/>
        <v>0</v>
      </c>
      <c r="AP293" s="449">
        <f t="shared" si="269"/>
        <v>0</v>
      </c>
      <c r="AQ293" s="453" t="str">
        <f t="shared" si="270"/>
        <v>-</v>
      </c>
      <c r="AR293" s="449">
        <f t="shared" si="271"/>
        <v>0</v>
      </c>
      <c r="AS293" s="449">
        <f t="shared" si="272"/>
        <v>0</v>
      </c>
      <c r="AT293" s="426">
        <f t="shared" si="273"/>
        <v>0</v>
      </c>
      <c r="AU293" s="421"/>
      <c r="AV293" s="449">
        <f t="shared" si="277"/>
        <v>0</v>
      </c>
      <c r="AW293" s="449">
        <f t="shared" si="277"/>
        <v>0</v>
      </c>
      <c r="AX293" s="449">
        <f t="shared" si="277"/>
        <v>0</v>
      </c>
      <c r="AY293" s="449">
        <f t="shared" si="276"/>
        <v>0</v>
      </c>
      <c r="AZ293" s="449">
        <f t="shared" si="276"/>
        <v>0</v>
      </c>
      <c r="BA293" s="449">
        <f t="shared" si="276"/>
        <v>0</v>
      </c>
      <c r="BB293" s="449">
        <f t="shared" si="276"/>
        <v>0</v>
      </c>
      <c r="BC293" s="449">
        <f t="shared" si="276"/>
        <v>0</v>
      </c>
      <c r="BD293" s="449">
        <f t="shared" si="276"/>
        <v>0</v>
      </c>
      <c r="BE293" s="449">
        <f t="shared" si="276"/>
        <v>0</v>
      </c>
      <c r="BF293" s="449">
        <f t="shared" si="276"/>
        <v>0</v>
      </c>
      <c r="BG293" s="449">
        <f t="shared" si="276"/>
        <v>0</v>
      </c>
      <c r="BH293" s="400"/>
      <c r="BI293" s="449">
        <v>0</v>
      </c>
      <c r="BJ293" s="449">
        <v>0</v>
      </c>
      <c r="BK293" s="449">
        <v>0</v>
      </c>
      <c r="BL293" s="449">
        <v>0</v>
      </c>
      <c r="BM293" s="449">
        <v>0</v>
      </c>
      <c r="BN293" s="449">
        <v>0</v>
      </c>
      <c r="BO293" s="449">
        <v>0</v>
      </c>
      <c r="BP293" s="449">
        <v>0</v>
      </c>
      <c r="BQ293" s="449">
        <v>0</v>
      </c>
      <c r="BR293" s="449">
        <v>0</v>
      </c>
      <c r="BS293" s="449">
        <v>0</v>
      </c>
      <c r="BT293" s="449">
        <v>0</v>
      </c>
    </row>
    <row r="294" spans="1:72" ht="15" hidden="1" x14ac:dyDescent="0.25">
      <c r="A294" s="502" t="s">
        <v>498</v>
      </c>
      <c r="B294" s="502" t="s">
        <v>499</v>
      </c>
      <c r="C294" s="541"/>
      <c r="D294" s="500">
        <f t="shared" si="260"/>
        <v>0</v>
      </c>
      <c r="E294" s="449">
        <v>0</v>
      </c>
      <c r="F294" s="449">
        <f t="shared" si="261"/>
        <v>0</v>
      </c>
      <c r="G294" s="421">
        <f t="shared" si="262"/>
        <v>0</v>
      </c>
      <c r="H294" s="449">
        <v>0</v>
      </c>
      <c r="I294" s="449">
        <f t="shared" si="263"/>
        <v>0</v>
      </c>
      <c r="J294" s="426">
        <f t="shared" si="264"/>
        <v>0</v>
      </c>
      <c r="K294" s="421"/>
      <c r="L294" s="449">
        <v>0</v>
      </c>
      <c r="M294" s="449">
        <v>0</v>
      </c>
      <c r="N294" s="449">
        <v>0</v>
      </c>
      <c r="O294" s="449">
        <v>0</v>
      </c>
      <c r="P294" s="449">
        <v>0</v>
      </c>
      <c r="Q294" s="449">
        <v>0</v>
      </c>
      <c r="R294" s="449">
        <f>($H294-SUM($L294:Q294))/R$694</f>
        <v>0</v>
      </c>
      <c r="S294" s="449">
        <f>($H294-SUM($L294:R294))/S$694</f>
        <v>0</v>
      </c>
      <c r="T294" s="449">
        <f>($H294-SUM($L294:S294))/T$694</f>
        <v>0</v>
      </c>
      <c r="U294" s="449">
        <f>($H294-SUM($L294:T294))/U$694</f>
        <v>0</v>
      </c>
      <c r="V294" s="449">
        <f>($H294-SUM($L294:U294))/V$694</f>
        <v>0</v>
      </c>
      <c r="W294" s="449">
        <f>($H294-SUM($L294:V294))/W$694</f>
        <v>0</v>
      </c>
      <c r="X294" s="449"/>
      <c r="Y294" s="449">
        <f t="shared" si="265"/>
        <v>0</v>
      </c>
      <c r="Z294" s="531"/>
      <c r="AA294" s="449">
        <f t="shared" si="275"/>
        <v>0</v>
      </c>
      <c r="AB294" s="449">
        <f t="shared" si="275"/>
        <v>0</v>
      </c>
      <c r="AC294" s="449">
        <f t="shared" si="275"/>
        <v>0</v>
      </c>
      <c r="AD294" s="449">
        <f t="shared" si="275"/>
        <v>0</v>
      </c>
      <c r="AE294" s="449">
        <f t="shared" si="275"/>
        <v>0</v>
      </c>
      <c r="AF294" s="449">
        <f t="shared" si="275"/>
        <v>0</v>
      </c>
      <c r="AG294" s="449">
        <f t="shared" si="275"/>
        <v>0</v>
      </c>
      <c r="AH294" s="449">
        <f t="shared" si="275"/>
        <v>0</v>
      </c>
      <c r="AI294" s="449">
        <f t="shared" si="275"/>
        <v>0</v>
      </c>
      <c r="AJ294" s="449">
        <f t="shared" si="275"/>
        <v>0</v>
      </c>
      <c r="AK294" s="449">
        <f t="shared" si="275"/>
        <v>0</v>
      </c>
      <c r="AL294" s="449">
        <f t="shared" si="275"/>
        <v>0</v>
      </c>
      <c r="AN294" s="500">
        <f t="shared" si="267"/>
        <v>0</v>
      </c>
      <c r="AO294" s="449">
        <f t="shared" si="268"/>
        <v>0</v>
      </c>
      <c r="AP294" s="449">
        <f t="shared" si="269"/>
        <v>0</v>
      </c>
      <c r="AQ294" s="453" t="str">
        <f t="shared" si="270"/>
        <v>-</v>
      </c>
      <c r="AR294" s="449">
        <f t="shared" si="271"/>
        <v>0</v>
      </c>
      <c r="AS294" s="449">
        <f t="shared" si="272"/>
        <v>0</v>
      </c>
      <c r="AT294" s="426">
        <f t="shared" si="273"/>
        <v>0</v>
      </c>
      <c r="AU294" s="421"/>
      <c r="AV294" s="449">
        <f t="shared" si="277"/>
        <v>0</v>
      </c>
      <c r="AW294" s="449">
        <f t="shared" si="277"/>
        <v>0</v>
      </c>
      <c r="AX294" s="449">
        <f t="shared" si="277"/>
        <v>0</v>
      </c>
      <c r="AY294" s="449">
        <f t="shared" si="276"/>
        <v>0</v>
      </c>
      <c r="AZ294" s="449">
        <f t="shared" si="276"/>
        <v>0</v>
      </c>
      <c r="BA294" s="449">
        <f t="shared" si="276"/>
        <v>0</v>
      </c>
      <c r="BB294" s="449">
        <f t="shared" si="276"/>
        <v>0</v>
      </c>
      <c r="BC294" s="449">
        <f t="shared" si="276"/>
        <v>0</v>
      </c>
      <c r="BD294" s="449">
        <f t="shared" si="276"/>
        <v>0</v>
      </c>
      <c r="BE294" s="449">
        <f t="shared" si="276"/>
        <v>0</v>
      </c>
      <c r="BF294" s="449">
        <f t="shared" si="276"/>
        <v>0</v>
      </c>
      <c r="BG294" s="449">
        <f t="shared" si="276"/>
        <v>0</v>
      </c>
      <c r="BH294" s="400"/>
      <c r="BI294" s="449">
        <v>0</v>
      </c>
      <c r="BJ294" s="449">
        <v>0</v>
      </c>
      <c r="BK294" s="449">
        <v>0</v>
      </c>
      <c r="BL294" s="449">
        <v>0</v>
      </c>
      <c r="BM294" s="449">
        <v>0</v>
      </c>
      <c r="BN294" s="449">
        <v>0</v>
      </c>
      <c r="BO294" s="449">
        <v>0</v>
      </c>
      <c r="BP294" s="449">
        <v>0</v>
      </c>
      <c r="BQ294" s="449">
        <v>0</v>
      </c>
      <c r="BR294" s="449">
        <v>0</v>
      </c>
      <c r="BS294" s="449">
        <v>0</v>
      </c>
      <c r="BT294" s="449">
        <v>0</v>
      </c>
    </row>
    <row r="295" spans="1:72" ht="15" hidden="1" x14ac:dyDescent="0.25">
      <c r="A295" s="502" t="s">
        <v>500</v>
      </c>
      <c r="B295" s="502" t="s">
        <v>501</v>
      </c>
      <c r="C295" s="541"/>
      <c r="D295" s="500">
        <f t="shared" si="260"/>
        <v>0</v>
      </c>
      <c r="E295" s="449">
        <v>0</v>
      </c>
      <c r="F295" s="449">
        <f t="shared" si="261"/>
        <v>0</v>
      </c>
      <c r="G295" s="421">
        <f t="shared" si="262"/>
        <v>0</v>
      </c>
      <c r="H295" s="449">
        <v>0</v>
      </c>
      <c r="I295" s="449">
        <f t="shared" si="263"/>
        <v>0</v>
      </c>
      <c r="J295" s="426">
        <f t="shared" si="264"/>
        <v>0</v>
      </c>
      <c r="K295" s="421"/>
      <c r="L295" s="449">
        <v>0</v>
      </c>
      <c r="M295" s="449">
        <v>0</v>
      </c>
      <c r="N295" s="449">
        <v>0</v>
      </c>
      <c r="O295" s="449">
        <v>0</v>
      </c>
      <c r="P295" s="449">
        <v>0</v>
      </c>
      <c r="Q295" s="449">
        <v>0</v>
      </c>
      <c r="R295" s="449">
        <f>($H295-SUM($L295:Q295))/R$694</f>
        <v>0</v>
      </c>
      <c r="S295" s="449">
        <f>($H295-SUM($L295:R295))/S$694</f>
        <v>0</v>
      </c>
      <c r="T295" s="449">
        <f>($H295-SUM($L295:S295))/T$694</f>
        <v>0</v>
      </c>
      <c r="U295" s="449">
        <f>($H295-SUM($L295:T295))/U$694</f>
        <v>0</v>
      </c>
      <c r="V295" s="449">
        <f>($H295-SUM($L295:U295))/V$694</f>
        <v>0</v>
      </c>
      <c r="W295" s="449">
        <f>($H295-SUM($L295:V295))/W$694</f>
        <v>0</v>
      </c>
      <c r="X295" s="449"/>
      <c r="Y295" s="449">
        <f t="shared" si="265"/>
        <v>0</v>
      </c>
      <c r="Z295" s="531"/>
      <c r="AA295" s="449">
        <f t="shared" si="275"/>
        <v>0</v>
      </c>
      <c r="AB295" s="449">
        <f t="shared" si="275"/>
        <v>0</v>
      </c>
      <c r="AC295" s="449">
        <f t="shared" si="275"/>
        <v>0</v>
      </c>
      <c r="AD295" s="449">
        <f t="shared" si="275"/>
        <v>0</v>
      </c>
      <c r="AE295" s="449">
        <f t="shared" si="275"/>
        <v>0</v>
      </c>
      <c r="AF295" s="449">
        <f t="shared" si="275"/>
        <v>0</v>
      </c>
      <c r="AG295" s="449">
        <f t="shared" si="275"/>
        <v>0</v>
      </c>
      <c r="AH295" s="449">
        <f t="shared" si="275"/>
        <v>0</v>
      </c>
      <c r="AI295" s="449">
        <f t="shared" si="275"/>
        <v>0</v>
      </c>
      <c r="AJ295" s="449">
        <f t="shared" si="275"/>
        <v>0</v>
      </c>
      <c r="AK295" s="449">
        <f t="shared" si="275"/>
        <v>0</v>
      </c>
      <c r="AL295" s="449">
        <f t="shared" si="275"/>
        <v>0</v>
      </c>
      <c r="AN295" s="500">
        <f t="shared" si="267"/>
        <v>0</v>
      </c>
      <c r="AO295" s="449">
        <f t="shared" si="268"/>
        <v>0</v>
      </c>
      <c r="AP295" s="449">
        <f t="shared" si="269"/>
        <v>0</v>
      </c>
      <c r="AQ295" s="453" t="str">
        <f t="shared" si="270"/>
        <v>-</v>
      </c>
      <c r="AR295" s="449">
        <f t="shared" si="271"/>
        <v>0</v>
      </c>
      <c r="AS295" s="449">
        <f t="shared" si="272"/>
        <v>0</v>
      </c>
      <c r="AT295" s="426">
        <f t="shared" si="273"/>
        <v>0</v>
      </c>
      <c r="AU295" s="421"/>
      <c r="AV295" s="449">
        <f t="shared" si="277"/>
        <v>0</v>
      </c>
      <c r="AW295" s="449">
        <f t="shared" si="277"/>
        <v>0</v>
      </c>
      <c r="AX295" s="449">
        <f t="shared" si="277"/>
        <v>0</v>
      </c>
      <c r="AY295" s="449">
        <f t="shared" si="276"/>
        <v>0</v>
      </c>
      <c r="AZ295" s="449">
        <f t="shared" si="276"/>
        <v>0</v>
      </c>
      <c r="BA295" s="449">
        <f t="shared" si="276"/>
        <v>0</v>
      </c>
      <c r="BB295" s="449">
        <f t="shared" si="276"/>
        <v>0</v>
      </c>
      <c r="BC295" s="449">
        <f t="shared" si="276"/>
        <v>0</v>
      </c>
      <c r="BD295" s="449">
        <f t="shared" si="276"/>
        <v>0</v>
      </c>
      <c r="BE295" s="449">
        <f t="shared" si="276"/>
        <v>0</v>
      </c>
      <c r="BF295" s="449">
        <f t="shared" si="276"/>
        <v>0</v>
      </c>
      <c r="BG295" s="449">
        <f t="shared" si="276"/>
        <v>0</v>
      </c>
      <c r="BH295" s="400"/>
      <c r="BI295" s="449">
        <v>0</v>
      </c>
      <c r="BJ295" s="449">
        <v>0</v>
      </c>
      <c r="BK295" s="449">
        <v>0</v>
      </c>
      <c r="BL295" s="449">
        <v>0</v>
      </c>
      <c r="BM295" s="449">
        <v>0</v>
      </c>
      <c r="BN295" s="449">
        <v>0</v>
      </c>
      <c r="BO295" s="449">
        <v>0</v>
      </c>
      <c r="BP295" s="449">
        <v>0</v>
      </c>
      <c r="BQ295" s="449">
        <v>0</v>
      </c>
      <c r="BR295" s="449">
        <v>0</v>
      </c>
      <c r="BS295" s="449">
        <v>0</v>
      </c>
      <c r="BT295" s="449">
        <v>0</v>
      </c>
    </row>
    <row r="296" spans="1:72" ht="15" hidden="1" x14ac:dyDescent="0.25">
      <c r="A296" s="502" t="s">
        <v>502</v>
      </c>
      <c r="B296" s="502" t="s">
        <v>503</v>
      </c>
      <c r="C296" s="541"/>
      <c r="D296" s="500">
        <f t="shared" si="260"/>
        <v>0</v>
      </c>
      <c r="E296" s="449">
        <v>0</v>
      </c>
      <c r="F296" s="449">
        <f t="shared" si="261"/>
        <v>0</v>
      </c>
      <c r="G296" s="421">
        <f t="shared" si="262"/>
        <v>0</v>
      </c>
      <c r="H296" s="449">
        <v>0</v>
      </c>
      <c r="I296" s="449">
        <f t="shared" si="263"/>
        <v>0</v>
      </c>
      <c r="J296" s="426">
        <f t="shared" si="264"/>
        <v>0</v>
      </c>
      <c r="K296" s="421"/>
      <c r="L296" s="449">
        <v>0</v>
      </c>
      <c r="M296" s="449">
        <v>0</v>
      </c>
      <c r="N296" s="449">
        <v>0</v>
      </c>
      <c r="O296" s="449">
        <v>0</v>
      </c>
      <c r="P296" s="449">
        <v>0</v>
      </c>
      <c r="Q296" s="449">
        <v>0</v>
      </c>
      <c r="R296" s="449">
        <f>($H296-SUM($L296:Q296))/R$694</f>
        <v>0</v>
      </c>
      <c r="S296" s="449">
        <f>($H296-SUM($L296:R296))/S$694</f>
        <v>0</v>
      </c>
      <c r="T296" s="449">
        <f>($H296-SUM($L296:S296))/T$694</f>
        <v>0</v>
      </c>
      <c r="U296" s="449">
        <f>($H296-SUM($L296:T296))/U$694</f>
        <v>0</v>
      </c>
      <c r="V296" s="449">
        <f>($H296-SUM($L296:U296))/V$694</f>
        <v>0</v>
      </c>
      <c r="W296" s="449">
        <f>($H296-SUM($L296:V296))/W$694</f>
        <v>0</v>
      </c>
      <c r="X296" s="449"/>
      <c r="Y296" s="449">
        <f t="shared" si="265"/>
        <v>0</v>
      </c>
      <c r="Z296" s="531"/>
      <c r="AA296" s="449">
        <f t="shared" si="275"/>
        <v>0</v>
      </c>
      <c r="AB296" s="449">
        <f t="shared" si="275"/>
        <v>0</v>
      </c>
      <c r="AC296" s="449">
        <f t="shared" si="275"/>
        <v>0</v>
      </c>
      <c r="AD296" s="449">
        <f t="shared" si="275"/>
        <v>0</v>
      </c>
      <c r="AE296" s="449">
        <f t="shared" si="275"/>
        <v>0</v>
      </c>
      <c r="AF296" s="449">
        <f t="shared" si="275"/>
        <v>0</v>
      </c>
      <c r="AG296" s="449">
        <f t="shared" si="275"/>
        <v>0</v>
      </c>
      <c r="AH296" s="449">
        <f t="shared" si="275"/>
        <v>0</v>
      </c>
      <c r="AI296" s="449">
        <f t="shared" si="275"/>
        <v>0</v>
      </c>
      <c r="AJ296" s="449">
        <f t="shared" si="275"/>
        <v>0</v>
      </c>
      <c r="AK296" s="449">
        <f t="shared" si="275"/>
        <v>0</v>
      </c>
      <c r="AL296" s="449">
        <f t="shared" si="275"/>
        <v>0</v>
      </c>
      <c r="AN296" s="500">
        <f t="shared" si="267"/>
        <v>0</v>
      </c>
      <c r="AO296" s="449">
        <f t="shared" si="268"/>
        <v>0</v>
      </c>
      <c r="AP296" s="449">
        <f t="shared" si="269"/>
        <v>0</v>
      </c>
      <c r="AQ296" s="453" t="str">
        <f t="shared" si="270"/>
        <v>-</v>
      </c>
      <c r="AR296" s="449">
        <f t="shared" si="271"/>
        <v>0</v>
      </c>
      <c r="AS296" s="449">
        <f t="shared" si="272"/>
        <v>0</v>
      </c>
      <c r="AT296" s="426">
        <f t="shared" si="273"/>
        <v>0</v>
      </c>
      <c r="AU296" s="421"/>
      <c r="AV296" s="449">
        <f t="shared" si="277"/>
        <v>0</v>
      </c>
      <c r="AW296" s="449">
        <f t="shared" si="277"/>
        <v>0</v>
      </c>
      <c r="AX296" s="449">
        <f t="shared" si="277"/>
        <v>0</v>
      </c>
      <c r="AY296" s="449">
        <f t="shared" si="276"/>
        <v>0</v>
      </c>
      <c r="AZ296" s="449">
        <f t="shared" si="276"/>
        <v>0</v>
      </c>
      <c r="BA296" s="449">
        <f t="shared" si="276"/>
        <v>0</v>
      </c>
      <c r="BB296" s="449">
        <f t="shared" si="276"/>
        <v>0</v>
      </c>
      <c r="BC296" s="449">
        <f t="shared" si="276"/>
        <v>0</v>
      </c>
      <c r="BD296" s="449">
        <f t="shared" si="276"/>
        <v>0</v>
      </c>
      <c r="BE296" s="449">
        <f t="shared" si="276"/>
        <v>0</v>
      </c>
      <c r="BF296" s="449">
        <f t="shared" si="276"/>
        <v>0</v>
      </c>
      <c r="BG296" s="449">
        <f t="shared" si="276"/>
        <v>0</v>
      </c>
      <c r="BH296" s="400"/>
      <c r="BI296" s="449">
        <v>0</v>
      </c>
      <c r="BJ296" s="449">
        <v>0</v>
      </c>
      <c r="BK296" s="449">
        <v>0</v>
      </c>
      <c r="BL296" s="449">
        <v>0</v>
      </c>
      <c r="BM296" s="449">
        <v>0</v>
      </c>
      <c r="BN296" s="449">
        <v>0</v>
      </c>
      <c r="BO296" s="449">
        <v>0</v>
      </c>
      <c r="BP296" s="449">
        <v>0</v>
      </c>
      <c r="BQ296" s="449">
        <v>0</v>
      </c>
      <c r="BR296" s="449">
        <v>0</v>
      </c>
      <c r="BS296" s="449">
        <v>0</v>
      </c>
      <c r="BT296" s="449">
        <v>0</v>
      </c>
    </row>
    <row r="297" spans="1:72" ht="15" hidden="1" x14ac:dyDescent="0.25">
      <c r="A297" s="502" t="s">
        <v>504</v>
      </c>
      <c r="B297" s="502" t="s">
        <v>505</v>
      </c>
      <c r="C297" s="541"/>
      <c r="D297" s="500">
        <f t="shared" si="260"/>
        <v>0</v>
      </c>
      <c r="E297" s="449">
        <v>0</v>
      </c>
      <c r="F297" s="449">
        <f t="shared" si="261"/>
        <v>0</v>
      </c>
      <c r="G297" s="421">
        <f t="shared" si="262"/>
        <v>0</v>
      </c>
      <c r="H297" s="449">
        <v>0</v>
      </c>
      <c r="I297" s="449">
        <f t="shared" si="263"/>
        <v>0</v>
      </c>
      <c r="J297" s="426">
        <f t="shared" si="264"/>
        <v>0</v>
      </c>
      <c r="K297" s="421"/>
      <c r="L297" s="449">
        <v>0</v>
      </c>
      <c r="M297" s="449">
        <v>0</v>
      </c>
      <c r="N297" s="449">
        <v>0</v>
      </c>
      <c r="O297" s="449">
        <v>0</v>
      </c>
      <c r="P297" s="449">
        <v>0</v>
      </c>
      <c r="Q297" s="449">
        <v>0</v>
      </c>
      <c r="R297" s="449">
        <f>($H297-SUM($L297:Q297))/R$694</f>
        <v>0</v>
      </c>
      <c r="S297" s="449">
        <f>($H297-SUM($L297:R297))/S$694</f>
        <v>0</v>
      </c>
      <c r="T297" s="449">
        <f>($H297-SUM($L297:S297))/T$694</f>
        <v>0</v>
      </c>
      <c r="U297" s="449">
        <f>($H297-SUM($L297:T297))/U$694</f>
        <v>0</v>
      </c>
      <c r="V297" s="449">
        <f>($H297-SUM($L297:U297))/V$694</f>
        <v>0</v>
      </c>
      <c r="W297" s="449">
        <f>($H297-SUM($L297:V297))/W$694</f>
        <v>0</v>
      </c>
      <c r="X297" s="449"/>
      <c r="Y297" s="449">
        <f t="shared" si="265"/>
        <v>0</v>
      </c>
      <c r="Z297" s="531"/>
      <c r="AA297" s="449">
        <f t="shared" si="275"/>
        <v>0</v>
      </c>
      <c r="AB297" s="449">
        <f t="shared" si="275"/>
        <v>0</v>
      </c>
      <c r="AC297" s="449">
        <f t="shared" si="275"/>
        <v>0</v>
      </c>
      <c r="AD297" s="449">
        <f t="shared" si="275"/>
        <v>0</v>
      </c>
      <c r="AE297" s="449">
        <f t="shared" si="275"/>
        <v>0</v>
      </c>
      <c r="AF297" s="449">
        <f t="shared" si="275"/>
        <v>0</v>
      </c>
      <c r="AG297" s="449">
        <f t="shared" si="275"/>
        <v>0</v>
      </c>
      <c r="AH297" s="449">
        <f t="shared" si="275"/>
        <v>0</v>
      </c>
      <c r="AI297" s="449">
        <f t="shared" si="275"/>
        <v>0</v>
      </c>
      <c r="AJ297" s="449">
        <f t="shared" si="275"/>
        <v>0</v>
      </c>
      <c r="AK297" s="449">
        <f t="shared" si="275"/>
        <v>0</v>
      </c>
      <c r="AL297" s="449">
        <f t="shared" si="275"/>
        <v>0</v>
      </c>
      <c r="AN297" s="500">
        <f t="shared" si="267"/>
        <v>0</v>
      </c>
      <c r="AO297" s="449">
        <f t="shared" si="268"/>
        <v>0</v>
      </c>
      <c r="AP297" s="449">
        <f t="shared" si="269"/>
        <v>0</v>
      </c>
      <c r="AQ297" s="453" t="str">
        <f t="shared" si="270"/>
        <v>-</v>
      </c>
      <c r="AR297" s="449">
        <f t="shared" si="271"/>
        <v>0</v>
      </c>
      <c r="AS297" s="449">
        <f t="shared" si="272"/>
        <v>0</v>
      </c>
      <c r="AT297" s="426">
        <f t="shared" si="273"/>
        <v>0</v>
      </c>
      <c r="AU297" s="421"/>
      <c r="AV297" s="449">
        <f t="shared" si="277"/>
        <v>0</v>
      </c>
      <c r="AW297" s="449">
        <f t="shared" si="277"/>
        <v>0</v>
      </c>
      <c r="AX297" s="449">
        <f t="shared" si="277"/>
        <v>0</v>
      </c>
      <c r="AY297" s="449">
        <f t="shared" si="276"/>
        <v>0</v>
      </c>
      <c r="AZ297" s="449">
        <f t="shared" si="276"/>
        <v>0</v>
      </c>
      <c r="BA297" s="449">
        <f t="shared" si="276"/>
        <v>0</v>
      </c>
      <c r="BB297" s="449">
        <f t="shared" si="276"/>
        <v>0</v>
      </c>
      <c r="BC297" s="449">
        <f t="shared" si="276"/>
        <v>0</v>
      </c>
      <c r="BD297" s="449">
        <f t="shared" si="276"/>
        <v>0</v>
      </c>
      <c r="BE297" s="449">
        <f t="shared" si="276"/>
        <v>0</v>
      </c>
      <c r="BF297" s="449">
        <f t="shared" si="276"/>
        <v>0</v>
      </c>
      <c r="BG297" s="449">
        <f t="shared" si="276"/>
        <v>0</v>
      </c>
      <c r="BH297" s="400"/>
      <c r="BI297" s="449">
        <v>0</v>
      </c>
      <c r="BJ297" s="449">
        <v>0</v>
      </c>
      <c r="BK297" s="449">
        <v>0</v>
      </c>
      <c r="BL297" s="449">
        <v>0</v>
      </c>
      <c r="BM297" s="449">
        <v>0</v>
      </c>
      <c r="BN297" s="449">
        <v>0</v>
      </c>
      <c r="BO297" s="449">
        <v>0</v>
      </c>
      <c r="BP297" s="449">
        <v>0</v>
      </c>
      <c r="BQ297" s="449">
        <v>0</v>
      </c>
      <c r="BR297" s="449">
        <v>0</v>
      </c>
      <c r="BS297" s="449">
        <v>0</v>
      </c>
      <c r="BT297" s="449">
        <v>0</v>
      </c>
    </row>
    <row r="298" spans="1:72" ht="15" hidden="1" x14ac:dyDescent="0.25">
      <c r="A298" s="502" t="s">
        <v>506</v>
      </c>
      <c r="B298" s="502" t="s">
        <v>507</v>
      </c>
      <c r="C298" s="541"/>
      <c r="D298" s="500">
        <f t="shared" si="260"/>
        <v>5225</v>
      </c>
      <c r="E298" s="449">
        <v>5225</v>
      </c>
      <c r="F298" s="449">
        <f t="shared" si="261"/>
        <v>0</v>
      </c>
      <c r="G298" s="421">
        <f t="shared" si="262"/>
        <v>0</v>
      </c>
      <c r="H298" s="449">
        <v>5225</v>
      </c>
      <c r="I298" s="449">
        <f t="shared" si="263"/>
        <v>0</v>
      </c>
      <c r="J298" s="426">
        <f t="shared" si="264"/>
        <v>0</v>
      </c>
      <c r="K298" s="421"/>
      <c r="L298" s="449">
        <v>0</v>
      </c>
      <c r="M298" s="449">
        <v>0</v>
      </c>
      <c r="N298" s="449">
        <v>0</v>
      </c>
      <c r="O298" s="449">
        <v>0</v>
      </c>
      <c r="P298" s="449">
        <v>0</v>
      </c>
      <c r="Q298" s="449">
        <v>0</v>
      </c>
      <c r="R298" s="449">
        <f>($H298-SUM($L298:Q298))/R$694</f>
        <v>870.83333333333337</v>
      </c>
      <c r="S298" s="449">
        <f>($H298-SUM($L298:R298))/S$694</f>
        <v>870.83333333333337</v>
      </c>
      <c r="T298" s="449">
        <f>($H298-SUM($L298:S298))/T$694</f>
        <v>870.83333333333326</v>
      </c>
      <c r="U298" s="449">
        <f>($H298-SUM($L298:T298))/U$694</f>
        <v>870.83333333333337</v>
      </c>
      <c r="V298" s="449">
        <f>($H298-SUM($L298:U298))/V$694</f>
        <v>870.83333333333326</v>
      </c>
      <c r="W298" s="449">
        <f>($H298-SUM($L298:V298))/W$694</f>
        <v>870.83333333333303</v>
      </c>
      <c r="X298" s="449"/>
      <c r="Y298" s="449">
        <f t="shared" si="265"/>
        <v>5225</v>
      </c>
      <c r="Z298" s="531"/>
      <c r="AA298" s="449">
        <f t="shared" si="275"/>
        <v>435.41666666666669</v>
      </c>
      <c r="AB298" s="449">
        <f t="shared" si="275"/>
        <v>435.41666666666669</v>
      </c>
      <c r="AC298" s="449">
        <f t="shared" si="275"/>
        <v>435.41666666666669</v>
      </c>
      <c r="AD298" s="449">
        <f t="shared" si="275"/>
        <v>435.41666666666669</v>
      </c>
      <c r="AE298" s="449">
        <f t="shared" si="275"/>
        <v>435.41666666666669</v>
      </c>
      <c r="AF298" s="449">
        <f t="shared" si="275"/>
        <v>435.41666666666669</v>
      </c>
      <c r="AG298" s="449">
        <f t="shared" si="275"/>
        <v>435.41666666666669</v>
      </c>
      <c r="AH298" s="449">
        <f t="shared" si="275"/>
        <v>435.41666666666669</v>
      </c>
      <c r="AI298" s="449">
        <f t="shared" si="275"/>
        <v>435.41666666666669</v>
      </c>
      <c r="AJ298" s="449">
        <f t="shared" si="275"/>
        <v>435.41666666666669</v>
      </c>
      <c r="AK298" s="449">
        <f t="shared" si="275"/>
        <v>435.41666666666669</v>
      </c>
      <c r="AL298" s="449">
        <f t="shared" si="275"/>
        <v>435.41666666666669</v>
      </c>
      <c r="AN298" s="500">
        <f t="shared" si="267"/>
        <v>5225</v>
      </c>
      <c r="AO298" s="449">
        <f t="shared" si="268"/>
        <v>0</v>
      </c>
      <c r="AP298" s="449">
        <f t="shared" si="269"/>
        <v>-5225</v>
      </c>
      <c r="AQ298" s="453">
        <f t="shared" si="270"/>
        <v>-1</v>
      </c>
      <c r="AR298" s="449">
        <f t="shared" si="271"/>
        <v>0</v>
      </c>
      <c r="AS298" s="449">
        <f t="shared" si="272"/>
        <v>0</v>
      </c>
      <c r="AT298" s="426">
        <f t="shared" si="273"/>
        <v>0</v>
      </c>
      <c r="AU298" s="421"/>
      <c r="AV298" s="449">
        <f t="shared" si="277"/>
        <v>0</v>
      </c>
      <c r="AW298" s="449">
        <f t="shared" si="277"/>
        <v>0</v>
      </c>
      <c r="AX298" s="449">
        <f t="shared" si="277"/>
        <v>0</v>
      </c>
      <c r="AY298" s="449">
        <f t="shared" si="276"/>
        <v>0</v>
      </c>
      <c r="AZ298" s="449">
        <f t="shared" si="276"/>
        <v>0</v>
      </c>
      <c r="BA298" s="449">
        <f t="shared" si="276"/>
        <v>0</v>
      </c>
      <c r="BB298" s="449">
        <f t="shared" si="276"/>
        <v>0</v>
      </c>
      <c r="BC298" s="449">
        <f t="shared" si="276"/>
        <v>0</v>
      </c>
      <c r="BD298" s="449">
        <f t="shared" si="276"/>
        <v>0</v>
      </c>
      <c r="BE298" s="449">
        <f t="shared" si="276"/>
        <v>0</v>
      </c>
      <c r="BF298" s="449">
        <f t="shared" si="276"/>
        <v>0</v>
      </c>
      <c r="BG298" s="449">
        <f t="shared" si="276"/>
        <v>0</v>
      </c>
      <c r="BH298" s="400"/>
      <c r="BI298" s="449">
        <v>0</v>
      </c>
      <c r="BJ298" s="449">
        <v>0</v>
      </c>
      <c r="BK298" s="449">
        <v>0</v>
      </c>
      <c r="BL298" s="449">
        <v>0</v>
      </c>
      <c r="BM298" s="449">
        <v>0</v>
      </c>
      <c r="BN298" s="449">
        <v>0</v>
      </c>
      <c r="BO298" s="449">
        <v>0</v>
      </c>
      <c r="BP298" s="449">
        <v>0</v>
      </c>
      <c r="BQ298" s="449">
        <v>0</v>
      </c>
      <c r="BR298" s="449">
        <v>0</v>
      </c>
      <c r="BS298" s="449">
        <v>0</v>
      </c>
      <c r="BT298" s="449">
        <v>0</v>
      </c>
    </row>
    <row r="299" spans="1:72" ht="15" x14ac:dyDescent="0.25">
      <c r="A299" s="502" t="s">
        <v>508</v>
      </c>
      <c r="B299" s="502" t="s">
        <v>509</v>
      </c>
      <c r="C299" s="541"/>
      <c r="D299" s="500">
        <f t="shared" si="260"/>
        <v>3597</v>
      </c>
      <c r="E299" s="449">
        <v>1597</v>
      </c>
      <c r="F299" s="449">
        <f t="shared" si="261"/>
        <v>2000</v>
      </c>
      <c r="G299" s="421">
        <f t="shared" si="262"/>
        <v>1.2523481527864746</v>
      </c>
      <c r="H299" s="449">
        <f>1597+2000</f>
        <v>3597</v>
      </c>
      <c r="I299" s="449">
        <f t="shared" si="263"/>
        <v>0</v>
      </c>
      <c r="J299" s="426">
        <f t="shared" si="264"/>
        <v>0</v>
      </c>
      <c r="K299" s="421"/>
      <c r="L299" s="449">
        <v>0</v>
      </c>
      <c r="M299" s="449">
        <v>324.66000000000003</v>
      </c>
      <c r="N299" s="449">
        <v>284.08999999999997</v>
      </c>
      <c r="O299" s="449">
        <v>510.55999999999995</v>
      </c>
      <c r="P299" s="449">
        <v>270.55999999999995</v>
      </c>
      <c r="Q299" s="449">
        <v>338.20000000000005</v>
      </c>
      <c r="R299" s="449">
        <f>($H299-SUM($L299:Q299))/R$694</f>
        <v>311.48833333333334</v>
      </c>
      <c r="S299" s="449">
        <f>($H299-SUM($L299:R299))/S$694</f>
        <v>311.48833333333334</v>
      </c>
      <c r="T299" s="449">
        <f>($H299-SUM($L299:S299))/T$694</f>
        <v>311.48833333333334</v>
      </c>
      <c r="U299" s="449">
        <f>($H299-SUM($L299:T299))/U$694</f>
        <v>311.4883333333334</v>
      </c>
      <c r="V299" s="449">
        <f>($H299-SUM($L299:U299))/V$694</f>
        <v>311.48833333333346</v>
      </c>
      <c r="W299" s="449">
        <f>($H299-SUM($L299:V299))/W$694</f>
        <v>311.48833333333369</v>
      </c>
      <c r="X299" s="449"/>
      <c r="Y299" s="449">
        <f t="shared" si="265"/>
        <v>3597</v>
      </c>
      <c r="Z299" s="531"/>
      <c r="AA299" s="449">
        <f t="shared" si="275"/>
        <v>299.75</v>
      </c>
      <c r="AB299" s="449">
        <f t="shared" si="275"/>
        <v>299.75</v>
      </c>
      <c r="AC299" s="449">
        <f t="shared" si="275"/>
        <v>299.75</v>
      </c>
      <c r="AD299" s="449">
        <f t="shared" si="275"/>
        <v>299.75</v>
      </c>
      <c r="AE299" s="449">
        <f t="shared" si="275"/>
        <v>299.75</v>
      </c>
      <c r="AF299" s="449">
        <f t="shared" si="275"/>
        <v>299.75</v>
      </c>
      <c r="AG299" s="449">
        <f t="shared" si="275"/>
        <v>299.75</v>
      </c>
      <c r="AH299" s="449">
        <f t="shared" si="275"/>
        <v>299.75</v>
      </c>
      <c r="AI299" s="449">
        <f t="shared" si="275"/>
        <v>299.75</v>
      </c>
      <c r="AJ299" s="449">
        <f t="shared" si="275"/>
        <v>299.75</v>
      </c>
      <c r="AK299" s="449">
        <f t="shared" si="275"/>
        <v>299.75</v>
      </c>
      <c r="AL299" s="449">
        <f t="shared" si="275"/>
        <v>299.75</v>
      </c>
      <c r="AN299" s="500">
        <f t="shared" si="267"/>
        <v>3597</v>
      </c>
      <c r="AO299" s="449">
        <f t="shared" si="268"/>
        <v>1644.79</v>
      </c>
      <c r="AP299" s="449">
        <f t="shared" si="269"/>
        <v>-1952.21</v>
      </c>
      <c r="AQ299" s="453">
        <f t="shared" si="270"/>
        <v>-0.54273283291631913</v>
      </c>
      <c r="AR299" s="449">
        <f t="shared" si="271"/>
        <v>1644.79</v>
      </c>
      <c r="AS299" s="449">
        <f t="shared" si="272"/>
        <v>0</v>
      </c>
      <c r="AT299" s="426">
        <f t="shared" si="273"/>
        <v>0</v>
      </c>
      <c r="AU299" s="421"/>
      <c r="AV299" s="449">
        <f t="shared" si="277"/>
        <v>137.06583333333333</v>
      </c>
      <c r="AW299" s="449">
        <f t="shared" si="277"/>
        <v>137.06583333333333</v>
      </c>
      <c r="AX299" s="449">
        <f t="shared" si="277"/>
        <v>137.06583333333333</v>
      </c>
      <c r="AY299" s="449">
        <f t="shared" si="276"/>
        <v>137.06583333333333</v>
      </c>
      <c r="AZ299" s="449">
        <f t="shared" si="276"/>
        <v>137.06583333333333</v>
      </c>
      <c r="BA299" s="449">
        <f t="shared" si="276"/>
        <v>137.06583333333333</v>
      </c>
      <c r="BB299" s="449">
        <f t="shared" si="276"/>
        <v>137.06583333333333</v>
      </c>
      <c r="BC299" s="449">
        <f t="shared" si="276"/>
        <v>137.06583333333333</v>
      </c>
      <c r="BD299" s="449">
        <f t="shared" si="276"/>
        <v>137.06583333333333</v>
      </c>
      <c r="BE299" s="449">
        <f t="shared" si="276"/>
        <v>137.06583333333333</v>
      </c>
      <c r="BF299" s="449">
        <f t="shared" si="276"/>
        <v>137.06583333333333</v>
      </c>
      <c r="BG299" s="449">
        <f t="shared" si="276"/>
        <v>137.06583333333333</v>
      </c>
      <c r="BH299" s="400"/>
      <c r="BI299" s="449">
        <f>SUM('FY19 Staffing V1-1 (3)'!$S$226)/12</f>
        <v>137.06583333333333</v>
      </c>
      <c r="BJ299" s="449">
        <f>SUM('FY19 Staffing V1-1 (3)'!$S$226)/12</f>
        <v>137.06583333333333</v>
      </c>
      <c r="BK299" s="449">
        <f>SUM('FY19 Staffing V1-1 (3)'!$S$226)/12</f>
        <v>137.06583333333333</v>
      </c>
      <c r="BL299" s="449">
        <f>SUM('FY19 Staffing V1-1 (3)'!$S$226)/12</f>
        <v>137.06583333333333</v>
      </c>
      <c r="BM299" s="449">
        <f>SUM('FY19 Staffing V1-1 (3)'!$S$226)/12</f>
        <v>137.06583333333333</v>
      </c>
      <c r="BN299" s="449">
        <f>SUM('FY19 Staffing V1-1 (3)'!$S$226)/12</f>
        <v>137.06583333333333</v>
      </c>
      <c r="BO299" s="449">
        <f>SUM('FY19 Staffing V1-1 (3)'!$S$226)/12</f>
        <v>137.06583333333333</v>
      </c>
      <c r="BP299" s="449">
        <f>SUM('FY19 Staffing V1-1 (3)'!$S$226)/12</f>
        <v>137.06583333333333</v>
      </c>
      <c r="BQ299" s="449">
        <f>SUM('FY19 Staffing V1-1 (3)'!$S$226)/12</f>
        <v>137.06583333333333</v>
      </c>
      <c r="BR299" s="449">
        <f>SUM('FY19 Staffing V1-1 (3)'!$S$226)/12</f>
        <v>137.06583333333333</v>
      </c>
      <c r="BS299" s="449">
        <f>SUM('FY19 Staffing V1-1 (3)'!$S$226)/12</f>
        <v>137.06583333333333</v>
      </c>
      <c r="BT299" s="449">
        <f>SUM('FY19 Staffing V1-1 (3)'!$S$226)/12</f>
        <v>137.06583333333333</v>
      </c>
    </row>
    <row r="300" spans="1:72" ht="15" x14ac:dyDescent="0.25">
      <c r="A300" s="502" t="s">
        <v>510</v>
      </c>
      <c r="B300" s="502" t="s">
        <v>509</v>
      </c>
      <c r="C300" s="541"/>
      <c r="D300" s="500">
        <f t="shared" si="260"/>
        <v>1820</v>
      </c>
      <c r="E300" s="449">
        <v>3795</v>
      </c>
      <c r="F300" s="449">
        <f t="shared" si="261"/>
        <v>-1975</v>
      </c>
      <c r="G300" s="421">
        <f t="shared" si="262"/>
        <v>-0.52042160737812915</v>
      </c>
      <c r="H300" s="449">
        <f>3820-2000</f>
        <v>1820</v>
      </c>
      <c r="I300" s="449">
        <f t="shared" si="263"/>
        <v>0</v>
      </c>
      <c r="J300" s="426">
        <f t="shared" si="264"/>
        <v>0</v>
      </c>
      <c r="K300" s="421"/>
      <c r="L300" s="449">
        <v>0</v>
      </c>
      <c r="M300" s="449">
        <v>0</v>
      </c>
      <c r="N300" s="449">
        <v>0</v>
      </c>
      <c r="O300" s="449">
        <v>0</v>
      </c>
      <c r="P300" s="449">
        <v>0</v>
      </c>
      <c r="Q300" s="449">
        <v>0</v>
      </c>
      <c r="R300" s="449">
        <f>($H300-SUM($L300:Q300))/R$694</f>
        <v>303.33333333333331</v>
      </c>
      <c r="S300" s="449">
        <f>($H300-SUM($L300:R300))/S$694</f>
        <v>303.33333333333337</v>
      </c>
      <c r="T300" s="449">
        <f>($H300-SUM($L300:S300))/T$694</f>
        <v>303.33333333333331</v>
      </c>
      <c r="U300" s="449">
        <f>($H300-SUM($L300:T300))/U$694</f>
        <v>303.33333333333331</v>
      </c>
      <c r="V300" s="449">
        <f>($H300-SUM($L300:U300))/V$694</f>
        <v>303.33333333333337</v>
      </c>
      <c r="W300" s="449">
        <f>($H300-SUM($L300:V300))/W$694</f>
        <v>303.33333333333348</v>
      </c>
      <c r="X300" s="449"/>
      <c r="Y300" s="449">
        <f t="shared" si="265"/>
        <v>1820</v>
      </c>
      <c r="Z300" s="531"/>
      <c r="AA300" s="449">
        <f t="shared" ref="AA300:AL315" si="278">IFERROR($H300/12,0)</f>
        <v>151.66666666666666</v>
      </c>
      <c r="AB300" s="449">
        <f t="shared" si="278"/>
        <v>151.66666666666666</v>
      </c>
      <c r="AC300" s="449">
        <f t="shared" si="278"/>
        <v>151.66666666666666</v>
      </c>
      <c r="AD300" s="449">
        <f t="shared" si="278"/>
        <v>151.66666666666666</v>
      </c>
      <c r="AE300" s="449">
        <f t="shared" si="278"/>
        <v>151.66666666666666</v>
      </c>
      <c r="AF300" s="449">
        <f t="shared" si="278"/>
        <v>151.66666666666666</v>
      </c>
      <c r="AG300" s="449">
        <f t="shared" si="278"/>
        <v>151.66666666666666</v>
      </c>
      <c r="AH300" s="449">
        <f t="shared" si="278"/>
        <v>151.66666666666666</v>
      </c>
      <c r="AI300" s="449">
        <f t="shared" si="278"/>
        <v>151.66666666666666</v>
      </c>
      <c r="AJ300" s="449">
        <f t="shared" si="278"/>
        <v>151.66666666666666</v>
      </c>
      <c r="AK300" s="449">
        <f t="shared" si="278"/>
        <v>151.66666666666666</v>
      </c>
      <c r="AL300" s="449">
        <f t="shared" si="278"/>
        <v>151.66666666666666</v>
      </c>
      <c r="AN300" s="500">
        <f t="shared" si="267"/>
        <v>1820</v>
      </c>
      <c r="AO300" s="449">
        <f t="shared" si="268"/>
        <v>3837.3999999999996</v>
      </c>
      <c r="AP300" s="449">
        <f t="shared" si="269"/>
        <v>2017.3999999999996</v>
      </c>
      <c r="AQ300" s="453">
        <f t="shared" si="270"/>
        <v>1.1084615384615382</v>
      </c>
      <c r="AR300" s="449">
        <f t="shared" si="271"/>
        <v>3837.3999999999996</v>
      </c>
      <c r="AS300" s="449">
        <f t="shared" si="272"/>
        <v>0</v>
      </c>
      <c r="AT300" s="426">
        <f t="shared" si="273"/>
        <v>0</v>
      </c>
      <c r="AU300" s="421"/>
      <c r="AV300" s="449">
        <f t="shared" si="277"/>
        <v>319.7833333333333</v>
      </c>
      <c r="AW300" s="449">
        <f t="shared" si="277"/>
        <v>319.7833333333333</v>
      </c>
      <c r="AX300" s="449">
        <f t="shared" si="277"/>
        <v>319.7833333333333</v>
      </c>
      <c r="AY300" s="449">
        <f t="shared" si="276"/>
        <v>319.7833333333333</v>
      </c>
      <c r="AZ300" s="449">
        <f t="shared" si="276"/>
        <v>319.7833333333333</v>
      </c>
      <c r="BA300" s="449">
        <f t="shared" si="276"/>
        <v>319.7833333333333</v>
      </c>
      <c r="BB300" s="449">
        <f t="shared" si="276"/>
        <v>319.7833333333333</v>
      </c>
      <c r="BC300" s="449">
        <f t="shared" si="276"/>
        <v>319.7833333333333</v>
      </c>
      <c r="BD300" s="449">
        <f t="shared" si="276"/>
        <v>319.7833333333333</v>
      </c>
      <c r="BE300" s="449">
        <f t="shared" si="276"/>
        <v>319.7833333333333</v>
      </c>
      <c r="BF300" s="449">
        <f t="shared" si="276"/>
        <v>319.7833333333333</v>
      </c>
      <c r="BG300" s="449">
        <f t="shared" si="276"/>
        <v>319.7833333333333</v>
      </c>
      <c r="BH300" s="400"/>
      <c r="BI300" s="449">
        <f>SUM('FY19 Staffing V1-1 (3)'!$S$227,'FY19 Staffing V1-1 (3)'!$S$229)/12</f>
        <v>319.7833333333333</v>
      </c>
      <c r="BJ300" s="449">
        <f>SUM('FY19 Staffing V1-1 (3)'!$S$227,'FY19 Staffing V1-1 (3)'!$S$229)/12</f>
        <v>319.7833333333333</v>
      </c>
      <c r="BK300" s="449">
        <f>SUM('FY19 Staffing V1-1 (3)'!$S$227,'FY19 Staffing V1-1 (3)'!$S$229)/12</f>
        <v>319.7833333333333</v>
      </c>
      <c r="BL300" s="449">
        <f>SUM('FY19 Staffing V1-1 (3)'!$S$227,'FY19 Staffing V1-1 (3)'!$S$229)/12</f>
        <v>319.7833333333333</v>
      </c>
      <c r="BM300" s="449">
        <f>SUM('FY19 Staffing V1-1 (3)'!$S$227,'FY19 Staffing V1-1 (3)'!$S$229)/12</f>
        <v>319.7833333333333</v>
      </c>
      <c r="BN300" s="449">
        <f>SUM('FY19 Staffing V1-1 (3)'!$S$227,'FY19 Staffing V1-1 (3)'!$S$229)/12</f>
        <v>319.7833333333333</v>
      </c>
      <c r="BO300" s="449">
        <f>SUM('FY19 Staffing V1-1 (3)'!$S$227,'FY19 Staffing V1-1 (3)'!$S$229)/12</f>
        <v>319.7833333333333</v>
      </c>
      <c r="BP300" s="449">
        <f>SUM('FY19 Staffing V1-1 (3)'!$S$227,'FY19 Staffing V1-1 (3)'!$S$229)/12</f>
        <v>319.7833333333333</v>
      </c>
      <c r="BQ300" s="449">
        <f>SUM('FY19 Staffing V1-1 (3)'!$S$227,'FY19 Staffing V1-1 (3)'!$S$229)/12</f>
        <v>319.7833333333333</v>
      </c>
      <c r="BR300" s="449">
        <f>SUM('FY19 Staffing V1-1 (3)'!$S$227,'FY19 Staffing V1-1 (3)'!$S$229)/12</f>
        <v>319.7833333333333</v>
      </c>
      <c r="BS300" s="449">
        <f>SUM('FY19 Staffing V1-1 (3)'!$S$227,'FY19 Staffing V1-1 (3)'!$S$229)/12</f>
        <v>319.7833333333333</v>
      </c>
      <c r="BT300" s="449">
        <f>SUM('FY19 Staffing V1-1 (3)'!$S$227,'FY19 Staffing V1-1 (3)'!$S$229)/12</f>
        <v>319.7833333333333</v>
      </c>
    </row>
    <row r="301" spans="1:72" ht="15" x14ac:dyDescent="0.25">
      <c r="A301" s="537" t="s">
        <v>511</v>
      </c>
      <c r="B301" s="537" t="s">
        <v>512</v>
      </c>
      <c r="C301" s="541"/>
      <c r="D301" s="500">
        <f t="shared" si="260"/>
        <v>0</v>
      </c>
      <c r="E301" s="449">
        <v>0</v>
      </c>
      <c r="F301" s="449">
        <f t="shared" si="261"/>
        <v>0</v>
      </c>
      <c r="G301" s="421">
        <f t="shared" si="262"/>
        <v>0</v>
      </c>
      <c r="H301" s="449">
        <v>0</v>
      </c>
      <c r="I301" s="449">
        <f t="shared" si="263"/>
        <v>0</v>
      </c>
      <c r="J301" s="426">
        <f t="shared" si="264"/>
        <v>0</v>
      </c>
      <c r="K301" s="421"/>
      <c r="L301" s="449">
        <v>0</v>
      </c>
      <c r="M301" s="449">
        <v>0</v>
      </c>
      <c r="N301" s="449">
        <v>0</v>
      </c>
      <c r="O301" s="449">
        <v>0</v>
      </c>
      <c r="P301" s="449">
        <v>0</v>
      </c>
      <c r="Q301" s="449">
        <v>0</v>
      </c>
      <c r="R301" s="449">
        <f>($H301-SUM($L301:Q301))/R$694</f>
        <v>0</v>
      </c>
      <c r="S301" s="449">
        <f>($H301-SUM($L301:R301))/S$694</f>
        <v>0</v>
      </c>
      <c r="T301" s="449">
        <f>($H301-SUM($L301:S301))/T$694</f>
        <v>0</v>
      </c>
      <c r="U301" s="449">
        <f>($H301-SUM($L301:T301))/U$694</f>
        <v>0</v>
      </c>
      <c r="V301" s="449">
        <f>($H301-SUM($L301:U301))/V$694</f>
        <v>0</v>
      </c>
      <c r="W301" s="449">
        <f>($H301-SUM($L301:V301))/W$694</f>
        <v>0</v>
      </c>
      <c r="X301" s="449"/>
      <c r="Y301" s="449">
        <f t="shared" si="265"/>
        <v>0</v>
      </c>
      <c r="Z301" s="531"/>
      <c r="AA301" s="449">
        <f t="shared" si="278"/>
        <v>0</v>
      </c>
      <c r="AB301" s="449">
        <f t="shared" si="278"/>
        <v>0</v>
      </c>
      <c r="AC301" s="449">
        <f t="shared" si="278"/>
        <v>0</v>
      </c>
      <c r="AD301" s="449">
        <f t="shared" si="278"/>
        <v>0</v>
      </c>
      <c r="AE301" s="449">
        <f t="shared" si="278"/>
        <v>0</v>
      </c>
      <c r="AF301" s="449">
        <f t="shared" si="278"/>
        <v>0</v>
      </c>
      <c r="AG301" s="449">
        <f t="shared" si="278"/>
        <v>0</v>
      </c>
      <c r="AH301" s="449">
        <f t="shared" si="278"/>
        <v>0</v>
      </c>
      <c r="AI301" s="449">
        <f t="shared" si="278"/>
        <v>0</v>
      </c>
      <c r="AJ301" s="449">
        <f t="shared" si="278"/>
        <v>0</v>
      </c>
      <c r="AK301" s="449">
        <f t="shared" si="278"/>
        <v>0</v>
      </c>
      <c r="AL301" s="449">
        <f t="shared" si="278"/>
        <v>0</v>
      </c>
      <c r="AN301" s="500">
        <f t="shared" si="267"/>
        <v>0</v>
      </c>
      <c r="AO301" s="449">
        <f t="shared" si="268"/>
        <v>1956.9999999999998</v>
      </c>
      <c r="AP301" s="449">
        <f t="shared" si="269"/>
        <v>1956.9999999999998</v>
      </c>
      <c r="AQ301" s="453" t="str">
        <f t="shared" si="270"/>
        <v>-</v>
      </c>
      <c r="AR301" s="449">
        <f t="shared" si="271"/>
        <v>1956.9999999999998</v>
      </c>
      <c r="AS301" s="449">
        <f t="shared" si="272"/>
        <v>0</v>
      </c>
      <c r="AT301" s="426">
        <f t="shared" si="273"/>
        <v>0</v>
      </c>
      <c r="AU301" s="421"/>
      <c r="AV301" s="449">
        <f t="shared" si="277"/>
        <v>163.08333333333334</v>
      </c>
      <c r="AW301" s="449">
        <f t="shared" si="277"/>
        <v>163.08333333333334</v>
      </c>
      <c r="AX301" s="449">
        <f t="shared" si="277"/>
        <v>163.08333333333334</v>
      </c>
      <c r="AY301" s="449">
        <f t="shared" si="276"/>
        <v>163.08333333333334</v>
      </c>
      <c r="AZ301" s="449">
        <f t="shared" si="276"/>
        <v>163.08333333333334</v>
      </c>
      <c r="BA301" s="449">
        <f t="shared" si="276"/>
        <v>163.08333333333334</v>
      </c>
      <c r="BB301" s="449">
        <f t="shared" si="276"/>
        <v>163.08333333333334</v>
      </c>
      <c r="BC301" s="449">
        <f t="shared" si="276"/>
        <v>163.08333333333334</v>
      </c>
      <c r="BD301" s="449">
        <f t="shared" si="276"/>
        <v>163.08333333333334</v>
      </c>
      <c r="BE301" s="449">
        <f t="shared" si="276"/>
        <v>163.08333333333334</v>
      </c>
      <c r="BF301" s="449">
        <f t="shared" si="276"/>
        <v>163.08333333333334</v>
      </c>
      <c r="BG301" s="449">
        <f t="shared" si="276"/>
        <v>163.08333333333334</v>
      </c>
      <c r="BH301" s="400"/>
      <c r="BI301" s="449">
        <f>SUM('FY19 Staffing V1-1 (3)'!$S$228)/12</f>
        <v>163.08333333333334</v>
      </c>
      <c r="BJ301" s="449">
        <f>SUM('FY19 Staffing V1-1 (3)'!$S$228)/12</f>
        <v>163.08333333333334</v>
      </c>
      <c r="BK301" s="449">
        <f>SUM('FY19 Staffing V1-1 (3)'!$S$228)/12</f>
        <v>163.08333333333334</v>
      </c>
      <c r="BL301" s="449">
        <f>SUM('FY19 Staffing V1-1 (3)'!$S$228)/12</f>
        <v>163.08333333333334</v>
      </c>
      <c r="BM301" s="449">
        <f>SUM('FY19 Staffing V1-1 (3)'!$S$228)/12</f>
        <v>163.08333333333334</v>
      </c>
      <c r="BN301" s="449">
        <f>SUM('FY19 Staffing V1-1 (3)'!$S$228)/12</f>
        <v>163.08333333333334</v>
      </c>
      <c r="BO301" s="449">
        <f>SUM('FY19 Staffing V1-1 (3)'!$S$228)/12</f>
        <v>163.08333333333334</v>
      </c>
      <c r="BP301" s="449">
        <f>SUM('FY19 Staffing V1-1 (3)'!$S$228)/12</f>
        <v>163.08333333333334</v>
      </c>
      <c r="BQ301" s="449">
        <f>SUM('FY19 Staffing V1-1 (3)'!$S$228)/12</f>
        <v>163.08333333333334</v>
      </c>
      <c r="BR301" s="449">
        <f>SUM('FY19 Staffing V1-1 (3)'!$S$228)/12</f>
        <v>163.08333333333334</v>
      </c>
      <c r="BS301" s="449">
        <f>SUM('FY19 Staffing V1-1 (3)'!$S$228)/12</f>
        <v>163.08333333333334</v>
      </c>
      <c r="BT301" s="449">
        <f>SUM('FY19 Staffing V1-1 (3)'!$S$228)/12</f>
        <v>163.08333333333334</v>
      </c>
    </row>
    <row r="302" spans="1:72" ht="15" x14ac:dyDescent="0.25">
      <c r="A302" s="502" t="s">
        <v>513</v>
      </c>
      <c r="B302" s="502" t="s">
        <v>514</v>
      </c>
      <c r="C302" s="541"/>
      <c r="D302" s="500">
        <f t="shared" si="260"/>
        <v>0</v>
      </c>
      <c r="E302" s="449">
        <v>0</v>
      </c>
      <c r="F302" s="449">
        <f t="shared" si="261"/>
        <v>0</v>
      </c>
      <c r="G302" s="421">
        <f t="shared" si="262"/>
        <v>0</v>
      </c>
      <c r="H302" s="449">
        <v>0</v>
      </c>
      <c r="I302" s="449">
        <f t="shared" si="263"/>
        <v>0</v>
      </c>
      <c r="J302" s="426">
        <f t="shared" si="264"/>
        <v>0</v>
      </c>
      <c r="K302" s="421"/>
      <c r="L302" s="449">
        <v>0</v>
      </c>
      <c r="M302" s="449">
        <v>0</v>
      </c>
      <c r="N302" s="449">
        <v>0</v>
      </c>
      <c r="O302" s="449">
        <v>0</v>
      </c>
      <c r="P302" s="449">
        <v>0</v>
      </c>
      <c r="Q302" s="449">
        <v>0</v>
      </c>
      <c r="R302" s="449">
        <f>($H302-SUM($L302:Q302))/R$694</f>
        <v>0</v>
      </c>
      <c r="S302" s="449">
        <f>($H302-SUM($L302:R302))/S$694</f>
        <v>0</v>
      </c>
      <c r="T302" s="449">
        <f>($H302-SUM($L302:S302))/T$694</f>
        <v>0</v>
      </c>
      <c r="U302" s="449">
        <f>($H302-SUM($L302:T302))/U$694</f>
        <v>0</v>
      </c>
      <c r="V302" s="449">
        <f>($H302-SUM($L302:U302))/V$694</f>
        <v>0</v>
      </c>
      <c r="W302" s="449">
        <f>($H302-SUM($L302:V302))/W$694</f>
        <v>0</v>
      </c>
      <c r="X302" s="449"/>
      <c r="Y302" s="449">
        <f t="shared" si="265"/>
        <v>0</v>
      </c>
      <c r="Z302" s="531"/>
      <c r="AA302" s="449">
        <f t="shared" si="278"/>
        <v>0</v>
      </c>
      <c r="AB302" s="449">
        <f t="shared" si="278"/>
        <v>0</v>
      </c>
      <c r="AC302" s="449">
        <f t="shared" si="278"/>
        <v>0</v>
      </c>
      <c r="AD302" s="449">
        <f t="shared" si="278"/>
        <v>0</v>
      </c>
      <c r="AE302" s="449">
        <f t="shared" si="278"/>
        <v>0</v>
      </c>
      <c r="AF302" s="449">
        <f t="shared" si="278"/>
        <v>0</v>
      </c>
      <c r="AG302" s="449">
        <f t="shared" si="278"/>
        <v>0</v>
      </c>
      <c r="AH302" s="449">
        <f t="shared" si="278"/>
        <v>0</v>
      </c>
      <c r="AI302" s="449">
        <f t="shared" si="278"/>
        <v>0</v>
      </c>
      <c r="AJ302" s="449">
        <f t="shared" si="278"/>
        <v>0</v>
      </c>
      <c r="AK302" s="449">
        <f t="shared" si="278"/>
        <v>0</v>
      </c>
      <c r="AL302" s="449">
        <f t="shared" si="278"/>
        <v>0</v>
      </c>
      <c r="AN302" s="500">
        <f t="shared" si="267"/>
        <v>0</v>
      </c>
      <c r="AO302" s="449">
        <f t="shared" si="268"/>
        <v>0</v>
      </c>
      <c r="AP302" s="449">
        <f t="shared" si="269"/>
        <v>0</v>
      </c>
      <c r="AQ302" s="453" t="str">
        <f t="shared" si="270"/>
        <v>-</v>
      </c>
      <c r="AR302" s="449">
        <f t="shared" si="271"/>
        <v>0</v>
      </c>
      <c r="AS302" s="449">
        <f t="shared" si="272"/>
        <v>0</v>
      </c>
      <c r="AT302" s="426">
        <f t="shared" si="273"/>
        <v>0</v>
      </c>
      <c r="AU302" s="421"/>
      <c r="AV302" s="449">
        <f t="shared" si="277"/>
        <v>0</v>
      </c>
      <c r="AW302" s="449">
        <f t="shared" si="277"/>
        <v>0</v>
      </c>
      <c r="AX302" s="449">
        <f t="shared" si="277"/>
        <v>0</v>
      </c>
      <c r="AY302" s="449">
        <f t="shared" si="276"/>
        <v>0</v>
      </c>
      <c r="AZ302" s="449">
        <f t="shared" si="276"/>
        <v>0</v>
      </c>
      <c r="BA302" s="449">
        <f t="shared" si="276"/>
        <v>0</v>
      </c>
      <c r="BB302" s="449">
        <f t="shared" si="276"/>
        <v>0</v>
      </c>
      <c r="BC302" s="449">
        <f t="shared" si="276"/>
        <v>0</v>
      </c>
      <c r="BD302" s="449">
        <f t="shared" si="276"/>
        <v>0</v>
      </c>
      <c r="BE302" s="449">
        <f t="shared" si="276"/>
        <v>0</v>
      </c>
      <c r="BF302" s="449">
        <f t="shared" si="276"/>
        <v>0</v>
      </c>
      <c r="BG302" s="449">
        <f t="shared" si="276"/>
        <v>0</v>
      </c>
      <c r="BH302" s="400"/>
      <c r="BI302" s="449">
        <v>0</v>
      </c>
      <c r="BJ302" s="449">
        <v>0</v>
      </c>
      <c r="BK302" s="449">
        <v>0</v>
      </c>
      <c r="BL302" s="449">
        <v>0</v>
      </c>
      <c r="BM302" s="449">
        <v>0</v>
      </c>
      <c r="BN302" s="449">
        <v>0</v>
      </c>
      <c r="BO302" s="449">
        <v>0</v>
      </c>
      <c r="BP302" s="449">
        <v>0</v>
      </c>
      <c r="BQ302" s="449">
        <v>0</v>
      </c>
      <c r="BR302" s="449">
        <v>0</v>
      </c>
      <c r="BS302" s="449">
        <v>0</v>
      </c>
      <c r="BT302" s="449">
        <v>0</v>
      </c>
    </row>
    <row r="303" spans="1:72" ht="15" x14ac:dyDescent="0.25">
      <c r="A303" s="502" t="s">
        <v>515</v>
      </c>
      <c r="B303" s="502" t="s">
        <v>516</v>
      </c>
      <c r="C303" s="541"/>
      <c r="D303" s="500">
        <f t="shared" si="260"/>
        <v>1236</v>
      </c>
      <c r="E303" s="449">
        <v>1361</v>
      </c>
      <c r="F303" s="449">
        <f t="shared" si="261"/>
        <v>-125</v>
      </c>
      <c r="G303" s="421">
        <f t="shared" si="262"/>
        <v>-9.184423218221896E-2</v>
      </c>
      <c r="H303" s="449">
        <v>1236</v>
      </c>
      <c r="I303" s="449">
        <f t="shared" si="263"/>
        <v>0</v>
      </c>
      <c r="J303" s="426">
        <f t="shared" si="264"/>
        <v>0</v>
      </c>
      <c r="K303" s="421"/>
      <c r="L303" s="449">
        <v>0</v>
      </c>
      <c r="M303" s="449">
        <v>112.77</v>
      </c>
      <c r="N303" s="449">
        <v>98.36999999999999</v>
      </c>
      <c r="O303" s="449">
        <v>93.910000000000025</v>
      </c>
      <c r="P303" s="449">
        <v>89.789999999999964</v>
      </c>
      <c r="Q303" s="449">
        <v>118.86000000000007</v>
      </c>
      <c r="R303" s="449">
        <f>($H303-SUM($L303:Q303))/R$694</f>
        <v>120.38333333333333</v>
      </c>
      <c r="S303" s="449">
        <f>($H303-SUM($L303:R303))/S$694</f>
        <v>120.38333333333333</v>
      </c>
      <c r="T303" s="449">
        <f>($H303-SUM($L303:S303))/T$694</f>
        <v>120.38333333333333</v>
      </c>
      <c r="U303" s="449">
        <f>($H303-SUM($L303:T303))/U$694</f>
        <v>120.38333333333333</v>
      </c>
      <c r="V303" s="449">
        <f>($H303-SUM($L303:U303))/V$694</f>
        <v>120.38333333333333</v>
      </c>
      <c r="W303" s="449">
        <f>($H303-SUM($L303:V303))/W$694</f>
        <v>120.38333333333321</v>
      </c>
      <c r="X303" s="449"/>
      <c r="Y303" s="449">
        <f t="shared" si="265"/>
        <v>1236</v>
      </c>
      <c r="Z303" s="531"/>
      <c r="AA303" s="449">
        <f t="shared" si="278"/>
        <v>103</v>
      </c>
      <c r="AB303" s="449">
        <f t="shared" si="278"/>
        <v>103</v>
      </c>
      <c r="AC303" s="449">
        <f t="shared" si="278"/>
        <v>103</v>
      </c>
      <c r="AD303" s="449">
        <f t="shared" si="278"/>
        <v>103</v>
      </c>
      <c r="AE303" s="449">
        <f t="shared" si="278"/>
        <v>103</v>
      </c>
      <c r="AF303" s="449">
        <f t="shared" si="278"/>
        <v>103</v>
      </c>
      <c r="AG303" s="449">
        <f t="shared" si="278"/>
        <v>103</v>
      </c>
      <c r="AH303" s="449">
        <f t="shared" si="278"/>
        <v>103</v>
      </c>
      <c r="AI303" s="449">
        <f t="shared" si="278"/>
        <v>103</v>
      </c>
      <c r="AJ303" s="449">
        <f t="shared" si="278"/>
        <v>103</v>
      </c>
      <c r="AK303" s="449">
        <f t="shared" si="278"/>
        <v>103</v>
      </c>
      <c r="AL303" s="449">
        <f t="shared" si="278"/>
        <v>103</v>
      </c>
      <c r="AN303" s="500">
        <f t="shared" si="267"/>
        <v>1236</v>
      </c>
      <c r="AO303" s="449">
        <f t="shared" si="268"/>
        <v>1386.79</v>
      </c>
      <c r="AP303" s="449">
        <f t="shared" si="269"/>
        <v>150.78999999999996</v>
      </c>
      <c r="AQ303" s="453">
        <f t="shared" si="270"/>
        <v>0.12199838187702262</v>
      </c>
      <c r="AR303" s="449">
        <f t="shared" si="271"/>
        <v>1386.79</v>
      </c>
      <c r="AS303" s="449">
        <f t="shared" si="272"/>
        <v>0</v>
      </c>
      <c r="AT303" s="426">
        <f t="shared" si="273"/>
        <v>0</v>
      </c>
      <c r="AU303" s="421"/>
      <c r="AV303" s="449">
        <f t="shared" si="277"/>
        <v>115.56583333333333</v>
      </c>
      <c r="AW303" s="449">
        <f t="shared" si="277"/>
        <v>115.56583333333333</v>
      </c>
      <c r="AX303" s="449">
        <f t="shared" si="277"/>
        <v>115.56583333333333</v>
      </c>
      <c r="AY303" s="449">
        <f t="shared" si="276"/>
        <v>115.56583333333333</v>
      </c>
      <c r="AZ303" s="449">
        <f t="shared" si="276"/>
        <v>115.56583333333333</v>
      </c>
      <c r="BA303" s="449">
        <f t="shared" si="276"/>
        <v>115.56583333333333</v>
      </c>
      <c r="BB303" s="449">
        <f t="shared" si="276"/>
        <v>115.56583333333333</v>
      </c>
      <c r="BC303" s="449">
        <f t="shared" si="276"/>
        <v>115.56583333333333</v>
      </c>
      <c r="BD303" s="449">
        <f t="shared" si="276"/>
        <v>115.56583333333333</v>
      </c>
      <c r="BE303" s="449">
        <f t="shared" si="276"/>
        <v>115.56583333333333</v>
      </c>
      <c r="BF303" s="449">
        <f t="shared" si="276"/>
        <v>115.56583333333333</v>
      </c>
      <c r="BG303" s="449">
        <f t="shared" si="276"/>
        <v>115.56583333333333</v>
      </c>
      <c r="BH303" s="400"/>
      <c r="BI303" s="449">
        <f>SUM('FY19 Staffing V1-1 (3)'!$S$269)/12</f>
        <v>115.56583333333333</v>
      </c>
      <c r="BJ303" s="449">
        <f>SUM('FY19 Staffing V1-1 (3)'!$S$269)/12</f>
        <v>115.56583333333333</v>
      </c>
      <c r="BK303" s="449">
        <f>SUM('FY19 Staffing V1-1 (3)'!$S$269)/12</f>
        <v>115.56583333333333</v>
      </c>
      <c r="BL303" s="449">
        <f>SUM('FY19 Staffing V1-1 (3)'!$S$269)/12</f>
        <v>115.56583333333333</v>
      </c>
      <c r="BM303" s="449">
        <f>SUM('FY19 Staffing V1-1 (3)'!$S$269)/12</f>
        <v>115.56583333333333</v>
      </c>
      <c r="BN303" s="449">
        <f>SUM('FY19 Staffing V1-1 (3)'!$S$269)/12</f>
        <v>115.56583333333333</v>
      </c>
      <c r="BO303" s="449">
        <f>SUM('FY19 Staffing V1-1 (3)'!$S$269)/12</f>
        <v>115.56583333333333</v>
      </c>
      <c r="BP303" s="449">
        <f>SUM('FY19 Staffing V1-1 (3)'!$S$269)/12</f>
        <v>115.56583333333333</v>
      </c>
      <c r="BQ303" s="449">
        <f>SUM('FY19 Staffing V1-1 (3)'!$S$269)/12</f>
        <v>115.56583333333333</v>
      </c>
      <c r="BR303" s="449">
        <f>SUM('FY19 Staffing V1-1 (3)'!$S$269)/12</f>
        <v>115.56583333333333</v>
      </c>
      <c r="BS303" s="449">
        <f>SUM('FY19 Staffing V1-1 (3)'!$S$269)/12</f>
        <v>115.56583333333333</v>
      </c>
      <c r="BT303" s="449">
        <f>SUM('FY19 Staffing V1-1 (3)'!$S$269)/12</f>
        <v>115.56583333333333</v>
      </c>
    </row>
    <row r="304" spans="1:72" ht="15" x14ac:dyDescent="0.25">
      <c r="A304" s="502" t="s">
        <v>517</v>
      </c>
      <c r="B304" s="502" t="s">
        <v>518</v>
      </c>
      <c r="C304" s="541"/>
      <c r="D304" s="500">
        <f t="shared" si="260"/>
        <v>120</v>
      </c>
      <c r="E304" s="449">
        <v>1361</v>
      </c>
      <c r="F304" s="449">
        <f t="shared" si="261"/>
        <v>-1241</v>
      </c>
      <c r="G304" s="421">
        <f t="shared" si="262"/>
        <v>-0.91182953710506975</v>
      </c>
      <c r="H304" s="449">
        <v>120</v>
      </c>
      <c r="I304" s="449">
        <f t="shared" si="263"/>
        <v>0</v>
      </c>
      <c r="J304" s="426">
        <f t="shared" si="264"/>
        <v>0</v>
      </c>
      <c r="K304" s="421"/>
      <c r="L304" s="449">
        <v>0</v>
      </c>
      <c r="M304" s="449">
        <v>0</v>
      </c>
      <c r="N304" s="449">
        <v>0</v>
      </c>
      <c r="O304" s="449">
        <v>0</v>
      </c>
      <c r="P304" s="449">
        <v>0</v>
      </c>
      <c r="Q304" s="449">
        <v>0</v>
      </c>
      <c r="R304" s="449">
        <f>($H304-SUM($L304:Q304))/R$694</f>
        <v>20</v>
      </c>
      <c r="S304" s="449">
        <f>($H304-SUM($L304:R304))/S$694</f>
        <v>20</v>
      </c>
      <c r="T304" s="449">
        <f>($H304-SUM($L304:S304))/T$694</f>
        <v>20</v>
      </c>
      <c r="U304" s="449">
        <f>($H304-SUM($L304:T304))/U$694</f>
        <v>20</v>
      </c>
      <c r="V304" s="449">
        <f>($H304-SUM($L304:U304))/V$694</f>
        <v>20</v>
      </c>
      <c r="W304" s="449">
        <f>($H304-SUM($L304:V304))/W$694</f>
        <v>20</v>
      </c>
      <c r="X304" s="449"/>
      <c r="Y304" s="449">
        <f t="shared" si="265"/>
        <v>120</v>
      </c>
      <c r="Z304" s="531"/>
      <c r="AA304" s="449">
        <f t="shared" si="278"/>
        <v>10</v>
      </c>
      <c r="AB304" s="449">
        <f t="shared" si="278"/>
        <v>10</v>
      </c>
      <c r="AC304" s="449">
        <f t="shared" si="278"/>
        <v>10</v>
      </c>
      <c r="AD304" s="449">
        <f t="shared" si="278"/>
        <v>10</v>
      </c>
      <c r="AE304" s="449">
        <f t="shared" si="278"/>
        <v>10</v>
      </c>
      <c r="AF304" s="449">
        <f t="shared" si="278"/>
        <v>10</v>
      </c>
      <c r="AG304" s="449">
        <f t="shared" si="278"/>
        <v>10</v>
      </c>
      <c r="AH304" s="449">
        <f t="shared" si="278"/>
        <v>10</v>
      </c>
      <c r="AI304" s="449">
        <f t="shared" si="278"/>
        <v>10</v>
      </c>
      <c r="AJ304" s="449">
        <f t="shared" si="278"/>
        <v>10</v>
      </c>
      <c r="AK304" s="449">
        <f t="shared" si="278"/>
        <v>10</v>
      </c>
      <c r="AL304" s="449">
        <f t="shared" si="278"/>
        <v>10</v>
      </c>
      <c r="AN304" s="500">
        <f t="shared" ref="AN304:AN329" si="279">SUM(L304:W304)</f>
        <v>120</v>
      </c>
      <c r="AO304" s="449">
        <f t="shared" si="268"/>
        <v>0</v>
      </c>
      <c r="AP304" s="449">
        <f t="shared" si="269"/>
        <v>-120</v>
      </c>
      <c r="AQ304" s="453">
        <f t="shared" si="270"/>
        <v>-1</v>
      </c>
      <c r="AR304" s="449">
        <f t="shared" si="271"/>
        <v>0</v>
      </c>
      <c r="AS304" s="449">
        <f t="shared" si="272"/>
        <v>0</v>
      </c>
      <c r="AT304" s="426">
        <f t="shared" si="273"/>
        <v>0</v>
      </c>
      <c r="AU304" s="421"/>
      <c r="AV304" s="449">
        <f t="shared" si="277"/>
        <v>0</v>
      </c>
      <c r="AW304" s="449">
        <f t="shared" si="277"/>
        <v>0</v>
      </c>
      <c r="AX304" s="449">
        <f t="shared" si="277"/>
        <v>0</v>
      </c>
      <c r="AY304" s="449">
        <f t="shared" si="276"/>
        <v>0</v>
      </c>
      <c r="AZ304" s="449">
        <f t="shared" si="276"/>
        <v>0</v>
      </c>
      <c r="BA304" s="449">
        <f t="shared" si="276"/>
        <v>0</v>
      </c>
      <c r="BB304" s="449">
        <f t="shared" si="276"/>
        <v>0</v>
      </c>
      <c r="BC304" s="449">
        <f t="shared" si="276"/>
        <v>0</v>
      </c>
      <c r="BD304" s="449">
        <f t="shared" si="276"/>
        <v>0</v>
      </c>
      <c r="BE304" s="449">
        <f t="shared" si="276"/>
        <v>0</v>
      </c>
      <c r="BF304" s="449">
        <f t="shared" si="276"/>
        <v>0</v>
      </c>
      <c r="BG304" s="449">
        <f t="shared" si="276"/>
        <v>0</v>
      </c>
      <c r="BH304" s="400"/>
      <c r="BI304" s="449">
        <v>0</v>
      </c>
      <c r="BJ304" s="449">
        <v>0</v>
      </c>
      <c r="BK304" s="449">
        <v>0</v>
      </c>
      <c r="BL304" s="449">
        <v>0</v>
      </c>
      <c r="BM304" s="449">
        <v>0</v>
      </c>
      <c r="BN304" s="449">
        <v>0</v>
      </c>
      <c r="BO304" s="449">
        <v>0</v>
      </c>
      <c r="BP304" s="449">
        <v>0</v>
      </c>
      <c r="BQ304" s="449">
        <v>0</v>
      </c>
      <c r="BR304" s="449">
        <v>0</v>
      </c>
      <c r="BS304" s="449">
        <v>0</v>
      </c>
      <c r="BT304" s="449">
        <v>0</v>
      </c>
    </row>
    <row r="305" spans="1:72" ht="15" hidden="1" x14ac:dyDescent="0.25">
      <c r="A305" s="616" t="s">
        <v>519</v>
      </c>
      <c r="B305" s="614" t="s">
        <v>520</v>
      </c>
      <c r="C305" s="630"/>
      <c r="D305" s="500">
        <f t="shared" si="260"/>
        <v>78750</v>
      </c>
      <c r="E305" s="449">
        <v>77250</v>
      </c>
      <c r="F305" s="449">
        <f t="shared" si="261"/>
        <v>1500</v>
      </c>
      <c r="G305" s="421">
        <f t="shared" si="262"/>
        <v>1.9417475728155338E-2</v>
      </c>
      <c r="H305" s="449">
        <v>78750</v>
      </c>
      <c r="I305" s="449">
        <f t="shared" si="263"/>
        <v>0</v>
      </c>
      <c r="J305" s="426">
        <f t="shared" si="264"/>
        <v>0</v>
      </c>
      <c r="K305" s="421"/>
      <c r="L305" s="449">
        <v>0</v>
      </c>
      <c r="M305" s="449">
        <v>7269.25</v>
      </c>
      <c r="N305" s="449">
        <v>1918.2700000000004</v>
      </c>
      <c r="O305" s="449">
        <v>3096.16</v>
      </c>
      <c r="P305" s="449">
        <v>3096.16</v>
      </c>
      <c r="Q305" s="449">
        <v>5870.2000000000007</v>
      </c>
      <c r="R305" s="449">
        <f>($H305-SUM($L305:Q305))/R$694</f>
        <v>9583.3266666666659</v>
      </c>
      <c r="S305" s="449">
        <f>($H305-SUM($L305:R305))/S$694</f>
        <v>9583.3266666666659</v>
      </c>
      <c r="T305" s="449">
        <f>($H305-SUM($L305:S305))/T$694</f>
        <v>9583.3266666666659</v>
      </c>
      <c r="U305" s="449">
        <f>($H305-SUM($L305:T305))/U$694</f>
        <v>9583.3266666666659</v>
      </c>
      <c r="V305" s="449">
        <f>($H305-SUM($L305:U305))/V$694</f>
        <v>9583.3266666666641</v>
      </c>
      <c r="W305" s="449">
        <f>($H305-SUM($L305:V305))/W$694</f>
        <v>9583.3266666666605</v>
      </c>
      <c r="X305" s="449"/>
      <c r="Y305" s="449">
        <f t="shared" si="265"/>
        <v>78750</v>
      </c>
      <c r="Z305" s="531"/>
      <c r="AA305" s="449">
        <f t="shared" si="278"/>
        <v>6562.5</v>
      </c>
      <c r="AB305" s="449">
        <f t="shared" si="278"/>
        <v>6562.5</v>
      </c>
      <c r="AC305" s="449">
        <f t="shared" si="278"/>
        <v>6562.5</v>
      </c>
      <c r="AD305" s="449">
        <f t="shared" si="278"/>
        <v>6562.5</v>
      </c>
      <c r="AE305" s="449">
        <f t="shared" si="278"/>
        <v>6562.5</v>
      </c>
      <c r="AF305" s="449">
        <f t="shared" si="278"/>
        <v>6562.5</v>
      </c>
      <c r="AG305" s="449">
        <f t="shared" si="278"/>
        <v>6562.5</v>
      </c>
      <c r="AH305" s="449">
        <f t="shared" si="278"/>
        <v>6562.5</v>
      </c>
      <c r="AI305" s="449">
        <f t="shared" si="278"/>
        <v>6562.5</v>
      </c>
      <c r="AJ305" s="449">
        <f t="shared" si="278"/>
        <v>6562.5</v>
      </c>
      <c r="AK305" s="449">
        <f t="shared" si="278"/>
        <v>6562.5</v>
      </c>
      <c r="AL305" s="449">
        <f t="shared" si="278"/>
        <v>6562.5</v>
      </c>
      <c r="AN305" s="500">
        <f t="shared" si="279"/>
        <v>78750</v>
      </c>
      <c r="AO305" s="449">
        <f t="shared" si="268"/>
        <v>0</v>
      </c>
      <c r="AP305" s="449">
        <f t="shared" si="269"/>
        <v>-78750</v>
      </c>
      <c r="AQ305" s="453">
        <f t="shared" si="270"/>
        <v>-1</v>
      </c>
      <c r="AR305" s="449">
        <f t="shared" si="271"/>
        <v>0</v>
      </c>
      <c r="AS305" s="449">
        <f t="shared" si="272"/>
        <v>0</v>
      </c>
      <c r="AT305" s="426">
        <f t="shared" si="273"/>
        <v>0</v>
      </c>
      <c r="AU305" s="421"/>
      <c r="AV305" s="449">
        <f t="shared" si="277"/>
        <v>0</v>
      </c>
      <c r="AW305" s="449">
        <f t="shared" si="277"/>
        <v>0</v>
      </c>
      <c r="AX305" s="449">
        <f t="shared" si="277"/>
        <v>0</v>
      </c>
      <c r="AY305" s="449">
        <f t="shared" si="276"/>
        <v>0</v>
      </c>
      <c r="AZ305" s="449">
        <f t="shared" si="276"/>
        <v>0</v>
      </c>
      <c r="BA305" s="449">
        <f t="shared" si="276"/>
        <v>0</v>
      </c>
      <c r="BB305" s="449">
        <f t="shared" si="276"/>
        <v>0</v>
      </c>
      <c r="BC305" s="449">
        <f t="shared" si="276"/>
        <v>0</v>
      </c>
      <c r="BD305" s="449">
        <f t="shared" si="276"/>
        <v>0</v>
      </c>
      <c r="BE305" s="449">
        <f t="shared" si="276"/>
        <v>0</v>
      </c>
      <c r="BF305" s="449">
        <f t="shared" si="276"/>
        <v>0</v>
      </c>
      <c r="BG305" s="449">
        <f t="shared" si="276"/>
        <v>0</v>
      </c>
      <c r="BH305" s="400"/>
      <c r="BI305" s="449">
        <v>0</v>
      </c>
      <c r="BJ305" s="449">
        <v>0</v>
      </c>
      <c r="BK305" s="449">
        <v>0</v>
      </c>
      <c r="BL305" s="449">
        <v>0</v>
      </c>
      <c r="BM305" s="449">
        <v>0</v>
      </c>
      <c r="BN305" s="449">
        <v>0</v>
      </c>
      <c r="BO305" s="449">
        <v>0</v>
      </c>
      <c r="BP305" s="449">
        <v>0</v>
      </c>
      <c r="BQ305" s="449">
        <v>0</v>
      </c>
      <c r="BR305" s="449">
        <v>0</v>
      </c>
      <c r="BS305" s="449">
        <v>0</v>
      </c>
      <c r="BT305" s="449">
        <v>0</v>
      </c>
    </row>
    <row r="306" spans="1:72" ht="15" x14ac:dyDescent="0.25">
      <c r="A306" s="502" t="s">
        <v>521</v>
      </c>
      <c r="B306" s="502" t="s">
        <v>522</v>
      </c>
      <c r="C306" s="630"/>
      <c r="D306" s="500">
        <f t="shared" si="260"/>
        <v>85414</v>
      </c>
      <c r="E306" s="449">
        <v>107129</v>
      </c>
      <c r="F306" s="449">
        <f t="shared" si="261"/>
        <v>-21715</v>
      </c>
      <c r="G306" s="421">
        <f t="shared" si="262"/>
        <v>-0.202699549141689</v>
      </c>
      <c r="H306" s="449">
        <v>85414</v>
      </c>
      <c r="I306" s="449">
        <f t="shared" si="263"/>
        <v>0</v>
      </c>
      <c r="J306" s="426">
        <f t="shared" si="264"/>
        <v>0</v>
      </c>
      <c r="K306" s="421"/>
      <c r="L306" s="449">
        <v>0.01</v>
      </c>
      <c r="M306" s="449">
        <v>0</v>
      </c>
      <c r="N306" s="449">
        <v>0</v>
      </c>
      <c r="O306" s="449">
        <v>727.35</v>
      </c>
      <c r="P306" s="449">
        <v>727.35</v>
      </c>
      <c r="Q306" s="449">
        <v>727.34999999999991</v>
      </c>
      <c r="R306" s="449">
        <f>($H306-SUM($L306:Q306))/R$694</f>
        <v>13871.99</v>
      </c>
      <c r="S306" s="449">
        <f>($H306-SUM($L306:R306))/S$694</f>
        <v>13871.99</v>
      </c>
      <c r="T306" s="449">
        <f>($H306-SUM($L306:S306))/T$694</f>
        <v>13871.99</v>
      </c>
      <c r="U306" s="449">
        <f>($H306-SUM($L306:T306))/U$694</f>
        <v>13871.99</v>
      </c>
      <c r="V306" s="449">
        <f>($H306-SUM($L306:U306))/V$694</f>
        <v>13871.990000000002</v>
      </c>
      <c r="W306" s="449">
        <f>($H306-SUM($L306:V306))/W$694</f>
        <v>13871.990000000005</v>
      </c>
      <c r="X306" s="449"/>
      <c r="Y306" s="449">
        <f t="shared" si="265"/>
        <v>85414</v>
      </c>
      <c r="Z306" s="531"/>
      <c r="AA306" s="449">
        <f t="shared" si="278"/>
        <v>7117.833333333333</v>
      </c>
      <c r="AB306" s="449">
        <f t="shared" si="278"/>
        <v>7117.833333333333</v>
      </c>
      <c r="AC306" s="449">
        <f t="shared" si="278"/>
        <v>7117.833333333333</v>
      </c>
      <c r="AD306" s="449">
        <f t="shared" si="278"/>
        <v>7117.833333333333</v>
      </c>
      <c r="AE306" s="449">
        <f t="shared" si="278"/>
        <v>7117.833333333333</v>
      </c>
      <c r="AF306" s="449">
        <f t="shared" si="278"/>
        <v>7117.833333333333</v>
      </c>
      <c r="AG306" s="449">
        <f t="shared" si="278"/>
        <v>7117.833333333333</v>
      </c>
      <c r="AH306" s="449">
        <f t="shared" si="278"/>
        <v>7117.833333333333</v>
      </c>
      <c r="AI306" s="449">
        <f t="shared" si="278"/>
        <v>7117.833333333333</v>
      </c>
      <c r="AJ306" s="449">
        <f t="shared" si="278"/>
        <v>7117.833333333333</v>
      </c>
      <c r="AK306" s="449">
        <f t="shared" si="278"/>
        <v>7117.833333333333</v>
      </c>
      <c r="AL306" s="449">
        <f t="shared" si="278"/>
        <v>7117.833333333333</v>
      </c>
      <c r="AN306" s="500">
        <f t="shared" si="279"/>
        <v>85414</v>
      </c>
      <c r="AO306" s="449">
        <f t="shared" si="268"/>
        <v>87976.42</v>
      </c>
      <c r="AP306" s="449">
        <f t="shared" si="269"/>
        <v>2562.4199999999983</v>
      </c>
      <c r="AQ306" s="453">
        <f t="shared" si="270"/>
        <v>2.9999999999999978E-2</v>
      </c>
      <c r="AR306" s="449">
        <f t="shared" si="271"/>
        <v>87976.42</v>
      </c>
      <c r="AS306" s="449">
        <f t="shared" si="272"/>
        <v>0</v>
      </c>
      <c r="AT306" s="426">
        <f t="shared" si="273"/>
        <v>0</v>
      </c>
      <c r="AU306" s="421"/>
      <c r="AV306" s="449">
        <f t="shared" si="277"/>
        <v>7331.3683333333347</v>
      </c>
      <c r="AW306" s="449">
        <f t="shared" si="277"/>
        <v>7331.3683333333347</v>
      </c>
      <c r="AX306" s="449">
        <f t="shared" si="277"/>
        <v>7331.3683333333347</v>
      </c>
      <c r="AY306" s="449">
        <f t="shared" si="276"/>
        <v>7331.3683333333347</v>
      </c>
      <c r="AZ306" s="449">
        <f t="shared" si="276"/>
        <v>7331.3683333333347</v>
      </c>
      <c r="BA306" s="449">
        <f t="shared" si="276"/>
        <v>7331.3683333333347</v>
      </c>
      <c r="BB306" s="449">
        <f t="shared" si="276"/>
        <v>7331.3683333333347</v>
      </c>
      <c r="BC306" s="449">
        <f t="shared" si="276"/>
        <v>7331.3683333333347</v>
      </c>
      <c r="BD306" s="449">
        <f t="shared" si="276"/>
        <v>7331.3683333333347</v>
      </c>
      <c r="BE306" s="449">
        <f t="shared" si="276"/>
        <v>7331.3683333333347</v>
      </c>
      <c r="BF306" s="449">
        <f t="shared" si="276"/>
        <v>7331.3683333333347</v>
      </c>
      <c r="BG306" s="449">
        <f t="shared" si="276"/>
        <v>7331.3683333333347</v>
      </c>
      <c r="BH306" s="400"/>
      <c r="BI306" s="449">
        <f>SUM('FY19 Staffing V1-1 (3)'!$P$247:$P$248)/12</f>
        <v>7331.3683333333347</v>
      </c>
      <c r="BJ306" s="449">
        <f>SUM('FY19 Staffing V1-1 (3)'!$P$247:$P$248)/12</f>
        <v>7331.3683333333347</v>
      </c>
      <c r="BK306" s="449">
        <f>SUM('FY19 Staffing V1-1 (3)'!$P$247:$P$248)/12</f>
        <v>7331.3683333333347</v>
      </c>
      <c r="BL306" s="449">
        <f>SUM('FY19 Staffing V1-1 (3)'!$P$247:$P$248)/12</f>
        <v>7331.3683333333347</v>
      </c>
      <c r="BM306" s="449">
        <f>SUM('FY19 Staffing V1-1 (3)'!$P$247:$P$248)/12</f>
        <v>7331.3683333333347</v>
      </c>
      <c r="BN306" s="449">
        <f>SUM('FY19 Staffing V1-1 (3)'!$P$247:$P$248)/12</f>
        <v>7331.3683333333347</v>
      </c>
      <c r="BO306" s="449">
        <f>SUM('FY19 Staffing V1-1 (3)'!$P$247:$P$248)/12</f>
        <v>7331.3683333333347</v>
      </c>
      <c r="BP306" s="449">
        <f>SUM('FY19 Staffing V1-1 (3)'!$P$247:$P$248)/12</f>
        <v>7331.3683333333347</v>
      </c>
      <c r="BQ306" s="449">
        <f>SUM('FY19 Staffing V1-1 (3)'!$P$247:$P$248)/12</f>
        <v>7331.3683333333347</v>
      </c>
      <c r="BR306" s="449">
        <f>SUM('FY19 Staffing V1-1 (3)'!$P$247:$P$248)/12</f>
        <v>7331.3683333333347</v>
      </c>
      <c r="BS306" s="449">
        <f>SUM('FY19 Staffing V1-1 (3)'!$P$247:$P$248)/12</f>
        <v>7331.3683333333347</v>
      </c>
      <c r="BT306" s="449">
        <f>SUM('FY19 Staffing V1-1 (3)'!$P$247:$P$248)/12</f>
        <v>7331.3683333333347</v>
      </c>
    </row>
    <row r="307" spans="1:72" ht="15" x14ac:dyDescent="0.25">
      <c r="A307" s="502" t="s">
        <v>523</v>
      </c>
      <c r="B307" s="502" t="s">
        <v>524</v>
      </c>
      <c r="C307" s="630"/>
      <c r="D307" s="500">
        <f t="shared" si="260"/>
        <v>0</v>
      </c>
      <c r="E307" s="449">
        <v>0</v>
      </c>
      <c r="F307" s="449">
        <f t="shared" si="261"/>
        <v>0</v>
      </c>
      <c r="G307" s="421">
        <f t="shared" si="262"/>
        <v>0</v>
      </c>
      <c r="H307" s="449">
        <v>0</v>
      </c>
      <c r="I307" s="449">
        <f t="shared" si="263"/>
        <v>0</v>
      </c>
      <c r="J307" s="426">
        <f t="shared" si="264"/>
        <v>0</v>
      </c>
      <c r="K307" s="421"/>
      <c r="L307" s="449">
        <v>0</v>
      </c>
      <c r="M307" s="449">
        <v>0</v>
      </c>
      <c r="N307" s="449">
        <v>0</v>
      </c>
      <c r="O307" s="449">
        <v>0</v>
      </c>
      <c r="P307" s="449">
        <v>0</v>
      </c>
      <c r="Q307" s="449">
        <v>0</v>
      </c>
      <c r="R307" s="449">
        <f>($H307-SUM($L307:Q307))/R$694</f>
        <v>0</v>
      </c>
      <c r="S307" s="449">
        <f>($H307-SUM($L307:R307))/S$694</f>
        <v>0</v>
      </c>
      <c r="T307" s="449">
        <f>($H307-SUM($L307:S307))/T$694</f>
        <v>0</v>
      </c>
      <c r="U307" s="449">
        <f>($H307-SUM($L307:T307))/U$694</f>
        <v>0</v>
      </c>
      <c r="V307" s="449">
        <f>($H307-SUM($L307:U307))/V$694</f>
        <v>0</v>
      </c>
      <c r="W307" s="449">
        <f>($H307-SUM($L307:V307))/W$694</f>
        <v>0</v>
      </c>
      <c r="X307" s="449"/>
      <c r="Y307" s="449">
        <f t="shared" si="265"/>
        <v>0</v>
      </c>
      <c r="Z307" s="531"/>
      <c r="AA307" s="449">
        <f t="shared" si="278"/>
        <v>0</v>
      </c>
      <c r="AB307" s="449">
        <f t="shared" si="278"/>
        <v>0</v>
      </c>
      <c r="AC307" s="449">
        <f t="shared" si="278"/>
        <v>0</v>
      </c>
      <c r="AD307" s="449">
        <f t="shared" si="278"/>
        <v>0</v>
      </c>
      <c r="AE307" s="449">
        <f t="shared" si="278"/>
        <v>0</v>
      </c>
      <c r="AF307" s="449">
        <f t="shared" si="278"/>
        <v>0</v>
      </c>
      <c r="AG307" s="449">
        <f t="shared" si="278"/>
        <v>0</v>
      </c>
      <c r="AH307" s="449">
        <f t="shared" si="278"/>
        <v>0</v>
      </c>
      <c r="AI307" s="449">
        <f t="shared" si="278"/>
        <v>0</v>
      </c>
      <c r="AJ307" s="449">
        <f t="shared" si="278"/>
        <v>0</v>
      </c>
      <c r="AK307" s="449">
        <f t="shared" si="278"/>
        <v>0</v>
      </c>
      <c r="AL307" s="449">
        <f t="shared" si="278"/>
        <v>0</v>
      </c>
      <c r="AN307" s="500">
        <f t="shared" si="279"/>
        <v>0</v>
      </c>
      <c r="AO307" s="449">
        <f t="shared" si="268"/>
        <v>0</v>
      </c>
      <c r="AP307" s="449">
        <f t="shared" si="269"/>
        <v>0</v>
      </c>
      <c r="AQ307" s="453" t="str">
        <f t="shared" si="270"/>
        <v>-</v>
      </c>
      <c r="AR307" s="449">
        <f t="shared" si="271"/>
        <v>0</v>
      </c>
      <c r="AS307" s="449">
        <f t="shared" si="272"/>
        <v>0</v>
      </c>
      <c r="AT307" s="426">
        <f t="shared" si="273"/>
        <v>0</v>
      </c>
      <c r="AU307" s="421"/>
      <c r="AV307" s="449">
        <f t="shared" si="277"/>
        <v>0</v>
      </c>
      <c r="AW307" s="449">
        <f t="shared" si="277"/>
        <v>0</v>
      </c>
      <c r="AX307" s="449">
        <f t="shared" si="277"/>
        <v>0</v>
      </c>
      <c r="AY307" s="449">
        <f t="shared" si="276"/>
        <v>0</v>
      </c>
      <c r="AZ307" s="449">
        <f t="shared" si="276"/>
        <v>0</v>
      </c>
      <c r="BA307" s="449">
        <f t="shared" si="276"/>
        <v>0</v>
      </c>
      <c r="BB307" s="449">
        <f t="shared" si="276"/>
        <v>0</v>
      </c>
      <c r="BC307" s="449">
        <f t="shared" si="276"/>
        <v>0</v>
      </c>
      <c r="BD307" s="449">
        <f t="shared" si="276"/>
        <v>0</v>
      </c>
      <c r="BE307" s="449">
        <f t="shared" si="276"/>
        <v>0</v>
      </c>
      <c r="BF307" s="449">
        <f t="shared" si="276"/>
        <v>0</v>
      </c>
      <c r="BG307" s="449">
        <f t="shared" si="276"/>
        <v>0</v>
      </c>
      <c r="BH307" s="400"/>
      <c r="BI307" s="449">
        <v>0</v>
      </c>
      <c r="BJ307" s="449">
        <v>0</v>
      </c>
      <c r="BK307" s="449">
        <v>0</v>
      </c>
      <c r="BL307" s="449">
        <v>0</v>
      </c>
      <c r="BM307" s="449">
        <v>0</v>
      </c>
      <c r="BN307" s="449">
        <v>0</v>
      </c>
      <c r="BO307" s="449">
        <v>0</v>
      </c>
      <c r="BP307" s="449">
        <v>0</v>
      </c>
      <c r="BQ307" s="449">
        <v>0</v>
      </c>
      <c r="BR307" s="449">
        <v>0</v>
      </c>
      <c r="BS307" s="449">
        <v>0</v>
      </c>
      <c r="BT307" s="449">
        <v>0</v>
      </c>
    </row>
    <row r="308" spans="1:72" ht="15" hidden="1" x14ac:dyDescent="0.25">
      <c r="A308" s="616" t="s">
        <v>525</v>
      </c>
      <c r="B308" s="614" t="s">
        <v>526</v>
      </c>
      <c r="C308" s="630"/>
      <c r="D308" s="500">
        <f t="shared" si="260"/>
        <v>3000</v>
      </c>
      <c r="E308" s="449">
        <v>0</v>
      </c>
      <c r="F308" s="449">
        <f t="shared" si="261"/>
        <v>3000</v>
      </c>
      <c r="G308" s="421">
        <f t="shared" si="262"/>
        <v>0</v>
      </c>
      <c r="H308" s="449">
        <v>0</v>
      </c>
      <c r="I308" s="449">
        <f t="shared" si="263"/>
        <v>3000</v>
      </c>
      <c r="J308" s="426">
        <f t="shared" si="264"/>
        <v>0</v>
      </c>
      <c r="K308" s="421"/>
      <c r="L308" s="449">
        <v>0</v>
      </c>
      <c r="M308" s="449">
        <v>0</v>
      </c>
      <c r="N308" s="449">
        <v>0</v>
      </c>
      <c r="O308" s="449">
        <v>3000</v>
      </c>
      <c r="P308" s="449">
        <v>0</v>
      </c>
      <c r="Q308" s="449">
        <v>0</v>
      </c>
      <c r="R308" s="449">
        <v>0</v>
      </c>
      <c r="S308" s="449">
        <v>0</v>
      </c>
      <c r="T308" s="449">
        <v>0</v>
      </c>
      <c r="U308" s="449">
        <v>0</v>
      </c>
      <c r="V308" s="449">
        <v>0</v>
      </c>
      <c r="W308" s="449">
        <v>0</v>
      </c>
      <c r="X308" s="449"/>
      <c r="Y308" s="449">
        <f t="shared" si="265"/>
        <v>3000</v>
      </c>
      <c r="Z308" s="531"/>
      <c r="AA308" s="449">
        <f t="shared" si="278"/>
        <v>0</v>
      </c>
      <c r="AB308" s="449">
        <f t="shared" si="278"/>
        <v>0</v>
      </c>
      <c r="AC308" s="449">
        <f t="shared" si="278"/>
        <v>0</v>
      </c>
      <c r="AD308" s="449">
        <f t="shared" si="278"/>
        <v>0</v>
      </c>
      <c r="AE308" s="449">
        <f t="shared" si="278"/>
        <v>0</v>
      </c>
      <c r="AF308" s="449">
        <f t="shared" si="278"/>
        <v>0</v>
      </c>
      <c r="AG308" s="449">
        <f t="shared" si="278"/>
        <v>0</v>
      </c>
      <c r="AH308" s="449">
        <f t="shared" si="278"/>
        <v>0</v>
      </c>
      <c r="AI308" s="449">
        <f t="shared" si="278"/>
        <v>0</v>
      </c>
      <c r="AJ308" s="449">
        <f t="shared" si="278"/>
        <v>0</v>
      </c>
      <c r="AK308" s="449">
        <f t="shared" si="278"/>
        <v>0</v>
      </c>
      <c r="AL308" s="449">
        <f t="shared" si="278"/>
        <v>0</v>
      </c>
      <c r="AN308" s="500">
        <f t="shared" si="279"/>
        <v>3000</v>
      </c>
      <c r="AO308" s="449">
        <f t="shared" si="268"/>
        <v>0</v>
      </c>
      <c r="AP308" s="449">
        <f t="shared" si="269"/>
        <v>-3000</v>
      </c>
      <c r="AQ308" s="453">
        <f t="shared" si="270"/>
        <v>-1</v>
      </c>
      <c r="AR308" s="449">
        <f t="shared" si="271"/>
        <v>0</v>
      </c>
      <c r="AS308" s="449">
        <f t="shared" si="272"/>
        <v>0</v>
      </c>
      <c r="AT308" s="426">
        <f t="shared" si="273"/>
        <v>0</v>
      </c>
      <c r="AU308" s="421"/>
      <c r="AV308" s="449">
        <f t="shared" si="277"/>
        <v>0</v>
      </c>
      <c r="AW308" s="449">
        <f t="shared" si="277"/>
        <v>0</v>
      </c>
      <c r="AX308" s="449">
        <f t="shared" si="277"/>
        <v>0</v>
      </c>
      <c r="AY308" s="449">
        <f t="shared" si="276"/>
        <v>0</v>
      </c>
      <c r="AZ308" s="449">
        <f t="shared" si="276"/>
        <v>0</v>
      </c>
      <c r="BA308" s="449">
        <f t="shared" si="276"/>
        <v>0</v>
      </c>
      <c r="BB308" s="449">
        <f t="shared" si="276"/>
        <v>0</v>
      </c>
      <c r="BC308" s="449">
        <f t="shared" si="276"/>
        <v>0</v>
      </c>
      <c r="BD308" s="449">
        <f t="shared" si="276"/>
        <v>0</v>
      </c>
      <c r="BE308" s="449">
        <f t="shared" si="276"/>
        <v>0</v>
      </c>
      <c r="BF308" s="449">
        <f t="shared" si="276"/>
        <v>0</v>
      </c>
      <c r="BG308" s="449">
        <f t="shared" si="276"/>
        <v>0</v>
      </c>
      <c r="BH308" s="400"/>
      <c r="BI308" s="449">
        <v>0</v>
      </c>
      <c r="BJ308" s="449">
        <v>0</v>
      </c>
      <c r="BK308" s="449">
        <v>0</v>
      </c>
      <c r="BL308" s="449">
        <v>0</v>
      </c>
      <c r="BM308" s="449">
        <v>0</v>
      </c>
      <c r="BN308" s="449">
        <v>0</v>
      </c>
      <c r="BO308" s="449">
        <v>0</v>
      </c>
      <c r="BP308" s="449">
        <v>0</v>
      </c>
      <c r="BQ308" s="449">
        <v>0</v>
      </c>
      <c r="BR308" s="449">
        <v>0</v>
      </c>
      <c r="BS308" s="449">
        <v>0</v>
      </c>
      <c r="BT308" s="449">
        <v>0</v>
      </c>
    </row>
    <row r="309" spans="1:72" ht="15" x14ac:dyDescent="0.25">
      <c r="A309" s="502" t="s">
        <v>527</v>
      </c>
      <c r="B309" s="502" t="s">
        <v>528</v>
      </c>
      <c r="C309" s="630"/>
      <c r="D309" s="500">
        <f t="shared" si="260"/>
        <v>0</v>
      </c>
      <c r="E309" s="449">
        <v>0</v>
      </c>
      <c r="F309" s="449">
        <f t="shared" si="261"/>
        <v>0</v>
      </c>
      <c r="G309" s="421">
        <f t="shared" si="262"/>
        <v>0</v>
      </c>
      <c r="H309" s="449">
        <v>0</v>
      </c>
      <c r="I309" s="449">
        <f t="shared" si="263"/>
        <v>0</v>
      </c>
      <c r="J309" s="426">
        <f t="shared" si="264"/>
        <v>0</v>
      </c>
      <c r="K309" s="421"/>
      <c r="L309" s="449">
        <v>0</v>
      </c>
      <c r="M309" s="449">
        <v>0</v>
      </c>
      <c r="N309" s="449">
        <v>0</v>
      </c>
      <c r="O309" s="449">
        <v>0</v>
      </c>
      <c r="P309" s="449">
        <v>0</v>
      </c>
      <c r="Q309" s="449">
        <v>0</v>
      </c>
      <c r="R309" s="449">
        <f>($H309-SUM($L309:Q309))/R$694</f>
        <v>0</v>
      </c>
      <c r="S309" s="449">
        <f>($H309-SUM($L309:R309))/S$694</f>
        <v>0</v>
      </c>
      <c r="T309" s="449">
        <f>($H309-SUM($L309:S309))/T$694</f>
        <v>0</v>
      </c>
      <c r="U309" s="449">
        <f>($H309-SUM($L309:T309))/U$694</f>
        <v>0</v>
      </c>
      <c r="V309" s="449">
        <f>($H309-SUM($L309:U309))/V$694</f>
        <v>0</v>
      </c>
      <c r="W309" s="449">
        <f>($H309-SUM($L309:V309))/W$694</f>
        <v>0</v>
      </c>
      <c r="X309" s="449"/>
      <c r="Y309" s="449">
        <f t="shared" si="265"/>
        <v>0</v>
      </c>
      <c r="Z309" s="531"/>
      <c r="AA309" s="449">
        <f t="shared" si="278"/>
        <v>0</v>
      </c>
      <c r="AB309" s="449">
        <f t="shared" si="278"/>
        <v>0</v>
      </c>
      <c r="AC309" s="449">
        <f t="shared" si="278"/>
        <v>0</v>
      </c>
      <c r="AD309" s="449">
        <f t="shared" si="278"/>
        <v>0</v>
      </c>
      <c r="AE309" s="449">
        <f t="shared" si="278"/>
        <v>0</v>
      </c>
      <c r="AF309" s="449">
        <f t="shared" si="278"/>
        <v>0</v>
      </c>
      <c r="AG309" s="449">
        <f t="shared" si="278"/>
        <v>0</v>
      </c>
      <c r="AH309" s="449">
        <f t="shared" si="278"/>
        <v>0</v>
      </c>
      <c r="AI309" s="449">
        <f t="shared" si="278"/>
        <v>0</v>
      </c>
      <c r="AJ309" s="449">
        <f t="shared" si="278"/>
        <v>0</v>
      </c>
      <c r="AK309" s="449">
        <f t="shared" si="278"/>
        <v>0</v>
      </c>
      <c r="AL309" s="449">
        <f t="shared" si="278"/>
        <v>0</v>
      </c>
      <c r="AN309" s="500">
        <f t="shared" si="279"/>
        <v>0</v>
      </c>
      <c r="AO309" s="449">
        <f t="shared" si="268"/>
        <v>6000</v>
      </c>
      <c r="AP309" s="449">
        <f t="shared" si="269"/>
        <v>6000</v>
      </c>
      <c r="AQ309" s="453" t="str">
        <f t="shared" si="270"/>
        <v>-</v>
      </c>
      <c r="AR309" s="449">
        <f t="shared" si="271"/>
        <v>6000</v>
      </c>
      <c r="AS309" s="449">
        <f t="shared" si="272"/>
        <v>0</v>
      </c>
      <c r="AT309" s="426">
        <f t="shared" si="273"/>
        <v>0</v>
      </c>
      <c r="AU309" s="421"/>
      <c r="AV309" s="449">
        <f t="shared" si="277"/>
        <v>0</v>
      </c>
      <c r="AW309" s="449">
        <f t="shared" si="277"/>
        <v>0</v>
      </c>
      <c r="AX309" s="449">
        <f t="shared" si="277"/>
        <v>0</v>
      </c>
      <c r="AY309" s="449">
        <f t="shared" si="276"/>
        <v>6000</v>
      </c>
      <c r="AZ309" s="449">
        <f t="shared" si="276"/>
        <v>0</v>
      </c>
      <c r="BA309" s="449">
        <f t="shared" si="276"/>
        <v>0</v>
      </c>
      <c r="BB309" s="449">
        <f t="shared" si="276"/>
        <v>0</v>
      </c>
      <c r="BC309" s="449">
        <f t="shared" si="276"/>
        <v>0</v>
      </c>
      <c r="BD309" s="449">
        <f t="shared" si="276"/>
        <v>0</v>
      </c>
      <c r="BE309" s="449">
        <f t="shared" si="276"/>
        <v>0</v>
      </c>
      <c r="BF309" s="449">
        <f t="shared" si="276"/>
        <v>0</v>
      </c>
      <c r="BG309" s="449">
        <f t="shared" si="276"/>
        <v>0</v>
      </c>
      <c r="BH309" s="400"/>
      <c r="BI309" s="449">
        <v>0</v>
      </c>
      <c r="BJ309" s="449">
        <v>0</v>
      </c>
      <c r="BK309" s="449">
        <v>0</v>
      </c>
      <c r="BL309" s="449">
        <f>SUM('FY19 Staffing V1-1 (3)'!$J$247:$J$248)</f>
        <v>6000</v>
      </c>
      <c r="BM309" s="449">
        <v>0</v>
      </c>
      <c r="BN309" s="449">
        <v>0</v>
      </c>
      <c r="BO309" s="449">
        <v>0</v>
      </c>
      <c r="BP309" s="449">
        <v>0</v>
      </c>
      <c r="BQ309" s="449">
        <v>0</v>
      </c>
      <c r="BR309" s="449">
        <v>0</v>
      </c>
      <c r="BS309" s="449">
        <v>0</v>
      </c>
      <c r="BT309" s="449">
        <v>0</v>
      </c>
    </row>
    <row r="310" spans="1:72" ht="15" hidden="1" x14ac:dyDescent="0.25">
      <c r="A310" s="502" t="s">
        <v>529</v>
      </c>
      <c r="B310" s="502" t="s">
        <v>530</v>
      </c>
      <c r="C310" s="541"/>
      <c r="D310" s="500">
        <f t="shared" si="260"/>
        <v>0</v>
      </c>
      <c r="E310" s="449">
        <v>0</v>
      </c>
      <c r="F310" s="449">
        <f t="shared" si="261"/>
        <v>0</v>
      </c>
      <c r="G310" s="421">
        <f t="shared" si="262"/>
        <v>0</v>
      </c>
      <c r="H310" s="449">
        <v>0</v>
      </c>
      <c r="I310" s="449">
        <f t="shared" si="263"/>
        <v>0</v>
      </c>
      <c r="J310" s="426">
        <f t="shared" si="264"/>
        <v>0</v>
      </c>
      <c r="K310" s="421"/>
      <c r="L310" s="449">
        <v>0</v>
      </c>
      <c r="M310" s="449">
        <v>0</v>
      </c>
      <c r="N310" s="449">
        <v>0</v>
      </c>
      <c r="O310" s="449">
        <v>0</v>
      </c>
      <c r="P310" s="449">
        <v>0</v>
      </c>
      <c r="Q310" s="449">
        <v>0</v>
      </c>
      <c r="R310" s="449">
        <f>($H310-SUM($L310:Q310))/R$694</f>
        <v>0</v>
      </c>
      <c r="S310" s="449">
        <f>($H310-SUM($L310:R310))/S$694</f>
        <v>0</v>
      </c>
      <c r="T310" s="449">
        <f>($H310-SUM($L310:S310))/T$694</f>
        <v>0</v>
      </c>
      <c r="U310" s="449">
        <f>($H310-SUM($L310:T310))/U$694</f>
        <v>0</v>
      </c>
      <c r="V310" s="449">
        <f>($H310-SUM($L310:U310))/V$694</f>
        <v>0</v>
      </c>
      <c r="W310" s="449">
        <f>($H310-SUM($L310:V310))/W$694</f>
        <v>0</v>
      </c>
      <c r="X310" s="449"/>
      <c r="Y310" s="449">
        <f t="shared" si="265"/>
        <v>0</v>
      </c>
      <c r="Z310" s="531"/>
      <c r="AA310" s="449">
        <f t="shared" si="278"/>
        <v>0</v>
      </c>
      <c r="AB310" s="449">
        <f t="shared" si="278"/>
        <v>0</v>
      </c>
      <c r="AC310" s="449">
        <f t="shared" si="278"/>
        <v>0</v>
      </c>
      <c r="AD310" s="449">
        <f t="shared" si="278"/>
        <v>0</v>
      </c>
      <c r="AE310" s="449">
        <f t="shared" si="278"/>
        <v>0</v>
      </c>
      <c r="AF310" s="449">
        <f t="shared" si="278"/>
        <v>0</v>
      </c>
      <c r="AG310" s="449">
        <f t="shared" si="278"/>
        <v>0</v>
      </c>
      <c r="AH310" s="449">
        <f t="shared" si="278"/>
        <v>0</v>
      </c>
      <c r="AI310" s="449">
        <f t="shared" si="278"/>
        <v>0</v>
      </c>
      <c r="AJ310" s="449">
        <f t="shared" si="278"/>
        <v>0</v>
      </c>
      <c r="AK310" s="449">
        <f t="shared" si="278"/>
        <v>0</v>
      </c>
      <c r="AL310" s="449">
        <f t="shared" si="278"/>
        <v>0</v>
      </c>
      <c r="AN310" s="500">
        <f t="shared" si="279"/>
        <v>0</v>
      </c>
      <c r="AO310" s="449">
        <f t="shared" si="268"/>
        <v>0</v>
      </c>
      <c r="AP310" s="449">
        <f t="shared" si="269"/>
        <v>0</v>
      </c>
      <c r="AQ310" s="453" t="str">
        <f t="shared" si="270"/>
        <v>-</v>
      </c>
      <c r="AR310" s="449">
        <f t="shared" si="271"/>
        <v>0</v>
      </c>
      <c r="AS310" s="449">
        <f t="shared" si="272"/>
        <v>0</v>
      </c>
      <c r="AT310" s="426">
        <f t="shared" si="273"/>
        <v>0</v>
      </c>
      <c r="AU310" s="421"/>
      <c r="AV310" s="449">
        <f t="shared" si="277"/>
        <v>0</v>
      </c>
      <c r="AW310" s="449">
        <f t="shared" si="277"/>
        <v>0</v>
      </c>
      <c r="AX310" s="449">
        <f t="shared" si="277"/>
        <v>0</v>
      </c>
      <c r="AY310" s="449">
        <f t="shared" si="276"/>
        <v>0</v>
      </c>
      <c r="AZ310" s="449">
        <f t="shared" si="276"/>
        <v>0</v>
      </c>
      <c r="BA310" s="449">
        <f t="shared" si="276"/>
        <v>0</v>
      </c>
      <c r="BB310" s="449">
        <f t="shared" si="276"/>
        <v>0</v>
      </c>
      <c r="BC310" s="449">
        <f t="shared" si="276"/>
        <v>0</v>
      </c>
      <c r="BD310" s="449">
        <f t="shared" si="276"/>
        <v>0</v>
      </c>
      <c r="BE310" s="449">
        <f t="shared" si="276"/>
        <v>0</v>
      </c>
      <c r="BF310" s="449">
        <f t="shared" si="276"/>
        <v>0</v>
      </c>
      <c r="BG310" s="449">
        <f t="shared" si="276"/>
        <v>0</v>
      </c>
      <c r="BH310" s="400"/>
      <c r="BI310" s="449">
        <v>0</v>
      </c>
      <c r="BJ310" s="449">
        <v>0</v>
      </c>
      <c r="BK310" s="449">
        <v>0</v>
      </c>
      <c r="BL310" s="449">
        <v>0</v>
      </c>
      <c r="BM310" s="449">
        <v>0</v>
      </c>
      <c r="BN310" s="449">
        <v>0</v>
      </c>
      <c r="BO310" s="449">
        <v>0</v>
      </c>
      <c r="BP310" s="449">
        <v>0</v>
      </c>
      <c r="BQ310" s="449">
        <v>0</v>
      </c>
      <c r="BR310" s="449">
        <v>0</v>
      </c>
      <c r="BS310" s="449">
        <v>0</v>
      </c>
      <c r="BT310" s="449">
        <v>0</v>
      </c>
    </row>
    <row r="311" spans="1:72" ht="15" hidden="1" x14ac:dyDescent="0.25">
      <c r="A311" s="616" t="s">
        <v>531</v>
      </c>
      <c r="B311" s="614" t="s">
        <v>532</v>
      </c>
      <c r="C311" s="541"/>
      <c r="D311" s="500">
        <f t="shared" si="260"/>
        <v>10385</v>
      </c>
      <c r="E311" s="449">
        <v>8874</v>
      </c>
      <c r="F311" s="449">
        <f t="shared" si="261"/>
        <v>1511</v>
      </c>
      <c r="G311" s="421">
        <f t="shared" si="262"/>
        <v>0.17027270678386297</v>
      </c>
      <c r="H311" s="449">
        <v>10385</v>
      </c>
      <c r="I311" s="449">
        <f t="shared" si="263"/>
        <v>0</v>
      </c>
      <c r="J311" s="426">
        <f t="shared" si="264"/>
        <v>0</v>
      </c>
      <c r="K311" s="421"/>
      <c r="L311" s="449">
        <v>11.67</v>
      </c>
      <c r="M311" s="449">
        <v>1162.25</v>
      </c>
      <c r="N311" s="449">
        <v>184.42999999999984</v>
      </c>
      <c r="O311" s="449">
        <v>754.31</v>
      </c>
      <c r="P311" s="449">
        <v>236.86000000000013</v>
      </c>
      <c r="Q311" s="449">
        <v>525.57000000000016</v>
      </c>
      <c r="R311" s="449">
        <f>($H311-SUM($L311:Q311))/R$694</f>
        <v>1251.6516666666666</v>
      </c>
      <c r="S311" s="449">
        <f>($H311-SUM($L311:R311))/S$694</f>
        <v>1251.6516666666666</v>
      </c>
      <c r="T311" s="449">
        <f>($H311-SUM($L311:S311))/T$694</f>
        <v>1251.6516666666666</v>
      </c>
      <c r="U311" s="449">
        <f>($H311-SUM($L311:T311))/U$694</f>
        <v>1251.6516666666666</v>
      </c>
      <c r="V311" s="449">
        <f>($H311-SUM($L311:U311))/V$694</f>
        <v>1251.6516666666666</v>
      </c>
      <c r="W311" s="449">
        <f>($H311-SUM($L311:V311))/W$694</f>
        <v>1251.6516666666666</v>
      </c>
      <c r="X311" s="449"/>
      <c r="Y311" s="449">
        <f t="shared" si="265"/>
        <v>10385</v>
      </c>
      <c r="Z311" s="531"/>
      <c r="AA311" s="449">
        <f t="shared" si="278"/>
        <v>865.41666666666663</v>
      </c>
      <c r="AB311" s="449">
        <f t="shared" si="278"/>
        <v>865.41666666666663</v>
      </c>
      <c r="AC311" s="449">
        <f t="shared" si="278"/>
        <v>865.41666666666663</v>
      </c>
      <c r="AD311" s="449">
        <f t="shared" si="278"/>
        <v>865.41666666666663</v>
      </c>
      <c r="AE311" s="449">
        <f t="shared" si="278"/>
        <v>865.41666666666663</v>
      </c>
      <c r="AF311" s="449">
        <f t="shared" si="278"/>
        <v>865.41666666666663</v>
      </c>
      <c r="AG311" s="449">
        <f t="shared" si="278"/>
        <v>865.41666666666663</v>
      </c>
      <c r="AH311" s="449">
        <f t="shared" si="278"/>
        <v>865.41666666666663</v>
      </c>
      <c r="AI311" s="449">
        <f t="shared" si="278"/>
        <v>865.41666666666663</v>
      </c>
      <c r="AJ311" s="449">
        <f t="shared" si="278"/>
        <v>865.41666666666663</v>
      </c>
      <c r="AK311" s="449">
        <f t="shared" si="278"/>
        <v>865.41666666666663</v>
      </c>
      <c r="AL311" s="449">
        <f t="shared" si="278"/>
        <v>865.41666666666663</v>
      </c>
      <c r="AN311" s="500">
        <f t="shared" si="279"/>
        <v>10385</v>
      </c>
      <c r="AO311" s="449">
        <f t="shared" si="268"/>
        <v>0</v>
      </c>
      <c r="AP311" s="449">
        <f t="shared" si="269"/>
        <v>-10385</v>
      </c>
      <c r="AQ311" s="453">
        <f t="shared" si="270"/>
        <v>-1</v>
      </c>
      <c r="AR311" s="449">
        <f t="shared" si="271"/>
        <v>0</v>
      </c>
      <c r="AS311" s="449">
        <f t="shared" si="272"/>
        <v>0</v>
      </c>
      <c r="AT311" s="426">
        <f t="shared" si="273"/>
        <v>0</v>
      </c>
      <c r="AU311" s="421"/>
      <c r="AV311" s="449">
        <f t="shared" si="277"/>
        <v>0</v>
      </c>
      <c r="AW311" s="449">
        <f t="shared" si="277"/>
        <v>0</v>
      </c>
      <c r="AX311" s="449">
        <f t="shared" si="277"/>
        <v>0</v>
      </c>
      <c r="AY311" s="449">
        <f t="shared" si="276"/>
        <v>0</v>
      </c>
      <c r="AZ311" s="449">
        <f t="shared" si="276"/>
        <v>0</v>
      </c>
      <c r="BA311" s="449">
        <f t="shared" si="276"/>
        <v>0</v>
      </c>
      <c r="BB311" s="449">
        <f t="shared" si="276"/>
        <v>0</v>
      </c>
      <c r="BC311" s="449">
        <f t="shared" si="276"/>
        <v>0</v>
      </c>
      <c r="BD311" s="449">
        <f t="shared" si="276"/>
        <v>0</v>
      </c>
      <c r="BE311" s="449">
        <f t="shared" si="276"/>
        <v>0</v>
      </c>
      <c r="BF311" s="449">
        <f t="shared" si="276"/>
        <v>0</v>
      </c>
      <c r="BG311" s="449">
        <f t="shared" si="276"/>
        <v>0</v>
      </c>
      <c r="BH311" s="400"/>
      <c r="BI311" s="449">
        <v>0</v>
      </c>
      <c r="BJ311" s="449">
        <v>0</v>
      </c>
      <c r="BK311" s="449">
        <v>0</v>
      </c>
      <c r="BL311" s="449">
        <v>0</v>
      </c>
      <c r="BM311" s="449">
        <v>0</v>
      </c>
      <c r="BN311" s="449">
        <v>0</v>
      </c>
      <c r="BO311" s="449">
        <v>0</v>
      </c>
      <c r="BP311" s="449">
        <v>0</v>
      </c>
      <c r="BQ311" s="449">
        <v>0</v>
      </c>
      <c r="BR311" s="449">
        <v>0</v>
      </c>
      <c r="BS311" s="449">
        <v>0</v>
      </c>
      <c r="BT311" s="449">
        <v>0</v>
      </c>
    </row>
    <row r="312" spans="1:72" ht="15" x14ac:dyDescent="0.25">
      <c r="A312" s="502" t="s">
        <v>533</v>
      </c>
      <c r="B312" s="502" t="s">
        <v>534</v>
      </c>
      <c r="C312" s="541"/>
      <c r="D312" s="500">
        <f t="shared" si="260"/>
        <v>9326</v>
      </c>
      <c r="E312" s="449">
        <v>12383</v>
      </c>
      <c r="F312" s="449">
        <f t="shared" si="261"/>
        <v>-3057</v>
      </c>
      <c r="G312" s="421">
        <f t="shared" si="262"/>
        <v>-0.24687070984414117</v>
      </c>
      <c r="H312" s="449">
        <v>9326</v>
      </c>
      <c r="I312" s="449">
        <f t="shared" si="263"/>
        <v>0</v>
      </c>
      <c r="J312" s="426">
        <f t="shared" si="264"/>
        <v>0</v>
      </c>
      <c r="K312" s="421"/>
      <c r="L312" s="449">
        <v>2.94</v>
      </c>
      <c r="M312" s="449">
        <v>0</v>
      </c>
      <c r="N312" s="449">
        <v>0</v>
      </c>
      <c r="O312" s="449">
        <v>93.460000000000008</v>
      </c>
      <c r="P312" s="449">
        <v>55.639999999999986</v>
      </c>
      <c r="Q312" s="449">
        <v>55.640000000000015</v>
      </c>
      <c r="R312" s="449">
        <f>($H312-SUM($L312:Q312))/R$694</f>
        <v>1519.72</v>
      </c>
      <c r="S312" s="449">
        <f>($H312-SUM($L312:R312))/S$694</f>
        <v>1519.72</v>
      </c>
      <c r="T312" s="449">
        <f>($H312-SUM($L312:S312))/T$694</f>
        <v>1519.72</v>
      </c>
      <c r="U312" s="449">
        <f>($H312-SUM($L312:T312))/U$694</f>
        <v>1519.72</v>
      </c>
      <c r="V312" s="449">
        <f>($H312-SUM($L312:U312))/V$694</f>
        <v>1519.7199999999998</v>
      </c>
      <c r="W312" s="449">
        <f>($H312-SUM($L312:V312))/W$694</f>
        <v>1519.7199999999993</v>
      </c>
      <c r="X312" s="449"/>
      <c r="Y312" s="449">
        <f t="shared" si="265"/>
        <v>9326</v>
      </c>
      <c r="Z312" s="531"/>
      <c r="AA312" s="449">
        <f t="shared" si="278"/>
        <v>777.16666666666663</v>
      </c>
      <c r="AB312" s="449">
        <f t="shared" si="278"/>
        <v>777.16666666666663</v>
      </c>
      <c r="AC312" s="449">
        <f t="shared" si="278"/>
        <v>777.16666666666663</v>
      </c>
      <c r="AD312" s="449">
        <f t="shared" si="278"/>
        <v>777.16666666666663</v>
      </c>
      <c r="AE312" s="449">
        <f t="shared" si="278"/>
        <v>777.16666666666663</v>
      </c>
      <c r="AF312" s="449">
        <f t="shared" si="278"/>
        <v>777.16666666666663</v>
      </c>
      <c r="AG312" s="449">
        <f t="shared" si="278"/>
        <v>777.16666666666663</v>
      </c>
      <c r="AH312" s="449">
        <f t="shared" si="278"/>
        <v>777.16666666666663</v>
      </c>
      <c r="AI312" s="449">
        <f t="shared" si="278"/>
        <v>777.16666666666663</v>
      </c>
      <c r="AJ312" s="449">
        <f t="shared" si="278"/>
        <v>777.16666666666663</v>
      </c>
      <c r="AK312" s="449">
        <f t="shared" si="278"/>
        <v>777.16666666666663</v>
      </c>
      <c r="AL312" s="449">
        <f t="shared" si="278"/>
        <v>777.16666666666663</v>
      </c>
      <c r="AN312" s="500">
        <f t="shared" si="279"/>
        <v>9326</v>
      </c>
      <c r="AO312" s="449">
        <f t="shared" si="268"/>
        <v>9972.1999999999989</v>
      </c>
      <c r="AP312" s="449">
        <f t="shared" si="269"/>
        <v>646.19999999999891</v>
      </c>
      <c r="AQ312" s="453">
        <f t="shared" si="270"/>
        <v>6.9290156551576124E-2</v>
      </c>
      <c r="AR312" s="449">
        <f t="shared" si="271"/>
        <v>9972.1999999999989</v>
      </c>
      <c r="AS312" s="449">
        <f t="shared" si="272"/>
        <v>0</v>
      </c>
      <c r="AT312" s="426">
        <f t="shared" si="273"/>
        <v>0</v>
      </c>
      <c r="AU312" s="421"/>
      <c r="AV312" s="449">
        <f t="shared" si="277"/>
        <v>831.01666666666677</v>
      </c>
      <c r="AW312" s="449">
        <f t="shared" si="277"/>
        <v>831.01666666666677</v>
      </c>
      <c r="AX312" s="449">
        <f t="shared" si="277"/>
        <v>831.01666666666677</v>
      </c>
      <c r="AY312" s="449">
        <f t="shared" si="276"/>
        <v>831.01666666666677</v>
      </c>
      <c r="AZ312" s="449">
        <f t="shared" si="276"/>
        <v>831.01666666666677</v>
      </c>
      <c r="BA312" s="449">
        <f t="shared" si="276"/>
        <v>831.01666666666677</v>
      </c>
      <c r="BB312" s="449">
        <f t="shared" si="276"/>
        <v>831.01666666666677</v>
      </c>
      <c r="BC312" s="449">
        <f t="shared" si="276"/>
        <v>831.01666666666677</v>
      </c>
      <c r="BD312" s="449">
        <f t="shared" si="276"/>
        <v>831.01666666666677</v>
      </c>
      <c r="BE312" s="449">
        <f t="shared" si="276"/>
        <v>831.01666666666677</v>
      </c>
      <c r="BF312" s="449">
        <f t="shared" si="276"/>
        <v>831.01666666666677</v>
      </c>
      <c r="BG312" s="449">
        <f t="shared" si="276"/>
        <v>831.01666666666677</v>
      </c>
      <c r="BH312" s="400"/>
      <c r="BI312" s="449">
        <f>SUM('FY19 Staffing V1-1 (3)'!$Q$247:$R$248,'FY19 Staffing V1-1 (3)'!$T$247:$U$248)/12</f>
        <v>831.01666666666677</v>
      </c>
      <c r="BJ312" s="449">
        <f>SUM('FY19 Staffing V1-1 (3)'!$Q$247:$R$248,'FY19 Staffing V1-1 (3)'!$T$247:$U$248)/12</f>
        <v>831.01666666666677</v>
      </c>
      <c r="BK312" s="449">
        <f>SUM('FY19 Staffing V1-1 (3)'!$Q$247:$R$248,'FY19 Staffing V1-1 (3)'!$T$247:$U$248)/12</f>
        <v>831.01666666666677</v>
      </c>
      <c r="BL312" s="449">
        <f>SUM('FY19 Staffing V1-1 (3)'!$Q$247:$R$248,'FY19 Staffing V1-1 (3)'!$T$247:$U$248)/12</f>
        <v>831.01666666666677</v>
      </c>
      <c r="BM312" s="449">
        <f>SUM('FY19 Staffing V1-1 (3)'!$Q$247:$R$248,'FY19 Staffing V1-1 (3)'!$T$247:$U$248)/12</f>
        <v>831.01666666666677</v>
      </c>
      <c r="BN312" s="449">
        <f>SUM('FY19 Staffing V1-1 (3)'!$Q$247:$R$248,'FY19 Staffing V1-1 (3)'!$T$247:$U$248)/12</f>
        <v>831.01666666666677</v>
      </c>
      <c r="BO312" s="449">
        <f>SUM('FY19 Staffing V1-1 (3)'!$Q$247:$R$248,'FY19 Staffing V1-1 (3)'!$T$247:$U$248)/12</f>
        <v>831.01666666666677</v>
      </c>
      <c r="BP312" s="449">
        <f>SUM('FY19 Staffing V1-1 (3)'!$Q$247:$R$248,'FY19 Staffing V1-1 (3)'!$T$247:$U$248)/12</f>
        <v>831.01666666666677</v>
      </c>
      <c r="BQ312" s="449">
        <f>SUM('FY19 Staffing V1-1 (3)'!$Q$247:$R$248,'FY19 Staffing V1-1 (3)'!$T$247:$U$248)/12</f>
        <v>831.01666666666677</v>
      </c>
      <c r="BR312" s="449">
        <f>SUM('FY19 Staffing V1-1 (3)'!$Q$247:$R$248,'FY19 Staffing V1-1 (3)'!$T$247:$U$248)/12</f>
        <v>831.01666666666677</v>
      </c>
      <c r="BS312" s="449">
        <f>SUM('FY19 Staffing V1-1 (3)'!$Q$247:$R$248,'FY19 Staffing V1-1 (3)'!$T$247:$U$248)/12</f>
        <v>831.01666666666677</v>
      </c>
      <c r="BT312" s="449">
        <f>SUM('FY19 Staffing V1-1 (3)'!$Q$247:$R$248,'FY19 Staffing V1-1 (3)'!$T$247:$U$248)/12</f>
        <v>831.01666666666677</v>
      </c>
    </row>
    <row r="313" spans="1:72" ht="15" hidden="1" x14ac:dyDescent="0.25">
      <c r="A313" s="616" t="s">
        <v>535</v>
      </c>
      <c r="B313" s="614" t="s">
        <v>536</v>
      </c>
      <c r="C313" s="541"/>
      <c r="D313" s="500">
        <f t="shared" si="260"/>
        <v>9860</v>
      </c>
      <c r="E313" s="449">
        <v>1860</v>
      </c>
      <c r="F313" s="449">
        <f t="shared" si="261"/>
        <v>8000</v>
      </c>
      <c r="G313" s="421">
        <f t="shared" si="262"/>
        <v>4.301075268817204</v>
      </c>
      <c r="H313" s="449">
        <f>1860+8000</f>
        <v>9860</v>
      </c>
      <c r="I313" s="449">
        <f t="shared" si="263"/>
        <v>0</v>
      </c>
      <c r="J313" s="426">
        <f t="shared" si="264"/>
        <v>0</v>
      </c>
      <c r="K313" s="421"/>
      <c r="L313" s="449">
        <v>8.5399999999999991</v>
      </c>
      <c r="M313" s="449">
        <v>187.34</v>
      </c>
      <c r="N313" s="449">
        <v>306.74</v>
      </c>
      <c r="O313" s="449">
        <v>2707.4</v>
      </c>
      <c r="P313" s="449">
        <v>828.40000000000009</v>
      </c>
      <c r="Q313" s="449">
        <v>685.47000000000025</v>
      </c>
      <c r="R313" s="449">
        <f>($H313-SUM($L313:Q313))/R$694</f>
        <v>856.01833333333332</v>
      </c>
      <c r="S313" s="449">
        <f>($H313-SUM($L313:R313))/S$694</f>
        <v>856.0183333333332</v>
      </c>
      <c r="T313" s="449">
        <f>($H313-SUM($L313:S313))/T$694</f>
        <v>856.0183333333332</v>
      </c>
      <c r="U313" s="449">
        <f>($H313-SUM($L313:T313))/U$694</f>
        <v>856.01833333333309</v>
      </c>
      <c r="V313" s="449">
        <f>($H313-SUM($L313:U313))/V$694</f>
        <v>856.01833333333298</v>
      </c>
      <c r="W313" s="449">
        <f>($H313-SUM($L313:V313))/W$694</f>
        <v>856.01833333333343</v>
      </c>
      <c r="X313" s="449"/>
      <c r="Y313" s="449">
        <f t="shared" si="265"/>
        <v>9860</v>
      </c>
      <c r="Z313" s="531"/>
      <c r="AA313" s="449">
        <f t="shared" si="278"/>
        <v>821.66666666666663</v>
      </c>
      <c r="AB313" s="449">
        <f t="shared" si="278"/>
        <v>821.66666666666663</v>
      </c>
      <c r="AC313" s="449">
        <f t="shared" si="278"/>
        <v>821.66666666666663</v>
      </c>
      <c r="AD313" s="449">
        <f t="shared" si="278"/>
        <v>821.66666666666663</v>
      </c>
      <c r="AE313" s="449">
        <f t="shared" si="278"/>
        <v>821.66666666666663</v>
      </c>
      <c r="AF313" s="449">
        <f t="shared" si="278"/>
        <v>821.66666666666663</v>
      </c>
      <c r="AG313" s="449">
        <f t="shared" si="278"/>
        <v>821.66666666666663</v>
      </c>
      <c r="AH313" s="449">
        <f t="shared" si="278"/>
        <v>821.66666666666663</v>
      </c>
      <c r="AI313" s="449">
        <f t="shared" si="278"/>
        <v>821.66666666666663</v>
      </c>
      <c r="AJ313" s="449">
        <f t="shared" si="278"/>
        <v>821.66666666666663</v>
      </c>
      <c r="AK313" s="449">
        <f t="shared" si="278"/>
        <v>821.66666666666663</v>
      </c>
      <c r="AL313" s="449">
        <f t="shared" si="278"/>
        <v>821.66666666666663</v>
      </c>
      <c r="AN313" s="500">
        <f t="shared" si="279"/>
        <v>9860</v>
      </c>
      <c r="AO313" s="449">
        <f t="shared" si="268"/>
        <v>0</v>
      </c>
      <c r="AP313" s="449">
        <f t="shared" si="269"/>
        <v>-9860</v>
      </c>
      <c r="AQ313" s="453">
        <f t="shared" si="270"/>
        <v>-1</v>
      </c>
      <c r="AR313" s="449">
        <f t="shared" si="271"/>
        <v>0</v>
      </c>
      <c r="AS313" s="449">
        <f t="shared" si="272"/>
        <v>0</v>
      </c>
      <c r="AT313" s="426">
        <f t="shared" si="273"/>
        <v>0</v>
      </c>
      <c r="AU313" s="421"/>
      <c r="AV313" s="449">
        <f t="shared" si="277"/>
        <v>0</v>
      </c>
      <c r="AW313" s="449">
        <f t="shared" si="277"/>
        <v>0</v>
      </c>
      <c r="AX313" s="449">
        <f t="shared" si="277"/>
        <v>0</v>
      </c>
      <c r="AY313" s="449">
        <f t="shared" si="276"/>
        <v>0</v>
      </c>
      <c r="AZ313" s="449">
        <f t="shared" si="276"/>
        <v>0</v>
      </c>
      <c r="BA313" s="449">
        <f t="shared" si="276"/>
        <v>0</v>
      </c>
      <c r="BB313" s="449">
        <f t="shared" si="276"/>
        <v>0</v>
      </c>
      <c r="BC313" s="449">
        <f t="shared" si="276"/>
        <v>0</v>
      </c>
      <c r="BD313" s="449">
        <f t="shared" si="276"/>
        <v>0</v>
      </c>
      <c r="BE313" s="449">
        <f t="shared" si="276"/>
        <v>0</v>
      </c>
      <c r="BF313" s="449">
        <f t="shared" si="276"/>
        <v>0</v>
      </c>
      <c r="BG313" s="449">
        <f t="shared" si="276"/>
        <v>0</v>
      </c>
      <c r="BH313" s="400"/>
      <c r="BI313" s="449">
        <v>0</v>
      </c>
      <c r="BJ313" s="449">
        <v>0</v>
      </c>
      <c r="BK313" s="449">
        <v>0</v>
      </c>
      <c r="BL313" s="449">
        <v>0</v>
      </c>
      <c r="BM313" s="449">
        <v>0</v>
      </c>
      <c r="BN313" s="449">
        <v>0</v>
      </c>
      <c r="BO313" s="449">
        <v>0</v>
      </c>
      <c r="BP313" s="449">
        <v>0</v>
      </c>
      <c r="BQ313" s="449">
        <v>0</v>
      </c>
      <c r="BR313" s="449">
        <v>0</v>
      </c>
      <c r="BS313" s="449">
        <v>0</v>
      </c>
      <c r="BT313" s="449">
        <v>0</v>
      </c>
    </row>
    <row r="314" spans="1:72" ht="15" x14ac:dyDescent="0.25">
      <c r="A314" s="502" t="s">
        <v>537</v>
      </c>
      <c r="B314" s="502" t="s">
        <v>538</v>
      </c>
      <c r="C314" s="541"/>
      <c r="D314" s="500">
        <f t="shared" si="260"/>
        <v>1176</v>
      </c>
      <c r="E314" s="449">
        <v>12502</v>
      </c>
      <c r="F314" s="449">
        <f t="shared" si="261"/>
        <v>-11326</v>
      </c>
      <c r="G314" s="421">
        <f t="shared" si="262"/>
        <v>-0.90593505039193734</v>
      </c>
      <c r="H314" s="449">
        <f>9176-8000</f>
        <v>1176</v>
      </c>
      <c r="I314" s="449">
        <f t="shared" si="263"/>
        <v>0</v>
      </c>
      <c r="J314" s="426">
        <f t="shared" si="264"/>
        <v>0</v>
      </c>
      <c r="K314" s="421"/>
      <c r="L314" s="449">
        <v>13.45</v>
      </c>
      <c r="M314" s="449">
        <v>256.25</v>
      </c>
      <c r="N314" s="449">
        <v>419.57</v>
      </c>
      <c r="O314" s="449">
        <v>-703.89</v>
      </c>
      <c r="P314" s="449">
        <v>5.3290705182007514E-15</v>
      </c>
      <c r="Q314" s="449">
        <v>28.07</v>
      </c>
      <c r="R314" s="449">
        <f>($H314-SUM($L314:Q314))/R$694</f>
        <v>193.75833333333333</v>
      </c>
      <c r="S314" s="449">
        <f>($H314-SUM($L314:R314))/S$694</f>
        <v>193.75833333333335</v>
      </c>
      <c r="T314" s="449">
        <f>($H314-SUM($L314:S314))/T$694</f>
        <v>193.75833333333333</v>
      </c>
      <c r="U314" s="449">
        <f>($H314-SUM($L314:T314))/U$694</f>
        <v>193.75833333333333</v>
      </c>
      <c r="V314" s="449">
        <f>($H314-SUM($L314:U314))/V$694</f>
        <v>193.75833333333333</v>
      </c>
      <c r="W314" s="449">
        <f>($H314-SUM($L314:V314))/W$694</f>
        <v>193.75833333333333</v>
      </c>
      <c r="X314" s="449"/>
      <c r="Y314" s="449">
        <f t="shared" si="265"/>
        <v>1176</v>
      </c>
      <c r="Z314" s="531"/>
      <c r="AA314" s="449">
        <f t="shared" si="278"/>
        <v>98</v>
      </c>
      <c r="AB314" s="449">
        <f t="shared" si="278"/>
        <v>98</v>
      </c>
      <c r="AC314" s="449">
        <f t="shared" si="278"/>
        <v>98</v>
      </c>
      <c r="AD314" s="449">
        <f t="shared" si="278"/>
        <v>98</v>
      </c>
      <c r="AE314" s="449">
        <f t="shared" si="278"/>
        <v>98</v>
      </c>
      <c r="AF314" s="449">
        <f t="shared" si="278"/>
        <v>98</v>
      </c>
      <c r="AG314" s="449">
        <f t="shared" si="278"/>
        <v>98</v>
      </c>
      <c r="AH314" s="449">
        <f t="shared" si="278"/>
        <v>98</v>
      </c>
      <c r="AI314" s="449">
        <f t="shared" si="278"/>
        <v>98</v>
      </c>
      <c r="AJ314" s="449">
        <f t="shared" si="278"/>
        <v>98</v>
      </c>
      <c r="AK314" s="449">
        <f t="shared" si="278"/>
        <v>98</v>
      </c>
      <c r="AL314" s="449">
        <f t="shared" si="278"/>
        <v>98</v>
      </c>
      <c r="AN314" s="500">
        <f t="shared" si="279"/>
        <v>1176</v>
      </c>
      <c r="AO314" s="449">
        <f t="shared" si="268"/>
        <v>13425.201692000002</v>
      </c>
      <c r="AP314" s="449">
        <f t="shared" si="269"/>
        <v>12249.201692000002</v>
      </c>
      <c r="AQ314" s="453">
        <f t="shared" si="270"/>
        <v>10.415987833333336</v>
      </c>
      <c r="AR314" s="449">
        <f t="shared" si="271"/>
        <v>13425.201692000002</v>
      </c>
      <c r="AS314" s="449">
        <f t="shared" si="272"/>
        <v>0</v>
      </c>
      <c r="AT314" s="426">
        <f t="shared" si="273"/>
        <v>0</v>
      </c>
      <c r="AU314" s="421"/>
      <c r="AV314" s="449">
        <f t="shared" si="277"/>
        <v>1118.7668076666669</v>
      </c>
      <c r="AW314" s="449">
        <f t="shared" si="277"/>
        <v>1118.7668076666669</v>
      </c>
      <c r="AX314" s="449">
        <f t="shared" si="277"/>
        <v>1118.7668076666669</v>
      </c>
      <c r="AY314" s="449">
        <f t="shared" si="276"/>
        <v>1118.7668076666669</v>
      </c>
      <c r="AZ314" s="449">
        <f t="shared" si="276"/>
        <v>1118.7668076666669</v>
      </c>
      <c r="BA314" s="449">
        <f t="shared" si="276"/>
        <v>1118.7668076666669</v>
      </c>
      <c r="BB314" s="449">
        <f t="shared" si="276"/>
        <v>1118.7668076666669</v>
      </c>
      <c r="BC314" s="449">
        <f t="shared" si="276"/>
        <v>1118.7668076666669</v>
      </c>
      <c r="BD314" s="449">
        <f t="shared" si="276"/>
        <v>1118.7668076666669</v>
      </c>
      <c r="BE314" s="449">
        <f t="shared" si="276"/>
        <v>1118.7668076666669</v>
      </c>
      <c r="BF314" s="449">
        <f t="shared" si="276"/>
        <v>1118.7668076666669</v>
      </c>
      <c r="BG314" s="449">
        <f t="shared" si="276"/>
        <v>1118.7668076666669</v>
      </c>
      <c r="BH314" s="400"/>
      <c r="BI314" s="449">
        <f>SUM('FY19 Staffing V1-1 (3)'!$W$247:$W$248)/12</f>
        <v>1118.7668076666669</v>
      </c>
      <c r="BJ314" s="449">
        <f>SUM('FY19 Staffing V1-1 (3)'!$W$247:$W$248)/12</f>
        <v>1118.7668076666669</v>
      </c>
      <c r="BK314" s="449">
        <f>SUM('FY19 Staffing V1-1 (3)'!$W$247:$W$248)/12</f>
        <v>1118.7668076666669</v>
      </c>
      <c r="BL314" s="449">
        <f>SUM('FY19 Staffing V1-1 (3)'!$W$247:$W$248)/12</f>
        <v>1118.7668076666669</v>
      </c>
      <c r="BM314" s="449">
        <f>SUM('FY19 Staffing V1-1 (3)'!$W$247:$W$248)/12</f>
        <v>1118.7668076666669</v>
      </c>
      <c r="BN314" s="449">
        <f>SUM('FY19 Staffing V1-1 (3)'!$W$247:$W$248)/12</f>
        <v>1118.7668076666669</v>
      </c>
      <c r="BO314" s="449">
        <f>SUM('FY19 Staffing V1-1 (3)'!$W$247:$W$248)/12</f>
        <v>1118.7668076666669</v>
      </c>
      <c r="BP314" s="449">
        <f>SUM('FY19 Staffing V1-1 (3)'!$W$247:$W$248)/12</f>
        <v>1118.7668076666669</v>
      </c>
      <c r="BQ314" s="449">
        <f>SUM('FY19 Staffing V1-1 (3)'!$W$247:$W$248)/12</f>
        <v>1118.7668076666669</v>
      </c>
      <c r="BR314" s="449">
        <f>SUM('FY19 Staffing V1-1 (3)'!$W$247:$W$248)/12</f>
        <v>1118.7668076666669</v>
      </c>
      <c r="BS314" s="449">
        <f>SUM('FY19 Staffing V1-1 (3)'!$W$247:$W$248)/12</f>
        <v>1118.7668076666669</v>
      </c>
      <c r="BT314" s="449">
        <f>SUM('FY19 Staffing V1-1 (3)'!$W$247:$W$248)/12</f>
        <v>1118.7668076666669</v>
      </c>
    </row>
    <row r="315" spans="1:72" ht="15" hidden="1" x14ac:dyDescent="0.25">
      <c r="A315" s="616" t="s">
        <v>539</v>
      </c>
      <c r="B315" s="614" t="s">
        <v>540</v>
      </c>
      <c r="C315" s="541"/>
      <c r="D315" s="500">
        <f t="shared" si="260"/>
        <v>0</v>
      </c>
      <c r="E315" s="449">
        <v>0</v>
      </c>
      <c r="F315" s="449">
        <f t="shared" si="261"/>
        <v>0</v>
      </c>
      <c r="G315" s="421">
        <f t="shared" si="262"/>
        <v>0</v>
      </c>
      <c r="H315" s="449">
        <v>0</v>
      </c>
      <c r="I315" s="449">
        <f t="shared" si="263"/>
        <v>0</v>
      </c>
      <c r="J315" s="426">
        <f t="shared" si="264"/>
        <v>0</v>
      </c>
      <c r="K315" s="421"/>
      <c r="L315" s="449">
        <v>0</v>
      </c>
      <c r="M315" s="449">
        <v>0</v>
      </c>
      <c r="N315" s="449">
        <v>0</v>
      </c>
      <c r="O315" s="449">
        <v>0</v>
      </c>
      <c r="P315" s="449">
        <v>0</v>
      </c>
      <c r="Q315" s="449">
        <v>0</v>
      </c>
      <c r="R315" s="449">
        <f>($H315-SUM($L315:Q315))/R$694</f>
        <v>0</v>
      </c>
      <c r="S315" s="449">
        <f>($H315-SUM($L315:R315))/S$694</f>
        <v>0</v>
      </c>
      <c r="T315" s="449">
        <f>($H315-SUM($L315:S315))/T$694</f>
        <v>0</v>
      </c>
      <c r="U315" s="449">
        <f>($H315-SUM($L315:T315))/U$694</f>
        <v>0</v>
      </c>
      <c r="V315" s="449">
        <f>($H315-SUM($L315:U315))/V$694</f>
        <v>0</v>
      </c>
      <c r="W315" s="449">
        <f>($H315-SUM($L315:V315))/W$694</f>
        <v>0</v>
      </c>
      <c r="X315" s="449"/>
      <c r="Y315" s="449">
        <f t="shared" si="265"/>
        <v>0</v>
      </c>
      <c r="Z315" s="531"/>
      <c r="AA315" s="449">
        <f t="shared" si="278"/>
        <v>0</v>
      </c>
      <c r="AB315" s="449">
        <f t="shared" si="278"/>
        <v>0</v>
      </c>
      <c r="AC315" s="449">
        <f t="shared" si="278"/>
        <v>0</v>
      </c>
      <c r="AD315" s="449">
        <f t="shared" si="278"/>
        <v>0</v>
      </c>
      <c r="AE315" s="449">
        <f t="shared" si="278"/>
        <v>0</v>
      </c>
      <c r="AF315" s="449">
        <f t="shared" si="278"/>
        <v>0</v>
      </c>
      <c r="AG315" s="449">
        <f t="shared" si="278"/>
        <v>0</v>
      </c>
      <c r="AH315" s="449">
        <f t="shared" si="278"/>
        <v>0</v>
      </c>
      <c r="AI315" s="449">
        <f t="shared" si="278"/>
        <v>0</v>
      </c>
      <c r="AJ315" s="449">
        <f t="shared" si="278"/>
        <v>0</v>
      </c>
      <c r="AK315" s="449">
        <f t="shared" si="278"/>
        <v>0</v>
      </c>
      <c r="AL315" s="449">
        <f t="shared" si="278"/>
        <v>0</v>
      </c>
      <c r="AN315" s="500">
        <f t="shared" si="279"/>
        <v>0</v>
      </c>
      <c r="AO315" s="449">
        <f t="shared" si="268"/>
        <v>0</v>
      </c>
      <c r="AP315" s="449">
        <f t="shared" si="269"/>
        <v>0</v>
      </c>
      <c r="AQ315" s="453" t="str">
        <f t="shared" si="270"/>
        <v>-</v>
      </c>
      <c r="AR315" s="449">
        <f t="shared" si="271"/>
        <v>0</v>
      </c>
      <c r="AS315" s="449">
        <f t="shared" si="272"/>
        <v>0</v>
      </c>
      <c r="AT315" s="426">
        <f t="shared" si="273"/>
        <v>0</v>
      </c>
      <c r="AU315" s="421"/>
      <c r="AV315" s="449">
        <f t="shared" si="277"/>
        <v>0</v>
      </c>
      <c r="AW315" s="449">
        <f t="shared" si="277"/>
        <v>0</v>
      </c>
      <c r="AX315" s="449">
        <f t="shared" si="277"/>
        <v>0</v>
      </c>
      <c r="AY315" s="449">
        <f t="shared" si="276"/>
        <v>0</v>
      </c>
      <c r="AZ315" s="449">
        <f t="shared" si="276"/>
        <v>0</v>
      </c>
      <c r="BA315" s="449">
        <f t="shared" si="276"/>
        <v>0</v>
      </c>
      <c r="BB315" s="449">
        <f t="shared" si="276"/>
        <v>0</v>
      </c>
      <c r="BC315" s="449">
        <f t="shared" si="276"/>
        <v>0</v>
      </c>
      <c r="BD315" s="449">
        <f t="shared" si="276"/>
        <v>0</v>
      </c>
      <c r="BE315" s="449">
        <f t="shared" si="276"/>
        <v>0</v>
      </c>
      <c r="BF315" s="449">
        <f t="shared" si="276"/>
        <v>0</v>
      </c>
      <c r="BG315" s="449">
        <f t="shared" si="276"/>
        <v>0</v>
      </c>
      <c r="BH315" s="400"/>
      <c r="BI315" s="449">
        <v>0</v>
      </c>
      <c r="BJ315" s="449">
        <v>0</v>
      </c>
      <c r="BK315" s="449">
        <v>0</v>
      </c>
      <c r="BL315" s="449">
        <v>0</v>
      </c>
      <c r="BM315" s="449">
        <v>0</v>
      </c>
      <c r="BN315" s="449">
        <v>0</v>
      </c>
      <c r="BO315" s="449">
        <v>0</v>
      </c>
      <c r="BP315" s="449">
        <v>0</v>
      </c>
      <c r="BQ315" s="449">
        <v>0</v>
      </c>
      <c r="BR315" s="449">
        <v>0</v>
      </c>
      <c r="BS315" s="449">
        <v>0</v>
      </c>
      <c r="BT315" s="449">
        <v>0</v>
      </c>
    </row>
    <row r="316" spans="1:72" ht="15" hidden="1" x14ac:dyDescent="0.25">
      <c r="A316" s="502" t="s">
        <v>541</v>
      </c>
      <c r="B316" s="502" t="s">
        <v>542</v>
      </c>
      <c r="C316" s="541"/>
      <c r="D316" s="500">
        <f t="shared" si="260"/>
        <v>0</v>
      </c>
      <c r="E316" s="449">
        <v>0</v>
      </c>
      <c r="F316" s="449">
        <f t="shared" si="261"/>
        <v>0</v>
      </c>
      <c r="G316" s="421">
        <f t="shared" si="262"/>
        <v>0</v>
      </c>
      <c r="H316" s="449">
        <v>0</v>
      </c>
      <c r="I316" s="449">
        <f t="shared" si="263"/>
        <v>0</v>
      </c>
      <c r="J316" s="426">
        <f t="shared" si="264"/>
        <v>0</v>
      </c>
      <c r="K316" s="421"/>
      <c r="L316" s="449">
        <v>0</v>
      </c>
      <c r="M316" s="449">
        <v>0</v>
      </c>
      <c r="N316" s="449">
        <v>0</v>
      </c>
      <c r="O316" s="449">
        <v>0</v>
      </c>
      <c r="P316" s="449">
        <v>0</v>
      </c>
      <c r="Q316" s="449">
        <v>0</v>
      </c>
      <c r="R316" s="449">
        <f>($H316-SUM($L316:Q316))/R$694</f>
        <v>0</v>
      </c>
      <c r="S316" s="449">
        <f>($H316-SUM($L316:R316))/S$694</f>
        <v>0</v>
      </c>
      <c r="T316" s="449">
        <f>($H316-SUM($L316:S316))/T$694</f>
        <v>0</v>
      </c>
      <c r="U316" s="449">
        <f>($H316-SUM($L316:T316))/U$694</f>
        <v>0</v>
      </c>
      <c r="V316" s="449">
        <f>($H316-SUM($L316:U316))/V$694</f>
        <v>0</v>
      </c>
      <c r="W316" s="449">
        <f>($H316-SUM($L316:V316))/W$694</f>
        <v>0</v>
      </c>
      <c r="X316" s="449"/>
      <c r="Y316" s="449">
        <f t="shared" si="265"/>
        <v>0</v>
      </c>
      <c r="Z316" s="531"/>
      <c r="AA316" s="449">
        <f t="shared" ref="AA316:AL329" si="280">IFERROR($H316/12,0)</f>
        <v>0</v>
      </c>
      <c r="AB316" s="449">
        <f t="shared" si="280"/>
        <v>0</v>
      </c>
      <c r="AC316" s="449">
        <f t="shared" si="280"/>
        <v>0</v>
      </c>
      <c r="AD316" s="449">
        <f t="shared" si="280"/>
        <v>0</v>
      </c>
      <c r="AE316" s="449">
        <f t="shared" si="280"/>
        <v>0</v>
      </c>
      <c r="AF316" s="449">
        <f t="shared" si="280"/>
        <v>0</v>
      </c>
      <c r="AG316" s="449">
        <f t="shared" si="280"/>
        <v>0</v>
      </c>
      <c r="AH316" s="449">
        <f t="shared" si="280"/>
        <v>0</v>
      </c>
      <c r="AI316" s="449">
        <f t="shared" si="280"/>
        <v>0</v>
      </c>
      <c r="AJ316" s="449">
        <f t="shared" si="280"/>
        <v>0</v>
      </c>
      <c r="AK316" s="449">
        <f t="shared" si="280"/>
        <v>0</v>
      </c>
      <c r="AL316" s="449">
        <f t="shared" si="280"/>
        <v>0</v>
      </c>
      <c r="AN316" s="500">
        <f t="shared" si="279"/>
        <v>0</v>
      </c>
      <c r="AO316" s="449">
        <f t="shared" si="268"/>
        <v>0</v>
      </c>
      <c r="AP316" s="449">
        <f t="shared" si="269"/>
        <v>0</v>
      </c>
      <c r="AQ316" s="453" t="str">
        <f t="shared" si="270"/>
        <v>-</v>
      </c>
      <c r="AR316" s="449">
        <f t="shared" si="271"/>
        <v>0</v>
      </c>
      <c r="AS316" s="449">
        <f t="shared" si="272"/>
        <v>0</v>
      </c>
      <c r="AT316" s="426">
        <f t="shared" si="273"/>
        <v>0</v>
      </c>
      <c r="AU316" s="421"/>
      <c r="AV316" s="449">
        <f t="shared" si="277"/>
        <v>0</v>
      </c>
      <c r="AW316" s="449">
        <f t="shared" si="277"/>
        <v>0</v>
      </c>
      <c r="AX316" s="449">
        <f t="shared" si="277"/>
        <v>0</v>
      </c>
      <c r="AY316" s="449">
        <f t="shared" si="276"/>
        <v>0</v>
      </c>
      <c r="AZ316" s="449">
        <f t="shared" si="276"/>
        <v>0</v>
      </c>
      <c r="BA316" s="449">
        <f t="shared" si="276"/>
        <v>0</v>
      </c>
      <c r="BB316" s="449">
        <f t="shared" si="276"/>
        <v>0</v>
      </c>
      <c r="BC316" s="449">
        <f t="shared" si="276"/>
        <v>0</v>
      </c>
      <c r="BD316" s="449">
        <f t="shared" si="276"/>
        <v>0</v>
      </c>
      <c r="BE316" s="449">
        <f t="shared" si="276"/>
        <v>0</v>
      </c>
      <c r="BF316" s="449">
        <f t="shared" si="276"/>
        <v>0</v>
      </c>
      <c r="BG316" s="449">
        <f t="shared" si="276"/>
        <v>0</v>
      </c>
      <c r="BH316" s="400"/>
      <c r="BI316" s="449">
        <v>0</v>
      </c>
      <c r="BJ316" s="449">
        <v>0</v>
      </c>
      <c r="BK316" s="449">
        <v>0</v>
      </c>
      <c r="BL316" s="449">
        <v>0</v>
      </c>
      <c r="BM316" s="449">
        <v>0</v>
      </c>
      <c r="BN316" s="449">
        <v>0</v>
      </c>
      <c r="BO316" s="449">
        <v>0</v>
      </c>
      <c r="BP316" s="449">
        <v>0</v>
      </c>
      <c r="BQ316" s="449">
        <v>0</v>
      </c>
      <c r="BR316" s="449">
        <v>0</v>
      </c>
      <c r="BS316" s="449">
        <v>0</v>
      </c>
      <c r="BT316" s="449">
        <v>0</v>
      </c>
    </row>
    <row r="317" spans="1:72" ht="15" hidden="1" x14ac:dyDescent="0.25">
      <c r="A317" s="616" t="s">
        <v>543</v>
      </c>
      <c r="B317" s="614" t="s">
        <v>544</v>
      </c>
      <c r="C317" s="541"/>
      <c r="D317" s="500">
        <f t="shared" si="260"/>
        <v>0</v>
      </c>
      <c r="E317" s="449">
        <v>0</v>
      </c>
      <c r="F317" s="449">
        <f t="shared" si="261"/>
        <v>0</v>
      </c>
      <c r="G317" s="421">
        <f t="shared" si="262"/>
        <v>0</v>
      </c>
      <c r="H317" s="449">
        <v>0</v>
      </c>
      <c r="I317" s="449">
        <f t="shared" si="263"/>
        <v>0</v>
      </c>
      <c r="J317" s="426">
        <f t="shared" si="264"/>
        <v>0</v>
      </c>
      <c r="K317" s="421"/>
      <c r="L317" s="449">
        <v>0</v>
      </c>
      <c r="M317" s="449">
        <v>0</v>
      </c>
      <c r="N317" s="449">
        <v>0</v>
      </c>
      <c r="O317" s="449">
        <v>0</v>
      </c>
      <c r="P317" s="449">
        <v>0</v>
      </c>
      <c r="Q317" s="449">
        <v>0</v>
      </c>
      <c r="R317" s="449">
        <f>($H317-SUM($L317:Q317))/R$694</f>
        <v>0</v>
      </c>
      <c r="S317" s="449">
        <f>($H317-SUM($L317:R317))/S$694</f>
        <v>0</v>
      </c>
      <c r="T317" s="449">
        <f>($H317-SUM($L317:S317))/T$694</f>
        <v>0</v>
      </c>
      <c r="U317" s="449">
        <f>($H317-SUM($L317:T317))/U$694</f>
        <v>0</v>
      </c>
      <c r="V317" s="449">
        <f>($H317-SUM($L317:U317))/V$694</f>
        <v>0</v>
      </c>
      <c r="W317" s="449">
        <f>($H317-SUM($L317:V317))/W$694</f>
        <v>0</v>
      </c>
      <c r="X317" s="449"/>
      <c r="Y317" s="449">
        <f t="shared" si="265"/>
        <v>0</v>
      </c>
      <c r="Z317" s="531"/>
      <c r="AA317" s="449">
        <f t="shared" si="280"/>
        <v>0</v>
      </c>
      <c r="AB317" s="449">
        <f t="shared" si="280"/>
        <v>0</v>
      </c>
      <c r="AC317" s="449">
        <f t="shared" si="280"/>
        <v>0</v>
      </c>
      <c r="AD317" s="449">
        <f t="shared" si="280"/>
        <v>0</v>
      </c>
      <c r="AE317" s="449">
        <f t="shared" si="280"/>
        <v>0</v>
      </c>
      <c r="AF317" s="449">
        <f t="shared" si="280"/>
        <v>0</v>
      </c>
      <c r="AG317" s="449">
        <f t="shared" si="280"/>
        <v>0</v>
      </c>
      <c r="AH317" s="449">
        <f t="shared" si="280"/>
        <v>0</v>
      </c>
      <c r="AI317" s="449">
        <f t="shared" si="280"/>
        <v>0</v>
      </c>
      <c r="AJ317" s="449">
        <f t="shared" si="280"/>
        <v>0</v>
      </c>
      <c r="AK317" s="449">
        <f t="shared" si="280"/>
        <v>0</v>
      </c>
      <c r="AL317" s="449">
        <f t="shared" si="280"/>
        <v>0</v>
      </c>
      <c r="AN317" s="500">
        <f t="shared" si="279"/>
        <v>0</v>
      </c>
      <c r="AO317" s="449">
        <f t="shared" si="268"/>
        <v>0</v>
      </c>
      <c r="AP317" s="449">
        <f t="shared" si="269"/>
        <v>0</v>
      </c>
      <c r="AQ317" s="453" t="str">
        <f t="shared" si="270"/>
        <v>-</v>
      </c>
      <c r="AR317" s="449">
        <f t="shared" si="271"/>
        <v>0</v>
      </c>
      <c r="AS317" s="449">
        <f t="shared" si="272"/>
        <v>0</v>
      </c>
      <c r="AT317" s="426">
        <f t="shared" si="273"/>
        <v>0</v>
      </c>
      <c r="AU317" s="421"/>
      <c r="AV317" s="449">
        <f t="shared" si="277"/>
        <v>0</v>
      </c>
      <c r="AW317" s="449">
        <f t="shared" si="277"/>
        <v>0</v>
      </c>
      <c r="AX317" s="449">
        <f t="shared" si="277"/>
        <v>0</v>
      </c>
      <c r="AY317" s="449">
        <f t="shared" si="276"/>
        <v>0</v>
      </c>
      <c r="AZ317" s="449">
        <f t="shared" si="276"/>
        <v>0</v>
      </c>
      <c r="BA317" s="449">
        <f t="shared" si="276"/>
        <v>0</v>
      </c>
      <c r="BB317" s="449">
        <f t="shared" ref="BB317:BG329" si="281">BO317</f>
        <v>0</v>
      </c>
      <c r="BC317" s="449">
        <f t="shared" si="281"/>
        <v>0</v>
      </c>
      <c r="BD317" s="449">
        <f t="shared" si="281"/>
        <v>0</v>
      </c>
      <c r="BE317" s="449">
        <f t="shared" si="281"/>
        <v>0</v>
      </c>
      <c r="BF317" s="449">
        <f t="shared" si="281"/>
        <v>0</v>
      </c>
      <c r="BG317" s="449">
        <f t="shared" si="281"/>
        <v>0</v>
      </c>
      <c r="BH317" s="400"/>
      <c r="BI317" s="449">
        <v>0</v>
      </c>
      <c r="BJ317" s="449">
        <v>0</v>
      </c>
      <c r="BK317" s="449">
        <v>0</v>
      </c>
      <c r="BL317" s="449">
        <v>0</v>
      </c>
      <c r="BM317" s="449">
        <v>0</v>
      </c>
      <c r="BN317" s="449">
        <v>0</v>
      </c>
      <c r="BO317" s="449">
        <v>0</v>
      </c>
      <c r="BP317" s="449">
        <v>0</v>
      </c>
      <c r="BQ317" s="449">
        <v>0</v>
      </c>
      <c r="BR317" s="449">
        <v>0</v>
      </c>
      <c r="BS317" s="449">
        <v>0</v>
      </c>
      <c r="BT317" s="449">
        <v>0</v>
      </c>
    </row>
    <row r="318" spans="1:72" ht="15" hidden="1" x14ac:dyDescent="0.25">
      <c r="A318" s="502" t="s">
        <v>545</v>
      </c>
      <c r="B318" s="502" t="s">
        <v>546</v>
      </c>
      <c r="C318" s="541"/>
      <c r="D318" s="500">
        <f t="shared" si="260"/>
        <v>0</v>
      </c>
      <c r="E318" s="449">
        <v>0</v>
      </c>
      <c r="F318" s="449">
        <f t="shared" si="261"/>
        <v>0</v>
      </c>
      <c r="G318" s="421">
        <f t="shared" si="262"/>
        <v>0</v>
      </c>
      <c r="H318" s="449">
        <v>0</v>
      </c>
      <c r="I318" s="449">
        <f t="shared" si="263"/>
        <v>0</v>
      </c>
      <c r="J318" s="426">
        <f t="shared" si="264"/>
        <v>0</v>
      </c>
      <c r="K318" s="421"/>
      <c r="L318" s="449">
        <v>0</v>
      </c>
      <c r="M318" s="449">
        <v>0</v>
      </c>
      <c r="N318" s="449">
        <v>0</v>
      </c>
      <c r="O318" s="449">
        <v>0</v>
      </c>
      <c r="P318" s="449">
        <v>0</v>
      </c>
      <c r="Q318" s="449">
        <v>0</v>
      </c>
      <c r="R318" s="449">
        <f>($H318-SUM($L318:Q318))/R$694</f>
        <v>0</v>
      </c>
      <c r="S318" s="449">
        <f>($H318-SUM($L318:R318))/S$694</f>
        <v>0</v>
      </c>
      <c r="T318" s="449">
        <f>($H318-SUM($L318:S318))/T$694</f>
        <v>0</v>
      </c>
      <c r="U318" s="449">
        <f>($H318-SUM($L318:T318))/U$694</f>
        <v>0</v>
      </c>
      <c r="V318" s="449">
        <f>($H318-SUM($L318:U318))/V$694</f>
        <v>0</v>
      </c>
      <c r="W318" s="449">
        <f>($H318-SUM($L318:V318))/W$694</f>
        <v>0</v>
      </c>
      <c r="X318" s="449"/>
      <c r="Y318" s="449">
        <f t="shared" si="265"/>
        <v>0</v>
      </c>
      <c r="Z318" s="531"/>
      <c r="AA318" s="449">
        <f t="shared" si="280"/>
        <v>0</v>
      </c>
      <c r="AB318" s="449">
        <f t="shared" si="280"/>
        <v>0</v>
      </c>
      <c r="AC318" s="449">
        <f t="shared" si="280"/>
        <v>0</v>
      </c>
      <c r="AD318" s="449">
        <f t="shared" si="280"/>
        <v>0</v>
      </c>
      <c r="AE318" s="449">
        <f t="shared" si="280"/>
        <v>0</v>
      </c>
      <c r="AF318" s="449">
        <f t="shared" si="280"/>
        <v>0</v>
      </c>
      <c r="AG318" s="449">
        <f t="shared" si="280"/>
        <v>0</v>
      </c>
      <c r="AH318" s="449">
        <f t="shared" si="280"/>
        <v>0</v>
      </c>
      <c r="AI318" s="449">
        <f t="shared" si="280"/>
        <v>0</v>
      </c>
      <c r="AJ318" s="449">
        <f t="shared" si="280"/>
        <v>0</v>
      </c>
      <c r="AK318" s="449">
        <f t="shared" si="280"/>
        <v>0</v>
      </c>
      <c r="AL318" s="449">
        <f t="shared" si="280"/>
        <v>0</v>
      </c>
      <c r="AN318" s="500">
        <f t="shared" si="279"/>
        <v>0</v>
      </c>
      <c r="AO318" s="449">
        <f t="shared" si="268"/>
        <v>0</v>
      </c>
      <c r="AP318" s="449">
        <f t="shared" si="269"/>
        <v>0</v>
      </c>
      <c r="AQ318" s="453" t="str">
        <f t="shared" si="270"/>
        <v>-</v>
      </c>
      <c r="AR318" s="449">
        <f t="shared" si="271"/>
        <v>0</v>
      </c>
      <c r="AS318" s="449">
        <f t="shared" si="272"/>
        <v>0</v>
      </c>
      <c r="AT318" s="426">
        <f t="shared" si="273"/>
        <v>0</v>
      </c>
      <c r="AU318" s="421"/>
      <c r="AV318" s="449">
        <f t="shared" si="277"/>
        <v>0</v>
      </c>
      <c r="AW318" s="449">
        <f t="shared" si="277"/>
        <v>0</v>
      </c>
      <c r="AX318" s="449">
        <f t="shared" si="277"/>
        <v>0</v>
      </c>
      <c r="AY318" s="449">
        <f t="shared" si="277"/>
        <v>0</v>
      </c>
      <c r="AZ318" s="449">
        <f t="shared" si="277"/>
        <v>0</v>
      </c>
      <c r="BA318" s="449">
        <f t="shared" si="277"/>
        <v>0</v>
      </c>
      <c r="BB318" s="449">
        <f t="shared" si="281"/>
        <v>0</v>
      </c>
      <c r="BC318" s="449">
        <f t="shared" si="281"/>
        <v>0</v>
      </c>
      <c r="BD318" s="449">
        <f t="shared" si="281"/>
        <v>0</v>
      </c>
      <c r="BE318" s="449">
        <f t="shared" si="281"/>
        <v>0</v>
      </c>
      <c r="BF318" s="449">
        <f t="shared" si="281"/>
        <v>0</v>
      </c>
      <c r="BG318" s="449">
        <f t="shared" si="281"/>
        <v>0</v>
      </c>
      <c r="BH318" s="400"/>
      <c r="BI318" s="449">
        <v>0</v>
      </c>
      <c r="BJ318" s="449">
        <v>0</v>
      </c>
      <c r="BK318" s="449">
        <v>0</v>
      </c>
      <c r="BL318" s="449">
        <v>0</v>
      </c>
      <c r="BM318" s="449">
        <v>0</v>
      </c>
      <c r="BN318" s="449">
        <v>0</v>
      </c>
      <c r="BO318" s="449">
        <v>0</v>
      </c>
      <c r="BP318" s="449">
        <v>0</v>
      </c>
      <c r="BQ318" s="449">
        <v>0</v>
      </c>
      <c r="BR318" s="449">
        <v>0</v>
      </c>
      <c r="BS318" s="449">
        <v>0</v>
      </c>
      <c r="BT318" s="449">
        <v>0</v>
      </c>
    </row>
    <row r="319" spans="1:72" ht="15" hidden="1" x14ac:dyDescent="0.25">
      <c r="A319" s="616" t="s">
        <v>547</v>
      </c>
      <c r="B319" s="614" t="s">
        <v>548</v>
      </c>
      <c r="C319" s="541"/>
      <c r="D319" s="500">
        <f t="shared" si="260"/>
        <v>3150</v>
      </c>
      <c r="E319" s="449">
        <v>3093</v>
      </c>
      <c r="F319" s="449">
        <f t="shared" si="261"/>
        <v>57</v>
      </c>
      <c r="G319" s="421">
        <f t="shared" si="262"/>
        <v>1.842870999030068E-2</v>
      </c>
      <c r="H319" s="449">
        <v>3150</v>
      </c>
      <c r="I319" s="449">
        <f t="shared" si="263"/>
        <v>0</v>
      </c>
      <c r="J319" s="426">
        <f t="shared" si="264"/>
        <v>0</v>
      </c>
      <c r="K319" s="421"/>
      <c r="L319" s="449">
        <v>0</v>
      </c>
      <c r="M319" s="449">
        <v>0</v>
      </c>
      <c r="N319" s="449">
        <v>0</v>
      </c>
      <c r="O319" s="449">
        <v>0</v>
      </c>
      <c r="P319" s="449">
        <v>0</v>
      </c>
      <c r="Q319" s="449">
        <v>0</v>
      </c>
      <c r="R319" s="449">
        <f>($H319-SUM($L319:Q319))/R$694</f>
        <v>525</v>
      </c>
      <c r="S319" s="449">
        <f>($H319-SUM($L319:R319))/S$694</f>
        <v>525</v>
      </c>
      <c r="T319" s="449">
        <f>($H319-SUM($L319:S319))/T$694</f>
        <v>525</v>
      </c>
      <c r="U319" s="449">
        <f>($H319-SUM($L319:T319))/U$694</f>
        <v>525</v>
      </c>
      <c r="V319" s="449">
        <f>($H319-SUM($L319:U319))/V$694</f>
        <v>525</v>
      </c>
      <c r="W319" s="449">
        <f>($H319-SUM($L319:V319))/W$694</f>
        <v>525</v>
      </c>
      <c r="X319" s="449"/>
      <c r="Y319" s="449">
        <f t="shared" si="265"/>
        <v>3150</v>
      </c>
      <c r="Z319" s="531"/>
      <c r="AA319" s="449">
        <f t="shared" si="280"/>
        <v>262.5</v>
      </c>
      <c r="AB319" s="449">
        <f t="shared" si="280"/>
        <v>262.5</v>
      </c>
      <c r="AC319" s="449">
        <f t="shared" si="280"/>
        <v>262.5</v>
      </c>
      <c r="AD319" s="449">
        <f t="shared" si="280"/>
        <v>262.5</v>
      </c>
      <c r="AE319" s="449">
        <f t="shared" si="280"/>
        <v>262.5</v>
      </c>
      <c r="AF319" s="449">
        <f t="shared" si="280"/>
        <v>262.5</v>
      </c>
      <c r="AG319" s="449">
        <f t="shared" si="280"/>
        <v>262.5</v>
      </c>
      <c r="AH319" s="449">
        <f t="shared" si="280"/>
        <v>262.5</v>
      </c>
      <c r="AI319" s="449">
        <f t="shared" si="280"/>
        <v>262.5</v>
      </c>
      <c r="AJ319" s="449">
        <f t="shared" si="280"/>
        <v>262.5</v>
      </c>
      <c r="AK319" s="449">
        <f t="shared" si="280"/>
        <v>262.5</v>
      </c>
      <c r="AL319" s="449">
        <f t="shared" si="280"/>
        <v>262.5</v>
      </c>
      <c r="AN319" s="500">
        <f t="shared" si="279"/>
        <v>3150</v>
      </c>
      <c r="AO319" s="449">
        <f t="shared" si="268"/>
        <v>0</v>
      </c>
      <c r="AP319" s="449">
        <f t="shared" si="269"/>
        <v>-3150</v>
      </c>
      <c r="AQ319" s="453">
        <f t="shared" si="270"/>
        <v>-1</v>
      </c>
      <c r="AR319" s="449">
        <f t="shared" si="271"/>
        <v>0</v>
      </c>
      <c r="AS319" s="449">
        <f t="shared" si="272"/>
        <v>0</v>
      </c>
      <c r="AT319" s="426">
        <f t="shared" si="273"/>
        <v>0</v>
      </c>
      <c r="AU319" s="421"/>
      <c r="AV319" s="449">
        <f t="shared" si="277"/>
        <v>0</v>
      </c>
      <c r="AW319" s="449">
        <f t="shared" si="277"/>
        <v>0</v>
      </c>
      <c r="AX319" s="449">
        <f t="shared" si="277"/>
        <v>0</v>
      </c>
      <c r="AY319" s="449">
        <f t="shared" si="277"/>
        <v>0</v>
      </c>
      <c r="AZ319" s="449">
        <f t="shared" si="277"/>
        <v>0</v>
      </c>
      <c r="BA319" s="449">
        <f t="shared" si="277"/>
        <v>0</v>
      </c>
      <c r="BB319" s="449">
        <f t="shared" si="281"/>
        <v>0</v>
      </c>
      <c r="BC319" s="449">
        <f t="shared" si="281"/>
        <v>0</v>
      </c>
      <c r="BD319" s="449">
        <f t="shared" si="281"/>
        <v>0</v>
      </c>
      <c r="BE319" s="449">
        <f t="shared" si="281"/>
        <v>0</v>
      </c>
      <c r="BF319" s="449">
        <f t="shared" si="281"/>
        <v>0</v>
      </c>
      <c r="BG319" s="449">
        <f t="shared" si="281"/>
        <v>0</v>
      </c>
      <c r="BH319" s="400"/>
      <c r="BI319" s="449">
        <v>0</v>
      </c>
      <c r="BJ319" s="449">
        <v>0</v>
      </c>
      <c r="BK319" s="449">
        <v>0</v>
      </c>
      <c r="BL319" s="449">
        <v>0</v>
      </c>
      <c r="BM319" s="449">
        <v>0</v>
      </c>
      <c r="BN319" s="449">
        <v>0</v>
      </c>
      <c r="BO319" s="449">
        <v>0</v>
      </c>
      <c r="BP319" s="449">
        <v>0</v>
      </c>
      <c r="BQ319" s="449">
        <v>0</v>
      </c>
      <c r="BR319" s="449">
        <v>0</v>
      </c>
      <c r="BS319" s="449">
        <v>0</v>
      </c>
      <c r="BT319" s="449">
        <v>0</v>
      </c>
    </row>
    <row r="320" spans="1:72" ht="15" x14ac:dyDescent="0.25">
      <c r="A320" s="502" t="s">
        <v>549</v>
      </c>
      <c r="B320" s="502" t="s">
        <v>550</v>
      </c>
      <c r="C320" s="541"/>
      <c r="D320" s="500">
        <f t="shared" si="260"/>
        <v>3417</v>
      </c>
      <c r="E320" s="449">
        <v>4285</v>
      </c>
      <c r="F320" s="449">
        <f t="shared" si="261"/>
        <v>-868</v>
      </c>
      <c r="G320" s="421">
        <f t="shared" si="262"/>
        <v>-0.20256709451575264</v>
      </c>
      <c r="H320" s="449">
        <v>3417</v>
      </c>
      <c r="I320" s="449">
        <f t="shared" si="263"/>
        <v>0</v>
      </c>
      <c r="J320" s="426">
        <f t="shared" si="264"/>
        <v>0</v>
      </c>
      <c r="K320" s="421"/>
      <c r="L320" s="449">
        <v>0.02</v>
      </c>
      <c r="M320" s="449">
        <v>0</v>
      </c>
      <c r="N320" s="449">
        <v>0</v>
      </c>
      <c r="O320" s="449">
        <v>29.1</v>
      </c>
      <c r="P320" s="449">
        <v>0</v>
      </c>
      <c r="Q320" s="449">
        <v>0</v>
      </c>
      <c r="R320" s="449">
        <f>($H320-SUM($L320:Q320))/R$694</f>
        <v>564.64666666666665</v>
      </c>
      <c r="S320" s="449">
        <f>($H320-SUM($L320:R320))/S$694</f>
        <v>564.64666666666676</v>
      </c>
      <c r="T320" s="449">
        <f>($H320-SUM($L320:S320))/T$694</f>
        <v>564.64666666666665</v>
      </c>
      <c r="U320" s="449">
        <f>($H320-SUM($L320:T320))/U$694</f>
        <v>564.64666666666665</v>
      </c>
      <c r="V320" s="449">
        <f>($H320-SUM($L320:U320))/V$694</f>
        <v>564.64666666666676</v>
      </c>
      <c r="W320" s="449">
        <f>($H320-SUM($L320:V320))/W$694</f>
        <v>564.64666666666653</v>
      </c>
      <c r="X320" s="449"/>
      <c r="Y320" s="449">
        <f t="shared" si="265"/>
        <v>3417</v>
      </c>
      <c r="Z320" s="531"/>
      <c r="AA320" s="449">
        <f t="shared" si="280"/>
        <v>284.75</v>
      </c>
      <c r="AB320" s="449">
        <f t="shared" si="280"/>
        <v>284.75</v>
      </c>
      <c r="AC320" s="449">
        <f t="shared" si="280"/>
        <v>284.75</v>
      </c>
      <c r="AD320" s="449">
        <f t="shared" si="280"/>
        <v>284.75</v>
      </c>
      <c r="AE320" s="449">
        <f t="shared" si="280"/>
        <v>284.75</v>
      </c>
      <c r="AF320" s="449">
        <f t="shared" si="280"/>
        <v>284.75</v>
      </c>
      <c r="AG320" s="449">
        <f t="shared" si="280"/>
        <v>284.75</v>
      </c>
      <c r="AH320" s="449">
        <f t="shared" si="280"/>
        <v>284.75</v>
      </c>
      <c r="AI320" s="449">
        <f t="shared" si="280"/>
        <v>284.75</v>
      </c>
      <c r="AJ320" s="449">
        <f t="shared" si="280"/>
        <v>284.75</v>
      </c>
      <c r="AK320" s="449">
        <f t="shared" si="280"/>
        <v>284.75</v>
      </c>
      <c r="AL320" s="449">
        <f t="shared" si="280"/>
        <v>284.75</v>
      </c>
      <c r="AN320" s="500">
        <f t="shared" si="279"/>
        <v>3417</v>
      </c>
      <c r="AO320" s="449">
        <f t="shared" si="268"/>
        <v>3519.0600000000009</v>
      </c>
      <c r="AP320" s="449">
        <f t="shared" si="269"/>
        <v>102.06000000000085</v>
      </c>
      <c r="AQ320" s="453">
        <f t="shared" si="270"/>
        <v>2.9868305531167941E-2</v>
      </c>
      <c r="AR320" s="449">
        <f t="shared" si="271"/>
        <v>3519.0600000000009</v>
      </c>
      <c r="AS320" s="449">
        <f t="shared" si="272"/>
        <v>0</v>
      </c>
      <c r="AT320" s="426">
        <f t="shared" si="273"/>
        <v>0</v>
      </c>
      <c r="AU320" s="421"/>
      <c r="AV320" s="449">
        <f t="shared" si="277"/>
        <v>293.255</v>
      </c>
      <c r="AW320" s="449">
        <f t="shared" si="277"/>
        <v>293.255</v>
      </c>
      <c r="AX320" s="449">
        <f t="shared" si="277"/>
        <v>293.255</v>
      </c>
      <c r="AY320" s="449">
        <f t="shared" si="277"/>
        <v>293.255</v>
      </c>
      <c r="AZ320" s="449">
        <f t="shared" si="277"/>
        <v>293.255</v>
      </c>
      <c r="BA320" s="449">
        <f t="shared" si="277"/>
        <v>293.255</v>
      </c>
      <c r="BB320" s="449">
        <f t="shared" si="281"/>
        <v>293.255</v>
      </c>
      <c r="BC320" s="449">
        <f t="shared" si="281"/>
        <v>293.255</v>
      </c>
      <c r="BD320" s="449">
        <f t="shared" si="281"/>
        <v>293.255</v>
      </c>
      <c r="BE320" s="449">
        <f t="shared" si="281"/>
        <v>293.255</v>
      </c>
      <c r="BF320" s="449">
        <f t="shared" si="281"/>
        <v>293.255</v>
      </c>
      <c r="BG320" s="449">
        <f t="shared" si="281"/>
        <v>293.255</v>
      </c>
      <c r="BH320" s="400"/>
      <c r="BI320" s="449">
        <f>SUM('FY19 Staffing V1-1 (3)'!$S$247:$S$248)/12</f>
        <v>293.255</v>
      </c>
      <c r="BJ320" s="449">
        <f>SUM('FY19 Staffing V1-1 (3)'!$S$247:$S$248)/12</f>
        <v>293.255</v>
      </c>
      <c r="BK320" s="449">
        <f>SUM('FY19 Staffing V1-1 (3)'!$S$247:$S$248)/12</f>
        <v>293.255</v>
      </c>
      <c r="BL320" s="449">
        <f>SUM('FY19 Staffing V1-1 (3)'!$S$247:$S$248)/12</f>
        <v>293.255</v>
      </c>
      <c r="BM320" s="449">
        <f>SUM('FY19 Staffing V1-1 (3)'!$S$247:$S$248)/12</f>
        <v>293.255</v>
      </c>
      <c r="BN320" s="449">
        <f>SUM('FY19 Staffing V1-1 (3)'!$S$247:$S$248)/12</f>
        <v>293.255</v>
      </c>
      <c r="BO320" s="449">
        <f>SUM('FY19 Staffing V1-1 (3)'!$S$247:$S$248)/12</f>
        <v>293.255</v>
      </c>
      <c r="BP320" s="449">
        <f>SUM('FY19 Staffing V1-1 (3)'!$S$247:$S$248)/12</f>
        <v>293.255</v>
      </c>
      <c r="BQ320" s="449">
        <f>SUM('FY19 Staffing V1-1 (3)'!$S$247:$S$248)/12</f>
        <v>293.255</v>
      </c>
      <c r="BR320" s="449">
        <f>SUM('FY19 Staffing V1-1 (3)'!$S$247:$S$248)/12</f>
        <v>293.255</v>
      </c>
      <c r="BS320" s="449">
        <f>SUM('FY19 Staffing V1-1 (3)'!$S$247:$S$248)/12</f>
        <v>293.255</v>
      </c>
      <c r="BT320" s="449">
        <f>SUM('FY19 Staffing V1-1 (3)'!$S$247:$S$248)/12</f>
        <v>293.255</v>
      </c>
    </row>
    <row r="321" spans="1:74" ht="15" hidden="1" x14ac:dyDescent="0.25">
      <c r="A321" s="614" t="s">
        <v>551</v>
      </c>
      <c r="B321" s="614" t="s">
        <v>552</v>
      </c>
      <c r="C321" s="630"/>
      <c r="D321" s="500">
        <f t="shared" si="260"/>
        <v>0</v>
      </c>
      <c r="E321" s="449">
        <v>0</v>
      </c>
      <c r="F321" s="449">
        <f t="shared" si="261"/>
        <v>0</v>
      </c>
      <c r="G321" s="421">
        <f t="shared" si="262"/>
        <v>0</v>
      </c>
      <c r="H321" s="449">
        <v>0</v>
      </c>
      <c r="I321" s="449">
        <f t="shared" si="263"/>
        <v>0</v>
      </c>
      <c r="J321" s="426">
        <f t="shared" si="264"/>
        <v>0</v>
      </c>
      <c r="K321" s="421"/>
      <c r="L321" s="449">
        <v>0</v>
      </c>
      <c r="M321" s="449">
        <v>0</v>
      </c>
      <c r="N321" s="449">
        <v>0</v>
      </c>
      <c r="O321" s="449">
        <v>0</v>
      </c>
      <c r="P321" s="449">
        <v>0</v>
      </c>
      <c r="Q321" s="449">
        <v>0</v>
      </c>
      <c r="R321" s="449">
        <f>($H321-SUM($L321:Q321))/R$694</f>
        <v>0</v>
      </c>
      <c r="S321" s="449">
        <f>($H321-SUM($L321:R321))/S$694</f>
        <v>0</v>
      </c>
      <c r="T321" s="449">
        <f>($H321-SUM($L321:S321))/T$694</f>
        <v>0</v>
      </c>
      <c r="U321" s="449">
        <f>($H321-SUM($L321:T321))/U$694</f>
        <v>0</v>
      </c>
      <c r="V321" s="449">
        <f>($H321-SUM($L321:U321))/V$694</f>
        <v>0</v>
      </c>
      <c r="W321" s="449">
        <f>($H321-SUM($L321:V321))/W$694</f>
        <v>0</v>
      </c>
      <c r="X321" s="449"/>
      <c r="Y321" s="449">
        <f t="shared" si="265"/>
        <v>0</v>
      </c>
      <c r="Z321" s="531"/>
      <c r="AA321" s="449">
        <f t="shared" si="280"/>
        <v>0</v>
      </c>
      <c r="AB321" s="449">
        <f t="shared" si="280"/>
        <v>0</v>
      </c>
      <c r="AC321" s="449">
        <f t="shared" si="280"/>
        <v>0</v>
      </c>
      <c r="AD321" s="449">
        <f t="shared" si="280"/>
        <v>0</v>
      </c>
      <c r="AE321" s="449">
        <f t="shared" si="280"/>
        <v>0</v>
      </c>
      <c r="AF321" s="449">
        <f t="shared" si="280"/>
        <v>0</v>
      </c>
      <c r="AG321" s="449">
        <f t="shared" si="280"/>
        <v>0</v>
      </c>
      <c r="AH321" s="449">
        <f t="shared" si="280"/>
        <v>0</v>
      </c>
      <c r="AI321" s="449">
        <f t="shared" si="280"/>
        <v>0</v>
      </c>
      <c r="AJ321" s="449">
        <f t="shared" si="280"/>
        <v>0</v>
      </c>
      <c r="AK321" s="449">
        <f t="shared" si="280"/>
        <v>0</v>
      </c>
      <c r="AL321" s="449">
        <f t="shared" si="280"/>
        <v>0</v>
      </c>
      <c r="AN321" s="500">
        <f t="shared" si="279"/>
        <v>0</v>
      </c>
      <c r="AO321" s="449">
        <f t="shared" si="268"/>
        <v>0</v>
      </c>
      <c r="AP321" s="449">
        <f t="shared" si="269"/>
        <v>0</v>
      </c>
      <c r="AQ321" s="453" t="str">
        <f t="shared" si="270"/>
        <v>-</v>
      </c>
      <c r="AR321" s="449">
        <f t="shared" si="271"/>
        <v>0</v>
      </c>
      <c r="AS321" s="449">
        <f t="shared" si="272"/>
        <v>0</v>
      </c>
      <c r="AT321" s="426">
        <f t="shared" si="273"/>
        <v>0</v>
      </c>
      <c r="AU321" s="421"/>
      <c r="AV321" s="449">
        <f t="shared" si="277"/>
        <v>0</v>
      </c>
      <c r="AW321" s="449">
        <f t="shared" si="277"/>
        <v>0</v>
      </c>
      <c r="AX321" s="449">
        <f t="shared" si="277"/>
        <v>0</v>
      </c>
      <c r="AY321" s="449">
        <f t="shared" si="277"/>
        <v>0</v>
      </c>
      <c r="AZ321" s="449">
        <f t="shared" si="277"/>
        <v>0</v>
      </c>
      <c r="BA321" s="449">
        <f t="shared" si="277"/>
        <v>0</v>
      </c>
      <c r="BB321" s="449">
        <f t="shared" si="281"/>
        <v>0</v>
      </c>
      <c r="BC321" s="449">
        <f t="shared" si="281"/>
        <v>0</v>
      </c>
      <c r="BD321" s="449">
        <f t="shared" si="281"/>
        <v>0</v>
      </c>
      <c r="BE321" s="449">
        <f t="shared" si="281"/>
        <v>0</v>
      </c>
      <c r="BF321" s="449">
        <f t="shared" si="281"/>
        <v>0</v>
      </c>
      <c r="BG321" s="449">
        <f t="shared" si="281"/>
        <v>0</v>
      </c>
      <c r="BH321" s="400"/>
      <c r="BI321" s="449">
        <v>0</v>
      </c>
      <c r="BJ321" s="449">
        <v>0</v>
      </c>
      <c r="BK321" s="449">
        <v>0</v>
      </c>
      <c r="BL321" s="449">
        <v>0</v>
      </c>
      <c r="BM321" s="449">
        <v>0</v>
      </c>
      <c r="BN321" s="449">
        <v>0</v>
      </c>
      <c r="BO321" s="449">
        <v>0</v>
      </c>
      <c r="BP321" s="449">
        <v>0</v>
      </c>
      <c r="BQ321" s="449">
        <v>0</v>
      </c>
      <c r="BR321" s="449">
        <v>0</v>
      </c>
      <c r="BS321" s="449">
        <v>0</v>
      </c>
      <c r="BT321" s="449">
        <v>0</v>
      </c>
    </row>
    <row r="322" spans="1:74" ht="15" hidden="1" x14ac:dyDescent="0.25">
      <c r="A322" s="614" t="s">
        <v>553</v>
      </c>
      <c r="B322" s="614" t="s">
        <v>554</v>
      </c>
      <c r="C322" s="541"/>
      <c r="D322" s="500">
        <f t="shared" si="260"/>
        <v>0</v>
      </c>
      <c r="E322" s="449">
        <v>0</v>
      </c>
      <c r="F322" s="449">
        <f t="shared" si="261"/>
        <v>0</v>
      </c>
      <c r="G322" s="421">
        <f t="shared" si="262"/>
        <v>0</v>
      </c>
      <c r="H322" s="449">
        <v>0</v>
      </c>
      <c r="I322" s="449">
        <f t="shared" si="263"/>
        <v>0</v>
      </c>
      <c r="J322" s="426">
        <f t="shared" si="264"/>
        <v>0</v>
      </c>
      <c r="K322" s="421"/>
      <c r="L322" s="449">
        <v>0</v>
      </c>
      <c r="M322" s="449">
        <v>0</v>
      </c>
      <c r="N322" s="449">
        <v>0</v>
      </c>
      <c r="O322" s="449">
        <v>0</v>
      </c>
      <c r="P322" s="449">
        <v>0</v>
      </c>
      <c r="Q322" s="449">
        <v>0</v>
      </c>
      <c r="R322" s="449">
        <f>($H322-SUM($L322:Q322))/R$694</f>
        <v>0</v>
      </c>
      <c r="S322" s="449">
        <f>($H322-SUM($L322:R322))/S$694</f>
        <v>0</v>
      </c>
      <c r="T322" s="449">
        <f>($H322-SUM($L322:S322))/T$694</f>
        <v>0</v>
      </c>
      <c r="U322" s="449">
        <f>($H322-SUM($L322:T322))/U$694</f>
        <v>0</v>
      </c>
      <c r="V322" s="449">
        <f>($H322-SUM($L322:U322))/V$694</f>
        <v>0</v>
      </c>
      <c r="W322" s="449">
        <f>($H322-SUM($L322:V322))/W$694</f>
        <v>0</v>
      </c>
      <c r="X322" s="449"/>
      <c r="Y322" s="449">
        <f t="shared" si="265"/>
        <v>0</v>
      </c>
      <c r="Z322" s="531"/>
      <c r="AA322" s="449">
        <f t="shared" si="280"/>
        <v>0</v>
      </c>
      <c r="AB322" s="449">
        <f t="shared" si="280"/>
        <v>0</v>
      </c>
      <c r="AC322" s="449">
        <f t="shared" si="280"/>
        <v>0</v>
      </c>
      <c r="AD322" s="449">
        <f t="shared" si="280"/>
        <v>0</v>
      </c>
      <c r="AE322" s="449">
        <f t="shared" si="280"/>
        <v>0</v>
      </c>
      <c r="AF322" s="449">
        <f t="shared" si="280"/>
        <v>0</v>
      </c>
      <c r="AG322" s="449">
        <f t="shared" si="280"/>
        <v>0</v>
      </c>
      <c r="AH322" s="449">
        <f t="shared" si="280"/>
        <v>0</v>
      </c>
      <c r="AI322" s="449">
        <f t="shared" si="280"/>
        <v>0</v>
      </c>
      <c r="AJ322" s="449">
        <f t="shared" si="280"/>
        <v>0</v>
      </c>
      <c r="AK322" s="449">
        <f t="shared" si="280"/>
        <v>0</v>
      </c>
      <c r="AL322" s="449">
        <f t="shared" si="280"/>
        <v>0</v>
      </c>
      <c r="AN322" s="500">
        <f t="shared" si="279"/>
        <v>0</v>
      </c>
      <c r="AO322" s="449">
        <f t="shared" si="268"/>
        <v>0</v>
      </c>
      <c r="AP322" s="449">
        <f t="shared" si="269"/>
        <v>0</v>
      </c>
      <c r="AQ322" s="453" t="str">
        <f t="shared" si="270"/>
        <v>-</v>
      </c>
      <c r="AR322" s="449">
        <f t="shared" si="271"/>
        <v>0</v>
      </c>
      <c r="AS322" s="449">
        <f t="shared" si="272"/>
        <v>0</v>
      </c>
      <c r="AT322" s="426">
        <f t="shared" si="273"/>
        <v>0</v>
      </c>
      <c r="AU322" s="421"/>
      <c r="AV322" s="449">
        <f t="shared" si="277"/>
        <v>0</v>
      </c>
      <c r="AW322" s="449">
        <f t="shared" si="277"/>
        <v>0</v>
      </c>
      <c r="AX322" s="449">
        <f t="shared" si="277"/>
        <v>0</v>
      </c>
      <c r="AY322" s="449">
        <f t="shared" si="277"/>
        <v>0</v>
      </c>
      <c r="AZ322" s="449">
        <f t="shared" si="277"/>
        <v>0</v>
      </c>
      <c r="BA322" s="449">
        <f t="shared" si="277"/>
        <v>0</v>
      </c>
      <c r="BB322" s="449">
        <f t="shared" si="281"/>
        <v>0</v>
      </c>
      <c r="BC322" s="449">
        <f t="shared" si="281"/>
        <v>0</v>
      </c>
      <c r="BD322" s="449">
        <f t="shared" si="281"/>
        <v>0</v>
      </c>
      <c r="BE322" s="449">
        <f t="shared" si="281"/>
        <v>0</v>
      </c>
      <c r="BF322" s="449">
        <f t="shared" si="281"/>
        <v>0</v>
      </c>
      <c r="BG322" s="449">
        <f t="shared" si="281"/>
        <v>0</v>
      </c>
      <c r="BH322" s="400"/>
      <c r="BI322" s="449">
        <v>0</v>
      </c>
      <c r="BJ322" s="449">
        <v>0</v>
      </c>
      <c r="BK322" s="449">
        <v>0</v>
      </c>
      <c r="BL322" s="449">
        <v>0</v>
      </c>
      <c r="BM322" s="449">
        <v>0</v>
      </c>
      <c r="BN322" s="449">
        <v>0</v>
      </c>
      <c r="BO322" s="449">
        <v>0</v>
      </c>
      <c r="BP322" s="449">
        <v>0</v>
      </c>
      <c r="BQ322" s="449">
        <v>0</v>
      </c>
      <c r="BR322" s="449">
        <v>0</v>
      </c>
      <c r="BS322" s="449">
        <v>0</v>
      </c>
      <c r="BT322" s="449">
        <v>0</v>
      </c>
    </row>
    <row r="323" spans="1:74" ht="15" hidden="1" x14ac:dyDescent="0.25">
      <c r="A323" s="614" t="s">
        <v>555</v>
      </c>
      <c r="B323" s="614" t="s">
        <v>556</v>
      </c>
      <c r="C323" s="541"/>
      <c r="D323" s="500">
        <f t="shared" si="260"/>
        <v>0</v>
      </c>
      <c r="E323" s="449">
        <v>0</v>
      </c>
      <c r="F323" s="449">
        <f t="shared" si="261"/>
        <v>0</v>
      </c>
      <c r="G323" s="421">
        <f t="shared" si="262"/>
        <v>0</v>
      </c>
      <c r="H323" s="449">
        <v>0</v>
      </c>
      <c r="I323" s="449">
        <f t="shared" si="263"/>
        <v>0</v>
      </c>
      <c r="J323" s="426">
        <f t="shared" si="264"/>
        <v>0</v>
      </c>
      <c r="K323" s="421"/>
      <c r="L323" s="449">
        <v>0</v>
      </c>
      <c r="M323" s="449">
        <v>0</v>
      </c>
      <c r="N323" s="449">
        <v>0</v>
      </c>
      <c r="O323" s="449">
        <v>0</v>
      </c>
      <c r="P323" s="449">
        <v>0</v>
      </c>
      <c r="Q323" s="449">
        <v>0</v>
      </c>
      <c r="R323" s="449">
        <f>($H323-SUM($L323:Q323))/R$694</f>
        <v>0</v>
      </c>
      <c r="S323" s="449">
        <f>($H323-SUM($L323:R323))/S$694</f>
        <v>0</v>
      </c>
      <c r="T323" s="449">
        <f>($H323-SUM($L323:S323))/T$694</f>
        <v>0</v>
      </c>
      <c r="U323" s="449">
        <f>($H323-SUM($L323:T323))/U$694</f>
        <v>0</v>
      </c>
      <c r="V323" s="449">
        <f>($H323-SUM($L323:U323))/V$694</f>
        <v>0</v>
      </c>
      <c r="W323" s="449">
        <f>($H323-SUM($L323:V323))/W$694</f>
        <v>0</v>
      </c>
      <c r="X323" s="449"/>
      <c r="Y323" s="449">
        <f t="shared" si="265"/>
        <v>0</v>
      </c>
      <c r="Z323" s="531"/>
      <c r="AA323" s="449">
        <f t="shared" si="280"/>
        <v>0</v>
      </c>
      <c r="AB323" s="449">
        <f t="shared" si="280"/>
        <v>0</v>
      </c>
      <c r="AC323" s="449">
        <f t="shared" si="280"/>
        <v>0</v>
      </c>
      <c r="AD323" s="449">
        <f t="shared" si="280"/>
        <v>0</v>
      </c>
      <c r="AE323" s="449">
        <f t="shared" si="280"/>
        <v>0</v>
      </c>
      <c r="AF323" s="449">
        <f t="shared" si="280"/>
        <v>0</v>
      </c>
      <c r="AG323" s="449">
        <f t="shared" si="280"/>
        <v>0</v>
      </c>
      <c r="AH323" s="449">
        <f t="shared" si="280"/>
        <v>0</v>
      </c>
      <c r="AI323" s="449">
        <f t="shared" si="280"/>
        <v>0</v>
      </c>
      <c r="AJ323" s="449">
        <f t="shared" si="280"/>
        <v>0</v>
      </c>
      <c r="AK323" s="449">
        <f t="shared" si="280"/>
        <v>0</v>
      </c>
      <c r="AL323" s="449">
        <f t="shared" si="280"/>
        <v>0</v>
      </c>
      <c r="AN323" s="500">
        <f t="shared" si="279"/>
        <v>0</v>
      </c>
      <c r="AO323" s="449">
        <f t="shared" si="268"/>
        <v>0</v>
      </c>
      <c r="AP323" s="449">
        <f t="shared" si="269"/>
        <v>0</v>
      </c>
      <c r="AQ323" s="453" t="str">
        <f t="shared" si="270"/>
        <v>-</v>
      </c>
      <c r="AR323" s="449">
        <f t="shared" si="271"/>
        <v>0</v>
      </c>
      <c r="AS323" s="449">
        <f t="shared" si="272"/>
        <v>0</v>
      </c>
      <c r="AT323" s="426">
        <f t="shared" si="273"/>
        <v>0</v>
      </c>
      <c r="AU323" s="421"/>
      <c r="AV323" s="449">
        <f t="shared" si="277"/>
        <v>0</v>
      </c>
      <c r="AW323" s="449">
        <f t="shared" si="277"/>
        <v>0</v>
      </c>
      <c r="AX323" s="449">
        <f t="shared" si="277"/>
        <v>0</v>
      </c>
      <c r="AY323" s="449">
        <f t="shared" si="277"/>
        <v>0</v>
      </c>
      <c r="AZ323" s="449">
        <f t="shared" si="277"/>
        <v>0</v>
      </c>
      <c r="BA323" s="449">
        <f t="shared" si="277"/>
        <v>0</v>
      </c>
      <c r="BB323" s="449">
        <f t="shared" si="281"/>
        <v>0</v>
      </c>
      <c r="BC323" s="449">
        <f t="shared" si="281"/>
        <v>0</v>
      </c>
      <c r="BD323" s="449">
        <f t="shared" si="281"/>
        <v>0</v>
      </c>
      <c r="BE323" s="449">
        <f t="shared" si="281"/>
        <v>0</v>
      </c>
      <c r="BF323" s="449">
        <f t="shared" si="281"/>
        <v>0</v>
      </c>
      <c r="BG323" s="449">
        <f t="shared" si="281"/>
        <v>0</v>
      </c>
      <c r="BH323" s="400"/>
      <c r="BI323" s="449">
        <v>0</v>
      </c>
      <c r="BJ323" s="449">
        <v>0</v>
      </c>
      <c r="BK323" s="449">
        <v>0</v>
      </c>
      <c r="BL323" s="449">
        <v>0</v>
      </c>
      <c r="BM323" s="449">
        <v>0</v>
      </c>
      <c r="BN323" s="449">
        <v>0</v>
      </c>
      <c r="BO323" s="449">
        <v>0</v>
      </c>
      <c r="BP323" s="449">
        <v>0</v>
      </c>
      <c r="BQ323" s="449">
        <v>0</v>
      </c>
      <c r="BR323" s="449">
        <v>0</v>
      </c>
      <c r="BS323" s="449">
        <v>0</v>
      </c>
      <c r="BT323" s="449">
        <v>0</v>
      </c>
    </row>
    <row r="324" spans="1:74" ht="15" hidden="1" x14ac:dyDescent="0.25">
      <c r="A324" s="614" t="s">
        <v>557</v>
      </c>
      <c r="B324" s="614" t="s">
        <v>558</v>
      </c>
      <c r="C324" s="541"/>
      <c r="D324" s="500">
        <f t="shared" si="260"/>
        <v>0</v>
      </c>
      <c r="E324" s="449">
        <v>0</v>
      </c>
      <c r="F324" s="449">
        <f t="shared" si="261"/>
        <v>0</v>
      </c>
      <c r="G324" s="421">
        <f t="shared" si="262"/>
        <v>0</v>
      </c>
      <c r="H324" s="449">
        <v>0</v>
      </c>
      <c r="I324" s="449">
        <f t="shared" si="263"/>
        <v>0</v>
      </c>
      <c r="J324" s="426">
        <f t="shared" si="264"/>
        <v>0</v>
      </c>
      <c r="K324" s="421"/>
      <c r="L324" s="449">
        <v>0</v>
      </c>
      <c r="M324" s="449">
        <v>0</v>
      </c>
      <c r="N324" s="449">
        <v>0</v>
      </c>
      <c r="O324" s="449">
        <v>0</v>
      </c>
      <c r="P324" s="449">
        <v>0</v>
      </c>
      <c r="Q324" s="449">
        <v>0</v>
      </c>
      <c r="R324" s="449">
        <f>($H324-SUM($L324:Q324))/R$694</f>
        <v>0</v>
      </c>
      <c r="S324" s="449">
        <f>($H324-SUM($L324:R324))/S$694</f>
        <v>0</v>
      </c>
      <c r="T324" s="449">
        <f>($H324-SUM($L324:S324))/T$694</f>
        <v>0</v>
      </c>
      <c r="U324" s="449">
        <f>($H324-SUM($L324:T324))/U$694</f>
        <v>0</v>
      </c>
      <c r="V324" s="449">
        <f>($H324-SUM($L324:U324))/V$694</f>
        <v>0</v>
      </c>
      <c r="W324" s="449">
        <f>($H324-SUM($L324:V324))/W$694</f>
        <v>0</v>
      </c>
      <c r="X324" s="449"/>
      <c r="Y324" s="449">
        <f t="shared" si="265"/>
        <v>0</v>
      </c>
      <c r="Z324" s="531"/>
      <c r="AA324" s="449">
        <f t="shared" si="280"/>
        <v>0</v>
      </c>
      <c r="AB324" s="449">
        <f t="shared" si="280"/>
        <v>0</v>
      </c>
      <c r="AC324" s="449">
        <f t="shared" si="280"/>
        <v>0</v>
      </c>
      <c r="AD324" s="449">
        <f t="shared" si="280"/>
        <v>0</v>
      </c>
      <c r="AE324" s="449">
        <f t="shared" si="280"/>
        <v>0</v>
      </c>
      <c r="AF324" s="449">
        <f t="shared" si="280"/>
        <v>0</v>
      </c>
      <c r="AG324" s="449">
        <f t="shared" si="280"/>
        <v>0</v>
      </c>
      <c r="AH324" s="449">
        <f t="shared" si="280"/>
        <v>0</v>
      </c>
      <c r="AI324" s="449">
        <f t="shared" si="280"/>
        <v>0</v>
      </c>
      <c r="AJ324" s="449">
        <f t="shared" si="280"/>
        <v>0</v>
      </c>
      <c r="AK324" s="449">
        <f t="shared" si="280"/>
        <v>0</v>
      </c>
      <c r="AL324" s="449">
        <f t="shared" si="280"/>
        <v>0</v>
      </c>
      <c r="AN324" s="500">
        <f t="shared" si="279"/>
        <v>0</v>
      </c>
      <c r="AO324" s="449">
        <f t="shared" si="268"/>
        <v>0</v>
      </c>
      <c r="AP324" s="449">
        <f t="shared" si="269"/>
        <v>0</v>
      </c>
      <c r="AQ324" s="453" t="str">
        <f t="shared" si="270"/>
        <v>-</v>
      </c>
      <c r="AR324" s="449">
        <f t="shared" si="271"/>
        <v>0</v>
      </c>
      <c r="AS324" s="449">
        <f t="shared" si="272"/>
        <v>0</v>
      </c>
      <c r="AT324" s="426">
        <f t="shared" si="273"/>
        <v>0</v>
      </c>
      <c r="AU324" s="421"/>
      <c r="AV324" s="449">
        <f t="shared" si="277"/>
        <v>0</v>
      </c>
      <c r="AW324" s="449">
        <f t="shared" si="277"/>
        <v>0</v>
      </c>
      <c r="AX324" s="449">
        <f t="shared" si="277"/>
        <v>0</v>
      </c>
      <c r="AY324" s="449">
        <f t="shared" si="277"/>
        <v>0</v>
      </c>
      <c r="AZ324" s="449">
        <f t="shared" si="277"/>
        <v>0</v>
      </c>
      <c r="BA324" s="449">
        <f t="shared" si="277"/>
        <v>0</v>
      </c>
      <c r="BB324" s="449">
        <f t="shared" si="281"/>
        <v>0</v>
      </c>
      <c r="BC324" s="449">
        <f t="shared" si="281"/>
        <v>0</v>
      </c>
      <c r="BD324" s="449">
        <f t="shared" si="281"/>
        <v>0</v>
      </c>
      <c r="BE324" s="449">
        <f t="shared" si="281"/>
        <v>0</v>
      </c>
      <c r="BF324" s="449">
        <f t="shared" si="281"/>
        <v>0</v>
      </c>
      <c r="BG324" s="449">
        <f t="shared" si="281"/>
        <v>0</v>
      </c>
      <c r="BH324" s="400"/>
      <c r="BI324" s="449">
        <v>0</v>
      </c>
      <c r="BJ324" s="449">
        <v>0</v>
      </c>
      <c r="BK324" s="449">
        <v>0</v>
      </c>
      <c r="BL324" s="449">
        <v>0</v>
      </c>
      <c r="BM324" s="449">
        <v>0</v>
      </c>
      <c r="BN324" s="449">
        <v>0</v>
      </c>
      <c r="BO324" s="449">
        <v>0</v>
      </c>
      <c r="BP324" s="449">
        <v>0</v>
      </c>
      <c r="BQ324" s="449">
        <v>0</v>
      </c>
      <c r="BR324" s="449">
        <v>0</v>
      </c>
      <c r="BS324" s="449">
        <v>0</v>
      </c>
      <c r="BT324" s="449">
        <v>0</v>
      </c>
    </row>
    <row r="325" spans="1:74" ht="15" hidden="1" x14ac:dyDescent="0.25">
      <c r="A325" s="614" t="s">
        <v>559</v>
      </c>
      <c r="B325" s="614" t="s">
        <v>560</v>
      </c>
      <c r="C325" s="541"/>
      <c r="D325" s="500">
        <f t="shared" si="260"/>
        <v>0</v>
      </c>
      <c r="E325" s="449">
        <v>0</v>
      </c>
      <c r="F325" s="449">
        <f t="shared" si="261"/>
        <v>0</v>
      </c>
      <c r="G325" s="421">
        <f t="shared" si="262"/>
        <v>0</v>
      </c>
      <c r="H325" s="449">
        <v>0</v>
      </c>
      <c r="I325" s="449">
        <f t="shared" si="263"/>
        <v>0</v>
      </c>
      <c r="J325" s="426">
        <f t="shared" si="264"/>
        <v>0</v>
      </c>
      <c r="K325" s="421"/>
      <c r="L325" s="449">
        <v>0</v>
      </c>
      <c r="M325" s="449">
        <v>0</v>
      </c>
      <c r="N325" s="449">
        <v>0</v>
      </c>
      <c r="O325" s="449">
        <v>0</v>
      </c>
      <c r="P325" s="449">
        <v>0</v>
      </c>
      <c r="Q325" s="449">
        <v>0</v>
      </c>
      <c r="R325" s="449">
        <f>($H325-SUM($L325:Q325))/R$694</f>
        <v>0</v>
      </c>
      <c r="S325" s="449">
        <f>($H325-SUM($L325:R325))/S$694</f>
        <v>0</v>
      </c>
      <c r="T325" s="449">
        <f>($H325-SUM($L325:S325))/T$694</f>
        <v>0</v>
      </c>
      <c r="U325" s="449">
        <f>($H325-SUM($L325:T325))/U$694</f>
        <v>0</v>
      </c>
      <c r="V325" s="449">
        <f>($H325-SUM($L325:U325))/V$694</f>
        <v>0</v>
      </c>
      <c r="W325" s="449">
        <f>($H325-SUM($L325:V325))/W$694</f>
        <v>0</v>
      </c>
      <c r="X325" s="449"/>
      <c r="Y325" s="449">
        <f t="shared" si="265"/>
        <v>0</v>
      </c>
      <c r="Z325" s="531"/>
      <c r="AA325" s="449">
        <f t="shared" si="280"/>
        <v>0</v>
      </c>
      <c r="AB325" s="449">
        <f t="shared" si="280"/>
        <v>0</v>
      </c>
      <c r="AC325" s="449">
        <f t="shared" si="280"/>
        <v>0</v>
      </c>
      <c r="AD325" s="449">
        <f t="shared" si="280"/>
        <v>0</v>
      </c>
      <c r="AE325" s="449">
        <f t="shared" si="280"/>
        <v>0</v>
      </c>
      <c r="AF325" s="449">
        <f t="shared" si="280"/>
        <v>0</v>
      </c>
      <c r="AG325" s="449">
        <f t="shared" si="280"/>
        <v>0</v>
      </c>
      <c r="AH325" s="449">
        <f t="shared" si="280"/>
        <v>0</v>
      </c>
      <c r="AI325" s="449">
        <f t="shared" si="280"/>
        <v>0</v>
      </c>
      <c r="AJ325" s="449">
        <f t="shared" si="280"/>
        <v>0</v>
      </c>
      <c r="AK325" s="449">
        <f t="shared" si="280"/>
        <v>0</v>
      </c>
      <c r="AL325" s="449">
        <f t="shared" si="280"/>
        <v>0</v>
      </c>
      <c r="AN325" s="500">
        <f t="shared" si="279"/>
        <v>0</v>
      </c>
      <c r="AO325" s="449">
        <f t="shared" si="268"/>
        <v>0</v>
      </c>
      <c r="AP325" s="449">
        <f t="shared" si="269"/>
        <v>0</v>
      </c>
      <c r="AQ325" s="453" t="str">
        <f t="shared" si="270"/>
        <v>-</v>
      </c>
      <c r="AR325" s="449">
        <f t="shared" si="271"/>
        <v>0</v>
      </c>
      <c r="AS325" s="449">
        <f t="shared" si="272"/>
        <v>0</v>
      </c>
      <c r="AT325" s="426">
        <f t="shared" si="273"/>
        <v>0</v>
      </c>
      <c r="AU325" s="421"/>
      <c r="AV325" s="449">
        <f t="shared" si="277"/>
        <v>0</v>
      </c>
      <c r="AW325" s="449">
        <f t="shared" si="277"/>
        <v>0</v>
      </c>
      <c r="AX325" s="449">
        <f t="shared" si="277"/>
        <v>0</v>
      </c>
      <c r="AY325" s="449">
        <f t="shared" si="277"/>
        <v>0</v>
      </c>
      <c r="AZ325" s="449">
        <f t="shared" si="277"/>
        <v>0</v>
      </c>
      <c r="BA325" s="449">
        <f t="shared" si="277"/>
        <v>0</v>
      </c>
      <c r="BB325" s="449">
        <f t="shared" si="281"/>
        <v>0</v>
      </c>
      <c r="BC325" s="449">
        <f t="shared" si="281"/>
        <v>0</v>
      </c>
      <c r="BD325" s="449">
        <f t="shared" si="281"/>
        <v>0</v>
      </c>
      <c r="BE325" s="449">
        <f t="shared" si="281"/>
        <v>0</v>
      </c>
      <c r="BF325" s="449">
        <f t="shared" si="281"/>
        <v>0</v>
      </c>
      <c r="BG325" s="449">
        <f t="shared" si="281"/>
        <v>0</v>
      </c>
      <c r="BH325" s="400"/>
      <c r="BI325" s="449">
        <v>0</v>
      </c>
      <c r="BJ325" s="449">
        <v>0</v>
      </c>
      <c r="BK325" s="449">
        <v>0</v>
      </c>
      <c r="BL325" s="449">
        <v>0</v>
      </c>
      <c r="BM325" s="449">
        <v>0</v>
      </c>
      <c r="BN325" s="449">
        <v>0</v>
      </c>
      <c r="BO325" s="449">
        <v>0</v>
      </c>
      <c r="BP325" s="449">
        <v>0</v>
      </c>
      <c r="BQ325" s="449">
        <v>0</v>
      </c>
      <c r="BR325" s="449">
        <v>0</v>
      </c>
      <c r="BS325" s="449">
        <v>0</v>
      </c>
      <c r="BT325" s="449">
        <v>0</v>
      </c>
    </row>
    <row r="326" spans="1:74" ht="15" hidden="1" x14ac:dyDescent="0.25">
      <c r="A326" s="614" t="s">
        <v>561</v>
      </c>
      <c r="B326" s="614" t="s">
        <v>562</v>
      </c>
      <c r="C326" s="541"/>
      <c r="D326" s="500">
        <f t="shared" si="260"/>
        <v>0</v>
      </c>
      <c r="E326" s="449">
        <v>0</v>
      </c>
      <c r="F326" s="449">
        <f t="shared" si="261"/>
        <v>0</v>
      </c>
      <c r="G326" s="421">
        <f t="shared" si="262"/>
        <v>0</v>
      </c>
      <c r="H326" s="449">
        <v>0</v>
      </c>
      <c r="I326" s="449">
        <f t="shared" si="263"/>
        <v>0</v>
      </c>
      <c r="J326" s="426">
        <f t="shared" si="264"/>
        <v>0</v>
      </c>
      <c r="K326" s="421"/>
      <c r="L326" s="449">
        <v>0</v>
      </c>
      <c r="M326" s="449">
        <v>0</v>
      </c>
      <c r="N326" s="449">
        <v>0</v>
      </c>
      <c r="O326" s="449">
        <v>0</v>
      </c>
      <c r="P326" s="449">
        <v>0</v>
      </c>
      <c r="Q326" s="449">
        <v>0</v>
      </c>
      <c r="R326" s="449">
        <f>($H326-SUM($L326:Q326))/R$694</f>
        <v>0</v>
      </c>
      <c r="S326" s="449">
        <f>($H326-SUM($L326:R326))/S$694</f>
        <v>0</v>
      </c>
      <c r="T326" s="449">
        <f>($H326-SUM($L326:S326))/T$694</f>
        <v>0</v>
      </c>
      <c r="U326" s="449">
        <f>($H326-SUM($L326:T326))/U$694</f>
        <v>0</v>
      </c>
      <c r="V326" s="449">
        <f>($H326-SUM($L326:U326))/V$694</f>
        <v>0</v>
      </c>
      <c r="W326" s="449">
        <f>($H326-SUM($L326:V326))/W$694</f>
        <v>0</v>
      </c>
      <c r="X326" s="449"/>
      <c r="Y326" s="449">
        <f t="shared" si="265"/>
        <v>0</v>
      </c>
      <c r="Z326" s="531"/>
      <c r="AA326" s="449">
        <f t="shared" si="280"/>
        <v>0</v>
      </c>
      <c r="AB326" s="449">
        <f t="shared" si="280"/>
        <v>0</v>
      </c>
      <c r="AC326" s="449">
        <f t="shared" si="280"/>
        <v>0</v>
      </c>
      <c r="AD326" s="449">
        <f t="shared" si="280"/>
        <v>0</v>
      </c>
      <c r="AE326" s="449">
        <f t="shared" si="280"/>
        <v>0</v>
      </c>
      <c r="AF326" s="449">
        <f t="shared" si="280"/>
        <v>0</v>
      </c>
      <c r="AG326" s="449">
        <f t="shared" si="280"/>
        <v>0</v>
      </c>
      <c r="AH326" s="449">
        <f t="shared" si="280"/>
        <v>0</v>
      </c>
      <c r="AI326" s="449">
        <f t="shared" si="280"/>
        <v>0</v>
      </c>
      <c r="AJ326" s="449">
        <f t="shared" si="280"/>
        <v>0</v>
      </c>
      <c r="AK326" s="449">
        <f t="shared" si="280"/>
        <v>0</v>
      </c>
      <c r="AL326" s="449">
        <f t="shared" si="280"/>
        <v>0</v>
      </c>
      <c r="AN326" s="500">
        <f t="shared" si="279"/>
        <v>0</v>
      </c>
      <c r="AO326" s="449">
        <f t="shared" si="268"/>
        <v>0</v>
      </c>
      <c r="AP326" s="449">
        <f t="shared" si="269"/>
        <v>0</v>
      </c>
      <c r="AQ326" s="453" t="str">
        <f t="shared" si="270"/>
        <v>-</v>
      </c>
      <c r="AR326" s="449">
        <f t="shared" si="271"/>
        <v>0</v>
      </c>
      <c r="AS326" s="449">
        <f t="shared" si="272"/>
        <v>0</v>
      </c>
      <c r="AT326" s="426">
        <f t="shared" si="273"/>
        <v>0</v>
      </c>
      <c r="AU326" s="421"/>
      <c r="AV326" s="449">
        <f t="shared" si="277"/>
        <v>0</v>
      </c>
      <c r="AW326" s="449">
        <f t="shared" si="277"/>
        <v>0</v>
      </c>
      <c r="AX326" s="449">
        <f t="shared" si="277"/>
        <v>0</v>
      </c>
      <c r="AY326" s="449">
        <f t="shared" si="277"/>
        <v>0</v>
      </c>
      <c r="AZ326" s="449">
        <f t="shared" si="277"/>
        <v>0</v>
      </c>
      <c r="BA326" s="449">
        <f t="shared" si="277"/>
        <v>0</v>
      </c>
      <c r="BB326" s="449">
        <f t="shared" si="281"/>
        <v>0</v>
      </c>
      <c r="BC326" s="449">
        <f t="shared" si="281"/>
        <v>0</v>
      </c>
      <c r="BD326" s="449">
        <f t="shared" si="281"/>
        <v>0</v>
      </c>
      <c r="BE326" s="449">
        <f t="shared" si="281"/>
        <v>0</v>
      </c>
      <c r="BF326" s="449">
        <f t="shared" si="281"/>
        <v>0</v>
      </c>
      <c r="BG326" s="449">
        <f t="shared" si="281"/>
        <v>0</v>
      </c>
      <c r="BH326" s="400"/>
      <c r="BI326" s="449">
        <v>0</v>
      </c>
      <c r="BJ326" s="449">
        <v>0</v>
      </c>
      <c r="BK326" s="449">
        <v>0</v>
      </c>
      <c r="BL326" s="449">
        <v>0</v>
      </c>
      <c r="BM326" s="449">
        <v>0</v>
      </c>
      <c r="BN326" s="449">
        <v>0</v>
      </c>
      <c r="BO326" s="449">
        <v>0</v>
      </c>
      <c r="BP326" s="449">
        <v>0</v>
      </c>
      <c r="BQ326" s="449">
        <v>0</v>
      </c>
      <c r="BR326" s="449">
        <v>0</v>
      </c>
      <c r="BS326" s="449">
        <v>0</v>
      </c>
      <c r="BT326" s="449">
        <v>0</v>
      </c>
    </row>
    <row r="327" spans="1:74" ht="15" hidden="1" customHeight="1" x14ac:dyDescent="0.25">
      <c r="A327" s="614" t="s">
        <v>563</v>
      </c>
      <c r="B327" s="614" t="s">
        <v>564</v>
      </c>
      <c r="C327" s="538"/>
      <c r="D327" s="500">
        <f t="shared" si="260"/>
        <v>0</v>
      </c>
      <c r="E327" s="449">
        <v>0</v>
      </c>
      <c r="F327" s="449">
        <f t="shared" si="261"/>
        <v>0</v>
      </c>
      <c r="G327" s="421">
        <f t="shared" si="262"/>
        <v>0</v>
      </c>
      <c r="H327" s="449">
        <v>0</v>
      </c>
      <c r="I327" s="449">
        <f t="shared" si="263"/>
        <v>0</v>
      </c>
      <c r="J327" s="426">
        <f t="shared" si="264"/>
        <v>0</v>
      </c>
      <c r="K327" s="421"/>
      <c r="L327" s="449">
        <v>0</v>
      </c>
      <c r="M327" s="449">
        <v>0</v>
      </c>
      <c r="N327" s="449">
        <v>0</v>
      </c>
      <c r="O327" s="449">
        <v>0</v>
      </c>
      <c r="P327" s="449">
        <v>0</v>
      </c>
      <c r="Q327" s="449">
        <v>0</v>
      </c>
      <c r="R327" s="449">
        <f>($H327-SUM($L327:Q327))/R$694</f>
        <v>0</v>
      </c>
      <c r="S327" s="449">
        <f>($H327-SUM($L327:R327))/S$694</f>
        <v>0</v>
      </c>
      <c r="T327" s="449">
        <f>($H327-SUM($L327:S327))/T$694</f>
        <v>0</v>
      </c>
      <c r="U327" s="449">
        <f>($H327-SUM($L327:T327))/U$694</f>
        <v>0</v>
      </c>
      <c r="V327" s="449">
        <f>($H327-SUM($L327:U327))/V$694</f>
        <v>0</v>
      </c>
      <c r="W327" s="449">
        <f>($H327-SUM($L327:V327))/W$694</f>
        <v>0</v>
      </c>
      <c r="X327" s="449"/>
      <c r="Y327" s="449">
        <f t="shared" si="265"/>
        <v>0</v>
      </c>
      <c r="Z327" s="531"/>
      <c r="AA327" s="449">
        <f t="shared" si="280"/>
        <v>0</v>
      </c>
      <c r="AB327" s="449">
        <f t="shared" si="280"/>
        <v>0</v>
      </c>
      <c r="AC327" s="449">
        <f t="shared" si="280"/>
        <v>0</v>
      </c>
      <c r="AD327" s="449">
        <f t="shared" si="280"/>
        <v>0</v>
      </c>
      <c r="AE327" s="449">
        <f t="shared" si="280"/>
        <v>0</v>
      </c>
      <c r="AF327" s="449">
        <f t="shared" si="280"/>
        <v>0</v>
      </c>
      <c r="AG327" s="449">
        <f t="shared" si="280"/>
        <v>0</v>
      </c>
      <c r="AH327" s="449">
        <f t="shared" si="280"/>
        <v>0</v>
      </c>
      <c r="AI327" s="449">
        <f t="shared" si="280"/>
        <v>0</v>
      </c>
      <c r="AJ327" s="449">
        <f t="shared" si="280"/>
        <v>0</v>
      </c>
      <c r="AK327" s="449">
        <f t="shared" si="280"/>
        <v>0</v>
      </c>
      <c r="AL327" s="449">
        <f t="shared" si="280"/>
        <v>0</v>
      </c>
      <c r="AN327" s="500">
        <f t="shared" si="279"/>
        <v>0</v>
      </c>
      <c r="AO327" s="449">
        <f t="shared" si="268"/>
        <v>0</v>
      </c>
      <c r="AP327" s="449">
        <f t="shared" si="269"/>
        <v>0</v>
      </c>
      <c r="AQ327" s="453" t="str">
        <f t="shared" si="270"/>
        <v>-</v>
      </c>
      <c r="AR327" s="449">
        <f t="shared" si="271"/>
        <v>0</v>
      </c>
      <c r="AS327" s="449">
        <f t="shared" si="272"/>
        <v>0</v>
      </c>
      <c r="AT327" s="426">
        <f t="shared" si="273"/>
        <v>0</v>
      </c>
      <c r="AU327" s="421"/>
      <c r="AV327" s="449">
        <f t="shared" si="277"/>
        <v>0</v>
      </c>
      <c r="AW327" s="449">
        <f t="shared" si="277"/>
        <v>0</v>
      </c>
      <c r="AX327" s="449">
        <f t="shared" si="277"/>
        <v>0</v>
      </c>
      <c r="AY327" s="449">
        <f t="shared" si="277"/>
        <v>0</v>
      </c>
      <c r="AZ327" s="449">
        <f t="shared" si="277"/>
        <v>0</v>
      </c>
      <c r="BA327" s="449">
        <f t="shared" si="277"/>
        <v>0</v>
      </c>
      <c r="BB327" s="449">
        <f t="shared" si="281"/>
        <v>0</v>
      </c>
      <c r="BC327" s="449">
        <f t="shared" si="281"/>
        <v>0</v>
      </c>
      <c r="BD327" s="449">
        <f t="shared" si="281"/>
        <v>0</v>
      </c>
      <c r="BE327" s="449">
        <f t="shared" si="281"/>
        <v>0</v>
      </c>
      <c r="BF327" s="449">
        <f t="shared" si="281"/>
        <v>0</v>
      </c>
      <c r="BG327" s="449">
        <f t="shared" si="281"/>
        <v>0</v>
      </c>
      <c r="BH327" s="400"/>
      <c r="BI327" s="449">
        <v>0</v>
      </c>
      <c r="BJ327" s="449">
        <v>0</v>
      </c>
      <c r="BK327" s="449">
        <v>0</v>
      </c>
      <c r="BL327" s="449">
        <v>0</v>
      </c>
      <c r="BM327" s="449">
        <v>0</v>
      </c>
      <c r="BN327" s="449">
        <v>0</v>
      </c>
      <c r="BO327" s="449">
        <v>0</v>
      </c>
      <c r="BP327" s="449">
        <v>0</v>
      </c>
      <c r="BQ327" s="449">
        <v>0</v>
      </c>
      <c r="BR327" s="449">
        <v>0</v>
      </c>
      <c r="BS327" s="449">
        <v>0</v>
      </c>
      <c r="BT327" s="449">
        <v>0</v>
      </c>
    </row>
    <row r="328" spans="1:74" ht="15" x14ac:dyDescent="0.25">
      <c r="A328" s="502" t="s">
        <v>565</v>
      </c>
      <c r="B328" s="502" t="s">
        <v>566</v>
      </c>
      <c r="C328" s="597"/>
      <c r="D328" s="500">
        <f t="shared" si="260"/>
        <v>4823</v>
      </c>
      <c r="E328" s="449">
        <v>4823</v>
      </c>
      <c r="F328" s="449">
        <f t="shared" si="261"/>
        <v>0</v>
      </c>
      <c r="G328" s="421">
        <f t="shared" si="262"/>
        <v>0</v>
      </c>
      <c r="H328" s="449">
        <v>4823</v>
      </c>
      <c r="I328" s="449">
        <f t="shared" si="263"/>
        <v>0</v>
      </c>
      <c r="J328" s="426">
        <f t="shared" si="264"/>
        <v>0</v>
      </c>
      <c r="K328" s="421"/>
      <c r="L328" s="449">
        <v>0</v>
      </c>
      <c r="M328" s="449">
        <v>284.7</v>
      </c>
      <c r="N328" s="449">
        <v>105.54000000000002</v>
      </c>
      <c r="O328" s="449">
        <v>421.61</v>
      </c>
      <c r="P328" s="449">
        <v>124.77999999999997</v>
      </c>
      <c r="Q328" s="449">
        <v>0</v>
      </c>
      <c r="R328" s="449">
        <f>($H328-SUM($L328:Q328))/R$694</f>
        <v>647.72833333333335</v>
      </c>
      <c r="S328" s="449">
        <f>($H328-SUM($L328:R328))/S$694</f>
        <v>647.72833333333324</v>
      </c>
      <c r="T328" s="449">
        <f>($H328-SUM($L328:S328))/T$694</f>
        <v>647.72833333333335</v>
      </c>
      <c r="U328" s="449">
        <f>($H328-SUM($L328:T328))/U$694</f>
        <v>647.72833333333335</v>
      </c>
      <c r="V328" s="449">
        <f>($H328-SUM($L328:U328))/V$694</f>
        <v>647.72833333333324</v>
      </c>
      <c r="W328" s="449">
        <f>($H328-SUM($L328:V328))/W$694</f>
        <v>647.72833333333347</v>
      </c>
      <c r="X328" s="449"/>
      <c r="Y328" s="449">
        <f t="shared" si="265"/>
        <v>4823</v>
      </c>
      <c r="Z328" s="531"/>
      <c r="AA328" s="449">
        <f t="shared" si="280"/>
        <v>401.91666666666669</v>
      </c>
      <c r="AB328" s="449">
        <f t="shared" si="280"/>
        <v>401.91666666666669</v>
      </c>
      <c r="AC328" s="449">
        <f t="shared" si="280"/>
        <v>401.91666666666669</v>
      </c>
      <c r="AD328" s="449">
        <f t="shared" si="280"/>
        <v>401.91666666666669</v>
      </c>
      <c r="AE328" s="449">
        <f t="shared" si="280"/>
        <v>401.91666666666669</v>
      </c>
      <c r="AF328" s="449">
        <f t="shared" si="280"/>
        <v>401.91666666666669</v>
      </c>
      <c r="AG328" s="449">
        <f t="shared" si="280"/>
        <v>401.91666666666669</v>
      </c>
      <c r="AH328" s="449">
        <f t="shared" si="280"/>
        <v>401.91666666666669</v>
      </c>
      <c r="AI328" s="449">
        <f t="shared" si="280"/>
        <v>401.91666666666669</v>
      </c>
      <c r="AJ328" s="449">
        <f t="shared" si="280"/>
        <v>401.91666666666669</v>
      </c>
      <c r="AK328" s="449">
        <f t="shared" si="280"/>
        <v>401.91666666666669</v>
      </c>
      <c r="AL328" s="449">
        <f t="shared" si="280"/>
        <v>401.91666666666669</v>
      </c>
      <c r="AN328" s="500">
        <f t="shared" si="279"/>
        <v>4823</v>
      </c>
      <c r="AO328" s="449">
        <f t="shared" si="268"/>
        <v>3599.9999999999986</v>
      </c>
      <c r="AP328" s="449">
        <f t="shared" si="269"/>
        <v>-1223.0000000000014</v>
      </c>
      <c r="AQ328" s="453">
        <f t="shared" si="270"/>
        <v>-0.25357661206717841</v>
      </c>
      <c r="AR328" s="449">
        <f t="shared" si="271"/>
        <v>3599.9999999999986</v>
      </c>
      <c r="AS328" s="449">
        <f t="shared" si="272"/>
        <v>0</v>
      </c>
      <c r="AT328" s="426">
        <f t="shared" si="273"/>
        <v>0</v>
      </c>
      <c r="AU328" s="421"/>
      <c r="AV328" s="449">
        <f t="shared" si="277"/>
        <v>720</v>
      </c>
      <c r="AW328" s="449">
        <f t="shared" si="277"/>
        <v>720</v>
      </c>
      <c r="AX328" s="449">
        <f t="shared" si="277"/>
        <v>480</v>
      </c>
      <c r="AY328" s="449">
        <f t="shared" si="277"/>
        <v>480</v>
      </c>
      <c r="AZ328" s="449">
        <f t="shared" si="277"/>
        <v>480</v>
      </c>
      <c r="BA328" s="449">
        <f t="shared" si="277"/>
        <v>102.85714285714285</v>
      </c>
      <c r="BB328" s="449">
        <f t="shared" si="281"/>
        <v>102.85714285714285</v>
      </c>
      <c r="BC328" s="449">
        <f t="shared" si="281"/>
        <v>102.85714285714285</v>
      </c>
      <c r="BD328" s="449">
        <f t="shared" si="281"/>
        <v>102.85714285714285</v>
      </c>
      <c r="BE328" s="449">
        <f t="shared" si="281"/>
        <v>102.85714285714285</v>
      </c>
      <c r="BF328" s="449">
        <f t="shared" si="281"/>
        <v>102.85714285714285</v>
      </c>
      <c r="BG328" s="449">
        <f t="shared" si="281"/>
        <v>102.85714285714285</v>
      </c>
      <c r="BH328" s="400"/>
      <c r="BI328" s="449">
        <f>(IFERROR((3600),0))*BI$696</f>
        <v>720</v>
      </c>
      <c r="BJ328" s="449">
        <f t="shared" ref="BJ328:BT328" si="282">(IFERROR((3600),0))*BJ$696</f>
        <v>720</v>
      </c>
      <c r="BK328" s="449">
        <f t="shared" si="282"/>
        <v>480</v>
      </c>
      <c r="BL328" s="449">
        <f t="shared" si="282"/>
        <v>480</v>
      </c>
      <c r="BM328" s="449">
        <f t="shared" si="282"/>
        <v>480</v>
      </c>
      <c r="BN328" s="449">
        <f t="shared" si="282"/>
        <v>102.85714285714285</v>
      </c>
      <c r="BO328" s="449">
        <f t="shared" si="282"/>
        <v>102.85714285714285</v>
      </c>
      <c r="BP328" s="449">
        <f t="shared" si="282"/>
        <v>102.85714285714285</v>
      </c>
      <c r="BQ328" s="449">
        <f t="shared" si="282"/>
        <v>102.85714285714285</v>
      </c>
      <c r="BR328" s="449">
        <f t="shared" si="282"/>
        <v>102.85714285714285</v>
      </c>
      <c r="BS328" s="449">
        <f t="shared" si="282"/>
        <v>102.85714285714285</v>
      </c>
      <c r="BT328" s="449">
        <f t="shared" si="282"/>
        <v>102.85714285714285</v>
      </c>
    </row>
    <row r="329" spans="1:74" ht="15" x14ac:dyDescent="0.25">
      <c r="A329" s="502" t="s">
        <v>567</v>
      </c>
      <c r="B329" s="502" t="s">
        <v>568</v>
      </c>
      <c r="C329" s="597"/>
      <c r="D329" s="500">
        <f t="shared" si="260"/>
        <v>0</v>
      </c>
      <c r="E329" s="449">
        <v>0</v>
      </c>
      <c r="F329" s="449">
        <f t="shared" si="261"/>
        <v>0</v>
      </c>
      <c r="G329" s="421">
        <f t="shared" si="262"/>
        <v>0</v>
      </c>
      <c r="H329" s="449">
        <v>0</v>
      </c>
      <c r="I329" s="449">
        <f t="shared" si="263"/>
        <v>0</v>
      </c>
      <c r="J329" s="426">
        <f t="shared" si="264"/>
        <v>0</v>
      </c>
      <c r="K329" s="421"/>
      <c r="L329" s="449">
        <v>0</v>
      </c>
      <c r="M329" s="449">
        <v>0</v>
      </c>
      <c r="N329" s="449">
        <v>0</v>
      </c>
      <c r="O329" s="449">
        <v>0</v>
      </c>
      <c r="P329" s="449">
        <v>0</v>
      </c>
      <c r="Q329" s="449">
        <v>0</v>
      </c>
      <c r="R329" s="449">
        <f>($H329-SUM($L329:Q329))/R$694</f>
        <v>0</v>
      </c>
      <c r="S329" s="449">
        <f>($H329-SUM($L329:R329))/S$694</f>
        <v>0</v>
      </c>
      <c r="T329" s="449">
        <f>($H329-SUM($L329:S329))/T$694</f>
        <v>0</v>
      </c>
      <c r="U329" s="449">
        <f>($H329-SUM($L329:T329))/U$694</f>
        <v>0</v>
      </c>
      <c r="V329" s="449">
        <f>($H329-SUM($L329:U329))/V$694</f>
        <v>0</v>
      </c>
      <c r="W329" s="449">
        <f>($H329-SUM($L329:V329))/W$694</f>
        <v>0</v>
      </c>
      <c r="X329" s="449"/>
      <c r="Y329" s="449">
        <f t="shared" si="265"/>
        <v>0</v>
      </c>
      <c r="Z329" s="531"/>
      <c r="AA329" s="449">
        <f t="shared" si="280"/>
        <v>0</v>
      </c>
      <c r="AB329" s="449">
        <f t="shared" si="280"/>
        <v>0</v>
      </c>
      <c r="AC329" s="449">
        <f t="shared" si="280"/>
        <v>0</v>
      </c>
      <c r="AD329" s="449">
        <f t="shared" si="280"/>
        <v>0</v>
      </c>
      <c r="AE329" s="449">
        <f t="shared" si="280"/>
        <v>0</v>
      </c>
      <c r="AF329" s="449">
        <f t="shared" si="280"/>
        <v>0</v>
      </c>
      <c r="AG329" s="449">
        <f t="shared" si="280"/>
        <v>0</v>
      </c>
      <c r="AH329" s="449">
        <f t="shared" si="280"/>
        <v>0</v>
      </c>
      <c r="AI329" s="449">
        <f t="shared" si="280"/>
        <v>0</v>
      </c>
      <c r="AJ329" s="449">
        <f t="shared" si="280"/>
        <v>0</v>
      </c>
      <c r="AK329" s="449">
        <f t="shared" si="280"/>
        <v>0</v>
      </c>
      <c r="AL329" s="449">
        <f t="shared" si="280"/>
        <v>0</v>
      </c>
      <c r="AN329" s="500">
        <f t="shared" si="279"/>
        <v>0</v>
      </c>
      <c r="AO329" s="449">
        <f t="shared" si="268"/>
        <v>0</v>
      </c>
      <c r="AP329" s="449">
        <f t="shared" si="269"/>
        <v>0</v>
      </c>
      <c r="AQ329" s="453" t="str">
        <f t="shared" si="270"/>
        <v>-</v>
      </c>
      <c r="AR329" s="449">
        <f t="shared" si="271"/>
        <v>0</v>
      </c>
      <c r="AS329" s="449">
        <f t="shared" si="272"/>
        <v>0</v>
      </c>
      <c r="AT329" s="426">
        <f t="shared" si="273"/>
        <v>0</v>
      </c>
      <c r="AU329" s="421"/>
      <c r="AV329" s="449">
        <f t="shared" si="277"/>
        <v>0</v>
      </c>
      <c r="AW329" s="449">
        <f t="shared" si="277"/>
        <v>0</v>
      </c>
      <c r="AX329" s="449">
        <f t="shared" si="277"/>
        <v>0</v>
      </c>
      <c r="AY329" s="449">
        <f t="shared" si="277"/>
        <v>0</v>
      </c>
      <c r="AZ329" s="449">
        <f t="shared" si="277"/>
        <v>0</v>
      </c>
      <c r="BA329" s="449">
        <f t="shared" si="277"/>
        <v>0</v>
      </c>
      <c r="BB329" s="449">
        <f t="shared" si="281"/>
        <v>0</v>
      </c>
      <c r="BC329" s="449">
        <f t="shared" si="281"/>
        <v>0</v>
      </c>
      <c r="BD329" s="449">
        <f t="shared" si="281"/>
        <v>0</v>
      </c>
      <c r="BE329" s="449">
        <f t="shared" si="281"/>
        <v>0</v>
      </c>
      <c r="BF329" s="449">
        <f t="shared" si="281"/>
        <v>0</v>
      </c>
      <c r="BG329" s="449">
        <f t="shared" si="281"/>
        <v>0</v>
      </c>
      <c r="BH329" s="400"/>
      <c r="BI329" s="449">
        <f t="shared" ref="BI329:BT329" si="283">IFERROR((($H329/$H$5)*BI$5)/12,0)</f>
        <v>0</v>
      </c>
      <c r="BJ329" s="449">
        <f t="shared" si="283"/>
        <v>0</v>
      </c>
      <c r="BK329" s="449">
        <f t="shared" si="283"/>
        <v>0</v>
      </c>
      <c r="BL329" s="449">
        <f t="shared" si="283"/>
        <v>0</v>
      </c>
      <c r="BM329" s="449">
        <f t="shared" si="283"/>
        <v>0</v>
      </c>
      <c r="BN329" s="449">
        <f t="shared" si="283"/>
        <v>0</v>
      </c>
      <c r="BO329" s="449">
        <f t="shared" si="283"/>
        <v>0</v>
      </c>
      <c r="BP329" s="449">
        <f t="shared" si="283"/>
        <v>0</v>
      </c>
      <c r="BQ329" s="449">
        <f t="shared" si="283"/>
        <v>0</v>
      </c>
      <c r="BR329" s="449">
        <f t="shared" si="283"/>
        <v>0</v>
      </c>
      <c r="BS329" s="449">
        <f t="shared" si="283"/>
        <v>0</v>
      </c>
      <c r="BT329" s="449">
        <f t="shared" si="283"/>
        <v>0</v>
      </c>
    </row>
    <row r="330" spans="1:74" ht="8.25" customHeight="1" x14ac:dyDescent="0.25">
      <c r="A330" s="587"/>
      <c r="B330" s="502"/>
      <c r="C330" s="597"/>
      <c r="D330" s="500"/>
      <c r="E330" s="449"/>
      <c r="F330" s="449"/>
      <c r="G330" s="421"/>
      <c r="H330" s="449"/>
      <c r="I330" s="449"/>
      <c r="J330" s="426"/>
      <c r="K330" s="421"/>
      <c r="L330" s="449"/>
      <c r="M330" s="449"/>
      <c r="N330" s="449"/>
      <c r="O330" s="449"/>
      <c r="P330" s="449"/>
      <c r="Q330" s="449"/>
      <c r="R330" s="449"/>
      <c r="S330" s="449"/>
      <c r="T330" s="449"/>
      <c r="U330" s="449"/>
      <c r="V330" s="449"/>
      <c r="W330" s="449"/>
      <c r="X330" s="449"/>
      <c r="Y330" s="449"/>
      <c r="Z330" s="531"/>
      <c r="AA330" s="449"/>
      <c r="AB330" s="449"/>
      <c r="AC330" s="449"/>
      <c r="AD330" s="449"/>
      <c r="AE330" s="449"/>
      <c r="AF330" s="449"/>
      <c r="AG330" s="449"/>
      <c r="AH330" s="449"/>
      <c r="AI330" s="449"/>
      <c r="AJ330" s="449"/>
      <c r="AK330" s="449"/>
      <c r="AL330" s="449"/>
      <c r="AN330" s="500"/>
      <c r="AO330" s="449"/>
      <c r="AP330" s="449"/>
      <c r="AQ330" s="453"/>
      <c r="AR330" s="449"/>
      <c r="AS330" s="449"/>
      <c r="AT330" s="426"/>
      <c r="AU330" s="421"/>
      <c r="AV330" s="449"/>
      <c r="AW330" s="449"/>
      <c r="AX330" s="449"/>
      <c r="AY330" s="449"/>
      <c r="AZ330" s="449"/>
      <c r="BA330" s="449"/>
      <c r="BB330" s="449"/>
      <c r="BC330" s="449"/>
      <c r="BD330" s="449"/>
      <c r="BE330" s="449"/>
      <c r="BF330" s="449"/>
      <c r="BG330" s="449"/>
      <c r="BH330" s="531"/>
      <c r="BI330" s="449"/>
      <c r="BJ330" s="449"/>
      <c r="BK330" s="449"/>
      <c r="BL330" s="449"/>
      <c r="BM330" s="449"/>
      <c r="BN330" s="449"/>
      <c r="BO330" s="449"/>
      <c r="BP330" s="449"/>
      <c r="BQ330" s="449"/>
      <c r="BR330" s="449"/>
      <c r="BS330" s="449"/>
      <c r="BT330" s="449"/>
    </row>
    <row r="331" spans="1:74" s="536" customFormat="1" ht="15.75" thickBot="1" x14ac:dyDescent="0.3">
      <c r="A331" s="526"/>
      <c r="B331" s="524" t="s">
        <v>569</v>
      </c>
      <c r="C331" s="599"/>
      <c r="D331" s="532">
        <f>SUM(D268:D330)</f>
        <v>447291.99</v>
      </c>
      <c r="E331" s="533">
        <f>SUM(E268:E330)</f>
        <v>509059</v>
      </c>
      <c r="F331" s="533">
        <f>IFERROR(D331-E331,0)</f>
        <v>-61767.010000000009</v>
      </c>
      <c r="G331" s="520">
        <f>IFERROR(F331/ABS(E331),0)</f>
        <v>-0.12133566050300655</v>
      </c>
      <c r="H331" s="533">
        <f>SUM(H268:H329)</f>
        <v>443769</v>
      </c>
      <c r="I331" s="533">
        <f>IFERROR(D331-H331,0)</f>
        <v>3522.9899999999907</v>
      </c>
      <c r="J331" s="521">
        <f>IFERROR(I331/ABS(H331),0)</f>
        <v>7.9387924798712626E-3</v>
      </c>
      <c r="K331" s="507"/>
      <c r="L331" s="533">
        <f t="shared" ref="L331:W331" si="284">SUM(L268:L330)</f>
        <v>184.48999999999998</v>
      </c>
      <c r="M331" s="533">
        <f t="shared" si="284"/>
        <v>29729.200000000001</v>
      </c>
      <c r="N331" s="533">
        <f t="shared" si="284"/>
        <v>22243.45</v>
      </c>
      <c r="O331" s="533">
        <f t="shared" si="284"/>
        <v>31318.110000000004</v>
      </c>
      <c r="P331" s="533">
        <f t="shared" si="284"/>
        <v>20478.010000000002</v>
      </c>
      <c r="Q331" s="533">
        <f t="shared" si="284"/>
        <v>26376.79</v>
      </c>
      <c r="R331" s="533">
        <f t="shared" si="284"/>
        <v>52826.99</v>
      </c>
      <c r="S331" s="533">
        <f t="shared" si="284"/>
        <v>52826.99</v>
      </c>
      <c r="T331" s="533">
        <f t="shared" si="284"/>
        <v>52826.99</v>
      </c>
      <c r="U331" s="533">
        <f t="shared" si="284"/>
        <v>52826.99</v>
      </c>
      <c r="V331" s="533">
        <f t="shared" si="284"/>
        <v>52826.989999999991</v>
      </c>
      <c r="W331" s="533">
        <f t="shared" si="284"/>
        <v>52826.989999999991</v>
      </c>
      <c r="X331" s="533"/>
      <c r="Y331" s="533">
        <f>SUM(L331:W331)</f>
        <v>447291.99</v>
      </c>
      <c r="Z331" s="508"/>
      <c r="AA331" s="533">
        <f t="shared" ref="AA331:AL331" si="285">SUM(AA268:AA330)</f>
        <v>36980.75</v>
      </c>
      <c r="AB331" s="533">
        <f t="shared" si="285"/>
        <v>36980.75</v>
      </c>
      <c r="AC331" s="533">
        <f t="shared" si="285"/>
        <v>36980.75</v>
      </c>
      <c r="AD331" s="533">
        <f t="shared" si="285"/>
        <v>36980.75</v>
      </c>
      <c r="AE331" s="533">
        <f t="shared" si="285"/>
        <v>36980.75</v>
      </c>
      <c r="AF331" s="533">
        <f t="shared" si="285"/>
        <v>36980.75</v>
      </c>
      <c r="AG331" s="533">
        <f t="shared" si="285"/>
        <v>36980.75</v>
      </c>
      <c r="AH331" s="533">
        <f t="shared" si="285"/>
        <v>36980.75</v>
      </c>
      <c r="AI331" s="533">
        <f t="shared" si="285"/>
        <v>36980.75</v>
      </c>
      <c r="AJ331" s="533">
        <f t="shared" si="285"/>
        <v>36980.75</v>
      </c>
      <c r="AK331" s="533">
        <f t="shared" si="285"/>
        <v>36980.75</v>
      </c>
      <c r="AL331" s="533">
        <f t="shared" si="285"/>
        <v>36980.75</v>
      </c>
      <c r="AN331" s="532">
        <f>SUM(AN268:AN330)</f>
        <v>447291.99</v>
      </c>
      <c r="AO331" s="533">
        <f>SUM(AO268:AO330)</f>
        <v>426244.97865999996</v>
      </c>
      <c r="AP331" s="533">
        <f>IFERROR(AO331-AN331,0)</f>
        <v>-21047.011340000026</v>
      </c>
      <c r="AQ331" s="523">
        <f>IFERROR(AP331/ABS(AN331),"-")</f>
        <v>-4.7054299675699594E-2</v>
      </c>
      <c r="AR331" s="533">
        <f>SUM(AR268:AR329)</f>
        <v>426244.97865999996</v>
      </c>
      <c r="AS331" s="533">
        <f>IFERROR(AO331-AR331,0)</f>
        <v>0</v>
      </c>
      <c r="AT331" s="521">
        <f>IFERROR(AS331/ABS(AR331),0)</f>
        <v>0</v>
      </c>
      <c r="AU331" s="507"/>
      <c r="AV331" s="533">
        <f t="shared" ref="AV331:BG331" si="286">SUM(AV268:AV330)</f>
        <v>34440.414888333333</v>
      </c>
      <c r="AW331" s="533">
        <f t="shared" si="286"/>
        <v>34440.414888333333</v>
      </c>
      <c r="AX331" s="533">
        <f t="shared" si="286"/>
        <v>34200.414888333333</v>
      </c>
      <c r="AY331" s="533">
        <f t="shared" si="286"/>
        <v>52200.41488833334</v>
      </c>
      <c r="AZ331" s="533">
        <f t="shared" si="286"/>
        <v>34200.414888333333</v>
      </c>
      <c r="BA331" s="533">
        <f t="shared" si="286"/>
        <v>33823.272031190478</v>
      </c>
      <c r="BB331" s="533">
        <f t="shared" si="286"/>
        <v>33823.272031190478</v>
      </c>
      <c r="BC331" s="533">
        <f t="shared" si="286"/>
        <v>33823.272031190478</v>
      </c>
      <c r="BD331" s="533">
        <f t="shared" si="286"/>
        <v>33823.272031190478</v>
      </c>
      <c r="BE331" s="533">
        <f t="shared" si="286"/>
        <v>33823.272031190478</v>
      </c>
      <c r="BF331" s="533">
        <f t="shared" si="286"/>
        <v>33823.272031190478</v>
      </c>
      <c r="BG331" s="533">
        <f t="shared" si="286"/>
        <v>33823.272031190478</v>
      </c>
      <c r="BH331" s="508"/>
      <c r="BI331" s="533">
        <f t="shared" ref="BI331:BT331" si="287">SUM(BI268:BI330)</f>
        <v>34440.414888333333</v>
      </c>
      <c r="BJ331" s="533">
        <f t="shared" si="287"/>
        <v>34440.414888333333</v>
      </c>
      <c r="BK331" s="533">
        <f t="shared" si="287"/>
        <v>34200.414888333333</v>
      </c>
      <c r="BL331" s="533">
        <f t="shared" si="287"/>
        <v>52200.41488833334</v>
      </c>
      <c r="BM331" s="533">
        <f t="shared" si="287"/>
        <v>34200.414888333333</v>
      </c>
      <c r="BN331" s="533">
        <f t="shared" si="287"/>
        <v>33823.272031190478</v>
      </c>
      <c r="BO331" s="533">
        <f t="shared" si="287"/>
        <v>33823.272031190478</v>
      </c>
      <c r="BP331" s="533">
        <f t="shared" si="287"/>
        <v>33823.272031190478</v>
      </c>
      <c r="BQ331" s="533">
        <f t="shared" si="287"/>
        <v>33823.272031190478</v>
      </c>
      <c r="BR331" s="533">
        <f t="shared" si="287"/>
        <v>33823.272031190478</v>
      </c>
      <c r="BS331" s="533">
        <f t="shared" si="287"/>
        <v>33823.272031190478</v>
      </c>
      <c r="BT331" s="533">
        <f t="shared" si="287"/>
        <v>33823.272031190478</v>
      </c>
      <c r="BV331" s="400"/>
    </row>
    <row r="332" spans="1:74" ht="15.75" thickTop="1" x14ac:dyDescent="0.25">
      <c r="A332" s="587"/>
      <c r="B332" s="502"/>
      <c r="C332" s="597"/>
      <c r="D332" s="500"/>
      <c r="E332" s="449"/>
      <c r="F332" s="449"/>
      <c r="G332" s="421"/>
      <c r="H332" s="449"/>
      <c r="I332" s="449"/>
      <c r="J332" s="426"/>
      <c r="K332" s="421"/>
      <c r="L332" s="449"/>
      <c r="M332" s="449"/>
      <c r="N332" s="449"/>
      <c r="O332" s="449"/>
      <c r="P332" s="449"/>
      <c r="Q332" s="449"/>
      <c r="R332" s="449"/>
      <c r="S332" s="449"/>
      <c r="T332" s="449"/>
      <c r="U332" s="449"/>
      <c r="V332" s="449"/>
      <c r="W332" s="449"/>
      <c r="X332" s="449"/>
      <c r="Y332" s="449"/>
      <c r="Z332" s="531"/>
      <c r="AA332" s="449"/>
      <c r="AB332" s="449"/>
      <c r="AC332" s="449"/>
      <c r="AD332" s="449"/>
      <c r="AE332" s="449"/>
      <c r="AF332" s="449"/>
      <c r="AG332" s="449"/>
      <c r="AH332" s="449"/>
      <c r="AI332" s="449"/>
      <c r="AJ332" s="449"/>
      <c r="AK332" s="449"/>
      <c r="AL332" s="449"/>
      <c r="AN332" s="500"/>
      <c r="AO332" s="449"/>
      <c r="AP332" s="449"/>
      <c r="AQ332" s="453"/>
      <c r="AR332" s="449"/>
      <c r="AS332" s="449"/>
      <c r="AT332" s="426"/>
      <c r="AU332" s="421"/>
      <c r="AV332" s="449"/>
      <c r="AW332" s="449"/>
      <c r="AX332" s="449"/>
      <c r="AY332" s="449"/>
      <c r="AZ332" s="449"/>
      <c r="BA332" s="449"/>
      <c r="BB332" s="449"/>
      <c r="BC332" s="449"/>
      <c r="BD332" s="449"/>
      <c r="BE332" s="449"/>
      <c r="BF332" s="449"/>
      <c r="BG332" s="449"/>
      <c r="BH332" s="531"/>
      <c r="BI332" s="449"/>
      <c r="BJ332" s="449"/>
      <c r="BK332" s="449"/>
      <c r="BL332" s="449"/>
      <c r="BM332" s="449"/>
      <c r="BN332" s="449"/>
      <c r="BO332" s="449"/>
      <c r="BP332" s="449"/>
      <c r="BQ332" s="449"/>
      <c r="BR332" s="449"/>
      <c r="BS332" s="449"/>
      <c r="BT332" s="449"/>
    </row>
    <row r="333" spans="1:74" ht="15.75" x14ac:dyDescent="0.25">
      <c r="A333" s="587"/>
      <c r="B333" s="525" t="s">
        <v>570</v>
      </c>
      <c r="C333" s="597"/>
      <c r="D333" s="500"/>
      <c r="E333" s="449"/>
      <c r="F333" s="449"/>
      <c r="G333" s="421"/>
      <c r="H333" s="449"/>
      <c r="I333" s="449"/>
      <c r="J333" s="426"/>
      <c r="K333" s="421"/>
      <c r="L333" s="449"/>
      <c r="M333" s="449"/>
      <c r="N333" s="449"/>
      <c r="O333" s="449"/>
      <c r="P333" s="449"/>
      <c r="Q333" s="449"/>
      <c r="R333" s="449"/>
      <c r="S333" s="449"/>
      <c r="T333" s="449"/>
      <c r="U333" s="449"/>
      <c r="V333" s="449"/>
      <c r="W333" s="449"/>
      <c r="X333" s="449"/>
      <c r="Y333" s="449"/>
      <c r="Z333" s="531"/>
      <c r="AA333" s="449"/>
      <c r="AB333" s="449"/>
      <c r="AC333" s="449"/>
      <c r="AD333" s="449"/>
      <c r="AE333" s="449"/>
      <c r="AF333" s="449"/>
      <c r="AG333" s="449"/>
      <c r="AH333" s="449"/>
      <c r="AI333" s="449"/>
      <c r="AJ333" s="449"/>
      <c r="AK333" s="449"/>
      <c r="AL333" s="449"/>
      <c r="AN333" s="500"/>
      <c r="AO333" s="449"/>
      <c r="AP333" s="449"/>
      <c r="AQ333" s="453"/>
      <c r="AR333" s="449"/>
      <c r="AS333" s="449"/>
      <c r="AT333" s="426"/>
      <c r="AU333" s="421"/>
      <c r="AV333" s="449"/>
      <c r="AW333" s="449"/>
      <c r="AX333" s="449"/>
      <c r="AY333" s="449"/>
      <c r="AZ333" s="449"/>
      <c r="BA333" s="449"/>
      <c r="BB333" s="449"/>
      <c r="BC333" s="449"/>
      <c r="BD333" s="449"/>
      <c r="BE333" s="449"/>
      <c r="BF333" s="449"/>
      <c r="BG333" s="449"/>
      <c r="BH333" s="531"/>
      <c r="BI333" s="449"/>
      <c r="BJ333" s="449"/>
      <c r="BK333" s="449"/>
      <c r="BL333" s="449"/>
      <c r="BM333" s="449"/>
      <c r="BN333" s="449"/>
      <c r="BO333" s="449"/>
      <c r="BP333" s="449"/>
      <c r="BQ333" s="449"/>
      <c r="BR333" s="449"/>
      <c r="BS333" s="449"/>
      <c r="BT333" s="449"/>
    </row>
    <row r="334" spans="1:74" ht="9.75" customHeight="1" x14ac:dyDescent="0.25">
      <c r="A334" s="587"/>
      <c r="B334" s="502"/>
      <c r="C334" s="597"/>
      <c r="D334" s="500"/>
      <c r="E334" s="449"/>
      <c r="F334" s="449"/>
      <c r="G334" s="421"/>
      <c r="H334" s="449"/>
      <c r="I334" s="449"/>
      <c r="J334" s="426"/>
      <c r="K334" s="421"/>
      <c r="L334" s="449"/>
      <c r="M334" s="449"/>
      <c r="N334" s="449"/>
      <c r="O334" s="449"/>
      <c r="P334" s="449"/>
      <c r="Q334" s="449"/>
      <c r="R334" s="449"/>
      <c r="S334" s="449"/>
      <c r="T334" s="449"/>
      <c r="U334" s="449"/>
      <c r="V334" s="449"/>
      <c r="W334" s="449"/>
      <c r="X334" s="449"/>
      <c r="Y334" s="449"/>
      <c r="Z334" s="531"/>
      <c r="AA334" s="449"/>
      <c r="AB334" s="449"/>
      <c r="AC334" s="449"/>
      <c r="AD334" s="449"/>
      <c r="AE334" s="449"/>
      <c r="AF334" s="449"/>
      <c r="AG334" s="449"/>
      <c r="AH334" s="449"/>
      <c r="AI334" s="449"/>
      <c r="AJ334" s="449"/>
      <c r="AK334" s="449"/>
      <c r="AL334" s="449"/>
      <c r="AN334" s="500"/>
      <c r="AO334" s="449"/>
      <c r="AP334" s="449"/>
      <c r="AQ334" s="453"/>
      <c r="AR334" s="449"/>
      <c r="AS334" s="449"/>
      <c r="AT334" s="426"/>
      <c r="AU334" s="421"/>
      <c r="AV334" s="449"/>
      <c r="AW334" s="449"/>
      <c r="AX334" s="449"/>
      <c r="AY334" s="449"/>
      <c r="AZ334" s="449"/>
      <c r="BA334" s="449"/>
      <c r="BB334" s="449"/>
      <c r="BC334" s="449"/>
      <c r="BD334" s="449"/>
      <c r="BE334" s="449"/>
      <c r="BF334" s="449"/>
      <c r="BG334" s="449"/>
      <c r="BH334" s="531"/>
      <c r="BI334" s="449"/>
      <c r="BJ334" s="449"/>
      <c r="BK334" s="449"/>
      <c r="BL334" s="449"/>
      <c r="BM334" s="449"/>
      <c r="BN334" s="449"/>
      <c r="BO334" s="449"/>
      <c r="BP334" s="449"/>
      <c r="BQ334" s="449"/>
      <c r="BR334" s="449"/>
      <c r="BS334" s="449"/>
      <c r="BT334" s="449"/>
    </row>
    <row r="335" spans="1:74" ht="15" x14ac:dyDescent="0.25">
      <c r="A335" s="502" t="s">
        <v>571</v>
      </c>
      <c r="B335" s="502" t="s">
        <v>572</v>
      </c>
      <c r="C335" s="538" t="s">
        <v>573</v>
      </c>
      <c r="D335" s="500">
        <f t="shared" ref="D335:D358" si="288">SUM(L335:W335)</f>
        <v>455283</v>
      </c>
      <c r="E335" s="449">
        <v>454569.8247</v>
      </c>
      <c r="F335" s="449">
        <f t="shared" ref="F335:F358" si="289">IFERROR(D335-E335,0)</f>
        <v>713.17530000000261</v>
      </c>
      <c r="G335" s="421">
        <f t="shared" ref="G335:G358" si="290">IFERROR(F335/ABS(E335),0)</f>
        <v>1.5689015443791788E-3</v>
      </c>
      <c r="H335" s="449">
        <v>455283</v>
      </c>
      <c r="I335" s="449">
        <f t="shared" ref="I335:I358" si="291">IFERROR(D335-H335,0)</f>
        <v>0</v>
      </c>
      <c r="J335" s="426">
        <f t="shared" ref="J335:J358" si="292">IFERROR(I335/ABS(H335),0)</f>
        <v>0</v>
      </c>
      <c r="K335" s="421"/>
      <c r="L335" s="449">
        <v>23589.63</v>
      </c>
      <c r="M335" s="449">
        <v>44341.919999999998</v>
      </c>
      <c r="N335" s="449">
        <v>34101.64</v>
      </c>
      <c r="O335" s="449">
        <v>33965.76999999999</v>
      </c>
      <c r="P335" s="449">
        <v>33999.74000000002</v>
      </c>
      <c r="Q335" s="449">
        <v>33999.739999999991</v>
      </c>
      <c r="R335" s="449">
        <f>($H335-SUM($L335:Q335))/R$694</f>
        <v>41880.76</v>
      </c>
      <c r="S335" s="449">
        <f>($H335-SUM($L335:R335))/S$694</f>
        <v>41880.759999999995</v>
      </c>
      <c r="T335" s="449">
        <f>($H335-SUM($L335:S335))/T$694</f>
        <v>41880.759999999995</v>
      </c>
      <c r="U335" s="449">
        <f>($H335-SUM($L335:T335))/U$694</f>
        <v>41880.759999999987</v>
      </c>
      <c r="V335" s="449">
        <f>($H335-SUM($L335:U335))/V$694</f>
        <v>41880.75999999998</v>
      </c>
      <c r="W335" s="449">
        <f>($H335-SUM($L335:V335))/W$694</f>
        <v>41880.760000000009</v>
      </c>
      <c r="X335" s="449"/>
      <c r="Y335" s="449">
        <f t="shared" ref="Y335:Y358" si="293">SUM(L335:W335)</f>
        <v>455283</v>
      </c>
      <c r="Z335" s="531"/>
      <c r="AA335" s="449">
        <f t="shared" ref="AA335:AL350" si="294">IFERROR($H335/12,0)</f>
        <v>37940.25</v>
      </c>
      <c r="AB335" s="449">
        <f t="shared" si="294"/>
        <v>37940.25</v>
      </c>
      <c r="AC335" s="449">
        <f t="shared" si="294"/>
        <v>37940.25</v>
      </c>
      <c r="AD335" s="449">
        <f t="shared" si="294"/>
        <v>37940.25</v>
      </c>
      <c r="AE335" s="449">
        <f t="shared" si="294"/>
        <v>37940.25</v>
      </c>
      <c r="AF335" s="449">
        <f t="shared" si="294"/>
        <v>37940.25</v>
      </c>
      <c r="AG335" s="449">
        <f t="shared" si="294"/>
        <v>37940.25</v>
      </c>
      <c r="AH335" s="449">
        <f t="shared" si="294"/>
        <v>37940.25</v>
      </c>
      <c r="AI335" s="449">
        <f t="shared" si="294"/>
        <v>37940.25</v>
      </c>
      <c r="AJ335" s="449">
        <f t="shared" si="294"/>
        <v>37940.25</v>
      </c>
      <c r="AK335" s="449">
        <f t="shared" si="294"/>
        <v>37940.25</v>
      </c>
      <c r="AL335" s="449">
        <f t="shared" si="294"/>
        <v>37940.25</v>
      </c>
      <c r="AN335" s="500">
        <f t="shared" ref="AN335:AN358" si="295">SUM(L335:W335)</f>
        <v>455283</v>
      </c>
      <c r="AO335" s="449">
        <f t="shared" ref="AO335:AO358" si="296">SUM(BI335:BT335)</f>
        <v>514806.6079607844</v>
      </c>
      <c r="AP335" s="449">
        <f t="shared" ref="AP335:AP358" si="297">IFERROR(AO335-AN335,0)</f>
        <v>59523.6079607844</v>
      </c>
      <c r="AQ335" s="453">
        <f t="shared" ref="AQ335:AQ358" si="298">IFERROR(AP335/ABS(AN335),"-")</f>
        <v>0.13073979911568057</v>
      </c>
      <c r="AR335" s="449">
        <f t="shared" ref="AR335:AR358" si="299">SUM(BI335:BT335)</f>
        <v>514806.6079607844</v>
      </c>
      <c r="AS335" s="449">
        <f t="shared" ref="AS335:AS358" si="300">IFERROR(AO335-AR335,0)</f>
        <v>0</v>
      </c>
      <c r="AT335" s="426">
        <f t="shared" ref="AT335:AT358" si="301">IFERROR(AS335/ABS(AR335),0)</f>
        <v>0</v>
      </c>
      <c r="AU335" s="421"/>
      <c r="AV335" s="449">
        <f t="shared" ref="AV335:BG356" si="302">BI335</f>
        <v>42900.550663398702</v>
      </c>
      <c r="AW335" s="449">
        <f t="shared" si="302"/>
        <v>42900.550663398702</v>
      </c>
      <c r="AX335" s="449">
        <f t="shared" si="302"/>
        <v>42900.550663398702</v>
      </c>
      <c r="AY335" s="449">
        <f t="shared" si="302"/>
        <v>42900.550663398702</v>
      </c>
      <c r="AZ335" s="449">
        <f t="shared" si="302"/>
        <v>42900.550663398702</v>
      </c>
      <c r="BA335" s="449">
        <f t="shared" si="302"/>
        <v>42900.550663398702</v>
      </c>
      <c r="BB335" s="449">
        <f t="shared" si="302"/>
        <v>42900.550663398702</v>
      </c>
      <c r="BC335" s="449">
        <f t="shared" si="302"/>
        <v>42900.550663398702</v>
      </c>
      <c r="BD335" s="449">
        <f t="shared" si="302"/>
        <v>42900.550663398702</v>
      </c>
      <c r="BE335" s="449">
        <f t="shared" si="302"/>
        <v>42900.550663398702</v>
      </c>
      <c r="BF335" s="449">
        <f t="shared" si="302"/>
        <v>42900.550663398702</v>
      </c>
      <c r="BG335" s="449">
        <f t="shared" si="302"/>
        <v>42900.550663398702</v>
      </c>
      <c r="BH335" s="400"/>
      <c r="BI335" s="449">
        <f>0.05*(BI$30+BI$36+BI$39)</f>
        <v>42900.550663398702</v>
      </c>
      <c r="BJ335" s="449">
        <f t="shared" ref="BJ335:BT335" si="303">0.05*(BJ$30+BJ$36+BJ$39)</f>
        <v>42900.550663398702</v>
      </c>
      <c r="BK335" s="449">
        <f t="shared" si="303"/>
        <v>42900.550663398702</v>
      </c>
      <c r="BL335" s="449">
        <f t="shared" si="303"/>
        <v>42900.550663398702</v>
      </c>
      <c r="BM335" s="449">
        <f t="shared" si="303"/>
        <v>42900.550663398702</v>
      </c>
      <c r="BN335" s="449">
        <f t="shared" si="303"/>
        <v>42900.550663398702</v>
      </c>
      <c r="BO335" s="449">
        <f t="shared" si="303"/>
        <v>42900.550663398702</v>
      </c>
      <c r="BP335" s="449">
        <f t="shared" si="303"/>
        <v>42900.550663398702</v>
      </c>
      <c r="BQ335" s="449">
        <f t="shared" si="303"/>
        <v>42900.550663398702</v>
      </c>
      <c r="BR335" s="449">
        <f t="shared" si="303"/>
        <v>42900.550663398702</v>
      </c>
      <c r="BS335" s="449">
        <f t="shared" si="303"/>
        <v>42900.550663398702</v>
      </c>
      <c r="BT335" s="449">
        <f t="shared" si="303"/>
        <v>42900.550663398702</v>
      </c>
    </row>
    <row r="336" spans="1:74" ht="15" hidden="1" x14ac:dyDescent="0.25">
      <c r="A336" s="614" t="s">
        <v>574</v>
      </c>
      <c r="B336" s="614" t="s">
        <v>575</v>
      </c>
      <c r="C336" s="630"/>
      <c r="D336" s="500">
        <f t="shared" si="288"/>
        <v>0</v>
      </c>
      <c r="E336" s="449">
        <v>0</v>
      </c>
      <c r="F336" s="449">
        <f t="shared" si="289"/>
        <v>0</v>
      </c>
      <c r="G336" s="421">
        <f t="shared" si="290"/>
        <v>0</v>
      </c>
      <c r="H336" s="449">
        <v>0</v>
      </c>
      <c r="I336" s="449">
        <f t="shared" si="291"/>
        <v>0</v>
      </c>
      <c r="J336" s="426">
        <f t="shared" si="292"/>
        <v>0</v>
      </c>
      <c r="K336" s="421"/>
      <c r="L336" s="449">
        <v>0</v>
      </c>
      <c r="M336" s="449">
        <v>0</v>
      </c>
      <c r="N336" s="449">
        <v>0</v>
      </c>
      <c r="O336" s="449">
        <v>0</v>
      </c>
      <c r="P336" s="449">
        <v>0</v>
      </c>
      <c r="Q336" s="449">
        <v>0</v>
      </c>
      <c r="R336" s="449">
        <f>($H336-SUM($L336:Q336))/R$694</f>
        <v>0</v>
      </c>
      <c r="S336" s="449">
        <f>($H336-SUM($L336:R336))/S$694</f>
        <v>0</v>
      </c>
      <c r="T336" s="449">
        <f>($H336-SUM($L336:S336))/T$694</f>
        <v>0</v>
      </c>
      <c r="U336" s="449">
        <f>($H336-SUM($L336:T336))/U$694</f>
        <v>0</v>
      </c>
      <c r="V336" s="449">
        <f>($H336-SUM($L336:U336))/V$694</f>
        <v>0</v>
      </c>
      <c r="W336" s="449">
        <f>($H336-SUM($L336:V336))/W$694</f>
        <v>0</v>
      </c>
      <c r="X336" s="449"/>
      <c r="Y336" s="449">
        <f t="shared" si="293"/>
        <v>0</v>
      </c>
      <c r="Z336" s="531"/>
      <c r="AA336" s="449">
        <f t="shared" si="294"/>
        <v>0</v>
      </c>
      <c r="AB336" s="449">
        <f t="shared" si="294"/>
        <v>0</v>
      </c>
      <c r="AC336" s="449">
        <f t="shared" si="294"/>
        <v>0</v>
      </c>
      <c r="AD336" s="449">
        <f t="shared" si="294"/>
        <v>0</v>
      </c>
      <c r="AE336" s="449">
        <f t="shared" si="294"/>
        <v>0</v>
      </c>
      <c r="AF336" s="449">
        <f t="shared" si="294"/>
        <v>0</v>
      </c>
      <c r="AG336" s="449">
        <f t="shared" si="294"/>
        <v>0</v>
      </c>
      <c r="AH336" s="449">
        <f t="shared" si="294"/>
        <v>0</v>
      </c>
      <c r="AI336" s="449">
        <f t="shared" si="294"/>
        <v>0</v>
      </c>
      <c r="AJ336" s="449">
        <f t="shared" si="294"/>
        <v>0</v>
      </c>
      <c r="AK336" s="449">
        <f t="shared" si="294"/>
        <v>0</v>
      </c>
      <c r="AL336" s="449">
        <f t="shared" si="294"/>
        <v>0</v>
      </c>
      <c r="AN336" s="500">
        <f t="shared" si="295"/>
        <v>0</v>
      </c>
      <c r="AO336" s="449">
        <f t="shared" si="296"/>
        <v>0</v>
      </c>
      <c r="AP336" s="449">
        <f t="shared" si="297"/>
        <v>0</v>
      </c>
      <c r="AQ336" s="453" t="str">
        <f t="shared" si="298"/>
        <v>-</v>
      </c>
      <c r="AR336" s="449">
        <f t="shared" si="299"/>
        <v>0</v>
      </c>
      <c r="AS336" s="449">
        <f t="shared" si="300"/>
        <v>0</v>
      </c>
      <c r="AT336" s="426">
        <f t="shared" si="301"/>
        <v>0</v>
      </c>
      <c r="AU336" s="421"/>
      <c r="AV336" s="449">
        <f t="shared" si="302"/>
        <v>0</v>
      </c>
      <c r="AW336" s="449">
        <f t="shared" si="302"/>
        <v>0</v>
      </c>
      <c r="AX336" s="449">
        <f t="shared" si="302"/>
        <v>0</v>
      </c>
      <c r="AY336" s="449">
        <f t="shared" si="302"/>
        <v>0</v>
      </c>
      <c r="AZ336" s="449">
        <f t="shared" si="302"/>
        <v>0</v>
      </c>
      <c r="BA336" s="449">
        <f t="shared" si="302"/>
        <v>0</v>
      </c>
      <c r="BB336" s="449">
        <f t="shared" si="302"/>
        <v>0</v>
      </c>
      <c r="BC336" s="449">
        <f t="shared" si="302"/>
        <v>0</v>
      </c>
      <c r="BD336" s="449">
        <f t="shared" si="302"/>
        <v>0</v>
      </c>
      <c r="BE336" s="449">
        <f t="shared" si="302"/>
        <v>0</v>
      </c>
      <c r="BF336" s="449">
        <f t="shared" si="302"/>
        <v>0</v>
      </c>
      <c r="BG336" s="449">
        <f t="shared" si="302"/>
        <v>0</v>
      </c>
      <c r="BH336" s="400"/>
      <c r="BI336" s="449">
        <v>0</v>
      </c>
      <c r="BJ336" s="449">
        <v>0</v>
      </c>
      <c r="BK336" s="449">
        <v>0</v>
      </c>
      <c r="BL336" s="449">
        <v>0</v>
      </c>
      <c r="BM336" s="449">
        <v>0</v>
      </c>
      <c r="BN336" s="449">
        <v>0</v>
      </c>
      <c r="BO336" s="449">
        <v>0</v>
      </c>
      <c r="BP336" s="449">
        <v>0</v>
      </c>
      <c r="BQ336" s="449">
        <v>0</v>
      </c>
      <c r="BR336" s="449">
        <v>0</v>
      </c>
      <c r="BS336" s="449">
        <v>0</v>
      </c>
      <c r="BT336" s="449">
        <v>0</v>
      </c>
    </row>
    <row r="337" spans="1:72" ht="15" x14ac:dyDescent="0.25">
      <c r="A337" s="502" t="s">
        <v>576</v>
      </c>
      <c r="B337" s="502" t="s">
        <v>577</v>
      </c>
      <c r="C337" s="630"/>
      <c r="D337" s="500">
        <f t="shared" si="288"/>
        <v>0</v>
      </c>
      <c r="E337" s="449">
        <v>0</v>
      </c>
      <c r="F337" s="449">
        <f t="shared" si="289"/>
        <v>0</v>
      </c>
      <c r="G337" s="421">
        <f t="shared" si="290"/>
        <v>0</v>
      </c>
      <c r="H337" s="449">
        <v>0</v>
      </c>
      <c r="I337" s="449">
        <f t="shared" si="291"/>
        <v>0</v>
      </c>
      <c r="J337" s="426">
        <f t="shared" si="292"/>
        <v>0</v>
      </c>
      <c r="K337" s="421"/>
      <c r="L337" s="449">
        <v>0</v>
      </c>
      <c r="M337" s="449">
        <v>0</v>
      </c>
      <c r="N337" s="449">
        <v>0</v>
      </c>
      <c r="O337" s="449">
        <v>0</v>
      </c>
      <c r="P337" s="449">
        <v>0</v>
      </c>
      <c r="Q337" s="449">
        <v>0</v>
      </c>
      <c r="R337" s="449">
        <f>($H337-SUM($L337:Q337))/R$694</f>
        <v>0</v>
      </c>
      <c r="S337" s="449">
        <f>($H337-SUM($L337:R337))/S$694</f>
        <v>0</v>
      </c>
      <c r="T337" s="449">
        <f>($H337-SUM($L337:S337))/T$694</f>
        <v>0</v>
      </c>
      <c r="U337" s="449">
        <f>($H337-SUM($L337:T337))/U$694</f>
        <v>0</v>
      </c>
      <c r="V337" s="449">
        <f>($H337-SUM($L337:U337))/V$694</f>
        <v>0</v>
      </c>
      <c r="W337" s="449">
        <f>($H337-SUM($L337:V337))/W$694</f>
        <v>0</v>
      </c>
      <c r="X337" s="449"/>
      <c r="Y337" s="449">
        <f t="shared" si="293"/>
        <v>0</v>
      </c>
      <c r="Z337" s="531"/>
      <c r="AA337" s="449">
        <f t="shared" si="294"/>
        <v>0</v>
      </c>
      <c r="AB337" s="449">
        <f t="shared" si="294"/>
        <v>0</v>
      </c>
      <c r="AC337" s="449">
        <f t="shared" si="294"/>
        <v>0</v>
      </c>
      <c r="AD337" s="449">
        <f t="shared" si="294"/>
        <v>0</v>
      </c>
      <c r="AE337" s="449">
        <f t="shared" si="294"/>
        <v>0</v>
      </c>
      <c r="AF337" s="449">
        <f t="shared" si="294"/>
        <v>0</v>
      </c>
      <c r="AG337" s="449">
        <f t="shared" si="294"/>
        <v>0</v>
      </c>
      <c r="AH337" s="449">
        <f t="shared" si="294"/>
        <v>0</v>
      </c>
      <c r="AI337" s="449">
        <f t="shared" si="294"/>
        <v>0</v>
      </c>
      <c r="AJ337" s="449">
        <f t="shared" si="294"/>
        <v>0</v>
      </c>
      <c r="AK337" s="449">
        <f t="shared" si="294"/>
        <v>0</v>
      </c>
      <c r="AL337" s="449">
        <f t="shared" si="294"/>
        <v>0</v>
      </c>
      <c r="AN337" s="500">
        <f t="shared" si="295"/>
        <v>0</v>
      </c>
      <c r="AO337" s="449">
        <f t="shared" si="296"/>
        <v>19142.879599999997</v>
      </c>
      <c r="AP337" s="449">
        <f t="shared" si="297"/>
        <v>19142.879599999997</v>
      </c>
      <c r="AQ337" s="453" t="str">
        <f t="shared" si="298"/>
        <v>-</v>
      </c>
      <c r="AR337" s="449">
        <f t="shared" si="299"/>
        <v>19142.879599999997</v>
      </c>
      <c r="AS337" s="449">
        <f t="shared" si="300"/>
        <v>0</v>
      </c>
      <c r="AT337" s="426">
        <f t="shared" si="301"/>
        <v>0</v>
      </c>
      <c r="AU337" s="421"/>
      <c r="AV337" s="449">
        <f t="shared" si="302"/>
        <v>0</v>
      </c>
      <c r="AW337" s="449">
        <f t="shared" si="302"/>
        <v>1595.2399666666668</v>
      </c>
      <c r="AX337" s="449">
        <f t="shared" si="302"/>
        <v>1595.2399666666668</v>
      </c>
      <c r="AY337" s="449">
        <f t="shared" si="302"/>
        <v>1595.2399666666668</v>
      </c>
      <c r="AZ337" s="449">
        <f t="shared" si="302"/>
        <v>1595.2399666666668</v>
      </c>
      <c r="BA337" s="449">
        <f t="shared" si="302"/>
        <v>1595.2399666666668</v>
      </c>
      <c r="BB337" s="449">
        <f t="shared" si="302"/>
        <v>1595.2399666666668</v>
      </c>
      <c r="BC337" s="449">
        <f t="shared" si="302"/>
        <v>1595.2399666666668</v>
      </c>
      <c r="BD337" s="449">
        <f t="shared" si="302"/>
        <v>1595.2399666666668</v>
      </c>
      <c r="BE337" s="449">
        <f t="shared" si="302"/>
        <v>1595.2399666666668</v>
      </c>
      <c r="BF337" s="449">
        <f t="shared" si="302"/>
        <v>1595.2399666666668</v>
      </c>
      <c r="BG337" s="449">
        <f t="shared" si="302"/>
        <v>3190.4799333333335</v>
      </c>
      <c r="BH337" s="400"/>
      <c r="BI337" s="449">
        <v>0</v>
      </c>
      <c r="BJ337" s="449">
        <f>SUM('FY19 Staffing V1-1 (3)'!$P$246)/12</f>
        <v>1595.2399666666668</v>
      </c>
      <c r="BK337" s="449">
        <f>SUM('FY19 Staffing V1-1 (3)'!$P$246)/12</f>
        <v>1595.2399666666668</v>
      </c>
      <c r="BL337" s="449">
        <f>SUM('FY19 Staffing V1-1 (3)'!$P$246)/12</f>
        <v>1595.2399666666668</v>
      </c>
      <c r="BM337" s="449">
        <f>SUM('FY19 Staffing V1-1 (3)'!$P$246)/12</f>
        <v>1595.2399666666668</v>
      </c>
      <c r="BN337" s="449">
        <f>SUM('FY19 Staffing V1-1 (3)'!$P$246)/12</f>
        <v>1595.2399666666668</v>
      </c>
      <c r="BO337" s="449">
        <f>SUM('FY19 Staffing V1-1 (3)'!$P$246)/12</f>
        <v>1595.2399666666668</v>
      </c>
      <c r="BP337" s="449">
        <f>SUM('FY19 Staffing V1-1 (3)'!$P$246)/12</f>
        <v>1595.2399666666668</v>
      </c>
      <c r="BQ337" s="449">
        <f>SUM('FY19 Staffing V1-1 (3)'!$P$246)/12</f>
        <v>1595.2399666666668</v>
      </c>
      <c r="BR337" s="449">
        <f>SUM('FY19 Staffing V1-1 (3)'!$P$246)/12</f>
        <v>1595.2399666666668</v>
      </c>
      <c r="BS337" s="449">
        <f>SUM('FY19 Staffing V1-1 (3)'!$P$246)/12</f>
        <v>1595.2399666666668</v>
      </c>
      <c r="BT337" s="449">
        <f>SUM('FY19 Staffing V1-1 (3)'!$P$246)/12*2</f>
        <v>3190.4799333333335</v>
      </c>
    </row>
    <row r="338" spans="1:72" ht="15" x14ac:dyDescent="0.25">
      <c r="A338" s="537" t="s">
        <v>578</v>
      </c>
      <c r="B338" s="537" t="s">
        <v>579</v>
      </c>
      <c r="C338" s="630"/>
      <c r="D338" s="500">
        <f>SUM(L338:W338)</f>
        <v>0</v>
      </c>
      <c r="E338" s="449">
        <v>0</v>
      </c>
      <c r="F338" s="449">
        <f t="shared" si="289"/>
        <v>0</v>
      </c>
      <c r="G338" s="421">
        <f t="shared" si="290"/>
        <v>0</v>
      </c>
      <c r="H338" s="449">
        <v>0</v>
      </c>
      <c r="I338" s="449">
        <f t="shared" si="291"/>
        <v>0</v>
      </c>
      <c r="J338" s="426">
        <f t="shared" si="292"/>
        <v>0</v>
      </c>
      <c r="K338" s="421"/>
      <c r="L338" s="449">
        <v>0</v>
      </c>
      <c r="M338" s="449">
        <v>0</v>
      </c>
      <c r="N338" s="449">
        <v>0</v>
      </c>
      <c r="O338" s="449">
        <v>0</v>
      </c>
      <c r="P338" s="449">
        <v>0</v>
      </c>
      <c r="Q338" s="449">
        <v>0</v>
      </c>
      <c r="R338" s="449">
        <f>($H338-SUM($L338:Q338))/R$694</f>
        <v>0</v>
      </c>
      <c r="S338" s="449">
        <f>($H338-SUM($L338:R338))/S$694</f>
        <v>0</v>
      </c>
      <c r="T338" s="449">
        <f>($H338-SUM($L338:S338))/T$694</f>
        <v>0</v>
      </c>
      <c r="U338" s="449">
        <f>($H338-SUM($L338:T338))/U$694</f>
        <v>0</v>
      </c>
      <c r="V338" s="449">
        <f>($H338-SUM($L338:U338))/V$694</f>
        <v>0</v>
      </c>
      <c r="W338" s="449">
        <f>($H338-SUM($L338:V338))/W$694</f>
        <v>0</v>
      </c>
      <c r="X338" s="449"/>
      <c r="Y338" s="449">
        <f t="shared" si="293"/>
        <v>0</v>
      </c>
      <c r="Z338" s="531"/>
      <c r="AA338" s="449">
        <f t="shared" si="294"/>
        <v>0</v>
      </c>
      <c r="AB338" s="449">
        <f t="shared" si="294"/>
        <v>0</v>
      </c>
      <c r="AC338" s="449">
        <f t="shared" si="294"/>
        <v>0</v>
      </c>
      <c r="AD338" s="449">
        <f t="shared" si="294"/>
        <v>0</v>
      </c>
      <c r="AE338" s="449">
        <f t="shared" si="294"/>
        <v>0</v>
      </c>
      <c r="AF338" s="449">
        <f t="shared" si="294"/>
        <v>0</v>
      </c>
      <c r="AG338" s="449">
        <f t="shared" si="294"/>
        <v>0</v>
      </c>
      <c r="AH338" s="449">
        <f t="shared" si="294"/>
        <v>0</v>
      </c>
      <c r="AI338" s="449">
        <f t="shared" si="294"/>
        <v>0</v>
      </c>
      <c r="AJ338" s="449">
        <f t="shared" si="294"/>
        <v>0</v>
      </c>
      <c r="AK338" s="449">
        <f t="shared" si="294"/>
        <v>0</v>
      </c>
      <c r="AL338" s="449">
        <f t="shared" si="294"/>
        <v>0</v>
      </c>
      <c r="AN338" s="500">
        <f>SUM(L338:W338)</f>
        <v>0</v>
      </c>
      <c r="AO338" s="449">
        <f>SUM(BI338:BT338)</f>
        <v>0</v>
      </c>
      <c r="AP338" s="449">
        <f t="shared" si="297"/>
        <v>0</v>
      </c>
      <c r="AQ338" s="453" t="str">
        <f t="shared" si="298"/>
        <v>-</v>
      </c>
      <c r="AR338" s="449">
        <f t="shared" si="299"/>
        <v>0</v>
      </c>
      <c r="AS338" s="449">
        <f t="shared" si="300"/>
        <v>0</v>
      </c>
      <c r="AT338" s="426">
        <f t="shared" si="301"/>
        <v>0</v>
      </c>
      <c r="AU338" s="421"/>
      <c r="AV338" s="449">
        <f t="shared" si="302"/>
        <v>0</v>
      </c>
      <c r="AW338" s="449">
        <f t="shared" si="302"/>
        <v>0</v>
      </c>
      <c r="AX338" s="449">
        <f t="shared" si="302"/>
        <v>0</v>
      </c>
      <c r="AY338" s="449">
        <f t="shared" si="302"/>
        <v>0</v>
      </c>
      <c r="AZ338" s="449">
        <f t="shared" si="302"/>
        <v>0</v>
      </c>
      <c r="BA338" s="449">
        <f t="shared" si="302"/>
        <v>0</v>
      </c>
      <c r="BB338" s="449">
        <f t="shared" si="302"/>
        <v>0</v>
      </c>
      <c r="BC338" s="449">
        <f t="shared" si="302"/>
        <v>0</v>
      </c>
      <c r="BD338" s="449">
        <f t="shared" si="302"/>
        <v>0</v>
      </c>
      <c r="BE338" s="449">
        <f t="shared" si="302"/>
        <v>0</v>
      </c>
      <c r="BF338" s="449">
        <f t="shared" si="302"/>
        <v>0</v>
      </c>
      <c r="BG338" s="449">
        <f t="shared" si="302"/>
        <v>0</v>
      </c>
      <c r="BH338" s="400"/>
      <c r="BI338" s="449">
        <f t="shared" ref="BI338:BS338" si="304">IFERROR((($H338/$H$5)*BI$5)/12,0)</f>
        <v>0</v>
      </c>
      <c r="BJ338" s="449">
        <f t="shared" si="304"/>
        <v>0</v>
      </c>
      <c r="BK338" s="449">
        <f t="shared" si="304"/>
        <v>0</v>
      </c>
      <c r="BL338" s="449">
        <f t="shared" si="304"/>
        <v>0</v>
      </c>
      <c r="BM338" s="449">
        <f t="shared" si="304"/>
        <v>0</v>
      </c>
      <c r="BN338" s="449">
        <f t="shared" si="304"/>
        <v>0</v>
      </c>
      <c r="BO338" s="449">
        <f t="shared" si="304"/>
        <v>0</v>
      </c>
      <c r="BP338" s="449">
        <f t="shared" si="304"/>
        <v>0</v>
      </c>
      <c r="BQ338" s="449">
        <f t="shared" si="304"/>
        <v>0</v>
      </c>
      <c r="BR338" s="449">
        <f t="shared" si="304"/>
        <v>0</v>
      </c>
      <c r="BS338" s="449">
        <f t="shared" si="304"/>
        <v>0</v>
      </c>
      <c r="BT338" s="449">
        <f>IFERROR((($H338/$H$5)*BT$5)/12*2,0)</f>
        <v>0</v>
      </c>
    </row>
    <row r="339" spans="1:72" ht="15" hidden="1" x14ac:dyDescent="0.25">
      <c r="A339" s="614" t="s">
        <v>580</v>
      </c>
      <c r="B339" s="614" t="s">
        <v>581</v>
      </c>
      <c r="C339" s="630"/>
      <c r="D339" s="500">
        <f t="shared" si="288"/>
        <v>30000</v>
      </c>
      <c r="E339" s="449">
        <v>30000</v>
      </c>
      <c r="F339" s="449">
        <f t="shared" si="289"/>
        <v>0</v>
      </c>
      <c r="G339" s="421">
        <f t="shared" si="290"/>
        <v>0</v>
      </c>
      <c r="H339" s="449">
        <v>30000</v>
      </c>
      <c r="I339" s="449">
        <f t="shared" si="291"/>
        <v>0</v>
      </c>
      <c r="J339" s="426">
        <f t="shared" si="292"/>
        <v>0</v>
      </c>
      <c r="K339" s="421"/>
      <c r="L339" s="449">
        <v>0</v>
      </c>
      <c r="M339" s="449">
        <v>0</v>
      </c>
      <c r="N339" s="449">
        <v>0</v>
      </c>
      <c r="O339" s="449">
        <v>0</v>
      </c>
      <c r="P339" s="449">
        <v>0</v>
      </c>
      <c r="Q339" s="449">
        <v>0</v>
      </c>
      <c r="R339" s="449">
        <f>($H339-SUM($L339:Q339))/R$694</f>
        <v>5000</v>
      </c>
      <c r="S339" s="449">
        <f>($H339-SUM($L339:R339))/S$694</f>
        <v>5000</v>
      </c>
      <c r="T339" s="449">
        <f>($H339-SUM($L339:S339))/T$694</f>
        <v>5000</v>
      </c>
      <c r="U339" s="449">
        <f>($H339-SUM($L339:T339))/U$694</f>
        <v>5000</v>
      </c>
      <c r="V339" s="449">
        <f>($H339-SUM($L339:U339))/V$694</f>
        <v>5000</v>
      </c>
      <c r="W339" s="449">
        <f>($H339-SUM($L339:V339))/W$694</f>
        <v>5000</v>
      </c>
      <c r="X339" s="449"/>
      <c r="Y339" s="449">
        <f t="shared" si="293"/>
        <v>30000</v>
      </c>
      <c r="Z339" s="531"/>
      <c r="AA339" s="449">
        <f t="shared" si="294"/>
        <v>2500</v>
      </c>
      <c r="AB339" s="449">
        <f t="shared" si="294"/>
        <v>2500</v>
      </c>
      <c r="AC339" s="449">
        <f t="shared" si="294"/>
        <v>2500</v>
      </c>
      <c r="AD339" s="449">
        <f t="shared" si="294"/>
        <v>2500</v>
      </c>
      <c r="AE339" s="449">
        <f t="shared" si="294"/>
        <v>2500</v>
      </c>
      <c r="AF339" s="449">
        <f t="shared" si="294"/>
        <v>2500</v>
      </c>
      <c r="AG339" s="449">
        <f t="shared" si="294"/>
        <v>2500</v>
      </c>
      <c r="AH339" s="449">
        <f t="shared" si="294"/>
        <v>2500</v>
      </c>
      <c r="AI339" s="449">
        <f t="shared" si="294"/>
        <v>2500</v>
      </c>
      <c r="AJ339" s="449">
        <f t="shared" si="294"/>
        <v>2500</v>
      </c>
      <c r="AK339" s="449">
        <f t="shared" si="294"/>
        <v>2500</v>
      </c>
      <c r="AL339" s="449">
        <f t="shared" si="294"/>
        <v>2500</v>
      </c>
      <c r="AN339" s="500">
        <f t="shared" si="295"/>
        <v>30000</v>
      </c>
      <c r="AO339" s="449">
        <f t="shared" si="296"/>
        <v>0</v>
      </c>
      <c r="AP339" s="449">
        <f t="shared" si="297"/>
        <v>-30000</v>
      </c>
      <c r="AQ339" s="453">
        <f t="shared" si="298"/>
        <v>-1</v>
      </c>
      <c r="AR339" s="449">
        <f t="shared" si="299"/>
        <v>0</v>
      </c>
      <c r="AS339" s="449">
        <f t="shared" si="300"/>
        <v>0</v>
      </c>
      <c r="AT339" s="426">
        <f t="shared" si="301"/>
        <v>0</v>
      </c>
      <c r="AU339" s="421"/>
      <c r="AV339" s="449">
        <f t="shared" si="302"/>
        <v>0</v>
      </c>
      <c r="AW339" s="449">
        <f t="shared" si="302"/>
        <v>0</v>
      </c>
      <c r="AX339" s="449">
        <f t="shared" si="302"/>
        <v>0</v>
      </c>
      <c r="AY339" s="449">
        <f t="shared" si="302"/>
        <v>0</v>
      </c>
      <c r="AZ339" s="449">
        <f t="shared" si="302"/>
        <v>0</v>
      </c>
      <c r="BA339" s="449">
        <f t="shared" si="302"/>
        <v>0</v>
      </c>
      <c r="BB339" s="449">
        <f t="shared" si="302"/>
        <v>0</v>
      </c>
      <c r="BC339" s="449">
        <f t="shared" si="302"/>
        <v>0</v>
      </c>
      <c r="BD339" s="449">
        <f t="shared" si="302"/>
        <v>0</v>
      </c>
      <c r="BE339" s="449">
        <f t="shared" si="302"/>
        <v>0</v>
      </c>
      <c r="BF339" s="449">
        <f t="shared" si="302"/>
        <v>0</v>
      </c>
      <c r="BG339" s="449">
        <f t="shared" si="302"/>
        <v>0</v>
      </c>
      <c r="BH339" s="400"/>
      <c r="BI339" s="449">
        <v>0</v>
      </c>
      <c r="BJ339" s="449">
        <v>0</v>
      </c>
      <c r="BK339" s="449">
        <v>0</v>
      </c>
      <c r="BL339" s="449">
        <v>0</v>
      </c>
      <c r="BM339" s="449">
        <v>0</v>
      </c>
      <c r="BN339" s="449">
        <v>0</v>
      </c>
      <c r="BO339" s="449">
        <v>0</v>
      </c>
      <c r="BP339" s="449">
        <v>0</v>
      </c>
      <c r="BQ339" s="449">
        <v>0</v>
      </c>
      <c r="BR339" s="449">
        <v>0</v>
      </c>
      <c r="BS339" s="449">
        <v>0</v>
      </c>
      <c r="BT339" s="449">
        <v>0</v>
      </c>
    </row>
    <row r="340" spans="1:72" ht="15" x14ac:dyDescent="0.25">
      <c r="A340" s="537" t="s">
        <v>578</v>
      </c>
      <c r="B340" s="537" t="s">
        <v>582</v>
      </c>
      <c r="C340" s="630"/>
      <c r="D340" s="500">
        <f t="shared" si="288"/>
        <v>0</v>
      </c>
      <c r="E340" s="449">
        <v>0</v>
      </c>
      <c r="F340" s="449">
        <f t="shared" si="289"/>
        <v>0</v>
      </c>
      <c r="G340" s="421">
        <f t="shared" si="290"/>
        <v>0</v>
      </c>
      <c r="H340" s="449">
        <v>0</v>
      </c>
      <c r="I340" s="449">
        <f t="shared" si="291"/>
        <v>0</v>
      </c>
      <c r="J340" s="426">
        <f t="shared" si="292"/>
        <v>0</v>
      </c>
      <c r="K340" s="421"/>
      <c r="L340" s="449">
        <v>0</v>
      </c>
      <c r="M340" s="449">
        <v>0</v>
      </c>
      <c r="N340" s="449">
        <v>0</v>
      </c>
      <c r="O340" s="449">
        <v>0</v>
      </c>
      <c r="P340" s="449">
        <v>0</v>
      </c>
      <c r="Q340" s="449">
        <v>0</v>
      </c>
      <c r="R340" s="449">
        <f>($H340-SUM($L340:Q340))/R$694</f>
        <v>0</v>
      </c>
      <c r="S340" s="449">
        <f>($H340-SUM($L340:R340))/S$694</f>
        <v>0</v>
      </c>
      <c r="T340" s="449">
        <f>($H340-SUM($L340:S340))/T$694</f>
        <v>0</v>
      </c>
      <c r="U340" s="449">
        <f>($H340-SUM($L340:T340))/U$694</f>
        <v>0</v>
      </c>
      <c r="V340" s="449">
        <f>($H340-SUM($L340:U340))/V$694</f>
        <v>0</v>
      </c>
      <c r="W340" s="449">
        <f>($H340-SUM($L340:V340))/W$694</f>
        <v>0</v>
      </c>
      <c r="X340" s="449"/>
      <c r="Y340" s="449">
        <f t="shared" si="293"/>
        <v>0</v>
      </c>
      <c r="Z340" s="531"/>
      <c r="AA340" s="449">
        <f t="shared" si="294"/>
        <v>0</v>
      </c>
      <c r="AB340" s="449">
        <f t="shared" si="294"/>
        <v>0</v>
      </c>
      <c r="AC340" s="449">
        <f t="shared" si="294"/>
        <v>0</v>
      </c>
      <c r="AD340" s="449">
        <f t="shared" si="294"/>
        <v>0</v>
      </c>
      <c r="AE340" s="449">
        <f t="shared" si="294"/>
        <v>0</v>
      </c>
      <c r="AF340" s="449">
        <f t="shared" si="294"/>
        <v>0</v>
      </c>
      <c r="AG340" s="449">
        <f t="shared" si="294"/>
        <v>0</v>
      </c>
      <c r="AH340" s="449">
        <f t="shared" si="294"/>
        <v>0</v>
      </c>
      <c r="AI340" s="449">
        <f t="shared" si="294"/>
        <v>0</v>
      </c>
      <c r="AJ340" s="449">
        <f t="shared" si="294"/>
        <v>0</v>
      </c>
      <c r="AK340" s="449">
        <f t="shared" si="294"/>
        <v>0</v>
      </c>
      <c r="AL340" s="449">
        <f t="shared" si="294"/>
        <v>0</v>
      </c>
      <c r="AN340" s="500">
        <f t="shared" si="295"/>
        <v>0</v>
      </c>
      <c r="AO340" s="449">
        <f t="shared" si="296"/>
        <v>0</v>
      </c>
      <c r="AP340" s="449">
        <f t="shared" si="297"/>
        <v>0</v>
      </c>
      <c r="AQ340" s="453" t="str">
        <f t="shared" si="298"/>
        <v>-</v>
      </c>
      <c r="AR340" s="449">
        <f t="shared" si="299"/>
        <v>0</v>
      </c>
      <c r="AS340" s="449">
        <f t="shared" si="300"/>
        <v>0</v>
      </c>
      <c r="AT340" s="426">
        <f t="shared" si="301"/>
        <v>0</v>
      </c>
      <c r="AU340" s="421"/>
      <c r="AV340" s="449">
        <f t="shared" si="302"/>
        <v>0</v>
      </c>
      <c r="AW340" s="449">
        <f t="shared" si="302"/>
        <v>0</v>
      </c>
      <c r="AX340" s="449">
        <f t="shared" si="302"/>
        <v>0</v>
      </c>
      <c r="AY340" s="449">
        <f t="shared" si="302"/>
        <v>0</v>
      </c>
      <c r="AZ340" s="449">
        <f t="shared" si="302"/>
        <v>0</v>
      </c>
      <c r="BA340" s="449">
        <f t="shared" si="302"/>
        <v>0</v>
      </c>
      <c r="BB340" s="449">
        <f t="shared" si="302"/>
        <v>0</v>
      </c>
      <c r="BC340" s="449">
        <f t="shared" si="302"/>
        <v>0</v>
      </c>
      <c r="BD340" s="449">
        <f t="shared" si="302"/>
        <v>0</v>
      </c>
      <c r="BE340" s="449">
        <f t="shared" si="302"/>
        <v>0</v>
      </c>
      <c r="BF340" s="449">
        <f t="shared" si="302"/>
        <v>0</v>
      </c>
      <c r="BG340" s="449">
        <f t="shared" si="302"/>
        <v>0</v>
      </c>
      <c r="BH340" s="400"/>
      <c r="BI340" s="449">
        <v>0</v>
      </c>
      <c r="BJ340" s="449">
        <v>0</v>
      </c>
      <c r="BK340" s="449">
        <v>0</v>
      </c>
      <c r="BL340" s="449">
        <f>SUM('FY19 Staffing V1-1 (3)'!$J$246)</f>
        <v>0</v>
      </c>
      <c r="BM340" s="449">
        <v>0</v>
      </c>
      <c r="BN340" s="449">
        <v>0</v>
      </c>
      <c r="BO340" s="449">
        <v>0</v>
      </c>
      <c r="BP340" s="449">
        <v>0</v>
      </c>
      <c r="BQ340" s="449">
        <v>0</v>
      </c>
      <c r="BR340" s="449">
        <v>0</v>
      </c>
      <c r="BS340" s="449">
        <v>0</v>
      </c>
      <c r="BT340" s="449">
        <v>0</v>
      </c>
    </row>
    <row r="341" spans="1:72" ht="15" hidden="1" x14ac:dyDescent="0.25">
      <c r="A341" s="614" t="s">
        <v>583</v>
      </c>
      <c r="B341" s="614" t="s">
        <v>584</v>
      </c>
      <c r="C341" s="630"/>
      <c r="D341" s="500">
        <f t="shared" si="288"/>
        <v>0</v>
      </c>
      <c r="E341" s="449">
        <v>0</v>
      </c>
      <c r="F341" s="449">
        <f t="shared" si="289"/>
        <v>0</v>
      </c>
      <c r="G341" s="421">
        <f t="shared" si="290"/>
        <v>0</v>
      </c>
      <c r="H341" s="449">
        <v>0</v>
      </c>
      <c r="I341" s="449">
        <f t="shared" si="291"/>
        <v>0</v>
      </c>
      <c r="J341" s="426">
        <f t="shared" si="292"/>
        <v>0</v>
      </c>
      <c r="K341" s="421"/>
      <c r="L341" s="449">
        <v>0</v>
      </c>
      <c r="M341" s="449">
        <v>0</v>
      </c>
      <c r="N341" s="449">
        <v>0</v>
      </c>
      <c r="O341" s="449">
        <v>0</v>
      </c>
      <c r="P341" s="449">
        <v>0</v>
      </c>
      <c r="Q341" s="449">
        <v>0</v>
      </c>
      <c r="R341" s="449">
        <f>($H341-SUM($L341:Q341))/R$694</f>
        <v>0</v>
      </c>
      <c r="S341" s="449">
        <f>($H341-SUM($L341:R341))/S$694</f>
        <v>0</v>
      </c>
      <c r="T341" s="449">
        <f>($H341-SUM($L341:S341))/T$694</f>
        <v>0</v>
      </c>
      <c r="U341" s="449">
        <f>($H341-SUM($L341:T341))/U$694</f>
        <v>0</v>
      </c>
      <c r="V341" s="449">
        <f>($H341-SUM($L341:U341))/V$694</f>
        <v>0</v>
      </c>
      <c r="W341" s="449">
        <f>($H341-SUM($L341:V341))/W$694</f>
        <v>0</v>
      </c>
      <c r="X341" s="449"/>
      <c r="Y341" s="449">
        <f t="shared" si="293"/>
        <v>0</v>
      </c>
      <c r="Z341" s="531"/>
      <c r="AA341" s="449">
        <f t="shared" si="294"/>
        <v>0</v>
      </c>
      <c r="AB341" s="449">
        <f t="shared" si="294"/>
        <v>0</v>
      </c>
      <c r="AC341" s="449">
        <f t="shared" si="294"/>
        <v>0</v>
      </c>
      <c r="AD341" s="449">
        <f t="shared" si="294"/>
        <v>0</v>
      </c>
      <c r="AE341" s="449">
        <f t="shared" si="294"/>
        <v>0</v>
      </c>
      <c r="AF341" s="449">
        <f t="shared" si="294"/>
        <v>0</v>
      </c>
      <c r="AG341" s="449">
        <f t="shared" si="294"/>
        <v>0</v>
      </c>
      <c r="AH341" s="449">
        <f t="shared" si="294"/>
        <v>0</v>
      </c>
      <c r="AI341" s="449">
        <f t="shared" si="294"/>
        <v>0</v>
      </c>
      <c r="AJ341" s="449">
        <f t="shared" si="294"/>
        <v>0</v>
      </c>
      <c r="AK341" s="449">
        <f t="shared" si="294"/>
        <v>0</v>
      </c>
      <c r="AL341" s="449">
        <f t="shared" si="294"/>
        <v>0</v>
      </c>
      <c r="AN341" s="500">
        <f t="shared" si="295"/>
        <v>0</v>
      </c>
      <c r="AO341" s="449">
        <f t="shared" si="296"/>
        <v>0</v>
      </c>
      <c r="AP341" s="449">
        <f t="shared" si="297"/>
        <v>0</v>
      </c>
      <c r="AQ341" s="453" t="str">
        <f t="shared" si="298"/>
        <v>-</v>
      </c>
      <c r="AR341" s="449">
        <f t="shared" si="299"/>
        <v>0</v>
      </c>
      <c r="AS341" s="449">
        <f t="shared" si="300"/>
        <v>0</v>
      </c>
      <c r="AT341" s="426">
        <f t="shared" si="301"/>
        <v>0</v>
      </c>
      <c r="AU341" s="421"/>
      <c r="AV341" s="449">
        <f t="shared" si="302"/>
        <v>0</v>
      </c>
      <c r="AW341" s="449">
        <f t="shared" si="302"/>
        <v>0</v>
      </c>
      <c r="AX341" s="449">
        <f t="shared" si="302"/>
        <v>0</v>
      </c>
      <c r="AY341" s="449">
        <f t="shared" si="302"/>
        <v>0</v>
      </c>
      <c r="AZ341" s="449">
        <f t="shared" si="302"/>
        <v>0</v>
      </c>
      <c r="BA341" s="449">
        <f t="shared" si="302"/>
        <v>0</v>
      </c>
      <c r="BB341" s="449">
        <f t="shared" si="302"/>
        <v>0</v>
      </c>
      <c r="BC341" s="449">
        <f t="shared" si="302"/>
        <v>0</v>
      </c>
      <c r="BD341" s="449">
        <f t="shared" si="302"/>
        <v>0</v>
      </c>
      <c r="BE341" s="449">
        <f t="shared" si="302"/>
        <v>0</v>
      </c>
      <c r="BF341" s="449">
        <f t="shared" si="302"/>
        <v>0</v>
      </c>
      <c r="BG341" s="449">
        <f t="shared" si="302"/>
        <v>0</v>
      </c>
      <c r="BH341" s="400"/>
      <c r="BI341" s="449">
        <v>0</v>
      </c>
      <c r="BJ341" s="449">
        <v>0</v>
      </c>
      <c r="BK341" s="449">
        <v>0</v>
      </c>
      <c r="BL341" s="449">
        <v>0</v>
      </c>
      <c r="BM341" s="449">
        <v>0</v>
      </c>
      <c r="BN341" s="449">
        <v>0</v>
      </c>
      <c r="BO341" s="449">
        <v>0</v>
      </c>
      <c r="BP341" s="449">
        <v>0</v>
      </c>
      <c r="BQ341" s="449">
        <v>0</v>
      </c>
      <c r="BR341" s="449">
        <v>0</v>
      </c>
      <c r="BS341" s="449">
        <v>0</v>
      </c>
      <c r="BT341" s="449">
        <v>0</v>
      </c>
    </row>
    <row r="342" spans="1:72" ht="15" hidden="1" x14ac:dyDescent="0.25">
      <c r="A342" s="614" t="s">
        <v>585</v>
      </c>
      <c r="B342" s="614" t="s">
        <v>586</v>
      </c>
      <c r="C342" s="541"/>
      <c r="D342" s="500">
        <f t="shared" si="288"/>
        <v>0</v>
      </c>
      <c r="E342" s="449">
        <v>0</v>
      </c>
      <c r="F342" s="449">
        <f t="shared" si="289"/>
        <v>0</v>
      </c>
      <c r="G342" s="421">
        <f t="shared" si="290"/>
        <v>0</v>
      </c>
      <c r="H342" s="449">
        <v>0</v>
      </c>
      <c r="I342" s="449">
        <f t="shared" si="291"/>
        <v>0</v>
      </c>
      <c r="J342" s="426">
        <f t="shared" si="292"/>
        <v>0</v>
      </c>
      <c r="K342" s="421"/>
      <c r="L342" s="449">
        <v>0</v>
      </c>
      <c r="M342" s="449">
        <v>0</v>
      </c>
      <c r="N342" s="449">
        <v>0</v>
      </c>
      <c r="O342" s="449">
        <v>0</v>
      </c>
      <c r="P342" s="449">
        <v>0</v>
      </c>
      <c r="Q342" s="449">
        <v>0</v>
      </c>
      <c r="R342" s="449">
        <f>($H342-SUM($L342:Q342))/R$694</f>
        <v>0</v>
      </c>
      <c r="S342" s="449">
        <f>($H342-SUM($L342:R342))/S$694</f>
        <v>0</v>
      </c>
      <c r="T342" s="449">
        <f>($H342-SUM($L342:S342))/T$694</f>
        <v>0</v>
      </c>
      <c r="U342" s="449">
        <f>($H342-SUM($L342:T342))/U$694</f>
        <v>0</v>
      </c>
      <c r="V342" s="449">
        <f>($H342-SUM($L342:U342))/V$694</f>
        <v>0</v>
      </c>
      <c r="W342" s="449">
        <f>($H342-SUM($L342:V342))/W$694</f>
        <v>0</v>
      </c>
      <c r="X342" s="449"/>
      <c r="Y342" s="449">
        <f t="shared" si="293"/>
        <v>0</v>
      </c>
      <c r="Z342" s="531"/>
      <c r="AA342" s="449">
        <f t="shared" si="294"/>
        <v>0</v>
      </c>
      <c r="AB342" s="449">
        <f t="shared" si="294"/>
        <v>0</v>
      </c>
      <c r="AC342" s="449">
        <f t="shared" si="294"/>
        <v>0</v>
      </c>
      <c r="AD342" s="449">
        <f t="shared" si="294"/>
        <v>0</v>
      </c>
      <c r="AE342" s="449">
        <f t="shared" si="294"/>
        <v>0</v>
      </c>
      <c r="AF342" s="449">
        <f t="shared" si="294"/>
        <v>0</v>
      </c>
      <c r="AG342" s="449">
        <f t="shared" si="294"/>
        <v>0</v>
      </c>
      <c r="AH342" s="449">
        <f t="shared" si="294"/>
        <v>0</v>
      </c>
      <c r="AI342" s="449">
        <f t="shared" si="294"/>
        <v>0</v>
      </c>
      <c r="AJ342" s="449">
        <f t="shared" si="294"/>
        <v>0</v>
      </c>
      <c r="AK342" s="449">
        <f t="shared" si="294"/>
        <v>0</v>
      </c>
      <c r="AL342" s="449">
        <f t="shared" si="294"/>
        <v>0</v>
      </c>
      <c r="AN342" s="500">
        <f t="shared" si="295"/>
        <v>0</v>
      </c>
      <c r="AO342" s="449">
        <f t="shared" si="296"/>
        <v>0</v>
      </c>
      <c r="AP342" s="449">
        <f t="shared" si="297"/>
        <v>0</v>
      </c>
      <c r="AQ342" s="453" t="str">
        <f t="shared" si="298"/>
        <v>-</v>
      </c>
      <c r="AR342" s="449">
        <f t="shared" si="299"/>
        <v>0</v>
      </c>
      <c r="AS342" s="449">
        <f t="shared" si="300"/>
        <v>0</v>
      </c>
      <c r="AT342" s="426">
        <f t="shared" si="301"/>
        <v>0</v>
      </c>
      <c r="AU342" s="421"/>
      <c r="AV342" s="449">
        <f t="shared" si="302"/>
        <v>0</v>
      </c>
      <c r="AW342" s="449">
        <f t="shared" si="302"/>
        <v>0</v>
      </c>
      <c r="AX342" s="449">
        <f t="shared" si="302"/>
        <v>0</v>
      </c>
      <c r="AY342" s="449">
        <f t="shared" si="302"/>
        <v>0</v>
      </c>
      <c r="AZ342" s="449">
        <f t="shared" si="302"/>
        <v>0</v>
      </c>
      <c r="BA342" s="449">
        <f t="shared" si="302"/>
        <v>0</v>
      </c>
      <c r="BB342" s="449">
        <f t="shared" si="302"/>
        <v>0</v>
      </c>
      <c r="BC342" s="449">
        <f t="shared" si="302"/>
        <v>0</v>
      </c>
      <c r="BD342" s="449">
        <f t="shared" si="302"/>
        <v>0</v>
      </c>
      <c r="BE342" s="449">
        <f t="shared" si="302"/>
        <v>0</v>
      </c>
      <c r="BF342" s="449">
        <f t="shared" si="302"/>
        <v>0</v>
      </c>
      <c r="BG342" s="449">
        <f t="shared" si="302"/>
        <v>0</v>
      </c>
      <c r="BH342" s="400"/>
      <c r="BI342" s="449">
        <v>0</v>
      </c>
      <c r="BJ342" s="449">
        <v>0</v>
      </c>
      <c r="BK342" s="449">
        <v>0</v>
      </c>
      <c r="BL342" s="449">
        <v>0</v>
      </c>
      <c r="BM342" s="449">
        <v>0</v>
      </c>
      <c r="BN342" s="449">
        <v>0</v>
      </c>
      <c r="BO342" s="449">
        <v>0</v>
      </c>
      <c r="BP342" s="449">
        <v>0</v>
      </c>
      <c r="BQ342" s="449">
        <v>0</v>
      </c>
      <c r="BR342" s="449">
        <v>0</v>
      </c>
      <c r="BS342" s="449">
        <v>0</v>
      </c>
      <c r="BT342" s="449">
        <v>0</v>
      </c>
    </row>
    <row r="343" spans="1:72" ht="15" hidden="1" x14ac:dyDescent="0.25">
      <c r="A343" s="502" t="s">
        <v>587</v>
      </c>
      <c r="B343" s="502" t="s">
        <v>588</v>
      </c>
      <c r="C343" s="541"/>
      <c r="D343" s="500">
        <f t="shared" si="288"/>
        <v>0</v>
      </c>
      <c r="E343" s="449">
        <v>0</v>
      </c>
      <c r="F343" s="449">
        <f t="shared" si="289"/>
        <v>0</v>
      </c>
      <c r="G343" s="421">
        <f t="shared" si="290"/>
        <v>0</v>
      </c>
      <c r="H343" s="449">
        <v>0</v>
      </c>
      <c r="I343" s="449">
        <f t="shared" si="291"/>
        <v>0</v>
      </c>
      <c r="J343" s="426">
        <f t="shared" si="292"/>
        <v>0</v>
      </c>
      <c r="K343" s="421"/>
      <c r="L343" s="449">
        <v>0</v>
      </c>
      <c r="M343" s="449">
        <v>0</v>
      </c>
      <c r="N343" s="449">
        <v>0</v>
      </c>
      <c r="O343" s="449">
        <v>0</v>
      </c>
      <c r="P343" s="449">
        <v>0</v>
      </c>
      <c r="Q343" s="449">
        <v>0</v>
      </c>
      <c r="R343" s="449">
        <f>($H343-SUM($L343:Q343))/R$694</f>
        <v>0</v>
      </c>
      <c r="S343" s="449">
        <f>($H343-SUM($L343:R343))/S$694</f>
        <v>0</v>
      </c>
      <c r="T343" s="449">
        <f>($H343-SUM($L343:S343))/T$694</f>
        <v>0</v>
      </c>
      <c r="U343" s="449">
        <f>($H343-SUM($L343:T343))/U$694</f>
        <v>0</v>
      </c>
      <c r="V343" s="449">
        <f>($H343-SUM($L343:U343))/V$694</f>
        <v>0</v>
      </c>
      <c r="W343" s="449">
        <f>($H343-SUM($L343:V343))/W$694</f>
        <v>0</v>
      </c>
      <c r="X343" s="449"/>
      <c r="Y343" s="449">
        <f t="shared" si="293"/>
        <v>0</v>
      </c>
      <c r="Z343" s="531"/>
      <c r="AA343" s="449">
        <f t="shared" si="294"/>
        <v>0</v>
      </c>
      <c r="AB343" s="449">
        <f t="shared" si="294"/>
        <v>0</v>
      </c>
      <c r="AC343" s="449">
        <f t="shared" si="294"/>
        <v>0</v>
      </c>
      <c r="AD343" s="449">
        <f t="shared" si="294"/>
        <v>0</v>
      </c>
      <c r="AE343" s="449">
        <f t="shared" si="294"/>
        <v>0</v>
      </c>
      <c r="AF343" s="449">
        <f t="shared" si="294"/>
        <v>0</v>
      </c>
      <c r="AG343" s="449">
        <f t="shared" si="294"/>
        <v>0</v>
      </c>
      <c r="AH343" s="449">
        <f t="shared" si="294"/>
        <v>0</v>
      </c>
      <c r="AI343" s="449">
        <f t="shared" si="294"/>
        <v>0</v>
      </c>
      <c r="AJ343" s="449">
        <f t="shared" si="294"/>
        <v>0</v>
      </c>
      <c r="AK343" s="449">
        <f t="shared" si="294"/>
        <v>0</v>
      </c>
      <c r="AL343" s="449">
        <f t="shared" si="294"/>
        <v>0</v>
      </c>
      <c r="AN343" s="500">
        <f t="shared" si="295"/>
        <v>0</v>
      </c>
      <c r="AO343" s="449">
        <f t="shared" si="296"/>
        <v>0</v>
      </c>
      <c r="AP343" s="449">
        <f t="shared" si="297"/>
        <v>0</v>
      </c>
      <c r="AQ343" s="453" t="str">
        <f t="shared" si="298"/>
        <v>-</v>
      </c>
      <c r="AR343" s="449">
        <f t="shared" si="299"/>
        <v>0</v>
      </c>
      <c r="AS343" s="449">
        <f t="shared" si="300"/>
        <v>0</v>
      </c>
      <c r="AT343" s="426">
        <f t="shared" si="301"/>
        <v>0</v>
      </c>
      <c r="AU343" s="421"/>
      <c r="AV343" s="449">
        <f t="shared" si="302"/>
        <v>0</v>
      </c>
      <c r="AW343" s="449">
        <f t="shared" si="302"/>
        <v>0</v>
      </c>
      <c r="AX343" s="449">
        <f t="shared" si="302"/>
        <v>0</v>
      </c>
      <c r="AY343" s="449">
        <f t="shared" si="302"/>
        <v>0</v>
      </c>
      <c r="AZ343" s="449">
        <f t="shared" si="302"/>
        <v>0</v>
      </c>
      <c r="BA343" s="449">
        <f t="shared" si="302"/>
        <v>0</v>
      </c>
      <c r="BB343" s="449">
        <f t="shared" si="302"/>
        <v>0</v>
      </c>
      <c r="BC343" s="449">
        <f t="shared" si="302"/>
        <v>0</v>
      </c>
      <c r="BD343" s="449">
        <f t="shared" si="302"/>
        <v>0</v>
      </c>
      <c r="BE343" s="449">
        <f t="shared" si="302"/>
        <v>0</v>
      </c>
      <c r="BF343" s="449">
        <f t="shared" si="302"/>
        <v>0</v>
      </c>
      <c r="BG343" s="449">
        <f t="shared" si="302"/>
        <v>0</v>
      </c>
      <c r="BH343" s="400"/>
      <c r="BI343" s="449">
        <v>0</v>
      </c>
      <c r="BJ343" s="449">
        <v>0</v>
      </c>
      <c r="BK343" s="449">
        <v>0</v>
      </c>
      <c r="BL343" s="449">
        <v>0</v>
      </c>
      <c r="BM343" s="449">
        <v>0</v>
      </c>
      <c r="BN343" s="449">
        <v>0</v>
      </c>
      <c r="BO343" s="449">
        <v>0</v>
      </c>
      <c r="BP343" s="449">
        <v>0</v>
      </c>
      <c r="BQ343" s="449">
        <v>0</v>
      </c>
      <c r="BR343" s="449">
        <v>0</v>
      </c>
      <c r="BS343" s="449">
        <v>0</v>
      </c>
      <c r="BT343" s="449">
        <v>0</v>
      </c>
    </row>
    <row r="344" spans="1:72" ht="15" hidden="1" x14ac:dyDescent="0.25">
      <c r="A344" s="614" t="s">
        <v>589</v>
      </c>
      <c r="B344" s="614" t="s">
        <v>590</v>
      </c>
      <c r="C344" s="541"/>
      <c r="D344" s="500">
        <f t="shared" si="288"/>
        <v>0</v>
      </c>
      <c r="E344" s="449">
        <v>0</v>
      </c>
      <c r="F344" s="449">
        <f t="shared" si="289"/>
        <v>0</v>
      </c>
      <c r="G344" s="421">
        <f t="shared" si="290"/>
        <v>0</v>
      </c>
      <c r="H344" s="449">
        <v>0</v>
      </c>
      <c r="I344" s="449">
        <f t="shared" si="291"/>
        <v>0</v>
      </c>
      <c r="J344" s="426">
        <f t="shared" si="292"/>
        <v>0</v>
      </c>
      <c r="K344" s="421"/>
      <c r="L344" s="449">
        <v>0</v>
      </c>
      <c r="M344" s="449">
        <v>0</v>
      </c>
      <c r="N344" s="449">
        <v>0</v>
      </c>
      <c r="O344" s="449">
        <v>0</v>
      </c>
      <c r="P344" s="449">
        <v>0</v>
      </c>
      <c r="Q344" s="449">
        <v>0</v>
      </c>
      <c r="R344" s="449">
        <f>($H344-SUM($L344:Q344))/R$694</f>
        <v>0</v>
      </c>
      <c r="S344" s="449">
        <f>($H344-SUM($L344:R344))/S$694</f>
        <v>0</v>
      </c>
      <c r="T344" s="449">
        <f>($H344-SUM($L344:S344))/T$694</f>
        <v>0</v>
      </c>
      <c r="U344" s="449">
        <f>($H344-SUM($L344:T344))/U$694</f>
        <v>0</v>
      </c>
      <c r="V344" s="449">
        <f>($H344-SUM($L344:U344))/V$694</f>
        <v>0</v>
      </c>
      <c r="W344" s="449">
        <f>($H344-SUM($L344:V344))/W$694</f>
        <v>0</v>
      </c>
      <c r="X344" s="449"/>
      <c r="Y344" s="449">
        <f t="shared" si="293"/>
        <v>0</v>
      </c>
      <c r="Z344" s="531"/>
      <c r="AA344" s="449">
        <f t="shared" si="294"/>
        <v>0</v>
      </c>
      <c r="AB344" s="449">
        <f t="shared" si="294"/>
        <v>0</v>
      </c>
      <c r="AC344" s="449">
        <f t="shared" si="294"/>
        <v>0</v>
      </c>
      <c r="AD344" s="449">
        <f t="shared" si="294"/>
        <v>0</v>
      </c>
      <c r="AE344" s="449">
        <f t="shared" si="294"/>
        <v>0</v>
      </c>
      <c r="AF344" s="449">
        <f t="shared" si="294"/>
        <v>0</v>
      </c>
      <c r="AG344" s="449">
        <f t="shared" si="294"/>
        <v>0</v>
      </c>
      <c r="AH344" s="449">
        <f t="shared" si="294"/>
        <v>0</v>
      </c>
      <c r="AI344" s="449">
        <f t="shared" si="294"/>
        <v>0</v>
      </c>
      <c r="AJ344" s="449">
        <f t="shared" si="294"/>
        <v>0</v>
      </c>
      <c r="AK344" s="449">
        <f t="shared" si="294"/>
        <v>0</v>
      </c>
      <c r="AL344" s="449">
        <f t="shared" si="294"/>
        <v>0</v>
      </c>
      <c r="AN344" s="500">
        <f t="shared" si="295"/>
        <v>0</v>
      </c>
      <c r="AO344" s="449">
        <f t="shared" si="296"/>
        <v>0</v>
      </c>
      <c r="AP344" s="449">
        <f t="shared" si="297"/>
        <v>0</v>
      </c>
      <c r="AQ344" s="453" t="str">
        <f t="shared" si="298"/>
        <v>-</v>
      </c>
      <c r="AR344" s="449">
        <f t="shared" si="299"/>
        <v>0</v>
      </c>
      <c r="AS344" s="449">
        <f t="shared" si="300"/>
        <v>0</v>
      </c>
      <c r="AT344" s="426">
        <f t="shared" si="301"/>
        <v>0</v>
      </c>
      <c r="AU344" s="421"/>
      <c r="AV344" s="449">
        <f t="shared" si="302"/>
        <v>0</v>
      </c>
      <c r="AW344" s="449">
        <f t="shared" si="302"/>
        <v>0</v>
      </c>
      <c r="AX344" s="449">
        <f t="shared" si="302"/>
        <v>0</v>
      </c>
      <c r="AY344" s="449">
        <f t="shared" si="302"/>
        <v>0</v>
      </c>
      <c r="AZ344" s="449">
        <f t="shared" si="302"/>
        <v>0</v>
      </c>
      <c r="BA344" s="449">
        <f t="shared" si="302"/>
        <v>0</v>
      </c>
      <c r="BB344" s="449">
        <f t="shared" si="302"/>
        <v>0</v>
      </c>
      <c r="BC344" s="449">
        <f t="shared" si="302"/>
        <v>0</v>
      </c>
      <c r="BD344" s="449">
        <f t="shared" si="302"/>
        <v>0</v>
      </c>
      <c r="BE344" s="449">
        <f t="shared" si="302"/>
        <v>0</v>
      </c>
      <c r="BF344" s="449">
        <f t="shared" si="302"/>
        <v>0</v>
      </c>
      <c r="BG344" s="449">
        <f t="shared" si="302"/>
        <v>0</v>
      </c>
      <c r="BH344" s="400"/>
      <c r="BI344" s="449">
        <v>0</v>
      </c>
      <c r="BJ344" s="449">
        <v>0</v>
      </c>
      <c r="BK344" s="449">
        <v>0</v>
      </c>
      <c r="BL344" s="449">
        <v>0</v>
      </c>
      <c r="BM344" s="449">
        <v>0</v>
      </c>
      <c r="BN344" s="449">
        <v>0</v>
      </c>
      <c r="BO344" s="449">
        <v>0</v>
      </c>
      <c r="BP344" s="449">
        <v>0</v>
      </c>
      <c r="BQ344" s="449">
        <v>0</v>
      </c>
      <c r="BR344" s="449">
        <v>0</v>
      </c>
      <c r="BS344" s="449">
        <v>0</v>
      </c>
      <c r="BT344" s="449">
        <v>0</v>
      </c>
    </row>
    <row r="345" spans="1:72" ht="15" x14ac:dyDescent="0.25">
      <c r="A345" s="502" t="s">
        <v>591</v>
      </c>
      <c r="B345" s="502" t="s">
        <v>532</v>
      </c>
      <c r="C345" s="541"/>
      <c r="D345" s="500">
        <f t="shared" si="288"/>
        <v>2295</v>
      </c>
      <c r="E345" s="449">
        <v>2295</v>
      </c>
      <c r="F345" s="449">
        <f t="shared" si="289"/>
        <v>0</v>
      </c>
      <c r="G345" s="421">
        <f t="shared" si="290"/>
        <v>0</v>
      </c>
      <c r="H345" s="449">
        <v>2295</v>
      </c>
      <c r="I345" s="449">
        <f t="shared" si="291"/>
        <v>0</v>
      </c>
      <c r="J345" s="426">
        <f t="shared" si="292"/>
        <v>0</v>
      </c>
      <c r="K345" s="421"/>
      <c r="L345" s="449">
        <v>0</v>
      </c>
      <c r="M345" s="449">
        <v>0</v>
      </c>
      <c r="N345" s="449">
        <v>0</v>
      </c>
      <c r="O345" s="449">
        <v>0</v>
      </c>
      <c r="P345" s="449">
        <v>0</v>
      </c>
      <c r="Q345" s="449">
        <v>0</v>
      </c>
      <c r="R345" s="449">
        <f>($H345-SUM($L345:Q345))/R$694</f>
        <v>382.5</v>
      </c>
      <c r="S345" s="449">
        <f>($H345-SUM($L345:R345))/S$694</f>
        <v>382.5</v>
      </c>
      <c r="T345" s="449">
        <f>($H345-SUM($L345:S345))/T$694</f>
        <v>382.5</v>
      </c>
      <c r="U345" s="449">
        <f>($H345-SUM($L345:T345))/U$694</f>
        <v>382.5</v>
      </c>
      <c r="V345" s="449">
        <f>($H345-SUM($L345:U345))/V$694</f>
        <v>382.5</v>
      </c>
      <c r="W345" s="449">
        <f>($H345-SUM($L345:V345))/W$694</f>
        <v>382.5</v>
      </c>
      <c r="X345" s="449"/>
      <c r="Y345" s="449">
        <f t="shared" si="293"/>
        <v>2295</v>
      </c>
      <c r="Z345" s="531"/>
      <c r="AA345" s="449">
        <f t="shared" si="294"/>
        <v>191.25</v>
      </c>
      <c r="AB345" s="449">
        <f t="shared" si="294"/>
        <v>191.25</v>
      </c>
      <c r="AC345" s="449">
        <f t="shared" si="294"/>
        <v>191.25</v>
      </c>
      <c r="AD345" s="449">
        <f t="shared" si="294"/>
        <v>191.25</v>
      </c>
      <c r="AE345" s="449">
        <f t="shared" si="294"/>
        <v>191.25</v>
      </c>
      <c r="AF345" s="449">
        <f t="shared" si="294"/>
        <v>191.25</v>
      </c>
      <c r="AG345" s="449">
        <f t="shared" si="294"/>
        <v>191.25</v>
      </c>
      <c r="AH345" s="449">
        <f t="shared" si="294"/>
        <v>191.25</v>
      </c>
      <c r="AI345" s="449">
        <f t="shared" si="294"/>
        <v>191.25</v>
      </c>
      <c r="AJ345" s="449">
        <f t="shared" si="294"/>
        <v>191.25</v>
      </c>
      <c r="AK345" s="449">
        <f t="shared" si="294"/>
        <v>191.25</v>
      </c>
      <c r="AL345" s="449">
        <f t="shared" si="294"/>
        <v>191.25</v>
      </c>
      <c r="AN345" s="500">
        <f t="shared" si="295"/>
        <v>2295</v>
      </c>
      <c r="AO345" s="449">
        <f t="shared" si="296"/>
        <v>2274.9299999999994</v>
      </c>
      <c r="AP345" s="449">
        <f t="shared" si="297"/>
        <v>-20.070000000000618</v>
      </c>
      <c r="AQ345" s="453">
        <f t="shared" si="298"/>
        <v>-8.7450980392159549E-3</v>
      </c>
      <c r="AR345" s="449">
        <f t="shared" si="299"/>
        <v>2274.9299999999994</v>
      </c>
      <c r="AS345" s="449">
        <f t="shared" si="300"/>
        <v>0</v>
      </c>
      <c r="AT345" s="426">
        <f t="shared" si="301"/>
        <v>0</v>
      </c>
      <c r="AU345" s="421"/>
      <c r="AV345" s="449">
        <f t="shared" si="302"/>
        <v>0</v>
      </c>
      <c r="AW345" s="449">
        <f t="shared" si="302"/>
        <v>189.57749999999999</v>
      </c>
      <c r="AX345" s="449">
        <f t="shared" si="302"/>
        <v>189.57749999999999</v>
      </c>
      <c r="AY345" s="449">
        <f t="shared" si="302"/>
        <v>189.57749999999999</v>
      </c>
      <c r="AZ345" s="449">
        <f t="shared" si="302"/>
        <v>189.57749999999999</v>
      </c>
      <c r="BA345" s="449">
        <f t="shared" si="302"/>
        <v>189.57749999999999</v>
      </c>
      <c r="BB345" s="449">
        <f t="shared" si="302"/>
        <v>189.57749999999999</v>
      </c>
      <c r="BC345" s="449">
        <f t="shared" si="302"/>
        <v>189.57749999999999</v>
      </c>
      <c r="BD345" s="449">
        <f t="shared" si="302"/>
        <v>189.57749999999999</v>
      </c>
      <c r="BE345" s="449">
        <f t="shared" si="302"/>
        <v>189.57749999999999</v>
      </c>
      <c r="BF345" s="449">
        <f t="shared" si="302"/>
        <v>189.57749999999999</v>
      </c>
      <c r="BG345" s="449">
        <f t="shared" si="302"/>
        <v>379.15499999999997</v>
      </c>
      <c r="BH345" s="400"/>
      <c r="BI345" s="449">
        <v>0</v>
      </c>
      <c r="BJ345" s="449">
        <f>SUM('FY19 Staffing V1-1 (3)'!$Q$246:$R$246,'FY19 Staffing V1-1 (3)'!$T$246:$U$246)/12</f>
        <v>189.57749999999999</v>
      </c>
      <c r="BK345" s="449">
        <f>SUM('FY19 Staffing V1-1 (3)'!$Q$246:$R$246,'FY19 Staffing V1-1 (3)'!$T$246:$U$246)/12</f>
        <v>189.57749999999999</v>
      </c>
      <c r="BL345" s="449">
        <f>SUM('FY19 Staffing V1-1 (3)'!$Q$246:$R$246,'FY19 Staffing V1-1 (3)'!$T$246:$U$246)/12</f>
        <v>189.57749999999999</v>
      </c>
      <c r="BM345" s="449">
        <f>SUM('FY19 Staffing V1-1 (3)'!$Q$246:$R$246,'FY19 Staffing V1-1 (3)'!$T$246:$U$246)/12</f>
        <v>189.57749999999999</v>
      </c>
      <c r="BN345" s="449">
        <f>SUM('FY19 Staffing V1-1 (3)'!$Q$246:$R$246,'FY19 Staffing V1-1 (3)'!$T$246:$U$246)/12</f>
        <v>189.57749999999999</v>
      </c>
      <c r="BO345" s="449">
        <f>SUM('FY19 Staffing V1-1 (3)'!$Q$246:$R$246,'FY19 Staffing V1-1 (3)'!$T$246:$U$246)/12</f>
        <v>189.57749999999999</v>
      </c>
      <c r="BP345" s="449">
        <f>SUM('FY19 Staffing V1-1 (3)'!$Q$246:$R$246,'FY19 Staffing V1-1 (3)'!$T$246:$U$246)/12</f>
        <v>189.57749999999999</v>
      </c>
      <c r="BQ345" s="449">
        <f>SUM('FY19 Staffing V1-1 (3)'!$Q$246:$R$246,'FY19 Staffing V1-1 (3)'!$T$246:$U$246)/12</f>
        <v>189.57749999999999</v>
      </c>
      <c r="BR345" s="449">
        <f>SUM('FY19 Staffing V1-1 (3)'!$Q$246:$R$246,'FY19 Staffing V1-1 (3)'!$T$246:$U$246)/12</f>
        <v>189.57749999999999</v>
      </c>
      <c r="BS345" s="449">
        <f>SUM('FY19 Staffing V1-1 (3)'!$Q$246:$R$246,'FY19 Staffing V1-1 (3)'!$T$246:$U$246)/12</f>
        <v>189.57749999999999</v>
      </c>
      <c r="BT345" s="449">
        <f>SUM('FY19 Staffing V1-1 (3)'!$Q$246:$R$246,'FY19 Staffing V1-1 (3)'!$T$246:$U$246)/12*2</f>
        <v>379.15499999999997</v>
      </c>
    </row>
    <row r="346" spans="1:72" ht="15" hidden="1" x14ac:dyDescent="0.25">
      <c r="A346" s="614" t="s">
        <v>592</v>
      </c>
      <c r="B346" s="614" t="s">
        <v>593</v>
      </c>
      <c r="C346" s="541"/>
      <c r="D346" s="500">
        <f t="shared" si="288"/>
        <v>0</v>
      </c>
      <c r="E346" s="449">
        <v>0</v>
      </c>
      <c r="F346" s="449">
        <f t="shared" si="289"/>
        <v>0</v>
      </c>
      <c r="G346" s="421">
        <f t="shared" si="290"/>
        <v>0</v>
      </c>
      <c r="H346" s="449">
        <v>0</v>
      </c>
      <c r="I346" s="449">
        <f t="shared" si="291"/>
        <v>0</v>
      </c>
      <c r="J346" s="426">
        <f t="shared" si="292"/>
        <v>0</v>
      </c>
      <c r="K346" s="421"/>
      <c r="L346" s="449">
        <v>0</v>
      </c>
      <c r="M346" s="449">
        <v>0</v>
      </c>
      <c r="N346" s="449">
        <v>0</v>
      </c>
      <c r="O346" s="449">
        <v>0</v>
      </c>
      <c r="P346" s="449">
        <v>0</v>
      </c>
      <c r="Q346" s="449">
        <v>0</v>
      </c>
      <c r="R346" s="449">
        <f>($H346-SUM($L346:Q346))/R$694</f>
        <v>0</v>
      </c>
      <c r="S346" s="449">
        <f>($H346-SUM($L346:R346))/S$694</f>
        <v>0</v>
      </c>
      <c r="T346" s="449">
        <f>($H346-SUM($L346:S346))/T$694</f>
        <v>0</v>
      </c>
      <c r="U346" s="449">
        <f>($H346-SUM($L346:T346))/U$694</f>
        <v>0</v>
      </c>
      <c r="V346" s="449">
        <f>($H346-SUM($L346:U346))/V$694</f>
        <v>0</v>
      </c>
      <c r="W346" s="449">
        <f>($H346-SUM($L346:V346))/W$694</f>
        <v>0</v>
      </c>
      <c r="X346" s="449"/>
      <c r="Y346" s="449">
        <f t="shared" si="293"/>
        <v>0</v>
      </c>
      <c r="Z346" s="531"/>
      <c r="AA346" s="449">
        <f t="shared" si="294"/>
        <v>0</v>
      </c>
      <c r="AB346" s="449">
        <f t="shared" si="294"/>
        <v>0</v>
      </c>
      <c r="AC346" s="449">
        <f t="shared" si="294"/>
        <v>0</v>
      </c>
      <c r="AD346" s="449">
        <f t="shared" si="294"/>
        <v>0</v>
      </c>
      <c r="AE346" s="449">
        <f t="shared" si="294"/>
        <v>0</v>
      </c>
      <c r="AF346" s="449">
        <f t="shared" si="294"/>
        <v>0</v>
      </c>
      <c r="AG346" s="449">
        <f t="shared" si="294"/>
        <v>0</v>
      </c>
      <c r="AH346" s="449">
        <f t="shared" si="294"/>
        <v>0</v>
      </c>
      <c r="AI346" s="449">
        <f t="shared" si="294"/>
        <v>0</v>
      </c>
      <c r="AJ346" s="449">
        <f t="shared" si="294"/>
        <v>0</v>
      </c>
      <c r="AK346" s="449">
        <f t="shared" si="294"/>
        <v>0</v>
      </c>
      <c r="AL346" s="449">
        <f t="shared" si="294"/>
        <v>0</v>
      </c>
      <c r="AN346" s="500">
        <f t="shared" si="295"/>
        <v>0</v>
      </c>
      <c r="AO346" s="449">
        <f t="shared" si="296"/>
        <v>0</v>
      </c>
      <c r="AP346" s="449">
        <f t="shared" si="297"/>
        <v>0</v>
      </c>
      <c r="AQ346" s="453" t="str">
        <f t="shared" si="298"/>
        <v>-</v>
      </c>
      <c r="AR346" s="449">
        <f t="shared" si="299"/>
        <v>0</v>
      </c>
      <c r="AS346" s="449">
        <f t="shared" si="300"/>
        <v>0</v>
      </c>
      <c r="AT346" s="426">
        <f t="shared" si="301"/>
        <v>0</v>
      </c>
      <c r="AU346" s="421"/>
      <c r="AV346" s="449">
        <f t="shared" si="302"/>
        <v>0</v>
      </c>
      <c r="AW346" s="449">
        <f t="shared" si="302"/>
        <v>0</v>
      </c>
      <c r="AX346" s="449">
        <f t="shared" si="302"/>
        <v>0</v>
      </c>
      <c r="AY346" s="449">
        <f t="shared" si="302"/>
        <v>0</v>
      </c>
      <c r="AZ346" s="449">
        <f t="shared" si="302"/>
        <v>0</v>
      </c>
      <c r="BA346" s="449">
        <f t="shared" si="302"/>
        <v>0</v>
      </c>
      <c r="BB346" s="449">
        <f t="shared" si="302"/>
        <v>0</v>
      </c>
      <c r="BC346" s="449">
        <f t="shared" si="302"/>
        <v>0</v>
      </c>
      <c r="BD346" s="449">
        <f t="shared" si="302"/>
        <v>0</v>
      </c>
      <c r="BE346" s="449">
        <f t="shared" si="302"/>
        <v>0</v>
      </c>
      <c r="BF346" s="449">
        <f t="shared" si="302"/>
        <v>0</v>
      </c>
      <c r="BG346" s="449">
        <f t="shared" si="302"/>
        <v>0</v>
      </c>
      <c r="BH346" s="400"/>
      <c r="BI346" s="449">
        <v>0</v>
      </c>
      <c r="BJ346" s="449">
        <v>0</v>
      </c>
      <c r="BK346" s="449">
        <v>0</v>
      </c>
      <c r="BL346" s="449">
        <v>0</v>
      </c>
      <c r="BM346" s="449">
        <v>0</v>
      </c>
      <c r="BN346" s="449">
        <v>0</v>
      </c>
      <c r="BO346" s="449">
        <v>0</v>
      </c>
      <c r="BP346" s="449">
        <v>0</v>
      </c>
      <c r="BQ346" s="449">
        <v>0</v>
      </c>
      <c r="BR346" s="449">
        <v>0</v>
      </c>
      <c r="BS346" s="449">
        <v>0</v>
      </c>
      <c r="BT346" s="449">
        <v>0</v>
      </c>
    </row>
    <row r="347" spans="1:72" ht="15" hidden="1" x14ac:dyDescent="0.25">
      <c r="A347" s="614" t="s">
        <v>594</v>
      </c>
      <c r="B347" s="614" t="s">
        <v>595</v>
      </c>
      <c r="C347" s="541"/>
      <c r="D347" s="500">
        <f t="shared" si="288"/>
        <v>0</v>
      </c>
      <c r="E347" s="449">
        <v>0</v>
      </c>
      <c r="F347" s="449">
        <f t="shared" si="289"/>
        <v>0</v>
      </c>
      <c r="G347" s="421">
        <f t="shared" si="290"/>
        <v>0</v>
      </c>
      <c r="H347" s="449">
        <v>0</v>
      </c>
      <c r="I347" s="449">
        <f t="shared" si="291"/>
        <v>0</v>
      </c>
      <c r="J347" s="426">
        <f t="shared" si="292"/>
        <v>0</v>
      </c>
      <c r="K347" s="421"/>
      <c r="L347" s="449">
        <v>0</v>
      </c>
      <c r="M347" s="449">
        <v>0</v>
      </c>
      <c r="N347" s="449">
        <v>0</v>
      </c>
      <c r="O347" s="449">
        <v>0</v>
      </c>
      <c r="P347" s="449">
        <v>0</v>
      </c>
      <c r="Q347" s="449">
        <v>0</v>
      </c>
      <c r="R347" s="449">
        <f>($H347-SUM($L347:Q347))/R$694</f>
        <v>0</v>
      </c>
      <c r="S347" s="449">
        <f>($H347-SUM($L347:R347))/S$694</f>
        <v>0</v>
      </c>
      <c r="T347" s="449">
        <f>($H347-SUM($L347:S347))/T$694</f>
        <v>0</v>
      </c>
      <c r="U347" s="449">
        <f>($H347-SUM($L347:T347))/U$694</f>
        <v>0</v>
      </c>
      <c r="V347" s="449">
        <f>($H347-SUM($L347:U347))/V$694</f>
        <v>0</v>
      </c>
      <c r="W347" s="449">
        <f>($H347-SUM($L347:V347))/W$694</f>
        <v>0</v>
      </c>
      <c r="X347" s="449"/>
      <c r="Y347" s="449">
        <f t="shared" si="293"/>
        <v>0</v>
      </c>
      <c r="Z347" s="531"/>
      <c r="AA347" s="449">
        <f t="shared" si="294"/>
        <v>0</v>
      </c>
      <c r="AB347" s="449">
        <f t="shared" si="294"/>
        <v>0</v>
      </c>
      <c r="AC347" s="449">
        <f t="shared" si="294"/>
        <v>0</v>
      </c>
      <c r="AD347" s="449">
        <f t="shared" si="294"/>
        <v>0</v>
      </c>
      <c r="AE347" s="449">
        <f t="shared" si="294"/>
        <v>0</v>
      </c>
      <c r="AF347" s="449">
        <f t="shared" si="294"/>
        <v>0</v>
      </c>
      <c r="AG347" s="449">
        <f t="shared" si="294"/>
        <v>0</v>
      </c>
      <c r="AH347" s="449">
        <f t="shared" si="294"/>
        <v>0</v>
      </c>
      <c r="AI347" s="449">
        <f t="shared" si="294"/>
        <v>0</v>
      </c>
      <c r="AJ347" s="449">
        <f t="shared" si="294"/>
        <v>0</v>
      </c>
      <c r="AK347" s="449">
        <f t="shared" si="294"/>
        <v>0</v>
      </c>
      <c r="AL347" s="449">
        <f t="shared" si="294"/>
        <v>0</v>
      </c>
      <c r="AN347" s="500">
        <f t="shared" si="295"/>
        <v>0</v>
      </c>
      <c r="AO347" s="449">
        <f t="shared" si="296"/>
        <v>0</v>
      </c>
      <c r="AP347" s="449">
        <f t="shared" si="297"/>
        <v>0</v>
      </c>
      <c r="AQ347" s="453" t="str">
        <f t="shared" si="298"/>
        <v>-</v>
      </c>
      <c r="AR347" s="449">
        <f t="shared" si="299"/>
        <v>0</v>
      </c>
      <c r="AS347" s="449">
        <f t="shared" si="300"/>
        <v>0</v>
      </c>
      <c r="AT347" s="426">
        <f t="shared" si="301"/>
        <v>0</v>
      </c>
      <c r="AU347" s="421"/>
      <c r="AV347" s="449">
        <f t="shared" si="302"/>
        <v>0</v>
      </c>
      <c r="AW347" s="449">
        <f t="shared" si="302"/>
        <v>0</v>
      </c>
      <c r="AX347" s="449">
        <f t="shared" si="302"/>
        <v>0</v>
      </c>
      <c r="AY347" s="449">
        <f t="shared" si="302"/>
        <v>0</v>
      </c>
      <c r="AZ347" s="449">
        <f t="shared" si="302"/>
        <v>0</v>
      </c>
      <c r="BA347" s="449">
        <f t="shared" si="302"/>
        <v>0</v>
      </c>
      <c r="BB347" s="449">
        <f t="shared" si="302"/>
        <v>0</v>
      </c>
      <c r="BC347" s="449">
        <f t="shared" si="302"/>
        <v>0</v>
      </c>
      <c r="BD347" s="449">
        <f t="shared" si="302"/>
        <v>0</v>
      </c>
      <c r="BE347" s="449">
        <f t="shared" si="302"/>
        <v>0</v>
      </c>
      <c r="BF347" s="449">
        <f t="shared" si="302"/>
        <v>0</v>
      </c>
      <c r="BG347" s="449">
        <f t="shared" si="302"/>
        <v>0</v>
      </c>
      <c r="BH347" s="400"/>
      <c r="BI347" s="449">
        <v>0</v>
      </c>
      <c r="BJ347" s="449">
        <v>0</v>
      </c>
      <c r="BK347" s="449">
        <v>0</v>
      </c>
      <c r="BL347" s="449">
        <v>0</v>
      </c>
      <c r="BM347" s="449">
        <v>0</v>
      </c>
      <c r="BN347" s="449">
        <v>0</v>
      </c>
      <c r="BO347" s="449">
        <v>0</v>
      </c>
      <c r="BP347" s="449">
        <v>0</v>
      </c>
      <c r="BQ347" s="449">
        <v>0</v>
      </c>
      <c r="BR347" s="449">
        <v>0</v>
      </c>
      <c r="BS347" s="449">
        <v>0</v>
      </c>
      <c r="BT347" s="449">
        <v>0</v>
      </c>
    </row>
    <row r="348" spans="1:72" ht="15" x14ac:dyDescent="0.25">
      <c r="A348" s="502" t="s">
        <v>596</v>
      </c>
      <c r="B348" s="502" t="s">
        <v>536</v>
      </c>
      <c r="C348" s="541"/>
      <c r="D348" s="500">
        <f t="shared" si="288"/>
        <v>0</v>
      </c>
      <c r="E348" s="449">
        <v>0</v>
      </c>
      <c r="F348" s="449">
        <f t="shared" si="289"/>
        <v>0</v>
      </c>
      <c r="G348" s="421">
        <f t="shared" si="290"/>
        <v>0</v>
      </c>
      <c r="H348" s="449">
        <v>0</v>
      </c>
      <c r="I348" s="449">
        <f t="shared" si="291"/>
        <v>0</v>
      </c>
      <c r="J348" s="426">
        <f t="shared" si="292"/>
        <v>0</v>
      </c>
      <c r="K348" s="421"/>
      <c r="L348" s="449">
        <v>0</v>
      </c>
      <c r="M348" s="449">
        <v>0</v>
      </c>
      <c r="N348" s="449">
        <v>0</v>
      </c>
      <c r="O348" s="449">
        <v>0</v>
      </c>
      <c r="P348" s="449">
        <v>0</v>
      </c>
      <c r="Q348" s="449">
        <v>0</v>
      </c>
      <c r="R348" s="449">
        <f>($H348-SUM($L348:Q348))/R$694</f>
        <v>0</v>
      </c>
      <c r="S348" s="449">
        <f>($H348-SUM($L348:R348))/S$694</f>
        <v>0</v>
      </c>
      <c r="T348" s="449">
        <f>($H348-SUM($L348:S348))/T$694</f>
        <v>0</v>
      </c>
      <c r="U348" s="449">
        <f>($H348-SUM($L348:T348))/U$694</f>
        <v>0</v>
      </c>
      <c r="V348" s="449">
        <f>($H348-SUM($L348:U348))/V$694</f>
        <v>0</v>
      </c>
      <c r="W348" s="449">
        <f>($H348-SUM($L348:V348))/W$694</f>
        <v>0</v>
      </c>
      <c r="X348" s="449"/>
      <c r="Y348" s="449">
        <f t="shared" si="293"/>
        <v>0</v>
      </c>
      <c r="Z348" s="531"/>
      <c r="AA348" s="449">
        <f t="shared" si="294"/>
        <v>0</v>
      </c>
      <c r="AB348" s="449">
        <f t="shared" si="294"/>
        <v>0</v>
      </c>
      <c r="AC348" s="449">
        <f t="shared" si="294"/>
        <v>0</v>
      </c>
      <c r="AD348" s="449">
        <f t="shared" si="294"/>
        <v>0</v>
      </c>
      <c r="AE348" s="449">
        <f t="shared" si="294"/>
        <v>0</v>
      </c>
      <c r="AF348" s="449">
        <f t="shared" si="294"/>
        <v>0</v>
      </c>
      <c r="AG348" s="449">
        <f t="shared" si="294"/>
        <v>0</v>
      </c>
      <c r="AH348" s="449">
        <f t="shared" si="294"/>
        <v>0</v>
      </c>
      <c r="AI348" s="449">
        <f t="shared" si="294"/>
        <v>0</v>
      </c>
      <c r="AJ348" s="449">
        <f t="shared" si="294"/>
        <v>0</v>
      </c>
      <c r="AK348" s="449">
        <f t="shared" si="294"/>
        <v>0</v>
      </c>
      <c r="AL348" s="449">
        <f t="shared" si="294"/>
        <v>0</v>
      </c>
      <c r="AN348" s="500">
        <f t="shared" si="295"/>
        <v>0</v>
      </c>
      <c r="AO348" s="449">
        <f t="shared" si="296"/>
        <v>2921.2034269599999</v>
      </c>
      <c r="AP348" s="449">
        <f t="shared" si="297"/>
        <v>2921.2034269599999</v>
      </c>
      <c r="AQ348" s="453" t="str">
        <f t="shared" si="298"/>
        <v>-</v>
      </c>
      <c r="AR348" s="449">
        <f t="shared" si="299"/>
        <v>2921.2034269599999</v>
      </c>
      <c r="AS348" s="449">
        <f t="shared" si="300"/>
        <v>0</v>
      </c>
      <c r="AT348" s="426">
        <f t="shared" si="301"/>
        <v>0</v>
      </c>
      <c r="AU348" s="421"/>
      <c r="AV348" s="449">
        <f t="shared" si="302"/>
        <v>0</v>
      </c>
      <c r="AW348" s="449">
        <f t="shared" si="302"/>
        <v>243.43361891333336</v>
      </c>
      <c r="AX348" s="449">
        <f t="shared" si="302"/>
        <v>243.43361891333336</v>
      </c>
      <c r="AY348" s="449">
        <f t="shared" si="302"/>
        <v>243.43361891333336</v>
      </c>
      <c r="AZ348" s="449">
        <f t="shared" si="302"/>
        <v>243.43361891333336</v>
      </c>
      <c r="BA348" s="449">
        <f t="shared" si="302"/>
        <v>243.43361891333336</v>
      </c>
      <c r="BB348" s="449">
        <f t="shared" si="302"/>
        <v>243.43361891333336</v>
      </c>
      <c r="BC348" s="449">
        <f t="shared" si="302"/>
        <v>243.43361891333336</v>
      </c>
      <c r="BD348" s="449">
        <f t="shared" si="302"/>
        <v>243.43361891333336</v>
      </c>
      <c r="BE348" s="449">
        <f t="shared" si="302"/>
        <v>243.43361891333336</v>
      </c>
      <c r="BF348" s="449">
        <f t="shared" si="302"/>
        <v>243.43361891333336</v>
      </c>
      <c r="BG348" s="449">
        <f t="shared" si="302"/>
        <v>486.86723782666672</v>
      </c>
      <c r="BH348" s="400"/>
      <c r="BI348" s="449">
        <v>0</v>
      </c>
      <c r="BJ348" s="449">
        <f>SUM('FY19 Staffing V1-1 (3)'!$W$246)/12</f>
        <v>243.43361891333336</v>
      </c>
      <c r="BK348" s="449">
        <f>SUM('FY19 Staffing V1-1 (3)'!$W$246)/12</f>
        <v>243.43361891333336</v>
      </c>
      <c r="BL348" s="449">
        <f>SUM('FY19 Staffing V1-1 (3)'!$W$246)/12</f>
        <v>243.43361891333336</v>
      </c>
      <c r="BM348" s="449">
        <f>SUM('FY19 Staffing V1-1 (3)'!$W$246)/12</f>
        <v>243.43361891333336</v>
      </c>
      <c r="BN348" s="449">
        <f>SUM('FY19 Staffing V1-1 (3)'!$W$246)/12</f>
        <v>243.43361891333336</v>
      </c>
      <c r="BO348" s="449">
        <f>SUM('FY19 Staffing V1-1 (3)'!$W$246)/12</f>
        <v>243.43361891333336</v>
      </c>
      <c r="BP348" s="449">
        <f>SUM('FY19 Staffing V1-1 (3)'!$W$246)/12</f>
        <v>243.43361891333336</v>
      </c>
      <c r="BQ348" s="449">
        <f>SUM('FY19 Staffing V1-1 (3)'!$W$246)/12</f>
        <v>243.43361891333336</v>
      </c>
      <c r="BR348" s="449">
        <f>SUM('FY19 Staffing V1-1 (3)'!$W$246)/12</f>
        <v>243.43361891333336</v>
      </c>
      <c r="BS348" s="449">
        <f>SUM('FY19 Staffing V1-1 (3)'!$W$246)/12</f>
        <v>243.43361891333336</v>
      </c>
      <c r="BT348" s="449">
        <f>SUM('FY19 Staffing V1-1 (3)'!$W$246)/12*2</f>
        <v>486.86723782666672</v>
      </c>
    </row>
    <row r="349" spans="1:72" ht="15" hidden="1" x14ac:dyDescent="0.25">
      <c r="A349" s="614" t="s">
        <v>597</v>
      </c>
      <c r="B349" s="614" t="s">
        <v>598</v>
      </c>
      <c r="C349" s="541"/>
      <c r="D349" s="500">
        <f t="shared" si="288"/>
        <v>0</v>
      </c>
      <c r="E349" s="449">
        <v>0</v>
      </c>
      <c r="F349" s="449">
        <f t="shared" si="289"/>
        <v>0</v>
      </c>
      <c r="G349" s="421">
        <f t="shared" si="290"/>
        <v>0</v>
      </c>
      <c r="H349" s="449">
        <v>0</v>
      </c>
      <c r="I349" s="449">
        <f t="shared" si="291"/>
        <v>0</v>
      </c>
      <c r="J349" s="426">
        <f t="shared" si="292"/>
        <v>0</v>
      </c>
      <c r="K349" s="421"/>
      <c r="L349" s="449">
        <v>0</v>
      </c>
      <c r="M349" s="449">
        <v>0</v>
      </c>
      <c r="N349" s="449">
        <v>0</v>
      </c>
      <c r="O349" s="449">
        <v>0</v>
      </c>
      <c r="P349" s="449">
        <v>0</v>
      </c>
      <c r="Q349" s="449">
        <v>0</v>
      </c>
      <c r="R349" s="449">
        <f>($H349-SUM($L349:Q349))/R$694</f>
        <v>0</v>
      </c>
      <c r="S349" s="449">
        <f>($H349-SUM($L349:R349))/S$694</f>
        <v>0</v>
      </c>
      <c r="T349" s="449">
        <f>($H349-SUM($L349:S349))/T$694</f>
        <v>0</v>
      </c>
      <c r="U349" s="449">
        <f>($H349-SUM($L349:T349))/U$694</f>
        <v>0</v>
      </c>
      <c r="V349" s="449">
        <f>($H349-SUM($L349:U349))/V$694</f>
        <v>0</v>
      </c>
      <c r="W349" s="449">
        <f>($H349-SUM($L349:V349))/W$694</f>
        <v>0</v>
      </c>
      <c r="X349" s="449"/>
      <c r="Y349" s="449">
        <f t="shared" si="293"/>
        <v>0</v>
      </c>
      <c r="Z349" s="531"/>
      <c r="AA349" s="449">
        <f t="shared" si="294"/>
        <v>0</v>
      </c>
      <c r="AB349" s="449">
        <f t="shared" si="294"/>
        <v>0</v>
      </c>
      <c r="AC349" s="449">
        <f t="shared" si="294"/>
        <v>0</v>
      </c>
      <c r="AD349" s="449">
        <f t="shared" si="294"/>
        <v>0</v>
      </c>
      <c r="AE349" s="449">
        <f t="shared" si="294"/>
        <v>0</v>
      </c>
      <c r="AF349" s="449">
        <f t="shared" si="294"/>
        <v>0</v>
      </c>
      <c r="AG349" s="449">
        <f t="shared" si="294"/>
        <v>0</v>
      </c>
      <c r="AH349" s="449">
        <f t="shared" si="294"/>
        <v>0</v>
      </c>
      <c r="AI349" s="449">
        <f t="shared" si="294"/>
        <v>0</v>
      </c>
      <c r="AJ349" s="449">
        <f t="shared" si="294"/>
        <v>0</v>
      </c>
      <c r="AK349" s="449">
        <f t="shared" si="294"/>
        <v>0</v>
      </c>
      <c r="AL349" s="449">
        <f t="shared" si="294"/>
        <v>0</v>
      </c>
      <c r="AN349" s="500">
        <f t="shared" si="295"/>
        <v>0</v>
      </c>
      <c r="AO349" s="449">
        <f t="shared" si="296"/>
        <v>0</v>
      </c>
      <c r="AP349" s="449">
        <f t="shared" si="297"/>
        <v>0</v>
      </c>
      <c r="AQ349" s="453" t="str">
        <f t="shared" si="298"/>
        <v>-</v>
      </c>
      <c r="AR349" s="449">
        <f t="shared" si="299"/>
        <v>0</v>
      </c>
      <c r="AS349" s="449">
        <f t="shared" si="300"/>
        <v>0</v>
      </c>
      <c r="AT349" s="426">
        <f t="shared" si="301"/>
        <v>0</v>
      </c>
      <c r="AU349" s="421"/>
      <c r="AV349" s="449">
        <f t="shared" si="302"/>
        <v>0</v>
      </c>
      <c r="AW349" s="449">
        <f t="shared" si="302"/>
        <v>0</v>
      </c>
      <c r="AX349" s="449">
        <f t="shared" si="302"/>
        <v>0</v>
      </c>
      <c r="AY349" s="449">
        <f t="shared" si="302"/>
        <v>0</v>
      </c>
      <c r="AZ349" s="449">
        <f t="shared" si="302"/>
        <v>0</v>
      </c>
      <c r="BA349" s="449">
        <f t="shared" si="302"/>
        <v>0</v>
      </c>
      <c r="BB349" s="449">
        <f t="shared" si="302"/>
        <v>0</v>
      </c>
      <c r="BC349" s="449">
        <f t="shared" si="302"/>
        <v>0</v>
      </c>
      <c r="BD349" s="449">
        <f t="shared" si="302"/>
        <v>0</v>
      </c>
      <c r="BE349" s="449">
        <f t="shared" si="302"/>
        <v>0</v>
      </c>
      <c r="BF349" s="449">
        <f t="shared" si="302"/>
        <v>0</v>
      </c>
      <c r="BG349" s="449">
        <f t="shared" si="302"/>
        <v>0</v>
      </c>
      <c r="BH349" s="400"/>
      <c r="BI349" s="449">
        <v>0</v>
      </c>
      <c r="BJ349" s="449">
        <v>0</v>
      </c>
      <c r="BK349" s="449">
        <v>0</v>
      </c>
      <c r="BL349" s="449">
        <v>0</v>
      </c>
      <c r="BM349" s="449">
        <v>0</v>
      </c>
      <c r="BN349" s="449">
        <v>0</v>
      </c>
      <c r="BO349" s="449">
        <v>0</v>
      </c>
      <c r="BP349" s="449">
        <v>0</v>
      </c>
      <c r="BQ349" s="449">
        <v>0</v>
      </c>
      <c r="BR349" s="449">
        <v>0</v>
      </c>
      <c r="BS349" s="449">
        <v>0</v>
      </c>
      <c r="BT349" s="449">
        <v>0</v>
      </c>
    </row>
    <row r="350" spans="1:72" ht="15" hidden="1" x14ac:dyDescent="0.25">
      <c r="A350" s="502" t="s">
        <v>599</v>
      </c>
      <c r="B350" s="502" t="s">
        <v>540</v>
      </c>
      <c r="C350" s="541"/>
      <c r="D350" s="500">
        <f t="shared" si="288"/>
        <v>0</v>
      </c>
      <c r="E350" s="449">
        <v>0</v>
      </c>
      <c r="F350" s="449">
        <f t="shared" si="289"/>
        <v>0</v>
      </c>
      <c r="G350" s="421">
        <f t="shared" si="290"/>
        <v>0</v>
      </c>
      <c r="H350" s="449">
        <v>0</v>
      </c>
      <c r="I350" s="449">
        <f t="shared" si="291"/>
        <v>0</v>
      </c>
      <c r="J350" s="426">
        <f t="shared" si="292"/>
        <v>0</v>
      </c>
      <c r="K350" s="421"/>
      <c r="L350" s="449">
        <v>0</v>
      </c>
      <c r="M350" s="449">
        <v>0</v>
      </c>
      <c r="N350" s="449">
        <v>0</v>
      </c>
      <c r="O350" s="449">
        <v>0</v>
      </c>
      <c r="P350" s="449">
        <v>0</v>
      </c>
      <c r="Q350" s="449">
        <v>0</v>
      </c>
      <c r="R350" s="449">
        <f>($H350-SUM($L350:Q350))/R$694</f>
        <v>0</v>
      </c>
      <c r="S350" s="449">
        <f>($H350-SUM($L350:R350))/S$694</f>
        <v>0</v>
      </c>
      <c r="T350" s="449">
        <f>($H350-SUM($L350:S350))/T$694</f>
        <v>0</v>
      </c>
      <c r="U350" s="449">
        <f>($H350-SUM($L350:T350))/U$694</f>
        <v>0</v>
      </c>
      <c r="V350" s="449">
        <f>($H350-SUM($L350:U350))/V$694</f>
        <v>0</v>
      </c>
      <c r="W350" s="449">
        <f>($H350-SUM($L350:V350))/W$694</f>
        <v>0</v>
      </c>
      <c r="X350" s="449"/>
      <c r="Y350" s="449">
        <f t="shared" si="293"/>
        <v>0</v>
      </c>
      <c r="Z350" s="531"/>
      <c r="AA350" s="449">
        <f t="shared" si="294"/>
        <v>0</v>
      </c>
      <c r="AB350" s="449">
        <f t="shared" si="294"/>
        <v>0</v>
      </c>
      <c r="AC350" s="449">
        <f t="shared" si="294"/>
        <v>0</v>
      </c>
      <c r="AD350" s="449">
        <f t="shared" si="294"/>
        <v>0</v>
      </c>
      <c r="AE350" s="449">
        <f t="shared" si="294"/>
        <v>0</v>
      </c>
      <c r="AF350" s="449">
        <f t="shared" si="294"/>
        <v>0</v>
      </c>
      <c r="AG350" s="449">
        <f t="shared" si="294"/>
        <v>0</v>
      </c>
      <c r="AH350" s="449">
        <f t="shared" si="294"/>
        <v>0</v>
      </c>
      <c r="AI350" s="449">
        <f t="shared" si="294"/>
        <v>0</v>
      </c>
      <c r="AJ350" s="449">
        <f t="shared" si="294"/>
        <v>0</v>
      </c>
      <c r="AK350" s="449">
        <f t="shared" si="294"/>
        <v>0</v>
      </c>
      <c r="AL350" s="449">
        <f t="shared" si="294"/>
        <v>0</v>
      </c>
      <c r="AN350" s="500">
        <f t="shared" si="295"/>
        <v>0</v>
      </c>
      <c r="AO350" s="449">
        <f t="shared" si="296"/>
        <v>0</v>
      </c>
      <c r="AP350" s="449">
        <f t="shared" si="297"/>
        <v>0</v>
      </c>
      <c r="AQ350" s="453" t="str">
        <f t="shared" si="298"/>
        <v>-</v>
      </c>
      <c r="AR350" s="449">
        <f t="shared" si="299"/>
        <v>0</v>
      </c>
      <c r="AS350" s="449">
        <f t="shared" si="300"/>
        <v>0</v>
      </c>
      <c r="AT350" s="426">
        <f t="shared" si="301"/>
        <v>0</v>
      </c>
      <c r="AU350" s="421"/>
      <c r="AV350" s="449">
        <f t="shared" si="302"/>
        <v>0</v>
      </c>
      <c r="AW350" s="449">
        <f t="shared" si="302"/>
        <v>0</v>
      </c>
      <c r="AX350" s="449">
        <f t="shared" si="302"/>
        <v>0</v>
      </c>
      <c r="AY350" s="449">
        <f t="shared" si="302"/>
        <v>0</v>
      </c>
      <c r="AZ350" s="449">
        <f t="shared" si="302"/>
        <v>0</v>
      </c>
      <c r="BA350" s="449">
        <f t="shared" si="302"/>
        <v>0</v>
      </c>
      <c r="BB350" s="449">
        <f t="shared" si="302"/>
        <v>0</v>
      </c>
      <c r="BC350" s="449">
        <f t="shared" si="302"/>
        <v>0</v>
      </c>
      <c r="BD350" s="449">
        <f t="shared" si="302"/>
        <v>0</v>
      </c>
      <c r="BE350" s="449">
        <f t="shared" si="302"/>
        <v>0</v>
      </c>
      <c r="BF350" s="449">
        <f t="shared" si="302"/>
        <v>0</v>
      </c>
      <c r="BG350" s="449">
        <f t="shared" si="302"/>
        <v>0</v>
      </c>
      <c r="BH350" s="400"/>
      <c r="BI350" s="449">
        <v>0</v>
      </c>
      <c r="BJ350" s="449">
        <v>0</v>
      </c>
      <c r="BK350" s="449">
        <v>0</v>
      </c>
      <c r="BL350" s="449">
        <v>0</v>
      </c>
      <c r="BM350" s="449">
        <v>0</v>
      </c>
      <c r="BN350" s="449">
        <v>0</v>
      </c>
      <c r="BO350" s="449">
        <v>0</v>
      </c>
      <c r="BP350" s="449">
        <v>0</v>
      </c>
      <c r="BQ350" s="449">
        <v>0</v>
      </c>
      <c r="BR350" s="449">
        <v>0</v>
      </c>
      <c r="BS350" s="449">
        <v>0</v>
      </c>
      <c r="BT350" s="449">
        <v>0</v>
      </c>
    </row>
    <row r="351" spans="1:72" ht="15" hidden="1" x14ac:dyDescent="0.25">
      <c r="A351" s="614" t="s">
        <v>600</v>
      </c>
      <c r="B351" s="614" t="s">
        <v>601</v>
      </c>
      <c r="C351" s="541"/>
      <c r="D351" s="500">
        <f t="shared" si="288"/>
        <v>0</v>
      </c>
      <c r="E351" s="449">
        <v>0</v>
      </c>
      <c r="F351" s="449">
        <f t="shared" si="289"/>
        <v>0</v>
      </c>
      <c r="G351" s="421">
        <f t="shared" si="290"/>
        <v>0</v>
      </c>
      <c r="H351" s="449">
        <v>0</v>
      </c>
      <c r="I351" s="449">
        <f t="shared" si="291"/>
        <v>0</v>
      </c>
      <c r="J351" s="426">
        <f t="shared" si="292"/>
        <v>0</v>
      </c>
      <c r="K351" s="421"/>
      <c r="L351" s="449">
        <v>0</v>
      </c>
      <c r="M351" s="449">
        <v>0</v>
      </c>
      <c r="N351" s="449">
        <v>0</v>
      </c>
      <c r="O351" s="449">
        <v>0</v>
      </c>
      <c r="P351" s="449">
        <v>0</v>
      </c>
      <c r="Q351" s="449">
        <v>0</v>
      </c>
      <c r="R351" s="449">
        <f>($H351-SUM($L351:Q351))/R$694</f>
        <v>0</v>
      </c>
      <c r="S351" s="449">
        <f>($H351-SUM($L351:R351))/S$694</f>
        <v>0</v>
      </c>
      <c r="T351" s="449">
        <f>($H351-SUM($L351:S351))/T$694</f>
        <v>0</v>
      </c>
      <c r="U351" s="449">
        <f>($H351-SUM($L351:T351))/U$694</f>
        <v>0</v>
      </c>
      <c r="V351" s="449">
        <f>($H351-SUM($L351:U351))/V$694</f>
        <v>0</v>
      </c>
      <c r="W351" s="449">
        <f>($H351-SUM($L351:V351))/W$694</f>
        <v>0</v>
      </c>
      <c r="X351" s="449"/>
      <c r="Y351" s="449">
        <f t="shared" si="293"/>
        <v>0</v>
      </c>
      <c r="Z351" s="531"/>
      <c r="AA351" s="449">
        <f t="shared" ref="AA351:AL358" si="305">IFERROR($H351/12,0)</f>
        <v>0</v>
      </c>
      <c r="AB351" s="449">
        <f t="shared" si="305"/>
        <v>0</v>
      </c>
      <c r="AC351" s="449">
        <f t="shared" si="305"/>
        <v>0</v>
      </c>
      <c r="AD351" s="449">
        <f t="shared" si="305"/>
        <v>0</v>
      </c>
      <c r="AE351" s="449">
        <f t="shared" si="305"/>
        <v>0</v>
      </c>
      <c r="AF351" s="449">
        <f t="shared" si="305"/>
        <v>0</v>
      </c>
      <c r="AG351" s="449">
        <f t="shared" si="305"/>
        <v>0</v>
      </c>
      <c r="AH351" s="449">
        <f t="shared" si="305"/>
        <v>0</v>
      </c>
      <c r="AI351" s="449">
        <f t="shared" si="305"/>
        <v>0</v>
      </c>
      <c r="AJ351" s="449">
        <f t="shared" si="305"/>
        <v>0</v>
      </c>
      <c r="AK351" s="449">
        <f t="shared" si="305"/>
        <v>0</v>
      </c>
      <c r="AL351" s="449">
        <f t="shared" si="305"/>
        <v>0</v>
      </c>
      <c r="AN351" s="500">
        <f t="shared" si="295"/>
        <v>0</v>
      </c>
      <c r="AO351" s="449">
        <f t="shared" si="296"/>
        <v>0</v>
      </c>
      <c r="AP351" s="449">
        <f t="shared" si="297"/>
        <v>0</v>
      </c>
      <c r="AQ351" s="453" t="str">
        <f t="shared" si="298"/>
        <v>-</v>
      </c>
      <c r="AR351" s="449">
        <f t="shared" si="299"/>
        <v>0</v>
      </c>
      <c r="AS351" s="449">
        <f t="shared" si="300"/>
        <v>0</v>
      </c>
      <c r="AT351" s="426">
        <f t="shared" si="301"/>
        <v>0</v>
      </c>
      <c r="AU351" s="421"/>
      <c r="AV351" s="449">
        <f t="shared" si="302"/>
        <v>0</v>
      </c>
      <c r="AW351" s="449">
        <f t="shared" si="302"/>
        <v>0</v>
      </c>
      <c r="AX351" s="449">
        <f t="shared" si="302"/>
        <v>0</v>
      </c>
      <c r="AY351" s="449">
        <f t="shared" si="302"/>
        <v>0</v>
      </c>
      <c r="AZ351" s="449">
        <f t="shared" si="302"/>
        <v>0</v>
      </c>
      <c r="BA351" s="449">
        <f t="shared" si="302"/>
        <v>0</v>
      </c>
      <c r="BB351" s="449">
        <f t="shared" si="302"/>
        <v>0</v>
      </c>
      <c r="BC351" s="449">
        <f t="shared" si="302"/>
        <v>0</v>
      </c>
      <c r="BD351" s="449">
        <f t="shared" si="302"/>
        <v>0</v>
      </c>
      <c r="BE351" s="449">
        <f t="shared" si="302"/>
        <v>0</v>
      </c>
      <c r="BF351" s="449">
        <f t="shared" si="302"/>
        <v>0</v>
      </c>
      <c r="BG351" s="449">
        <f t="shared" si="302"/>
        <v>0</v>
      </c>
      <c r="BH351" s="400"/>
      <c r="BI351" s="449">
        <v>0</v>
      </c>
      <c r="BJ351" s="449">
        <v>0</v>
      </c>
      <c r="BK351" s="449">
        <v>0</v>
      </c>
      <c r="BL351" s="449">
        <v>0</v>
      </c>
      <c r="BM351" s="449">
        <v>0</v>
      </c>
      <c r="BN351" s="449">
        <v>0</v>
      </c>
      <c r="BO351" s="449">
        <v>0</v>
      </c>
      <c r="BP351" s="449">
        <v>0</v>
      </c>
      <c r="BQ351" s="449">
        <v>0</v>
      </c>
      <c r="BR351" s="449">
        <v>0</v>
      </c>
      <c r="BS351" s="449">
        <v>0</v>
      </c>
      <c r="BT351" s="449">
        <v>0</v>
      </c>
    </row>
    <row r="352" spans="1:72" ht="15" hidden="1" x14ac:dyDescent="0.25">
      <c r="A352" s="502" t="s">
        <v>602</v>
      </c>
      <c r="B352" s="502" t="s">
        <v>603</v>
      </c>
      <c r="C352" s="541"/>
      <c r="D352" s="500">
        <f t="shared" si="288"/>
        <v>0</v>
      </c>
      <c r="E352" s="449">
        <v>0</v>
      </c>
      <c r="F352" s="449">
        <f t="shared" si="289"/>
        <v>0</v>
      </c>
      <c r="G352" s="421">
        <f t="shared" si="290"/>
        <v>0</v>
      </c>
      <c r="H352" s="449">
        <v>0</v>
      </c>
      <c r="I352" s="449">
        <f t="shared" si="291"/>
        <v>0</v>
      </c>
      <c r="J352" s="426">
        <f t="shared" si="292"/>
        <v>0</v>
      </c>
      <c r="K352" s="421"/>
      <c r="L352" s="449">
        <v>0</v>
      </c>
      <c r="M352" s="449">
        <v>0</v>
      </c>
      <c r="N352" s="449">
        <v>0</v>
      </c>
      <c r="O352" s="449">
        <v>0</v>
      </c>
      <c r="P352" s="449">
        <v>0</v>
      </c>
      <c r="Q352" s="449">
        <v>0</v>
      </c>
      <c r="R352" s="449">
        <f>($H352-SUM($L352:Q352))/R$694</f>
        <v>0</v>
      </c>
      <c r="S352" s="449">
        <f>($H352-SUM($L352:R352))/S$694</f>
        <v>0</v>
      </c>
      <c r="T352" s="449">
        <f>($H352-SUM($L352:S352))/T$694</f>
        <v>0</v>
      </c>
      <c r="U352" s="449">
        <f>($H352-SUM($L352:T352))/U$694</f>
        <v>0</v>
      </c>
      <c r="V352" s="449">
        <f>($H352-SUM($L352:U352))/V$694</f>
        <v>0</v>
      </c>
      <c r="W352" s="449">
        <f>($H352-SUM($L352:V352))/W$694</f>
        <v>0</v>
      </c>
      <c r="X352" s="449"/>
      <c r="Y352" s="449">
        <f t="shared" si="293"/>
        <v>0</v>
      </c>
      <c r="Z352" s="531"/>
      <c r="AA352" s="449">
        <f t="shared" si="305"/>
        <v>0</v>
      </c>
      <c r="AB352" s="449">
        <f t="shared" si="305"/>
        <v>0</v>
      </c>
      <c r="AC352" s="449">
        <f t="shared" si="305"/>
        <v>0</v>
      </c>
      <c r="AD352" s="449">
        <f t="shared" si="305"/>
        <v>0</v>
      </c>
      <c r="AE352" s="449">
        <f t="shared" si="305"/>
        <v>0</v>
      </c>
      <c r="AF352" s="449">
        <f t="shared" si="305"/>
        <v>0</v>
      </c>
      <c r="AG352" s="449">
        <f t="shared" si="305"/>
        <v>0</v>
      </c>
      <c r="AH352" s="449">
        <f t="shared" si="305"/>
        <v>0</v>
      </c>
      <c r="AI352" s="449">
        <f t="shared" si="305"/>
        <v>0</v>
      </c>
      <c r="AJ352" s="449">
        <f t="shared" si="305"/>
        <v>0</v>
      </c>
      <c r="AK352" s="449">
        <f t="shared" si="305"/>
        <v>0</v>
      </c>
      <c r="AL352" s="449">
        <f t="shared" si="305"/>
        <v>0</v>
      </c>
      <c r="AN352" s="500">
        <f t="shared" si="295"/>
        <v>0</v>
      </c>
      <c r="AO352" s="449">
        <f t="shared" si="296"/>
        <v>0</v>
      </c>
      <c r="AP352" s="449">
        <f t="shared" si="297"/>
        <v>0</v>
      </c>
      <c r="AQ352" s="453" t="str">
        <f t="shared" si="298"/>
        <v>-</v>
      </c>
      <c r="AR352" s="449">
        <f t="shared" si="299"/>
        <v>0</v>
      </c>
      <c r="AS352" s="449">
        <f t="shared" si="300"/>
        <v>0</v>
      </c>
      <c r="AT352" s="426">
        <f t="shared" si="301"/>
        <v>0</v>
      </c>
      <c r="AU352" s="421"/>
      <c r="AV352" s="449">
        <f t="shared" si="302"/>
        <v>0</v>
      </c>
      <c r="AW352" s="449">
        <f t="shared" si="302"/>
        <v>0</v>
      </c>
      <c r="AX352" s="449">
        <f t="shared" si="302"/>
        <v>0</v>
      </c>
      <c r="AY352" s="449">
        <f t="shared" si="302"/>
        <v>0</v>
      </c>
      <c r="AZ352" s="449">
        <f t="shared" si="302"/>
        <v>0</v>
      </c>
      <c r="BA352" s="449">
        <f t="shared" si="302"/>
        <v>0</v>
      </c>
      <c r="BB352" s="449">
        <f t="shared" si="302"/>
        <v>0</v>
      </c>
      <c r="BC352" s="449">
        <f t="shared" si="302"/>
        <v>0</v>
      </c>
      <c r="BD352" s="449">
        <f t="shared" si="302"/>
        <v>0</v>
      </c>
      <c r="BE352" s="449">
        <f t="shared" si="302"/>
        <v>0</v>
      </c>
      <c r="BF352" s="449">
        <f t="shared" si="302"/>
        <v>0</v>
      </c>
      <c r="BG352" s="449">
        <f t="shared" si="302"/>
        <v>0</v>
      </c>
      <c r="BH352" s="400"/>
      <c r="BI352" s="449">
        <v>0</v>
      </c>
      <c r="BJ352" s="449">
        <v>0</v>
      </c>
      <c r="BK352" s="449">
        <v>0</v>
      </c>
      <c r="BL352" s="449">
        <v>0</v>
      </c>
      <c r="BM352" s="449">
        <v>0</v>
      </c>
      <c r="BN352" s="449">
        <v>0</v>
      </c>
      <c r="BO352" s="449">
        <v>0</v>
      </c>
      <c r="BP352" s="449">
        <v>0</v>
      </c>
      <c r="BQ352" s="449">
        <v>0</v>
      </c>
      <c r="BR352" s="449">
        <v>0</v>
      </c>
      <c r="BS352" s="449">
        <v>0</v>
      </c>
      <c r="BT352" s="449">
        <v>0</v>
      </c>
    </row>
    <row r="353" spans="1:74" ht="15" hidden="1" x14ac:dyDescent="0.25">
      <c r="A353" s="614" t="s">
        <v>604</v>
      </c>
      <c r="B353" s="614" t="s">
        <v>605</v>
      </c>
      <c r="C353" s="541"/>
      <c r="D353" s="500">
        <f t="shared" si="288"/>
        <v>0</v>
      </c>
      <c r="E353" s="449">
        <v>0</v>
      </c>
      <c r="F353" s="449">
        <f t="shared" si="289"/>
        <v>0</v>
      </c>
      <c r="G353" s="421">
        <f t="shared" si="290"/>
        <v>0</v>
      </c>
      <c r="H353" s="449">
        <v>0</v>
      </c>
      <c r="I353" s="449">
        <f t="shared" si="291"/>
        <v>0</v>
      </c>
      <c r="J353" s="426">
        <f t="shared" si="292"/>
        <v>0</v>
      </c>
      <c r="K353" s="421"/>
      <c r="L353" s="449">
        <v>0</v>
      </c>
      <c r="M353" s="449">
        <v>0</v>
      </c>
      <c r="N353" s="449">
        <v>0</v>
      </c>
      <c r="O353" s="449">
        <v>0</v>
      </c>
      <c r="P353" s="449">
        <v>0</v>
      </c>
      <c r="Q353" s="449">
        <v>0</v>
      </c>
      <c r="R353" s="449">
        <f>($H353-SUM($L353:Q353))/R$694</f>
        <v>0</v>
      </c>
      <c r="S353" s="449">
        <f>($H353-SUM($L353:R353))/S$694</f>
        <v>0</v>
      </c>
      <c r="T353" s="449">
        <f>($H353-SUM($L353:S353))/T$694</f>
        <v>0</v>
      </c>
      <c r="U353" s="449">
        <f>($H353-SUM($L353:T353))/U$694</f>
        <v>0</v>
      </c>
      <c r="V353" s="449">
        <f>($H353-SUM($L353:U353))/V$694</f>
        <v>0</v>
      </c>
      <c r="W353" s="449">
        <f>($H353-SUM($L353:V353))/W$694</f>
        <v>0</v>
      </c>
      <c r="X353" s="449"/>
      <c r="Y353" s="449">
        <f t="shared" si="293"/>
        <v>0</v>
      </c>
      <c r="Z353" s="531"/>
      <c r="AA353" s="449">
        <f t="shared" si="305"/>
        <v>0</v>
      </c>
      <c r="AB353" s="449">
        <f t="shared" si="305"/>
        <v>0</v>
      </c>
      <c r="AC353" s="449">
        <f t="shared" si="305"/>
        <v>0</v>
      </c>
      <c r="AD353" s="449">
        <f t="shared" si="305"/>
        <v>0</v>
      </c>
      <c r="AE353" s="449">
        <f t="shared" si="305"/>
        <v>0</v>
      </c>
      <c r="AF353" s="449">
        <f t="shared" si="305"/>
        <v>0</v>
      </c>
      <c r="AG353" s="449">
        <f t="shared" si="305"/>
        <v>0</v>
      </c>
      <c r="AH353" s="449">
        <f t="shared" si="305"/>
        <v>0</v>
      </c>
      <c r="AI353" s="449">
        <f t="shared" si="305"/>
        <v>0</v>
      </c>
      <c r="AJ353" s="449">
        <f t="shared" si="305"/>
        <v>0</v>
      </c>
      <c r="AK353" s="449">
        <f t="shared" si="305"/>
        <v>0</v>
      </c>
      <c r="AL353" s="449">
        <f t="shared" si="305"/>
        <v>0</v>
      </c>
      <c r="AN353" s="500">
        <f t="shared" si="295"/>
        <v>0</v>
      </c>
      <c r="AO353" s="449">
        <f t="shared" si="296"/>
        <v>0</v>
      </c>
      <c r="AP353" s="449">
        <f t="shared" si="297"/>
        <v>0</v>
      </c>
      <c r="AQ353" s="453" t="str">
        <f t="shared" si="298"/>
        <v>-</v>
      </c>
      <c r="AR353" s="449">
        <f t="shared" si="299"/>
        <v>0</v>
      </c>
      <c r="AS353" s="449">
        <f t="shared" si="300"/>
        <v>0</v>
      </c>
      <c r="AT353" s="426">
        <f t="shared" si="301"/>
        <v>0</v>
      </c>
      <c r="AU353" s="421"/>
      <c r="AV353" s="449">
        <f t="shared" si="302"/>
        <v>0</v>
      </c>
      <c r="AW353" s="449">
        <f t="shared" si="302"/>
        <v>0</v>
      </c>
      <c r="AX353" s="449">
        <f t="shared" si="302"/>
        <v>0</v>
      </c>
      <c r="AY353" s="449">
        <f t="shared" si="302"/>
        <v>0</v>
      </c>
      <c r="AZ353" s="449">
        <f t="shared" si="302"/>
        <v>0</v>
      </c>
      <c r="BA353" s="449">
        <f t="shared" si="302"/>
        <v>0</v>
      </c>
      <c r="BB353" s="449">
        <f t="shared" si="302"/>
        <v>0</v>
      </c>
      <c r="BC353" s="449">
        <f t="shared" si="302"/>
        <v>0</v>
      </c>
      <c r="BD353" s="449">
        <f t="shared" si="302"/>
        <v>0</v>
      </c>
      <c r="BE353" s="449">
        <f t="shared" si="302"/>
        <v>0</v>
      </c>
      <c r="BF353" s="449">
        <f t="shared" si="302"/>
        <v>0</v>
      </c>
      <c r="BG353" s="449">
        <f t="shared" si="302"/>
        <v>0</v>
      </c>
      <c r="BH353" s="400"/>
      <c r="BI353" s="449">
        <v>0</v>
      </c>
      <c r="BJ353" s="449">
        <v>0</v>
      </c>
      <c r="BK353" s="449">
        <v>0</v>
      </c>
      <c r="BL353" s="449">
        <v>0</v>
      </c>
      <c r="BM353" s="449">
        <v>0</v>
      </c>
      <c r="BN353" s="449">
        <v>0</v>
      </c>
      <c r="BO353" s="449">
        <v>0</v>
      </c>
      <c r="BP353" s="449">
        <v>0</v>
      </c>
      <c r="BQ353" s="449">
        <v>0</v>
      </c>
      <c r="BR353" s="449">
        <v>0</v>
      </c>
      <c r="BS353" s="449">
        <v>0</v>
      </c>
      <c r="BT353" s="449">
        <v>0</v>
      </c>
    </row>
    <row r="354" spans="1:74" ht="15" x14ac:dyDescent="0.25">
      <c r="A354" s="502" t="s">
        <v>606</v>
      </c>
      <c r="B354" s="502" t="s">
        <v>548</v>
      </c>
      <c r="C354" s="541"/>
      <c r="D354" s="500">
        <f t="shared" si="288"/>
        <v>0</v>
      </c>
      <c r="E354" s="449">
        <v>0</v>
      </c>
      <c r="F354" s="449">
        <f t="shared" si="289"/>
        <v>0</v>
      </c>
      <c r="G354" s="421">
        <f t="shared" si="290"/>
        <v>0</v>
      </c>
      <c r="H354" s="449">
        <v>0</v>
      </c>
      <c r="I354" s="449">
        <f t="shared" si="291"/>
        <v>0</v>
      </c>
      <c r="J354" s="426">
        <f t="shared" si="292"/>
        <v>0</v>
      </c>
      <c r="K354" s="421"/>
      <c r="L354" s="449">
        <v>0</v>
      </c>
      <c r="M354" s="449">
        <v>0</v>
      </c>
      <c r="N354" s="449">
        <v>0</v>
      </c>
      <c r="O354" s="449">
        <v>0</v>
      </c>
      <c r="P354" s="449">
        <v>0</v>
      </c>
      <c r="Q354" s="449">
        <v>0</v>
      </c>
      <c r="R354" s="449">
        <f>($H354-SUM($L354:Q354))/R$694</f>
        <v>0</v>
      </c>
      <c r="S354" s="449">
        <f>($H354-SUM($L354:R354))/S$694</f>
        <v>0</v>
      </c>
      <c r="T354" s="449">
        <f>($H354-SUM($L354:S354))/T$694</f>
        <v>0</v>
      </c>
      <c r="U354" s="449">
        <f>($H354-SUM($L354:T354))/U$694</f>
        <v>0</v>
      </c>
      <c r="V354" s="449">
        <f>($H354-SUM($L354:U354))/V$694</f>
        <v>0</v>
      </c>
      <c r="W354" s="449">
        <f>($H354-SUM($L354:V354))/W$694</f>
        <v>0</v>
      </c>
      <c r="X354" s="449"/>
      <c r="Y354" s="449">
        <f t="shared" si="293"/>
        <v>0</v>
      </c>
      <c r="Z354" s="531"/>
      <c r="AA354" s="449">
        <f t="shared" si="305"/>
        <v>0</v>
      </c>
      <c r="AB354" s="449">
        <f t="shared" si="305"/>
        <v>0</v>
      </c>
      <c r="AC354" s="449">
        <f t="shared" si="305"/>
        <v>0</v>
      </c>
      <c r="AD354" s="449">
        <f t="shared" si="305"/>
        <v>0</v>
      </c>
      <c r="AE354" s="449">
        <f t="shared" si="305"/>
        <v>0</v>
      </c>
      <c r="AF354" s="449">
        <f t="shared" si="305"/>
        <v>0</v>
      </c>
      <c r="AG354" s="449">
        <f t="shared" si="305"/>
        <v>0</v>
      </c>
      <c r="AH354" s="449">
        <f t="shared" si="305"/>
        <v>0</v>
      </c>
      <c r="AI354" s="449">
        <f t="shared" si="305"/>
        <v>0</v>
      </c>
      <c r="AJ354" s="449">
        <f t="shared" si="305"/>
        <v>0</v>
      </c>
      <c r="AK354" s="449">
        <f t="shared" si="305"/>
        <v>0</v>
      </c>
      <c r="AL354" s="449">
        <f t="shared" si="305"/>
        <v>0</v>
      </c>
      <c r="AN354" s="500">
        <f t="shared" si="295"/>
        <v>0</v>
      </c>
      <c r="AO354" s="449">
        <f t="shared" si="296"/>
        <v>765.71999999999991</v>
      </c>
      <c r="AP354" s="449">
        <f t="shared" si="297"/>
        <v>765.71999999999991</v>
      </c>
      <c r="AQ354" s="453" t="str">
        <f t="shared" si="298"/>
        <v>-</v>
      </c>
      <c r="AR354" s="449">
        <f t="shared" si="299"/>
        <v>765.71999999999991</v>
      </c>
      <c r="AS354" s="449">
        <f t="shared" si="300"/>
        <v>0</v>
      </c>
      <c r="AT354" s="426">
        <f t="shared" si="301"/>
        <v>0</v>
      </c>
      <c r="AU354" s="421"/>
      <c r="AV354" s="449">
        <f t="shared" si="302"/>
        <v>0</v>
      </c>
      <c r="AW354" s="449">
        <f t="shared" si="302"/>
        <v>63.81</v>
      </c>
      <c r="AX354" s="449">
        <f t="shared" si="302"/>
        <v>63.81</v>
      </c>
      <c r="AY354" s="449">
        <f t="shared" si="302"/>
        <v>63.81</v>
      </c>
      <c r="AZ354" s="449">
        <f t="shared" si="302"/>
        <v>63.81</v>
      </c>
      <c r="BA354" s="449">
        <f t="shared" si="302"/>
        <v>63.81</v>
      </c>
      <c r="BB354" s="449">
        <f t="shared" si="302"/>
        <v>63.81</v>
      </c>
      <c r="BC354" s="449">
        <f t="shared" si="302"/>
        <v>63.81</v>
      </c>
      <c r="BD354" s="449">
        <f t="shared" si="302"/>
        <v>63.81</v>
      </c>
      <c r="BE354" s="449">
        <f t="shared" si="302"/>
        <v>63.81</v>
      </c>
      <c r="BF354" s="449">
        <f t="shared" si="302"/>
        <v>63.81</v>
      </c>
      <c r="BG354" s="449">
        <f t="shared" si="302"/>
        <v>127.62</v>
      </c>
      <c r="BH354" s="400"/>
      <c r="BI354" s="449">
        <v>0</v>
      </c>
      <c r="BJ354" s="449">
        <f>SUM('FY19 Staffing V1-1 (3)'!$S$246)/12</f>
        <v>63.81</v>
      </c>
      <c r="BK354" s="449">
        <f>SUM('FY19 Staffing V1-1 (3)'!$S$246)/12</f>
        <v>63.81</v>
      </c>
      <c r="BL354" s="449">
        <f>SUM('FY19 Staffing V1-1 (3)'!$S$246)/12</f>
        <v>63.81</v>
      </c>
      <c r="BM354" s="449">
        <f>SUM('FY19 Staffing V1-1 (3)'!$S$246)/12</f>
        <v>63.81</v>
      </c>
      <c r="BN354" s="449">
        <f>SUM('FY19 Staffing V1-1 (3)'!$S$246)/12</f>
        <v>63.81</v>
      </c>
      <c r="BO354" s="449">
        <f>SUM('FY19 Staffing V1-1 (3)'!$S$246)/12</f>
        <v>63.81</v>
      </c>
      <c r="BP354" s="449">
        <f>SUM('FY19 Staffing V1-1 (3)'!$S$246)/12</f>
        <v>63.81</v>
      </c>
      <c r="BQ354" s="449">
        <f>SUM('FY19 Staffing V1-1 (3)'!$S$246)/12</f>
        <v>63.81</v>
      </c>
      <c r="BR354" s="449">
        <f>SUM('FY19 Staffing V1-1 (3)'!$S$246)/12</f>
        <v>63.81</v>
      </c>
      <c r="BS354" s="449">
        <f>SUM('FY19 Staffing V1-1 (3)'!$S$246)/12</f>
        <v>63.81</v>
      </c>
      <c r="BT354" s="449">
        <f>SUM('FY19 Staffing V1-1 (3)'!$S$246)/12*2</f>
        <v>127.62</v>
      </c>
    </row>
    <row r="355" spans="1:74" ht="15" x14ac:dyDescent="0.25">
      <c r="A355" s="502" t="s">
        <v>607</v>
      </c>
      <c r="B355" s="502" t="s">
        <v>608</v>
      </c>
      <c r="C355" s="543" t="s">
        <v>267</v>
      </c>
      <c r="D355" s="500">
        <f t="shared" si="288"/>
        <v>61000</v>
      </c>
      <c r="E355" s="449">
        <v>37776.25</v>
      </c>
      <c r="F355" s="449">
        <f t="shared" si="289"/>
        <v>23223.75</v>
      </c>
      <c r="G355" s="421">
        <f t="shared" si="290"/>
        <v>0.61477118559941757</v>
      </c>
      <c r="H355" s="449">
        <v>61000</v>
      </c>
      <c r="I355" s="449">
        <f t="shared" si="291"/>
        <v>0</v>
      </c>
      <c r="J355" s="426">
        <f t="shared" si="292"/>
        <v>0</v>
      </c>
      <c r="K355" s="421"/>
      <c r="L355" s="449">
        <v>0</v>
      </c>
      <c r="M355" s="449">
        <v>0</v>
      </c>
      <c r="N355" s="449">
        <v>23150</v>
      </c>
      <c r="O355" s="449">
        <v>0</v>
      </c>
      <c r="P355" s="449">
        <v>0</v>
      </c>
      <c r="Q355" s="449">
        <v>0</v>
      </c>
      <c r="R355" s="449">
        <f>($H355-SUM($L355:Q355))/R$694</f>
        <v>6308.333333333333</v>
      </c>
      <c r="S355" s="449">
        <f>($H355-SUM($L355:R355))/S$694</f>
        <v>6308.3333333333339</v>
      </c>
      <c r="T355" s="449">
        <f>($H355-SUM($L355:S355))/T$694</f>
        <v>6308.3333333333339</v>
      </c>
      <c r="U355" s="449">
        <f>($H355-SUM($L355:T355))/U$694</f>
        <v>6308.333333333333</v>
      </c>
      <c r="V355" s="449">
        <f>($H355-SUM($L355:U355))/V$694</f>
        <v>6308.3333333333321</v>
      </c>
      <c r="W355" s="449">
        <f>($H355-SUM($L355:V355))/W$694</f>
        <v>6308.3333333333285</v>
      </c>
      <c r="X355" s="449"/>
      <c r="Y355" s="449">
        <f t="shared" si="293"/>
        <v>61000</v>
      </c>
      <c r="Z355" s="531"/>
      <c r="AA355" s="449">
        <f t="shared" si="305"/>
        <v>5083.333333333333</v>
      </c>
      <c r="AB355" s="449">
        <f t="shared" si="305"/>
        <v>5083.333333333333</v>
      </c>
      <c r="AC355" s="449">
        <f t="shared" si="305"/>
        <v>5083.333333333333</v>
      </c>
      <c r="AD355" s="449">
        <f t="shared" si="305"/>
        <v>5083.333333333333</v>
      </c>
      <c r="AE355" s="449">
        <f t="shared" si="305"/>
        <v>5083.333333333333</v>
      </c>
      <c r="AF355" s="449">
        <f t="shared" si="305"/>
        <v>5083.333333333333</v>
      </c>
      <c r="AG355" s="449">
        <f t="shared" si="305"/>
        <v>5083.333333333333</v>
      </c>
      <c r="AH355" s="449">
        <f t="shared" si="305"/>
        <v>5083.333333333333</v>
      </c>
      <c r="AI355" s="449">
        <f t="shared" si="305"/>
        <v>5083.333333333333</v>
      </c>
      <c r="AJ355" s="449">
        <f t="shared" si="305"/>
        <v>5083.333333333333</v>
      </c>
      <c r="AK355" s="449">
        <f t="shared" si="305"/>
        <v>5083.333333333333</v>
      </c>
      <c r="AL355" s="449">
        <f t="shared" si="305"/>
        <v>5083.333333333333</v>
      </c>
      <c r="AN355" s="500">
        <f t="shared" si="295"/>
        <v>61000</v>
      </c>
      <c r="AO355" s="449">
        <f t="shared" si="296"/>
        <v>40000</v>
      </c>
      <c r="AP355" s="449">
        <f t="shared" si="297"/>
        <v>-21000</v>
      </c>
      <c r="AQ355" s="453">
        <f t="shared" si="298"/>
        <v>-0.34426229508196721</v>
      </c>
      <c r="AR355" s="449">
        <f t="shared" si="299"/>
        <v>40000</v>
      </c>
      <c r="AS355" s="449">
        <f t="shared" si="300"/>
        <v>0</v>
      </c>
      <c r="AT355" s="426">
        <f t="shared" si="301"/>
        <v>0</v>
      </c>
      <c r="AU355" s="421"/>
      <c r="AV355" s="449">
        <f t="shared" si="302"/>
        <v>3333.3333333333335</v>
      </c>
      <c r="AW355" s="449">
        <f t="shared" si="302"/>
        <v>3333.3333333333335</v>
      </c>
      <c r="AX355" s="449">
        <f t="shared" si="302"/>
        <v>3333.3333333333335</v>
      </c>
      <c r="AY355" s="449">
        <f t="shared" si="302"/>
        <v>3333.3333333333335</v>
      </c>
      <c r="AZ355" s="449">
        <f t="shared" si="302"/>
        <v>3333.3333333333335</v>
      </c>
      <c r="BA355" s="449">
        <f t="shared" si="302"/>
        <v>3333.3333333333335</v>
      </c>
      <c r="BB355" s="449">
        <f t="shared" si="302"/>
        <v>3333.3333333333335</v>
      </c>
      <c r="BC355" s="449">
        <f t="shared" si="302"/>
        <v>3333.3333333333335</v>
      </c>
      <c r="BD355" s="449">
        <f t="shared" si="302"/>
        <v>3333.3333333333335</v>
      </c>
      <c r="BE355" s="449">
        <f t="shared" si="302"/>
        <v>3333.3333333333335</v>
      </c>
      <c r="BF355" s="449">
        <f t="shared" si="302"/>
        <v>3333.3333333333335</v>
      </c>
      <c r="BG355" s="449">
        <f t="shared" si="302"/>
        <v>3333.3333333333335</v>
      </c>
      <c r="BH355" s="400"/>
      <c r="BI355" s="449">
        <f>IFERROR((40000)/12,0)</f>
        <v>3333.3333333333335</v>
      </c>
      <c r="BJ355" s="449">
        <f t="shared" ref="BJ355:BT355" si="306">IFERROR((40000)/12,0)</f>
        <v>3333.3333333333335</v>
      </c>
      <c r="BK355" s="449">
        <f t="shared" si="306"/>
        <v>3333.3333333333335</v>
      </c>
      <c r="BL355" s="449">
        <f t="shared" si="306"/>
        <v>3333.3333333333335</v>
      </c>
      <c r="BM355" s="449">
        <f t="shared" si="306"/>
        <v>3333.3333333333335</v>
      </c>
      <c r="BN355" s="449">
        <f t="shared" si="306"/>
        <v>3333.3333333333335</v>
      </c>
      <c r="BO355" s="449">
        <f t="shared" si="306"/>
        <v>3333.3333333333335</v>
      </c>
      <c r="BP355" s="449">
        <f t="shared" si="306"/>
        <v>3333.3333333333335</v>
      </c>
      <c r="BQ355" s="449">
        <f t="shared" si="306"/>
        <v>3333.3333333333335</v>
      </c>
      <c r="BR355" s="449">
        <f t="shared" si="306"/>
        <v>3333.3333333333335</v>
      </c>
      <c r="BS355" s="449">
        <f t="shared" si="306"/>
        <v>3333.3333333333335</v>
      </c>
      <c r="BT355" s="449">
        <f t="shared" si="306"/>
        <v>3333.3333333333335</v>
      </c>
    </row>
    <row r="356" spans="1:74" ht="15" x14ac:dyDescent="0.25">
      <c r="A356" s="502" t="s">
        <v>609</v>
      </c>
      <c r="B356" s="502" t="s">
        <v>610</v>
      </c>
      <c r="C356" s="543"/>
      <c r="D356" s="500">
        <f t="shared" si="288"/>
        <v>12860</v>
      </c>
      <c r="E356" s="449">
        <v>12860</v>
      </c>
      <c r="F356" s="449">
        <f t="shared" si="289"/>
        <v>0</v>
      </c>
      <c r="G356" s="421">
        <f t="shared" si="290"/>
        <v>0</v>
      </c>
      <c r="H356" s="449">
        <v>12860</v>
      </c>
      <c r="I356" s="449">
        <f t="shared" si="291"/>
        <v>0</v>
      </c>
      <c r="J356" s="426">
        <f t="shared" si="292"/>
        <v>0</v>
      </c>
      <c r="K356" s="421"/>
      <c r="L356" s="449">
        <v>0</v>
      </c>
      <c r="M356" s="449">
        <v>0</v>
      </c>
      <c r="N356" s="449">
        <v>0</v>
      </c>
      <c r="O356" s="449">
        <v>5600</v>
      </c>
      <c r="P356" s="449">
        <v>250</v>
      </c>
      <c r="Q356" s="449">
        <v>455.25</v>
      </c>
      <c r="R356" s="449">
        <f>($H356-SUM($L356:Q356))/R$694</f>
        <v>1092.4583333333333</v>
      </c>
      <c r="S356" s="449">
        <f>($H356-SUM($L356:R356))/S$694</f>
        <v>1092.4583333333335</v>
      </c>
      <c r="T356" s="449">
        <f>($H356-SUM($L356:S356))/T$694</f>
        <v>1092.4583333333335</v>
      </c>
      <c r="U356" s="449">
        <f>($H356-SUM($L356:T356))/U$694</f>
        <v>1092.4583333333333</v>
      </c>
      <c r="V356" s="449">
        <f>($H356-SUM($L356:U356))/V$694</f>
        <v>1092.458333333333</v>
      </c>
      <c r="W356" s="449">
        <f>($H356-SUM($L356:V356))/W$694</f>
        <v>1092.4583333333321</v>
      </c>
      <c r="X356" s="449"/>
      <c r="Y356" s="449">
        <f t="shared" si="293"/>
        <v>12860</v>
      </c>
      <c r="Z356" s="531"/>
      <c r="AA356" s="449">
        <f t="shared" si="305"/>
        <v>1071.6666666666667</v>
      </c>
      <c r="AB356" s="449">
        <f t="shared" si="305"/>
        <v>1071.6666666666667</v>
      </c>
      <c r="AC356" s="449">
        <f t="shared" si="305"/>
        <v>1071.6666666666667</v>
      </c>
      <c r="AD356" s="449">
        <f t="shared" si="305"/>
        <v>1071.6666666666667</v>
      </c>
      <c r="AE356" s="449">
        <f t="shared" si="305"/>
        <v>1071.6666666666667</v>
      </c>
      <c r="AF356" s="449">
        <f t="shared" si="305"/>
        <v>1071.6666666666667</v>
      </c>
      <c r="AG356" s="449">
        <f t="shared" si="305"/>
        <v>1071.6666666666667</v>
      </c>
      <c r="AH356" s="449">
        <f t="shared" si="305"/>
        <v>1071.6666666666667</v>
      </c>
      <c r="AI356" s="449">
        <f t="shared" si="305"/>
        <v>1071.6666666666667</v>
      </c>
      <c r="AJ356" s="449">
        <f t="shared" si="305"/>
        <v>1071.6666666666667</v>
      </c>
      <c r="AK356" s="449">
        <f t="shared" si="305"/>
        <v>1071.6666666666667</v>
      </c>
      <c r="AL356" s="449">
        <f t="shared" si="305"/>
        <v>1071.6666666666667</v>
      </c>
      <c r="AN356" s="500">
        <f t="shared" si="295"/>
        <v>12860</v>
      </c>
      <c r="AO356" s="449">
        <f t="shared" si="296"/>
        <v>5656.3341365461856</v>
      </c>
      <c r="AP356" s="449">
        <f t="shared" si="297"/>
        <v>-7203.6658634538144</v>
      </c>
      <c r="AQ356" s="453">
        <f t="shared" si="298"/>
        <v>-0.56016064257028109</v>
      </c>
      <c r="AR356" s="449">
        <f t="shared" si="299"/>
        <v>5656.3341365461856</v>
      </c>
      <c r="AS356" s="449">
        <f t="shared" si="300"/>
        <v>0</v>
      </c>
      <c r="AT356" s="426">
        <f t="shared" si="301"/>
        <v>0</v>
      </c>
      <c r="AU356" s="421"/>
      <c r="AV356" s="449">
        <f t="shared" si="302"/>
        <v>471.36117804551543</v>
      </c>
      <c r="AW356" s="449">
        <f t="shared" si="302"/>
        <v>471.36117804551543</v>
      </c>
      <c r="AX356" s="449">
        <f t="shared" si="302"/>
        <v>471.36117804551543</v>
      </c>
      <c r="AY356" s="449">
        <f t="shared" ref="AY356:BG358" si="307">BL356</f>
        <v>471.36117804551543</v>
      </c>
      <c r="AZ356" s="449">
        <f t="shared" si="307"/>
        <v>471.36117804551543</v>
      </c>
      <c r="BA356" s="449">
        <f t="shared" si="307"/>
        <v>471.36117804551543</v>
      </c>
      <c r="BB356" s="449">
        <f t="shared" si="307"/>
        <v>471.36117804551543</v>
      </c>
      <c r="BC356" s="449">
        <f t="shared" si="307"/>
        <v>471.36117804551543</v>
      </c>
      <c r="BD356" s="449">
        <f t="shared" si="307"/>
        <v>471.36117804551543</v>
      </c>
      <c r="BE356" s="449">
        <f t="shared" si="307"/>
        <v>471.36117804551543</v>
      </c>
      <c r="BF356" s="449">
        <f t="shared" si="307"/>
        <v>471.36117804551543</v>
      </c>
      <c r="BG356" s="449">
        <f t="shared" si="307"/>
        <v>471.36117804551543</v>
      </c>
      <c r="BH356" s="400"/>
      <c r="BI356" s="449">
        <f>IFERROR((($H356/$H$5)*BI$5)/12,0)*0.4</f>
        <v>471.36117804551543</v>
      </c>
      <c r="BJ356" s="449">
        <f t="shared" ref="BJ356:BT356" si="308">IFERROR((($H356/$H$5)*BJ$5)/12,0)*0.4</f>
        <v>471.36117804551543</v>
      </c>
      <c r="BK356" s="449">
        <f t="shared" si="308"/>
        <v>471.36117804551543</v>
      </c>
      <c r="BL356" s="449">
        <f t="shared" si="308"/>
        <v>471.36117804551543</v>
      </c>
      <c r="BM356" s="449">
        <f t="shared" si="308"/>
        <v>471.36117804551543</v>
      </c>
      <c r="BN356" s="449">
        <f t="shared" si="308"/>
        <v>471.36117804551543</v>
      </c>
      <c r="BO356" s="449">
        <f t="shared" si="308"/>
        <v>471.36117804551543</v>
      </c>
      <c r="BP356" s="449">
        <f t="shared" si="308"/>
        <v>471.36117804551543</v>
      </c>
      <c r="BQ356" s="449">
        <f t="shared" si="308"/>
        <v>471.36117804551543</v>
      </c>
      <c r="BR356" s="449">
        <f t="shared" si="308"/>
        <v>471.36117804551543</v>
      </c>
      <c r="BS356" s="449">
        <f t="shared" si="308"/>
        <v>471.36117804551543</v>
      </c>
      <c r="BT356" s="449">
        <f t="shared" si="308"/>
        <v>471.36117804551543</v>
      </c>
    </row>
    <row r="357" spans="1:74" ht="15" x14ac:dyDescent="0.25">
      <c r="A357" s="502" t="s">
        <v>611</v>
      </c>
      <c r="B357" s="502" t="s">
        <v>612</v>
      </c>
      <c r="C357" s="543"/>
      <c r="D357" s="500">
        <f t="shared" si="288"/>
        <v>5600</v>
      </c>
      <c r="E357" s="449">
        <v>0</v>
      </c>
      <c r="F357" s="449">
        <f t="shared" si="289"/>
        <v>5600</v>
      </c>
      <c r="G357" s="421">
        <f t="shared" si="290"/>
        <v>0</v>
      </c>
      <c r="H357" s="449">
        <v>0</v>
      </c>
      <c r="I357" s="449">
        <f t="shared" si="291"/>
        <v>5600</v>
      </c>
      <c r="J357" s="426">
        <f t="shared" si="292"/>
        <v>0</v>
      </c>
      <c r="K357" s="421"/>
      <c r="L357" s="449">
        <v>0</v>
      </c>
      <c r="M357" s="449">
        <v>0</v>
      </c>
      <c r="N357" s="449">
        <v>0</v>
      </c>
      <c r="O357" s="449">
        <v>5600</v>
      </c>
      <c r="P357" s="449">
        <v>0</v>
      </c>
      <c r="Q357" s="449">
        <v>0</v>
      </c>
      <c r="R357" s="449">
        <v>0</v>
      </c>
      <c r="S357" s="449">
        <v>0</v>
      </c>
      <c r="T357" s="449">
        <v>0</v>
      </c>
      <c r="U357" s="449">
        <v>0</v>
      </c>
      <c r="V357" s="449">
        <v>0</v>
      </c>
      <c r="W357" s="449">
        <v>0</v>
      </c>
      <c r="X357" s="449"/>
      <c r="Y357" s="449">
        <f t="shared" si="293"/>
        <v>5600</v>
      </c>
      <c r="Z357" s="531"/>
      <c r="AA357" s="449">
        <f t="shared" si="305"/>
        <v>0</v>
      </c>
      <c r="AB357" s="449">
        <f t="shared" si="305"/>
        <v>0</v>
      </c>
      <c r="AC357" s="449">
        <f t="shared" si="305"/>
        <v>0</v>
      </c>
      <c r="AD357" s="449">
        <f t="shared" si="305"/>
        <v>0</v>
      </c>
      <c r="AE357" s="449">
        <f t="shared" si="305"/>
        <v>0</v>
      </c>
      <c r="AF357" s="449">
        <f t="shared" si="305"/>
        <v>0</v>
      </c>
      <c r="AG357" s="449">
        <f t="shared" si="305"/>
        <v>0</v>
      </c>
      <c r="AH357" s="449">
        <f t="shared" si="305"/>
        <v>0</v>
      </c>
      <c r="AI357" s="449">
        <f t="shared" si="305"/>
        <v>0</v>
      </c>
      <c r="AJ357" s="449">
        <f t="shared" si="305"/>
        <v>0</v>
      </c>
      <c r="AK357" s="449">
        <f t="shared" si="305"/>
        <v>0</v>
      </c>
      <c r="AL357" s="449">
        <f t="shared" si="305"/>
        <v>0</v>
      </c>
      <c r="AN357" s="500">
        <f t="shared" si="295"/>
        <v>5600</v>
      </c>
      <c r="AO357" s="449">
        <f t="shared" si="296"/>
        <v>8484.5012048192748</v>
      </c>
      <c r="AP357" s="449">
        <f t="shared" si="297"/>
        <v>2884.5012048192748</v>
      </c>
      <c r="AQ357" s="453">
        <f t="shared" si="298"/>
        <v>0.5150895008605848</v>
      </c>
      <c r="AR357" s="449">
        <f t="shared" si="299"/>
        <v>8484.5012048192748</v>
      </c>
      <c r="AS357" s="449">
        <f t="shared" si="300"/>
        <v>0</v>
      </c>
      <c r="AT357" s="426">
        <f t="shared" si="301"/>
        <v>0</v>
      </c>
      <c r="AU357" s="421"/>
      <c r="AV357" s="449">
        <f t="shared" ref="AV357:AX358" si="309">BI357</f>
        <v>707.04176706827309</v>
      </c>
      <c r="AW357" s="449">
        <f t="shared" si="309"/>
        <v>707.04176706827309</v>
      </c>
      <c r="AX357" s="449">
        <f t="shared" si="309"/>
        <v>707.04176706827309</v>
      </c>
      <c r="AY357" s="449">
        <f t="shared" si="307"/>
        <v>707.04176706827309</v>
      </c>
      <c r="AZ357" s="449">
        <f t="shared" si="307"/>
        <v>707.04176706827309</v>
      </c>
      <c r="BA357" s="449">
        <f t="shared" si="307"/>
        <v>707.04176706827309</v>
      </c>
      <c r="BB357" s="449">
        <f t="shared" si="307"/>
        <v>707.04176706827309</v>
      </c>
      <c r="BC357" s="449">
        <f t="shared" si="307"/>
        <v>707.04176706827309</v>
      </c>
      <c r="BD357" s="449">
        <f t="shared" si="307"/>
        <v>707.04176706827309</v>
      </c>
      <c r="BE357" s="449">
        <f t="shared" si="307"/>
        <v>707.04176706827309</v>
      </c>
      <c r="BF357" s="449">
        <f t="shared" si="307"/>
        <v>707.04176706827309</v>
      </c>
      <c r="BG357" s="449">
        <f t="shared" si="307"/>
        <v>707.04176706827309</v>
      </c>
      <c r="BH357" s="400"/>
      <c r="BI357" s="449">
        <f>IFERROR((($D356/$H$5)*BI$5)/12,0)*0.6</f>
        <v>707.04176706827309</v>
      </c>
      <c r="BJ357" s="449">
        <f t="shared" ref="BJ357:BT357" si="310">IFERROR((($D356/$H$5)*BJ$5)/12,0)*0.6</f>
        <v>707.04176706827309</v>
      </c>
      <c r="BK357" s="449">
        <f t="shared" si="310"/>
        <v>707.04176706827309</v>
      </c>
      <c r="BL357" s="449">
        <f t="shared" si="310"/>
        <v>707.04176706827309</v>
      </c>
      <c r="BM357" s="449">
        <f t="shared" si="310"/>
        <v>707.04176706827309</v>
      </c>
      <c r="BN357" s="449">
        <f t="shared" si="310"/>
        <v>707.04176706827309</v>
      </c>
      <c r="BO357" s="449">
        <f t="shared" si="310"/>
        <v>707.04176706827309</v>
      </c>
      <c r="BP357" s="449">
        <f t="shared" si="310"/>
        <v>707.04176706827309</v>
      </c>
      <c r="BQ357" s="449">
        <f t="shared" si="310"/>
        <v>707.04176706827309</v>
      </c>
      <c r="BR357" s="449">
        <f t="shared" si="310"/>
        <v>707.04176706827309</v>
      </c>
      <c r="BS357" s="449">
        <f t="shared" si="310"/>
        <v>707.04176706827309</v>
      </c>
      <c r="BT357" s="449">
        <f t="shared" si="310"/>
        <v>707.04176706827309</v>
      </c>
    </row>
    <row r="358" spans="1:74" ht="15" x14ac:dyDescent="0.25">
      <c r="A358" s="502" t="s">
        <v>613</v>
      </c>
      <c r="B358" s="502" t="s">
        <v>614</v>
      </c>
      <c r="C358" s="597"/>
      <c r="D358" s="500">
        <f t="shared" si="288"/>
        <v>2411</v>
      </c>
      <c r="E358" s="449">
        <v>2411.25</v>
      </c>
      <c r="F358" s="449">
        <f t="shared" si="289"/>
        <v>-0.25</v>
      </c>
      <c r="G358" s="421">
        <f t="shared" si="290"/>
        <v>-1.0368066355624676E-4</v>
      </c>
      <c r="H358" s="449">
        <v>2411</v>
      </c>
      <c r="I358" s="449">
        <f t="shared" si="291"/>
        <v>0</v>
      </c>
      <c r="J358" s="426">
        <f t="shared" si="292"/>
        <v>0</v>
      </c>
      <c r="K358" s="421"/>
      <c r="L358" s="449">
        <v>0</v>
      </c>
      <c r="M358" s="449">
        <v>0</v>
      </c>
      <c r="N358" s="449">
        <v>0</v>
      </c>
      <c r="O358" s="449">
        <v>0</v>
      </c>
      <c r="P358" s="449">
        <v>55.41</v>
      </c>
      <c r="Q358" s="449">
        <v>0</v>
      </c>
      <c r="R358" s="449">
        <f>($H358-SUM($L358:Q358))/R$694</f>
        <v>392.59833333333336</v>
      </c>
      <c r="S358" s="449">
        <f>($H358-SUM($L358:R358))/S$694</f>
        <v>392.59833333333336</v>
      </c>
      <c r="T358" s="449">
        <f>($H358-SUM($L358:S358))/T$694</f>
        <v>392.59833333333336</v>
      </c>
      <c r="U358" s="449">
        <f>($H358-SUM($L358:T358))/U$694</f>
        <v>392.59833333333336</v>
      </c>
      <c r="V358" s="449">
        <f>($H358-SUM($L358:U358))/V$694</f>
        <v>392.59833333333336</v>
      </c>
      <c r="W358" s="449">
        <f>($H358-SUM($L358:V358))/W$694</f>
        <v>392.59833333333336</v>
      </c>
      <c r="X358" s="449"/>
      <c r="Y358" s="449">
        <f t="shared" si="293"/>
        <v>2411</v>
      </c>
      <c r="Z358" s="531"/>
      <c r="AA358" s="449">
        <f t="shared" si="305"/>
        <v>200.91666666666666</v>
      </c>
      <c r="AB358" s="449">
        <f t="shared" si="305"/>
        <v>200.91666666666666</v>
      </c>
      <c r="AC358" s="449">
        <f t="shared" si="305"/>
        <v>200.91666666666666</v>
      </c>
      <c r="AD358" s="449">
        <f t="shared" si="305"/>
        <v>200.91666666666666</v>
      </c>
      <c r="AE358" s="449">
        <f t="shared" si="305"/>
        <v>200.91666666666666</v>
      </c>
      <c r="AF358" s="449">
        <f t="shared" si="305"/>
        <v>200.91666666666666</v>
      </c>
      <c r="AG358" s="449">
        <f t="shared" si="305"/>
        <v>200.91666666666666</v>
      </c>
      <c r="AH358" s="449">
        <f t="shared" si="305"/>
        <v>200.91666666666666</v>
      </c>
      <c r="AI358" s="449">
        <f t="shared" si="305"/>
        <v>200.91666666666666</v>
      </c>
      <c r="AJ358" s="449">
        <f t="shared" si="305"/>
        <v>200.91666666666666</v>
      </c>
      <c r="AK358" s="449">
        <f t="shared" si="305"/>
        <v>200.91666666666666</v>
      </c>
      <c r="AL358" s="449">
        <f t="shared" si="305"/>
        <v>200.91666666666666</v>
      </c>
      <c r="AN358" s="500">
        <f t="shared" si="295"/>
        <v>2411</v>
      </c>
      <c r="AO358" s="449">
        <f t="shared" si="296"/>
        <v>2651.1317269076299</v>
      </c>
      <c r="AP358" s="449">
        <f t="shared" si="297"/>
        <v>240.13172690762985</v>
      </c>
      <c r="AQ358" s="453">
        <f t="shared" si="298"/>
        <v>9.9598393574296909E-2</v>
      </c>
      <c r="AR358" s="449">
        <f t="shared" si="299"/>
        <v>2651.1317269076299</v>
      </c>
      <c r="AS358" s="449">
        <f t="shared" si="300"/>
        <v>0</v>
      </c>
      <c r="AT358" s="426">
        <f t="shared" si="301"/>
        <v>0</v>
      </c>
      <c r="AU358" s="421"/>
      <c r="AV358" s="449">
        <f t="shared" si="309"/>
        <v>530.22634538152613</v>
      </c>
      <c r="AW358" s="449">
        <f t="shared" si="309"/>
        <v>530.22634538152613</v>
      </c>
      <c r="AX358" s="449">
        <f t="shared" si="309"/>
        <v>353.48423025435068</v>
      </c>
      <c r="AY358" s="449">
        <f t="shared" si="307"/>
        <v>353.48423025435068</v>
      </c>
      <c r="AZ358" s="449">
        <f t="shared" si="307"/>
        <v>353.48423025435068</v>
      </c>
      <c r="BA358" s="449">
        <f t="shared" si="307"/>
        <v>75.746620768789441</v>
      </c>
      <c r="BB358" s="449">
        <f t="shared" si="307"/>
        <v>75.746620768789441</v>
      </c>
      <c r="BC358" s="449">
        <f t="shared" si="307"/>
        <v>75.746620768789441</v>
      </c>
      <c r="BD358" s="449">
        <f t="shared" si="307"/>
        <v>75.746620768789441</v>
      </c>
      <c r="BE358" s="449">
        <f t="shared" si="307"/>
        <v>75.746620768789441</v>
      </c>
      <c r="BF358" s="449">
        <f t="shared" si="307"/>
        <v>75.746620768789441</v>
      </c>
      <c r="BG358" s="449">
        <f t="shared" si="307"/>
        <v>75.746620768789441</v>
      </c>
      <c r="BH358" s="400"/>
      <c r="BI358" s="449">
        <f t="shared" ref="BI358:BT358" si="311">(IFERROR((($H358/$H$5)*BI$5),0))*BI$696</f>
        <v>530.22634538152613</v>
      </c>
      <c r="BJ358" s="449">
        <f t="shared" si="311"/>
        <v>530.22634538152613</v>
      </c>
      <c r="BK358" s="449">
        <f t="shared" si="311"/>
        <v>353.48423025435068</v>
      </c>
      <c r="BL358" s="449">
        <f t="shared" si="311"/>
        <v>353.48423025435068</v>
      </c>
      <c r="BM358" s="449">
        <f t="shared" si="311"/>
        <v>353.48423025435068</v>
      </c>
      <c r="BN358" s="449">
        <f t="shared" si="311"/>
        <v>75.746620768789441</v>
      </c>
      <c r="BO358" s="449">
        <f t="shared" si="311"/>
        <v>75.746620768789441</v>
      </c>
      <c r="BP358" s="449">
        <f t="shared" si="311"/>
        <v>75.746620768789441</v>
      </c>
      <c r="BQ358" s="449">
        <f t="shared" si="311"/>
        <v>75.746620768789441</v>
      </c>
      <c r="BR358" s="449">
        <f t="shared" si="311"/>
        <v>75.746620768789441</v>
      </c>
      <c r="BS358" s="449">
        <f t="shared" si="311"/>
        <v>75.746620768789441</v>
      </c>
      <c r="BT358" s="449">
        <f t="shared" si="311"/>
        <v>75.746620768789441</v>
      </c>
    </row>
    <row r="359" spans="1:74" ht="15" x14ac:dyDescent="0.25">
      <c r="A359" s="587"/>
      <c r="B359" s="502"/>
      <c r="C359" s="597"/>
      <c r="D359" s="500"/>
      <c r="E359" s="449"/>
      <c r="F359" s="449"/>
      <c r="G359" s="421"/>
      <c r="H359" s="449"/>
      <c r="I359" s="449"/>
      <c r="J359" s="426"/>
      <c r="K359" s="421"/>
      <c r="L359" s="449"/>
      <c r="M359" s="449"/>
      <c r="N359" s="449"/>
      <c r="O359" s="449"/>
      <c r="P359" s="449"/>
      <c r="Q359" s="449"/>
      <c r="R359" s="449"/>
      <c r="S359" s="449"/>
      <c r="T359" s="449"/>
      <c r="U359" s="449"/>
      <c r="V359" s="449"/>
      <c r="W359" s="449"/>
      <c r="X359" s="449"/>
      <c r="Y359" s="449"/>
      <c r="Z359" s="531"/>
      <c r="AA359" s="449"/>
      <c r="AB359" s="449"/>
      <c r="AC359" s="449"/>
      <c r="AD359" s="449"/>
      <c r="AE359" s="449"/>
      <c r="AF359" s="449"/>
      <c r="AG359" s="449"/>
      <c r="AH359" s="449"/>
      <c r="AI359" s="449"/>
      <c r="AJ359" s="449"/>
      <c r="AK359" s="449"/>
      <c r="AL359" s="449"/>
      <c r="AN359" s="500"/>
      <c r="AO359" s="449"/>
      <c r="AP359" s="449"/>
      <c r="AQ359" s="453"/>
      <c r="AR359" s="449"/>
      <c r="AS359" s="449"/>
      <c r="AT359" s="426"/>
      <c r="AU359" s="421"/>
      <c r="AV359" s="449"/>
      <c r="AW359" s="449"/>
      <c r="AX359" s="449"/>
      <c r="AY359" s="449"/>
      <c r="AZ359" s="449"/>
      <c r="BA359" s="449"/>
      <c r="BB359" s="449"/>
      <c r="BC359" s="449"/>
      <c r="BD359" s="449"/>
      <c r="BE359" s="449"/>
      <c r="BF359" s="449"/>
      <c r="BG359" s="449"/>
      <c r="BH359" s="531"/>
      <c r="BI359" s="449"/>
      <c r="BJ359" s="449"/>
      <c r="BK359" s="449"/>
      <c r="BL359" s="449"/>
      <c r="BM359" s="449"/>
      <c r="BN359" s="449"/>
      <c r="BO359" s="449"/>
      <c r="BP359" s="449"/>
      <c r="BQ359" s="449"/>
      <c r="BR359" s="449"/>
      <c r="BS359" s="449"/>
      <c r="BT359" s="449"/>
    </row>
    <row r="360" spans="1:74" s="536" customFormat="1" ht="15.75" thickBot="1" x14ac:dyDescent="0.3">
      <c r="A360" s="526"/>
      <c r="B360" s="524" t="s">
        <v>615</v>
      </c>
      <c r="C360" s="599"/>
      <c r="D360" s="532">
        <f>SUM(D335:D359)</f>
        <v>569449</v>
      </c>
      <c r="E360" s="533">
        <f>SUM(E335:E359)</f>
        <v>539912.3247</v>
      </c>
      <c r="F360" s="533">
        <f>IFERROR(D360-E360,0)</f>
        <v>29536.675300000003</v>
      </c>
      <c r="G360" s="520">
        <f>IFERROR(F360/ABS(E360),0)</f>
        <v>5.4706429078854479E-2</v>
      </c>
      <c r="H360" s="533">
        <f>SUM(H335:H359)</f>
        <v>563849</v>
      </c>
      <c r="I360" s="533">
        <f>IFERROR(D360-H360,0)</f>
        <v>5600</v>
      </c>
      <c r="J360" s="521">
        <f>IFERROR(I360/ABS(H360),0)</f>
        <v>9.9317370430735893E-3</v>
      </c>
      <c r="K360" s="507"/>
      <c r="L360" s="533">
        <f t="shared" ref="L360:W360" si="312">SUM(L335:L359)</f>
        <v>23589.63</v>
      </c>
      <c r="M360" s="533">
        <f t="shared" si="312"/>
        <v>44341.919999999998</v>
      </c>
      <c r="N360" s="533">
        <f t="shared" si="312"/>
        <v>57251.64</v>
      </c>
      <c r="O360" s="533">
        <f t="shared" si="312"/>
        <v>45165.76999999999</v>
      </c>
      <c r="P360" s="533">
        <f t="shared" si="312"/>
        <v>34305.150000000023</v>
      </c>
      <c r="Q360" s="533">
        <f t="shared" si="312"/>
        <v>34454.989999999991</v>
      </c>
      <c r="R360" s="533">
        <f t="shared" si="312"/>
        <v>55056.650000000009</v>
      </c>
      <c r="S360" s="533">
        <f t="shared" si="312"/>
        <v>55056.65</v>
      </c>
      <c r="T360" s="533">
        <f t="shared" si="312"/>
        <v>55056.65</v>
      </c>
      <c r="U360" s="533">
        <f t="shared" si="312"/>
        <v>55056.649999999994</v>
      </c>
      <c r="V360" s="533">
        <f t="shared" si="312"/>
        <v>55056.64999999998</v>
      </c>
      <c r="W360" s="533">
        <f t="shared" si="312"/>
        <v>55056.65</v>
      </c>
      <c r="X360" s="533"/>
      <c r="Y360" s="533">
        <f>SUM(L360:W360)</f>
        <v>569449</v>
      </c>
      <c r="Z360" s="508"/>
      <c r="AA360" s="533">
        <f t="shared" ref="AA360:AL360" si="313">SUM(AA335:AA359)</f>
        <v>46987.416666666664</v>
      </c>
      <c r="AB360" s="533">
        <f t="shared" si="313"/>
        <v>46987.416666666664</v>
      </c>
      <c r="AC360" s="533">
        <f t="shared" si="313"/>
        <v>46987.416666666664</v>
      </c>
      <c r="AD360" s="533">
        <f t="shared" si="313"/>
        <v>46987.416666666664</v>
      </c>
      <c r="AE360" s="533">
        <f t="shared" si="313"/>
        <v>46987.416666666664</v>
      </c>
      <c r="AF360" s="533">
        <f t="shared" si="313"/>
        <v>46987.416666666664</v>
      </c>
      <c r="AG360" s="533">
        <f t="shared" si="313"/>
        <v>46987.416666666664</v>
      </c>
      <c r="AH360" s="533">
        <f t="shared" si="313"/>
        <v>46987.416666666664</v>
      </c>
      <c r="AI360" s="533">
        <f t="shared" si="313"/>
        <v>46987.416666666664</v>
      </c>
      <c r="AJ360" s="533">
        <f t="shared" si="313"/>
        <v>46987.416666666664</v>
      </c>
      <c r="AK360" s="533">
        <f t="shared" si="313"/>
        <v>46987.416666666664</v>
      </c>
      <c r="AL360" s="533">
        <f t="shared" si="313"/>
        <v>46987.416666666664</v>
      </c>
      <c r="AN360" s="532">
        <f>SUM(AN335:AN359)</f>
        <v>569449</v>
      </c>
      <c r="AO360" s="533">
        <f>SUM(AO335:AO359)</f>
        <v>596703.30805601773</v>
      </c>
      <c r="AP360" s="533">
        <f>IFERROR(AO360-AN360,0)</f>
        <v>27254.308056017733</v>
      </c>
      <c r="AQ360" s="523">
        <f>IFERROR(AP360/ABS(AN360),"-")</f>
        <v>4.7860841016522521E-2</v>
      </c>
      <c r="AR360" s="533">
        <f>SUM(AR335:AR359)</f>
        <v>596703.30805601773</v>
      </c>
      <c r="AS360" s="533">
        <f>IFERROR(AO360-AR360,0)</f>
        <v>0</v>
      </c>
      <c r="AT360" s="521">
        <f>IFERROR(AS360/ABS(AR360),0)</f>
        <v>0</v>
      </c>
      <c r="AU360" s="507"/>
      <c r="AV360" s="533">
        <f t="shared" ref="AV360:BG360" si="314">SUM(AV335:AV359)</f>
        <v>47942.513287227353</v>
      </c>
      <c r="AW360" s="533">
        <f t="shared" si="314"/>
        <v>50034.57437280735</v>
      </c>
      <c r="AX360" s="533">
        <f t="shared" si="314"/>
        <v>49857.832257680173</v>
      </c>
      <c r="AY360" s="533">
        <f t="shared" si="314"/>
        <v>49857.832257680173</v>
      </c>
      <c r="AZ360" s="533">
        <f t="shared" si="314"/>
        <v>49857.832257680173</v>
      </c>
      <c r="BA360" s="533">
        <f t="shared" si="314"/>
        <v>49580.094648194616</v>
      </c>
      <c r="BB360" s="533">
        <f t="shared" si="314"/>
        <v>49580.094648194616</v>
      </c>
      <c r="BC360" s="533">
        <f t="shared" si="314"/>
        <v>49580.094648194616</v>
      </c>
      <c r="BD360" s="533">
        <f t="shared" si="314"/>
        <v>49580.094648194616</v>
      </c>
      <c r="BE360" s="533">
        <f t="shared" si="314"/>
        <v>49580.094648194616</v>
      </c>
      <c r="BF360" s="533">
        <f t="shared" si="314"/>
        <v>49580.094648194616</v>
      </c>
      <c r="BG360" s="533">
        <f t="shared" si="314"/>
        <v>51672.15573377462</v>
      </c>
      <c r="BH360" s="508"/>
      <c r="BI360" s="533">
        <f t="shared" ref="BI360:BT360" si="315">SUM(BI335:BI359)</f>
        <v>47942.513287227353</v>
      </c>
      <c r="BJ360" s="533">
        <f t="shared" si="315"/>
        <v>50034.57437280735</v>
      </c>
      <c r="BK360" s="533">
        <f t="shared" si="315"/>
        <v>49857.832257680173</v>
      </c>
      <c r="BL360" s="533">
        <f t="shared" si="315"/>
        <v>49857.832257680173</v>
      </c>
      <c r="BM360" s="533">
        <f t="shared" si="315"/>
        <v>49857.832257680173</v>
      </c>
      <c r="BN360" s="533">
        <f t="shared" si="315"/>
        <v>49580.094648194616</v>
      </c>
      <c r="BO360" s="533">
        <f t="shared" si="315"/>
        <v>49580.094648194616</v>
      </c>
      <c r="BP360" s="533">
        <f t="shared" si="315"/>
        <v>49580.094648194616</v>
      </c>
      <c r="BQ360" s="533">
        <f t="shared" si="315"/>
        <v>49580.094648194616</v>
      </c>
      <c r="BR360" s="533">
        <f t="shared" si="315"/>
        <v>49580.094648194616</v>
      </c>
      <c r="BS360" s="533">
        <f t="shared" si="315"/>
        <v>49580.094648194616</v>
      </c>
      <c r="BT360" s="533">
        <f t="shared" si="315"/>
        <v>51672.15573377462</v>
      </c>
      <c r="BV360" s="400"/>
    </row>
    <row r="361" spans="1:74" ht="15.75" thickTop="1" x14ac:dyDescent="0.25">
      <c r="A361" s="587"/>
      <c r="B361" s="502"/>
      <c r="C361" s="597"/>
      <c r="D361" s="500"/>
      <c r="E361" s="449"/>
      <c r="F361" s="449"/>
      <c r="G361" s="421"/>
      <c r="H361" s="449"/>
      <c r="I361" s="449"/>
      <c r="J361" s="426"/>
      <c r="K361" s="421"/>
      <c r="L361" s="449"/>
      <c r="M361" s="449"/>
      <c r="N361" s="449"/>
      <c r="O361" s="449"/>
      <c r="P361" s="449"/>
      <c r="Q361" s="449"/>
      <c r="R361" s="449"/>
      <c r="S361" s="449"/>
      <c r="T361" s="449"/>
      <c r="U361" s="449"/>
      <c r="V361" s="449"/>
      <c r="W361" s="449"/>
      <c r="X361" s="449"/>
      <c r="Y361" s="449"/>
      <c r="Z361" s="531"/>
      <c r="AA361" s="449"/>
      <c r="AB361" s="449"/>
      <c r="AC361" s="449"/>
      <c r="AD361" s="449"/>
      <c r="AE361" s="449"/>
      <c r="AF361" s="449"/>
      <c r="AG361" s="449"/>
      <c r="AH361" s="449"/>
      <c r="AI361" s="449"/>
      <c r="AJ361" s="449"/>
      <c r="AK361" s="449"/>
      <c r="AL361" s="449"/>
      <c r="AN361" s="500"/>
      <c r="AO361" s="449"/>
      <c r="AP361" s="449"/>
      <c r="AQ361" s="453"/>
      <c r="AR361" s="449"/>
      <c r="AS361" s="449"/>
      <c r="AT361" s="426"/>
      <c r="AU361" s="421"/>
      <c r="AV361" s="449"/>
      <c r="AW361" s="449"/>
      <c r="AX361" s="449"/>
      <c r="AY361" s="449"/>
      <c r="AZ361" s="449"/>
      <c r="BA361" s="449"/>
      <c r="BB361" s="449"/>
      <c r="BC361" s="449"/>
      <c r="BD361" s="449"/>
      <c r="BE361" s="449"/>
      <c r="BF361" s="449"/>
      <c r="BG361" s="449"/>
      <c r="BH361" s="531"/>
      <c r="BI361" s="449"/>
      <c r="BJ361" s="449"/>
      <c r="BK361" s="449"/>
      <c r="BL361" s="449"/>
      <c r="BM361" s="449"/>
      <c r="BN361" s="449"/>
      <c r="BO361" s="449"/>
      <c r="BP361" s="449"/>
      <c r="BQ361" s="449"/>
      <c r="BR361" s="449"/>
      <c r="BS361" s="449"/>
      <c r="BT361" s="449"/>
    </row>
    <row r="362" spans="1:74" ht="15.75" x14ac:dyDescent="0.25">
      <c r="A362" s="587"/>
      <c r="B362" s="525" t="s">
        <v>616</v>
      </c>
      <c r="C362" s="597"/>
      <c r="D362" s="500"/>
      <c r="E362" s="449"/>
      <c r="F362" s="449"/>
      <c r="G362" s="421"/>
      <c r="H362" s="449"/>
      <c r="I362" s="449"/>
      <c r="J362" s="426"/>
      <c r="K362" s="421"/>
      <c r="L362" s="449"/>
      <c r="M362" s="449"/>
      <c r="N362" s="449"/>
      <c r="O362" s="449"/>
      <c r="P362" s="449"/>
      <c r="Q362" s="449"/>
      <c r="R362" s="449"/>
      <c r="S362" s="449"/>
      <c r="T362" s="449"/>
      <c r="U362" s="449"/>
      <c r="V362" s="449"/>
      <c r="W362" s="449"/>
      <c r="X362" s="449"/>
      <c r="Y362" s="449"/>
      <c r="Z362" s="531"/>
      <c r="AA362" s="449"/>
      <c r="AB362" s="449"/>
      <c r="AC362" s="449"/>
      <c r="AD362" s="449"/>
      <c r="AE362" s="449"/>
      <c r="AF362" s="449"/>
      <c r="AG362" s="449"/>
      <c r="AH362" s="449"/>
      <c r="AI362" s="449"/>
      <c r="AJ362" s="449"/>
      <c r="AK362" s="449"/>
      <c r="AL362" s="449"/>
      <c r="AN362" s="500"/>
      <c r="AO362" s="449"/>
      <c r="AP362" s="449"/>
      <c r="AQ362" s="453"/>
      <c r="AR362" s="449"/>
      <c r="AS362" s="449"/>
      <c r="AT362" s="426"/>
      <c r="AU362" s="421"/>
      <c r="AV362" s="449"/>
      <c r="AW362" s="449"/>
      <c r="AX362" s="449"/>
      <c r="AY362" s="449"/>
      <c r="AZ362" s="449"/>
      <c r="BA362" s="449"/>
      <c r="BB362" s="449"/>
      <c r="BC362" s="449"/>
      <c r="BD362" s="449"/>
      <c r="BE362" s="449"/>
      <c r="BF362" s="449"/>
      <c r="BG362" s="449"/>
      <c r="BH362" s="531"/>
      <c r="BI362" s="449"/>
      <c r="BJ362" s="449"/>
      <c r="BK362" s="449"/>
      <c r="BL362" s="449"/>
      <c r="BM362" s="449"/>
      <c r="BN362" s="449"/>
      <c r="BO362" s="449"/>
      <c r="BP362" s="449"/>
      <c r="BQ362" s="449"/>
      <c r="BR362" s="449"/>
      <c r="BS362" s="449"/>
      <c r="BT362" s="449"/>
    </row>
    <row r="363" spans="1:74" ht="10.5" customHeight="1" x14ac:dyDescent="0.25">
      <c r="A363" s="587"/>
      <c r="B363" s="525"/>
      <c r="C363" s="597"/>
      <c r="D363" s="500"/>
      <c r="E363" s="449"/>
      <c r="F363" s="449"/>
      <c r="G363" s="421"/>
      <c r="H363" s="449"/>
      <c r="I363" s="449"/>
      <c r="J363" s="426"/>
      <c r="K363" s="421"/>
      <c r="L363" s="449"/>
      <c r="M363" s="449"/>
      <c r="N363" s="449"/>
      <c r="O363" s="449"/>
      <c r="P363" s="449"/>
      <c r="Q363" s="449"/>
      <c r="R363" s="449"/>
      <c r="S363" s="449"/>
      <c r="T363" s="449"/>
      <c r="U363" s="449"/>
      <c r="V363" s="449"/>
      <c r="W363" s="449"/>
      <c r="X363" s="449"/>
      <c r="Y363" s="449"/>
      <c r="Z363" s="531"/>
      <c r="AA363" s="449"/>
      <c r="AB363" s="449"/>
      <c r="AC363" s="449"/>
      <c r="AD363" s="449"/>
      <c r="AE363" s="449"/>
      <c r="AF363" s="449"/>
      <c r="AG363" s="449"/>
      <c r="AH363" s="449"/>
      <c r="AI363" s="449"/>
      <c r="AJ363" s="449"/>
      <c r="AK363" s="449"/>
      <c r="AL363" s="449"/>
      <c r="AN363" s="500"/>
      <c r="AO363" s="449"/>
      <c r="AP363" s="449"/>
      <c r="AQ363" s="453"/>
      <c r="AR363" s="449"/>
      <c r="AS363" s="449"/>
      <c r="AT363" s="426"/>
      <c r="AU363" s="421"/>
      <c r="AV363" s="449"/>
      <c r="AW363" s="449"/>
      <c r="AX363" s="449"/>
      <c r="AY363" s="449"/>
      <c r="AZ363" s="449"/>
      <c r="BA363" s="449"/>
      <c r="BB363" s="449"/>
      <c r="BC363" s="449"/>
      <c r="BD363" s="449"/>
      <c r="BE363" s="449"/>
      <c r="BF363" s="449"/>
      <c r="BG363" s="449"/>
      <c r="BH363" s="531"/>
      <c r="BI363" s="449"/>
      <c r="BJ363" s="449"/>
      <c r="BK363" s="449"/>
      <c r="BL363" s="449"/>
      <c r="BM363" s="449"/>
      <c r="BN363" s="449"/>
      <c r="BO363" s="449"/>
      <c r="BP363" s="449"/>
      <c r="BQ363" s="449"/>
      <c r="BR363" s="449"/>
      <c r="BS363" s="449"/>
      <c r="BT363" s="449"/>
    </row>
    <row r="364" spans="1:74" ht="15" x14ac:dyDescent="0.25">
      <c r="A364" s="502" t="s">
        <v>617</v>
      </c>
      <c r="B364" s="502" t="s">
        <v>618</v>
      </c>
      <c r="C364" s="597"/>
      <c r="D364" s="500">
        <f>SUM(L364:W364)</f>
        <v>5000</v>
      </c>
      <c r="E364" s="449">
        <v>2456.2599999999998</v>
      </c>
      <c r="F364" s="449">
        <f>IFERROR(D364-E364,0)</f>
        <v>2543.7400000000002</v>
      </c>
      <c r="G364" s="421">
        <f>IFERROR(F364/ABS(E364),0)</f>
        <v>1.0356151221776198</v>
      </c>
      <c r="H364" s="449">
        <v>5000</v>
      </c>
      <c r="I364" s="449">
        <f>IFERROR(D364-H364,0)</f>
        <v>0</v>
      </c>
      <c r="J364" s="426">
        <f>IFERROR(I364/ABS(H364),0)</f>
        <v>0</v>
      </c>
      <c r="K364" s="421"/>
      <c r="L364" s="449">
        <v>0</v>
      </c>
      <c r="M364" s="449">
        <v>0</v>
      </c>
      <c r="N364" s="449">
        <v>0</v>
      </c>
      <c r="O364" s="449">
        <v>0</v>
      </c>
      <c r="P364" s="449">
        <v>0</v>
      </c>
      <c r="Q364" s="449">
        <v>0</v>
      </c>
      <c r="R364" s="449">
        <f>($H364-SUM($L364:Q364))/R$694</f>
        <v>833.33333333333337</v>
      </c>
      <c r="S364" s="449">
        <f>($H364-SUM($L364:R364))/S$694</f>
        <v>833.33333333333337</v>
      </c>
      <c r="T364" s="449">
        <f>($H364-SUM($L364:S364))/T$694</f>
        <v>833.33333333333326</v>
      </c>
      <c r="U364" s="449">
        <f>($H364-SUM($L364:T364))/U$694</f>
        <v>833.33333333333337</v>
      </c>
      <c r="V364" s="449">
        <f>($H364-SUM($L364:U364))/V$694</f>
        <v>833.33333333333326</v>
      </c>
      <c r="W364" s="449">
        <f>($H364-SUM($L364:V364))/W$694</f>
        <v>833.33333333333303</v>
      </c>
      <c r="X364" s="449"/>
      <c r="Y364" s="449">
        <f>SUM(L364:W364)</f>
        <v>5000</v>
      </c>
      <c r="Z364" s="531"/>
      <c r="AA364" s="449">
        <f t="shared" ref="AA364:AL364" si="316">IFERROR($H364/12,0)</f>
        <v>416.66666666666669</v>
      </c>
      <c r="AB364" s="449">
        <f t="shared" si="316"/>
        <v>416.66666666666669</v>
      </c>
      <c r="AC364" s="449">
        <f t="shared" si="316"/>
        <v>416.66666666666669</v>
      </c>
      <c r="AD364" s="449">
        <f t="shared" si="316"/>
        <v>416.66666666666669</v>
      </c>
      <c r="AE364" s="449">
        <f t="shared" si="316"/>
        <v>416.66666666666669</v>
      </c>
      <c r="AF364" s="449">
        <f t="shared" si="316"/>
        <v>416.66666666666669</v>
      </c>
      <c r="AG364" s="449">
        <f t="shared" si="316"/>
        <v>416.66666666666669</v>
      </c>
      <c r="AH364" s="449">
        <f t="shared" si="316"/>
        <v>416.66666666666669</v>
      </c>
      <c r="AI364" s="449">
        <f t="shared" si="316"/>
        <v>416.66666666666669</v>
      </c>
      <c r="AJ364" s="449">
        <f t="shared" si="316"/>
        <v>416.66666666666669</v>
      </c>
      <c r="AK364" s="449">
        <f t="shared" si="316"/>
        <v>416.66666666666669</v>
      </c>
      <c r="AL364" s="449">
        <f t="shared" si="316"/>
        <v>416.66666666666669</v>
      </c>
      <c r="AN364" s="500">
        <f>SUM(L364:W364)</f>
        <v>5000</v>
      </c>
      <c r="AO364" s="449">
        <f>SUM(BI364:BT364)</f>
        <v>5497.9919678714868</v>
      </c>
      <c r="AP364" s="449">
        <f>IFERROR(AO364-AN364,0)</f>
        <v>497.99196787148685</v>
      </c>
      <c r="AQ364" s="453">
        <f>IFERROR(AP364/ABS(AN364),"-")</f>
        <v>9.9598393574297367E-2</v>
      </c>
      <c r="AR364" s="449">
        <f>SUM(BI364:BT364)</f>
        <v>5497.9919678714868</v>
      </c>
      <c r="AS364" s="449">
        <f>IFERROR(AO364-AR364,0)</f>
        <v>0</v>
      </c>
      <c r="AT364" s="426">
        <f>IFERROR(AS364/ABS(AR364),0)</f>
        <v>0</v>
      </c>
      <c r="AU364" s="421"/>
      <c r="AV364" s="449">
        <f>BI364</f>
        <v>1099.5983935742972</v>
      </c>
      <c r="AW364" s="449">
        <f t="shared" ref="AW364:BG364" si="317">BJ364</f>
        <v>1099.5983935742972</v>
      </c>
      <c r="AX364" s="449">
        <f t="shared" si="317"/>
        <v>733.06559571619812</v>
      </c>
      <c r="AY364" s="449">
        <f t="shared" si="317"/>
        <v>733.06559571619812</v>
      </c>
      <c r="AZ364" s="449">
        <f t="shared" si="317"/>
        <v>733.06559571619812</v>
      </c>
      <c r="BA364" s="449">
        <f t="shared" si="317"/>
        <v>157.08548479632816</v>
      </c>
      <c r="BB364" s="449">
        <f t="shared" si="317"/>
        <v>157.08548479632816</v>
      </c>
      <c r="BC364" s="449">
        <f t="shared" si="317"/>
        <v>157.08548479632816</v>
      </c>
      <c r="BD364" s="449">
        <f t="shared" si="317"/>
        <v>157.08548479632816</v>
      </c>
      <c r="BE364" s="449">
        <f t="shared" si="317"/>
        <v>157.08548479632816</v>
      </c>
      <c r="BF364" s="449">
        <f t="shared" si="317"/>
        <v>157.08548479632816</v>
      </c>
      <c r="BG364" s="449">
        <f t="shared" si="317"/>
        <v>157.08548479632816</v>
      </c>
      <c r="BH364" s="400"/>
      <c r="BI364" s="449">
        <f t="shared" ref="BI364:BT364" si="318">(IFERROR((($H364/$H$5)*BI$5),0))*BI$696</f>
        <v>1099.5983935742972</v>
      </c>
      <c r="BJ364" s="449">
        <f t="shared" si="318"/>
        <v>1099.5983935742972</v>
      </c>
      <c r="BK364" s="449">
        <f t="shared" si="318"/>
        <v>733.06559571619812</v>
      </c>
      <c r="BL364" s="449">
        <f t="shared" si="318"/>
        <v>733.06559571619812</v>
      </c>
      <c r="BM364" s="449">
        <f t="shared" si="318"/>
        <v>733.06559571619812</v>
      </c>
      <c r="BN364" s="449">
        <f t="shared" si="318"/>
        <v>157.08548479632816</v>
      </c>
      <c r="BO364" s="449">
        <f t="shared" si="318"/>
        <v>157.08548479632816</v>
      </c>
      <c r="BP364" s="449">
        <f t="shared" si="318"/>
        <v>157.08548479632816</v>
      </c>
      <c r="BQ364" s="449">
        <f t="shared" si="318"/>
        <v>157.08548479632816</v>
      </c>
      <c r="BR364" s="449">
        <f t="shared" si="318"/>
        <v>157.08548479632816</v>
      </c>
      <c r="BS364" s="449">
        <f t="shared" si="318"/>
        <v>157.08548479632816</v>
      </c>
      <c r="BT364" s="449">
        <f t="shared" si="318"/>
        <v>157.08548479632816</v>
      </c>
    </row>
    <row r="365" spans="1:74" ht="15" x14ac:dyDescent="0.25">
      <c r="A365" s="587"/>
      <c r="B365" s="502"/>
      <c r="C365" s="597"/>
      <c r="D365" s="500"/>
      <c r="E365" s="449"/>
      <c r="F365" s="449"/>
      <c r="G365" s="421"/>
      <c r="H365" s="449"/>
      <c r="I365" s="449"/>
      <c r="J365" s="426"/>
      <c r="K365" s="421"/>
      <c r="L365" s="449"/>
      <c r="M365" s="449"/>
      <c r="N365" s="449"/>
      <c r="O365" s="449"/>
      <c r="P365" s="449"/>
      <c r="Q365" s="449"/>
      <c r="R365" s="449"/>
      <c r="S365" s="449"/>
      <c r="T365" s="449"/>
      <c r="U365" s="449"/>
      <c r="V365" s="449"/>
      <c r="W365" s="449"/>
      <c r="X365" s="449"/>
      <c r="Y365" s="449"/>
      <c r="Z365" s="531"/>
      <c r="AA365" s="449"/>
      <c r="AB365" s="449"/>
      <c r="AC365" s="449"/>
      <c r="AD365" s="449"/>
      <c r="AE365" s="449"/>
      <c r="AF365" s="449"/>
      <c r="AG365" s="449"/>
      <c r="AH365" s="449"/>
      <c r="AI365" s="449"/>
      <c r="AJ365" s="449"/>
      <c r="AK365" s="449"/>
      <c r="AL365" s="449"/>
      <c r="AN365" s="500"/>
      <c r="AO365" s="449"/>
      <c r="AP365" s="449"/>
      <c r="AQ365" s="453"/>
      <c r="AR365" s="449"/>
      <c r="AS365" s="449"/>
      <c r="AT365" s="426"/>
      <c r="AU365" s="421"/>
      <c r="AV365" s="449"/>
      <c r="AW365" s="449"/>
      <c r="AX365" s="449"/>
      <c r="AY365" s="449"/>
      <c r="AZ365" s="449"/>
      <c r="BA365" s="449"/>
      <c r="BB365" s="449"/>
      <c r="BC365" s="449"/>
      <c r="BD365" s="449"/>
      <c r="BE365" s="449"/>
      <c r="BF365" s="449"/>
      <c r="BG365" s="449"/>
      <c r="BH365" s="531"/>
      <c r="BI365" s="449"/>
      <c r="BJ365" s="449"/>
      <c r="BK365" s="449"/>
      <c r="BL365" s="449"/>
      <c r="BM365" s="449"/>
      <c r="BN365" s="449"/>
      <c r="BO365" s="449"/>
      <c r="BP365" s="449"/>
      <c r="BQ365" s="449"/>
      <c r="BR365" s="449"/>
      <c r="BS365" s="449"/>
      <c r="BT365" s="449"/>
    </row>
    <row r="366" spans="1:74" ht="15.75" thickBot="1" x14ac:dyDescent="0.3">
      <c r="A366" s="587"/>
      <c r="B366" s="524" t="s">
        <v>619</v>
      </c>
      <c r="C366" s="597"/>
      <c r="D366" s="532">
        <f>SUM(D364:D365)</f>
        <v>5000</v>
      </c>
      <c r="E366" s="533">
        <f>SUM(E364:E365)</f>
        <v>2456.2599999999998</v>
      </c>
      <c r="F366" s="533">
        <f>IFERROR(D366-E366,0)</f>
        <v>2543.7400000000002</v>
      </c>
      <c r="G366" s="520">
        <f>IFERROR(F366/ABS(E366),0)</f>
        <v>1.0356151221776198</v>
      </c>
      <c r="H366" s="533">
        <f>SUM(H364)</f>
        <v>5000</v>
      </c>
      <c r="I366" s="533">
        <f>IFERROR(D366-H366,0)</f>
        <v>0</v>
      </c>
      <c r="J366" s="521">
        <f>IFERROR(I366/ABS(H366),0)</f>
        <v>0</v>
      </c>
      <c r="K366" s="507"/>
      <c r="L366" s="533">
        <f>SUM(L364:L365)</f>
        <v>0</v>
      </c>
      <c r="M366" s="533">
        <f t="shared" ref="M366:W366" si="319">SUM(M364:M365)</f>
        <v>0</v>
      </c>
      <c r="N366" s="533">
        <f t="shared" si="319"/>
        <v>0</v>
      </c>
      <c r="O366" s="533">
        <f t="shared" si="319"/>
        <v>0</v>
      </c>
      <c r="P366" s="533">
        <f t="shared" si="319"/>
        <v>0</v>
      </c>
      <c r="Q366" s="533">
        <f t="shared" si="319"/>
        <v>0</v>
      </c>
      <c r="R366" s="533">
        <f t="shared" si="319"/>
        <v>833.33333333333337</v>
      </c>
      <c r="S366" s="533">
        <f t="shared" si="319"/>
        <v>833.33333333333337</v>
      </c>
      <c r="T366" s="533">
        <f t="shared" si="319"/>
        <v>833.33333333333326</v>
      </c>
      <c r="U366" s="533">
        <f t="shared" si="319"/>
        <v>833.33333333333337</v>
      </c>
      <c r="V366" s="533">
        <f t="shared" si="319"/>
        <v>833.33333333333326</v>
      </c>
      <c r="W366" s="533">
        <f t="shared" si="319"/>
        <v>833.33333333333303</v>
      </c>
      <c r="X366" s="533"/>
      <c r="Y366" s="533">
        <f>SUM(L366:W366)</f>
        <v>5000</v>
      </c>
      <c r="Z366" s="508"/>
      <c r="AA366" s="533">
        <f t="shared" ref="AA366:AL366" si="320">SUM(AA364:AA365)</f>
        <v>416.66666666666669</v>
      </c>
      <c r="AB366" s="533">
        <f t="shared" si="320"/>
        <v>416.66666666666669</v>
      </c>
      <c r="AC366" s="533">
        <f t="shared" si="320"/>
        <v>416.66666666666669</v>
      </c>
      <c r="AD366" s="533">
        <f t="shared" si="320"/>
        <v>416.66666666666669</v>
      </c>
      <c r="AE366" s="533">
        <f t="shared" si="320"/>
        <v>416.66666666666669</v>
      </c>
      <c r="AF366" s="533">
        <f t="shared" si="320"/>
        <v>416.66666666666669</v>
      </c>
      <c r="AG366" s="533">
        <f t="shared" si="320"/>
        <v>416.66666666666669</v>
      </c>
      <c r="AH366" s="533">
        <f t="shared" si="320"/>
        <v>416.66666666666669</v>
      </c>
      <c r="AI366" s="533">
        <f t="shared" si="320"/>
        <v>416.66666666666669</v>
      </c>
      <c r="AJ366" s="533">
        <f t="shared" si="320"/>
        <v>416.66666666666669</v>
      </c>
      <c r="AK366" s="533">
        <f t="shared" si="320"/>
        <v>416.66666666666669</v>
      </c>
      <c r="AL366" s="533">
        <f t="shared" si="320"/>
        <v>416.66666666666669</v>
      </c>
      <c r="AN366" s="532">
        <f>SUM(AN364:AN365)</f>
        <v>5000</v>
      </c>
      <c r="AO366" s="533">
        <f>SUM(AO364:AO365)</f>
        <v>5497.9919678714868</v>
      </c>
      <c r="AP366" s="533">
        <f>IFERROR(AO366-AN366,0)</f>
        <v>497.99196787148685</v>
      </c>
      <c r="AQ366" s="523">
        <f>IFERROR(AP366/ABS(AN366),"-")</f>
        <v>9.9598393574297367E-2</v>
      </c>
      <c r="AR366" s="533">
        <f>SUM(AR364)</f>
        <v>5497.9919678714868</v>
      </c>
      <c r="AS366" s="533">
        <f>IFERROR(AO366-AR366,0)</f>
        <v>0</v>
      </c>
      <c r="AT366" s="521">
        <f>IFERROR(AS366/ABS(AR366),0)</f>
        <v>0</v>
      </c>
      <c r="AU366" s="507"/>
      <c r="AV366" s="533">
        <f>SUM(AV364:AV365)</f>
        <v>1099.5983935742972</v>
      </c>
      <c r="AW366" s="533">
        <f t="shared" ref="AW366:BG366" si="321">SUM(AW364:AW365)</f>
        <v>1099.5983935742972</v>
      </c>
      <c r="AX366" s="533">
        <f t="shared" si="321"/>
        <v>733.06559571619812</v>
      </c>
      <c r="AY366" s="533">
        <f t="shared" si="321"/>
        <v>733.06559571619812</v>
      </c>
      <c r="AZ366" s="533">
        <f t="shared" si="321"/>
        <v>733.06559571619812</v>
      </c>
      <c r="BA366" s="533">
        <f t="shared" si="321"/>
        <v>157.08548479632816</v>
      </c>
      <c r="BB366" s="533">
        <f t="shared" si="321"/>
        <v>157.08548479632816</v>
      </c>
      <c r="BC366" s="533">
        <f t="shared" si="321"/>
        <v>157.08548479632816</v>
      </c>
      <c r="BD366" s="533">
        <f t="shared" si="321"/>
        <v>157.08548479632816</v>
      </c>
      <c r="BE366" s="533">
        <f t="shared" si="321"/>
        <v>157.08548479632816</v>
      </c>
      <c r="BF366" s="533">
        <f t="shared" si="321"/>
        <v>157.08548479632816</v>
      </c>
      <c r="BG366" s="533">
        <f t="shared" si="321"/>
        <v>157.08548479632816</v>
      </c>
      <c r="BH366" s="508"/>
      <c r="BI366" s="533">
        <f t="shared" ref="BI366:BT366" si="322">SUM(BI364:BI365)</f>
        <v>1099.5983935742972</v>
      </c>
      <c r="BJ366" s="533">
        <f t="shared" si="322"/>
        <v>1099.5983935742972</v>
      </c>
      <c r="BK366" s="533">
        <f t="shared" si="322"/>
        <v>733.06559571619812</v>
      </c>
      <c r="BL366" s="533">
        <f t="shared" si="322"/>
        <v>733.06559571619812</v>
      </c>
      <c r="BM366" s="533">
        <f t="shared" si="322"/>
        <v>733.06559571619812</v>
      </c>
      <c r="BN366" s="533">
        <f t="shared" si="322"/>
        <v>157.08548479632816</v>
      </c>
      <c r="BO366" s="533">
        <f t="shared" si="322"/>
        <v>157.08548479632816</v>
      </c>
      <c r="BP366" s="533">
        <f t="shared" si="322"/>
        <v>157.08548479632816</v>
      </c>
      <c r="BQ366" s="533">
        <f t="shared" si="322"/>
        <v>157.08548479632816</v>
      </c>
      <c r="BR366" s="533">
        <f t="shared" si="322"/>
        <v>157.08548479632816</v>
      </c>
      <c r="BS366" s="533">
        <f t="shared" si="322"/>
        <v>157.08548479632816</v>
      </c>
      <c r="BT366" s="533">
        <f t="shared" si="322"/>
        <v>157.08548479632816</v>
      </c>
    </row>
    <row r="367" spans="1:74" ht="15.75" thickTop="1" x14ac:dyDescent="0.25">
      <c r="A367" s="587"/>
      <c r="B367" s="502"/>
      <c r="C367" s="597"/>
      <c r="D367" s="500"/>
      <c r="E367" s="449"/>
      <c r="F367" s="449"/>
      <c r="G367" s="421"/>
      <c r="H367" s="449"/>
      <c r="I367" s="449"/>
      <c r="J367" s="426"/>
      <c r="K367" s="421"/>
      <c r="L367" s="449"/>
      <c r="M367" s="449"/>
      <c r="N367" s="449"/>
      <c r="O367" s="449"/>
      <c r="P367" s="449"/>
      <c r="Q367" s="449"/>
      <c r="R367" s="449"/>
      <c r="S367" s="449"/>
      <c r="T367" s="449"/>
      <c r="U367" s="449"/>
      <c r="V367" s="449"/>
      <c r="W367" s="449"/>
      <c r="X367" s="449"/>
      <c r="Y367" s="449"/>
      <c r="Z367" s="531"/>
      <c r="AA367" s="449"/>
      <c r="AB367" s="449"/>
      <c r="AC367" s="449"/>
      <c r="AD367" s="449"/>
      <c r="AE367" s="449"/>
      <c r="AF367" s="449"/>
      <c r="AG367" s="449"/>
      <c r="AH367" s="449"/>
      <c r="AI367" s="449"/>
      <c r="AJ367" s="449"/>
      <c r="AK367" s="449"/>
      <c r="AL367" s="449"/>
      <c r="AN367" s="500"/>
      <c r="AO367" s="449"/>
      <c r="AP367" s="449"/>
      <c r="AQ367" s="453"/>
      <c r="AR367" s="449"/>
      <c r="AS367" s="449"/>
      <c r="AT367" s="426"/>
      <c r="AU367" s="421"/>
      <c r="AV367" s="449"/>
      <c r="AW367" s="449"/>
      <c r="AX367" s="449"/>
      <c r="AY367" s="449"/>
      <c r="AZ367" s="449"/>
      <c r="BA367" s="449"/>
      <c r="BB367" s="449"/>
      <c r="BC367" s="449"/>
      <c r="BD367" s="449"/>
      <c r="BE367" s="449"/>
      <c r="BF367" s="449"/>
      <c r="BG367" s="449"/>
      <c r="BH367" s="531"/>
      <c r="BI367" s="449"/>
      <c r="BJ367" s="449"/>
      <c r="BK367" s="449"/>
      <c r="BL367" s="449"/>
      <c r="BM367" s="449"/>
      <c r="BN367" s="449"/>
      <c r="BO367" s="449"/>
      <c r="BP367" s="449"/>
      <c r="BQ367" s="449"/>
      <c r="BR367" s="449"/>
      <c r="BS367" s="449"/>
      <c r="BT367" s="449"/>
    </row>
    <row r="368" spans="1:74" ht="15.75" x14ac:dyDescent="0.25">
      <c r="A368" s="587"/>
      <c r="B368" s="525" t="s">
        <v>620</v>
      </c>
      <c r="C368" s="597"/>
      <c r="D368" s="500"/>
      <c r="E368" s="449"/>
      <c r="F368" s="449"/>
      <c r="G368" s="421"/>
      <c r="H368" s="449"/>
      <c r="I368" s="449"/>
      <c r="J368" s="426"/>
      <c r="K368" s="421"/>
      <c r="L368" s="449"/>
      <c r="M368" s="449"/>
      <c r="N368" s="449"/>
      <c r="O368" s="449"/>
      <c r="P368" s="449"/>
      <c r="Q368" s="449"/>
      <c r="R368" s="449"/>
      <c r="S368" s="449"/>
      <c r="T368" s="449"/>
      <c r="U368" s="449"/>
      <c r="V368" s="449"/>
      <c r="W368" s="449"/>
      <c r="X368" s="449"/>
      <c r="Y368" s="449"/>
      <c r="Z368" s="531"/>
      <c r="AA368" s="449"/>
      <c r="AB368" s="449"/>
      <c r="AC368" s="449"/>
      <c r="AD368" s="449"/>
      <c r="AE368" s="449"/>
      <c r="AF368" s="449"/>
      <c r="AG368" s="449"/>
      <c r="AH368" s="449"/>
      <c r="AI368" s="449"/>
      <c r="AJ368" s="449"/>
      <c r="AK368" s="449"/>
      <c r="AL368" s="449"/>
      <c r="AN368" s="500"/>
      <c r="AO368" s="449"/>
      <c r="AP368" s="449"/>
      <c r="AQ368" s="453"/>
      <c r="AR368" s="449"/>
      <c r="AS368" s="449"/>
      <c r="AT368" s="426"/>
      <c r="AU368" s="421"/>
      <c r="AV368" s="449"/>
      <c r="AW368" s="449"/>
      <c r="AX368" s="449"/>
      <c r="AY368" s="449"/>
      <c r="AZ368" s="449"/>
      <c r="BA368" s="449"/>
      <c r="BB368" s="449"/>
      <c r="BC368" s="449"/>
      <c r="BD368" s="449"/>
      <c r="BE368" s="449"/>
      <c r="BF368" s="449"/>
      <c r="BG368" s="449"/>
      <c r="BH368" s="531"/>
      <c r="BI368" s="449"/>
      <c r="BJ368" s="449"/>
      <c r="BK368" s="449"/>
      <c r="BL368" s="449"/>
      <c r="BM368" s="449"/>
      <c r="BN368" s="449"/>
      <c r="BO368" s="449"/>
      <c r="BP368" s="449"/>
      <c r="BQ368" s="449"/>
      <c r="BR368" s="449"/>
      <c r="BS368" s="449"/>
      <c r="BT368" s="449"/>
    </row>
    <row r="369" spans="1:74" ht="7.5" customHeight="1" x14ac:dyDescent="0.25">
      <c r="A369" s="587"/>
      <c r="B369" s="502"/>
      <c r="C369" s="597"/>
      <c r="D369" s="500"/>
      <c r="E369" s="449"/>
      <c r="F369" s="449"/>
      <c r="G369" s="421"/>
      <c r="H369" s="449"/>
      <c r="I369" s="449"/>
      <c r="J369" s="426"/>
      <c r="K369" s="421"/>
      <c r="L369" s="449"/>
      <c r="M369" s="449"/>
      <c r="N369" s="449"/>
      <c r="O369" s="449"/>
      <c r="P369" s="449"/>
      <c r="Q369" s="449"/>
      <c r="R369" s="449"/>
      <c r="S369" s="449"/>
      <c r="T369" s="449"/>
      <c r="U369" s="449"/>
      <c r="V369" s="449"/>
      <c r="W369" s="449"/>
      <c r="X369" s="449"/>
      <c r="Y369" s="449"/>
      <c r="Z369" s="531"/>
      <c r="AA369" s="449"/>
      <c r="AB369" s="449"/>
      <c r="AC369" s="449"/>
      <c r="AD369" s="449"/>
      <c r="AE369" s="449"/>
      <c r="AF369" s="449"/>
      <c r="AG369" s="449"/>
      <c r="AH369" s="449"/>
      <c r="AI369" s="449"/>
      <c r="AJ369" s="449"/>
      <c r="AK369" s="449"/>
      <c r="AL369" s="449"/>
      <c r="AN369" s="500"/>
      <c r="AO369" s="449"/>
      <c r="AP369" s="449"/>
      <c r="AQ369" s="453"/>
      <c r="AR369" s="449"/>
      <c r="AS369" s="449"/>
      <c r="AT369" s="426"/>
      <c r="AU369" s="421"/>
      <c r="AV369" s="449"/>
      <c r="AW369" s="449"/>
      <c r="AX369" s="449"/>
      <c r="AY369" s="449"/>
      <c r="AZ369" s="449"/>
      <c r="BA369" s="449"/>
      <c r="BB369" s="449"/>
      <c r="BC369" s="449"/>
      <c r="BD369" s="449"/>
      <c r="BE369" s="449"/>
      <c r="BF369" s="449"/>
      <c r="BG369" s="449"/>
      <c r="BH369" s="531"/>
      <c r="BI369" s="449"/>
      <c r="BJ369" s="449"/>
      <c r="BK369" s="449"/>
      <c r="BL369" s="449"/>
      <c r="BM369" s="449"/>
      <c r="BN369" s="449"/>
      <c r="BO369" s="449"/>
      <c r="BP369" s="449"/>
      <c r="BQ369" s="449"/>
      <c r="BR369" s="449"/>
      <c r="BS369" s="449"/>
      <c r="BT369" s="449"/>
    </row>
    <row r="370" spans="1:74" ht="15" x14ac:dyDescent="0.25">
      <c r="A370" s="502" t="s">
        <v>621</v>
      </c>
      <c r="B370" s="502" t="s">
        <v>622</v>
      </c>
      <c r="C370" s="543"/>
      <c r="D370" s="500">
        <f>SUM(L370:W370)</f>
        <v>4500</v>
      </c>
      <c r="E370" s="449">
        <v>4500</v>
      </c>
      <c r="F370" s="449">
        <f>IFERROR(D370-E370,0)</f>
        <v>0</v>
      </c>
      <c r="G370" s="421">
        <f>IFERROR(F370/ABS(E370),0)</f>
        <v>0</v>
      </c>
      <c r="H370" s="449">
        <v>4500</v>
      </c>
      <c r="I370" s="449">
        <f>IFERROR(D370-H370,0)</f>
        <v>0</v>
      </c>
      <c r="J370" s="426">
        <f>IFERROR(I370/ABS(H370),0)</f>
        <v>0</v>
      </c>
      <c r="K370" s="421"/>
      <c r="L370" s="449">
        <v>0</v>
      </c>
      <c r="M370" s="449">
        <v>0</v>
      </c>
      <c r="N370" s="449">
        <v>0</v>
      </c>
      <c r="O370" s="449">
        <v>0</v>
      </c>
      <c r="P370" s="449">
        <v>0</v>
      </c>
      <c r="Q370" s="449">
        <v>0</v>
      </c>
      <c r="R370" s="449">
        <f>($H370-SUM($L370:Q370))/R$694</f>
        <v>750</v>
      </c>
      <c r="S370" s="449">
        <f>($H370-SUM($L370:R370))/S$694</f>
        <v>750</v>
      </c>
      <c r="T370" s="449">
        <f>($H370-SUM($L370:S370))/T$694</f>
        <v>750</v>
      </c>
      <c r="U370" s="449">
        <f>($H370-SUM($L370:T370))/U$694</f>
        <v>750</v>
      </c>
      <c r="V370" s="449">
        <f>($H370-SUM($L370:U370))/V$694</f>
        <v>750</v>
      </c>
      <c r="W370" s="449">
        <f>($H370-SUM($L370:V370))/W$694</f>
        <v>750</v>
      </c>
      <c r="X370" s="449"/>
      <c r="Y370" s="449">
        <f>SUM(L370:W370)</f>
        <v>4500</v>
      </c>
      <c r="Z370" s="531"/>
      <c r="AA370" s="449">
        <f t="shared" ref="AA370:AL372" si="323">IFERROR($H370/12,0)</f>
        <v>375</v>
      </c>
      <c r="AB370" s="449">
        <f t="shared" si="323"/>
        <v>375</v>
      </c>
      <c r="AC370" s="449">
        <f t="shared" si="323"/>
        <v>375</v>
      </c>
      <c r="AD370" s="449">
        <f t="shared" si="323"/>
        <v>375</v>
      </c>
      <c r="AE370" s="449">
        <f t="shared" si="323"/>
        <v>375</v>
      </c>
      <c r="AF370" s="449">
        <f t="shared" si="323"/>
        <v>375</v>
      </c>
      <c r="AG370" s="449">
        <f t="shared" si="323"/>
        <v>375</v>
      </c>
      <c r="AH370" s="449">
        <f t="shared" si="323"/>
        <v>375</v>
      </c>
      <c r="AI370" s="449">
        <f t="shared" si="323"/>
        <v>375</v>
      </c>
      <c r="AJ370" s="449">
        <f t="shared" si="323"/>
        <v>375</v>
      </c>
      <c r="AK370" s="449">
        <f t="shared" si="323"/>
        <v>375</v>
      </c>
      <c r="AL370" s="449">
        <f t="shared" si="323"/>
        <v>375</v>
      </c>
      <c r="AN370" s="500">
        <f>SUM(L370:W370)</f>
        <v>4500</v>
      </c>
      <c r="AO370" s="449">
        <f>SUM(BI370:BT370)</f>
        <v>4948.1927710843374</v>
      </c>
      <c r="AP370" s="449">
        <f>IFERROR(AO370-AN370,0)</f>
        <v>448.19277108433744</v>
      </c>
      <c r="AQ370" s="453">
        <f>IFERROR(AP370/ABS(AN370),"-")</f>
        <v>9.9598393574297214E-2</v>
      </c>
      <c r="AR370" s="449">
        <f>SUM(BI370:BT370)</f>
        <v>4948.1927710843374</v>
      </c>
      <c r="AS370" s="449">
        <f>IFERROR(AO370-AR370,0)</f>
        <v>0</v>
      </c>
      <c r="AT370" s="426">
        <f>IFERROR(AS370/ABS(AR370),0)</f>
        <v>0</v>
      </c>
      <c r="AU370" s="421"/>
      <c r="AV370" s="449">
        <f t="shared" ref="AV370:BG372" si="324">BI370</f>
        <v>412.34939759036143</v>
      </c>
      <c r="AW370" s="449">
        <f t="shared" si="324"/>
        <v>412.34939759036143</v>
      </c>
      <c r="AX370" s="449">
        <f t="shared" si="324"/>
        <v>412.34939759036143</v>
      </c>
      <c r="AY370" s="449">
        <f t="shared" si="324"/>
        <v>412.34939759036143</v>
      </c>
      <c r="AZ370" s="449">
        <f t="shared" si="324"/>
        <v>412.34939759036143</v>
      </c>
      <c r="BA370" s="449">
        <f t="shared" si="324"/>
        <v>412.34939759036143</v>
      </c>
      <c r="BB370" s="449">
        <f t="shared" si="324"/>
        <v>412.34939759036143</v>
      </c>
      <c r="BC370" s="449">
        <f t="shared" si="324"/>
        <v>412.34939759036143</v>
      </c>
      <c r="BD370" s="449">
        <f t="shared" si="324"/>
        <v>412.34939759036143</v>
      </c>
      <c r="BE370" s="449">
        <f t="shared" si="324"/>
        <v>412.34939759036143</v>
      </c>
      <c r="BF370" s="449">
        <f t="shared" si="324"/>
        <v>412.34939759036143</v>
      </c>
      <c r="BG370" s="449">
        <f t="shared" si="324"/>
        <v>412.34939759036143</v>
      </c>
      <c r="BH370" s="400"/>
      <c r="BI370" s="449">
        <f t="shared" ref="BI370:BT371" si="325">IFERROR((($H370/$H$5)*BI$5)/12,0)</f>
        <v>412.34939759036143</v>
      </c>
      <c r="BJ370" s="449">
        <f t="shared" si="325"/>
        <v>412.34939759036143</v>
      </c>
      <c r="BK370" s="449">
        <f t="shared" si="325"/>
        <v>412.34939759036143</v>
      </c>
      <c r="BL370" s="449">
        <f t="shared" si="325"/>
        <v>412.34939759036143</v>
      </c>
      <c r="BM370" s="449">
        <f t="shared" si="325"/>
        <v>412.34939759036143</v>
      </c>
      <c r="BN370" s="449">
        <f t="shared" si="325"/>
        <v>412.34939759036143</v>
      </c>
      <c r="BO370" s="449">
        <f t="shared" si="325"/>
        <v>412.34939759036143</v>
      </c>
      <c r="BP370" s="449">
        <f t="shared" si="325"/>
        <v>412.34939759036143</v>
      </c>
      <c r="BQ370" s="449">
        <f t="shared" si="325"/>
        <v>412.34939759036143</v>
      </c>
      <c r="BR370" s="449">
        <f t="shared" si="325"/>
        <v>412.34939759036143</v>
      </c>
      <c r="BS370" s="449">
        <f t="shared" si="325"/>
        <v>412.34939759036143</v>
      </c>
      <c r="BT370" s="449">
        <f t="shared" si="325"/>
        <v>412.34939759036143</v>
      </c>
    </row>
    <row r="371" spans="1:74" ht="15" x14ac:dyDescent="0.25">
      <c r="A371" s="502" t="s">
        <v>623</v>
      </c>
      <c r="B371" s="502" t="s">
        <v>624</v>
      </c>
      <c r="C371" s="538"/>
      <c r="D371" s="500">
        <f>SUM(L371:W371)</f>
        <v>2456</v>
      </c>
      <c r="E371" s="449">
        <v>12456.26</v>
      </c>
      <c r="F371" s="449">
        <f>IFERROR(D371-E371,0)</f>
        <v>-10000.26</v>
      </c>
      <c r="G371" s="421">
        <f>IFERROR(F371/ABS(E371),0)</f>
        <v>-0.80283006295629666</v>
      </c>
      <c r="H371" s="449">
        <v>2456</v>
      </c>
      <c r="I371" s="449">
        <f>IFERROR(D371-H371,0)</f>
        <v>0</v>
      </c>
      <c r="J371" s="426">
        <f>IFERROR(I371/ABS(H371),0)</f>
        <v>0</v>
      </c>
      <c r="K371" s="421"/>
      <c r="L371" s="449">
        <v>0</v>
      </c>
      <c r="M371" s="449">
        <v>0</v>
      </c>
      <c r="N371" s="449">
        <v>0</v>
      </c>
      <c r="O371" s="449">
        <v>0</v>
      </c>
      <c r="P371" s="449">
        <v>0</v>
      </c>
      <c r="Q371" s="449">
        <v>0</v>
      </c>
      <c r="R371" s="449">
        <f>($H371-SUM($L371:Q371))/R$694</f>
        <v>409.33333333333331</v>
      </c>
      <c r="S371" s="449">
        <f>($H371-SUM($L371:R371))/S$694</f>
        <v>409.33333333333337</v>
      </c>
      <c r="T371" s="449">
        <f>($H371-SUM($L371:S371))/T$694</f>
        <v>409.33333333333331</v>
      </c>
      <c r="U371" s="449">
        <f>($H371-SUM($L371:T371))/U$694</f>
        <v>409.33333333333331</v>
      </c>
      <c r="V371" s="449">
        <f>($H371-SUM($L371:U371))/V$694</f>
        <v>409.33333333333337</v>
      </c>
      <c r="W371" s="449">
        <f>($H371-SUM($L371:V371))/W$694</f>
        <v>409.33333333333348</v>
      </c>
      <c r="X371" s="449"/>
      <c r="Y371" s="449">
        <f>SUM(L371:W371)</f>
        <v>2456</v>
      </c>
      <c r="Z371" s="531"/>
      <c r="AA371" s="449">
        <f t="shared" si="323"/>
        <v>204.66666666666666</v>
      </c>
      <c r="AB371" s="449">
        <f t="shared" si="323"/>
        <v>204.66666666666666</v>
      </c>
      <c r="AC371" s="449">
        <f t="shared" si="323"/>
        <v>204.66666666666666</v>
      </c>
      <c r="AD371" s="449">
        <f t="shared" si="323"/>
        <v>204.66666666666666</v>
      </c>
      <c r="AE371" s="449">
        <f t="shared" si="323"/>
        <v>204.66666666666666</v>
      </c>
      <c r="AF371" s="449">
        <f t="shared" si="323"/>
        <v>204.66666666666666</v>
      </c>
      <c r="AG371" s="449">
        <f t="shared" si="323"/>
        <v>204.66666666666666</v>
      </c>
      <c r="AH371" s="449">
        <f t="shared" si="323"/>
        <v>204.66666666666666</v>
      </c>
      <c r="AI371" s="449">
        <f t="shared" si="323"/>
        <v>204.66666666666666</v>
      </c>
      <c r="AJ371" s="449">
        <f t="shared" si="323"/>
        <v>204.66666666666666</v>
      </c>
      <c r="AK371" s="449">
        <f t="shared" si="323"/>
        <v>204.66666666666666</v>
      </c>
      <c r="AL371" s="449">
        <f t="shared" si="323"/>
        <v>204.66666666666666</v>
      </c>
      <c r="AN371" s="500">
        <f>SUM(L371:W371)</f>
        <v>2456</v>
      </c>
      <c r="AO371" s="449">
        <f>SUM(BI371:BT371)</f>
        <v>2700.6136546184739</v>
      </c>
      <c r="AP371" s="449">
        <f>IFERROR(AO371-AN371,0)</f>
        <v>244.6136546184739</v>
      </c>
      <c r="AQ371" s="453">
        <f>IFERROR(AP371/ABS(AN371),"-")</f>
        <v>9.9598393574297187E-2</v>
      </c>
      <c r="AR371" s="449">
        <f>SUM(BI371:BT371)</f>
        <v>2700.6136546184739</v>
      </c>
      <c r="AS371" s="449">
        <f>IFERROR(AO371-AR371,0)</f>
        <v>0</v>
      </c>
      <c r="AT371" s="426">
        <f>IFERROR(AS371/ABS(AR371),0)</f>
        <v>0</v>
      </c>
      <c r="AU371" s="421"/>
      <c r="AV371" s="449">
        <f t="shared" si="324"/>
        <v>225.05113788487282</v>
      </c>
      <c r="AW371" s="449">
        <f t="shared" si="324"/>
        <v>225.05113788487282</v>
      </c>
      <c r="AX371" s="449">
        <f t="shared" si="324"/>
        <v>225.05113788487282</v>
      </c>
      <c r="AY371" s="449">
        <f t="shared" si="324"/>
        <v>225.05113788487282</v>
      </c>
      <c r="AZ371" s="449">
        <f t="shared" si="324"/>
        <v>225.05113788487282</v>
      </c>
      <c r="BA371" s="449">
        <f t="shared" si="324"/>
        <v>225.05113788487282</v>
      </c>
      <c r="BB371" s="449">
        <f t="shared" si="324"/>
        <v>225.05113788487282</v>
      </c>
      <c r="BC371" s="449">
        <f t="shared" si="324"/>
        <v>225.05113788487282</v>
      </c>
      <c r="BD371" s="449">
        <f t="shared" si="324"/>
        <v>225.05113788487282</v>
      </c>
      <c r="BE371" s="449">
        <f t="shared" si="324"/>
        <v>225.05113788487282</v>
      </c>
      <c r="BF371" s="449">
        <f t="shared" si="324"/>
        <v>225.05113788487282</v>
      </c>
      <c r="BG371" s="449">
        <f t="shared" si="324"/>
        <v>225.05113788487282</v>
      </c>
      <c r="BH371" s="400"/>
      <c r="BI371" s="449">
        <f t="shared" si="325"/>
        <v>225.05113788487282</v>
      </c>
      <c r="BJ371" s="449">
        <f t="shared" si="325"/>
        <v>225.05113788487282</v>
      </c>
      <c r="BK371" s="449">
        <f t="shared" si="325"/>
        <v>225.05113788487282</v>
      </c>
      <c r="BL371" s="449">
        <f t="shared" si="325"/>
        <v>225.05113788487282</v>
      </c>
      <c r="BM371" s="449">
        <f t="shared" si="325"/>
        <v>225.05113788487282</v>
      </c>
      <c r="BN371" s="449">
        <f t="shared" si="325"/>
        <v>225.05113788487282</v>
      </c>
      <c r="BO371" s="449">
        <f t="shared" si="325"/>
        <v>225.05113788487282</v>
      </c>
      <c r="BP371" s="449">
        <f t="shared" si="325"/>
        <v>225.05113788487282</v>
      </c>
      <c r="BQ371" s="449">
        <f t="shared" si="325"/>
        <v>225.05113788487282</v>
      </c>
      <c r="BR371" s="449">
        <f t="shared" si="325"/>
        <v>225.05113788487282</v>
      </c>
      <c r="BS371" s="449">
        <f t="shared" si="325"/>
        <v>225.05113788487282</v>
      </c>
      <c r="BT371" s="449">
        <f t="shared" si="325"/>
        <v>225.05113788487282</v>
      </c>
    </row>
    <row r="372" spans="1:74" ht="15" x14ac:dyDescent="0.25">
      <c r="A372" s="502" t="s">
        <v>625</v>
      </c>
      <c r="B372" s="502" t="s">
        <v>626</v>
      </c>
      <c r="C372" s="538"/>
      <c r="D372" s="500">
        <f>SUM(L372:W372)</f>
        <v>5000</v>
      </c>
      <c r="E372" s="449">
        <v>5000</v>
      </c>
      <c r="F372" s="449">
        <f>IFERROR(D372-E372,0)</f>
        <v>0</v>
      </c>
      <c r="G372" s="421">
        <f>IFERROR(F372/ABS(E372),0)</f>
        <v>0</v>
      </c>
      <c r="H372" s="449">
        <v>5000</v>
      </c>
      <c r="I372" s="449">
        <f>IFERROR(D372-H372,0)</f>
        <v>0</v>
      </c>
      <c r="J372" s="426">
        <f>IFERROR(I372/ABS(H372),0)</f>
        <v>0</v>
      </c>
      <c r="K372" s="421"/>
      <c r="L372" s="449">
        <v>0</v>
      </c>
      <c r="M372" s="449">
        <v>0</v>
      </c>
      <c r="N372" s="449">
        <v>0</v>
      </c>
      <c r="O372" s="449">
        <v>0</v>
      </c>
      <c r="P372" s="449">
        <v>0</v>
      </c>
      <c r="Q372" s="449">
        <v>0</v>
      </c>
      <c r="R372" s="449">
        <f>($H372-SUM($L372:Q372))/R$694</f>
        <v>833.33333333333337</v>
      </c>
      <c r="S372" s="449">
        <f>($H372-SUM($L372:R372))/S$694</f>
        <v>833.33333333333337</v>
      </c>
      <c r="T372" s="449">
        <f>($H372-SUM($L372:S372))/T$694</f>
        <v>833.33333333333326</v>
      </c>
      <c r="U372" s="449">
        <f>($H372-SUM($L372:T372))/U$694</f>
        <v>833.33333333333337</v>
      </c>
      <c r="V372" s="449">
        <f>($H372-SUM($L372:U372))/V$694</f>
        <v>833.33333333333326</v>
      </c>
      <c r="W372" s="449">
        <f>($H372-SUM($L372:V372))/W$694</f>
        <v>833.33333333333303</v>
      </c>
      <c r="X372" s="449"/>
      <c r="Y372" s="449">
        <f>SUM(L372:W372)</f>
        <v>5000</v>
      </c>
      <c r="Z372" s="531"/>
      <c r="AA372" s="449">
        <f t="shared" si="323"/>
        <v>416.66666666666669</v>
      </c>
      <c r="AB372" s="449">
        <f t="shared" si="323"/>
        <v>416.66666666666669</v>
      </c>
      <c r="AC372" s="449">
        <f t="shared" si="323"/>
        <v>416.66666666666669</v>
      </c>
      <c r="AD372" s="449">
        <f t="shared" si="323"/>
        <v>416.66666666666669</v>
      </c>
      <c r="AE372" s="449">
        <f t="shared" si="323"/>
        <v>416.66666666666669</v>
      </c>
      <c r="AF372" s="449">
        <f t="shared" si="323"/>
        <v>416.66666666666669</v>
      </c>
      <c r="AG372" s="449">
        <f t="shared" si="323"/>
        <v>416.66666666666669</v>
      </c>
      <c r="AH372" s="449">
        <f t="shared" si="323"/>
        <v>416.66666666666669</v>
      </c>
      <c r="AI372" s="449">
        <f t="shared" si="323"/>
        <v>416.66666666666669</v>
      </c>
      <c r="AJ372" s="449">
        <f t="shared" si="323"/>
        <v>416.66666666666669</v>
      </c>
      <c r="AK372" s="449">
        <f t="shared" si="323"/>
        <v>416.66666666666669</v>
      </c>
      <c r="AL372" s="449">
        <f t="shared" si="323"/>
        <v>416.66666666666669</v>
      </c>
      <c r="AN372" s="500">
        <f>SUM(L372:W372)</f>
        <v>5000</v>
      </c>
      <c r="AO372" s="449">
        <f>SUM(BI372:BT372)</f>
        <v>5000</v>
      </c>
      <c r="AP372" s="449">
        <f>IFERROR(AO372-AN372,0)</f>
        <v>0</v>
      </c>
      <c r="AQ372" s="453">
        <f>IFERROR(AP372/ABS(AN372),"-")</f>
        <v>0</v>
      </c>
      <c r="AR372" s="449">
        <f>SUM(BI372:BT372)</f>
        <v>5000</v>
      </c>
      <c r="AS372" s="449">
        <f>IFERROR(AO372-AR372,0)</f>
        <v>0</v>
      </c>
      <c r="AT372" s="426">
        <f>IFERROR(AS372/ABS(AR372),0)</f>
        <v>0</v>
      </c>
      <c r="AU372" s="421"/>
      <c r="AV372" s="449">
        <f t="shared" si="324"/>
        <v>416.66666666666669</v>
      </c>
      <c r="AW372" s="449">
        <f t="shared" si="324"/>
        <v>416.66666666666669</v>
      </c>
      <c r="AX372" s="449">
        <f t="shared" si="324"/>
        <v>416.66666666666669</v>
      </c>
      <c r="AY372" s="449">
        <f t="shared" si="324"/>
        <v>416.66666666666669</v>
      </c>
      <c r="AZ372" s="449">
        <f t="shared" si="324"/>
        <v>416.66666666666669</v>
      </c>
      <c r="BA372" s="449">
        <f t="shared" si="324"/>
        <v>416.66666666666669</v>
      </c>
      <c r="BB372" s="449">
        <f t="shared" si="324"/>
        <v>416.66666666666669</v>
      </c>
      <c r="BC372" s="449">
        <f t="shared" si="324"/>
        <v>416.66666666666669</v>
      </c>
      <c r="BD372" s="449">
        <f t="shared" si="324"/>
        <v>416.66666666666669</v>
      </c>
      <c r="BE372" s="449">
        <f t="shared" si="324"/>
        <v>416.66666666666669</v>
      </c>
      <c r="BF372" s="449">
        <f t="shared" si="324"/>
        <v>416.66666666666669</v>
      </c>
      <c r="BG372" s="449">
        <f t="shared" si="324"/>
        <v>416.66666666666669</v>
      </c>
      <c r="BH372" s="400"/>
      <c r="BI372" s="449">
        <f t="shared" ref="BI372:BT372" si="326">IFERROR($H372/12,0)</f>
        <v>416.66666666666669</v>
      </c>
      <c r="BJ372" s="449">
        <f t="shared" si="326"/>
        <v>416.66666666666669</v>
      </c>
      <c r="BK372" s="449">
        <f t="shared" si="326"/>
        <v>416.66666666666669</v>
      </c>
      <c r="BL372" s="449">
        <f t="shared" si="326"/>
        <v>416.66666666666669</v>
      </c>
      <c r="BM372" s="449">
        <f t="shared" si="326"/>
        <v>416.66666666666669</v>
      </c>
      <c r="BN372" s="449">
        <f t="shared" si="326"/>
        <v>416.66666666666669</v>
      </c>
      <c r="BO372" s="449">
        <f t="shared" si="326"/>
        <v>416.66666666666669</v>
      </c>
      <c r="BP372" s="449">
        <f t="shared" si="326"/>
        <v>416.66666666666669</v>
      </c>
      <c r="BQ372" s="449">
        <f t="shared" si="326"/>
        <v>416.66666666666669</v>
      </c>
      <c r="BR372" s="449">
        <f t="shared" si="326"/>
        <v>416.66666666666669</v>
      </c>
      <c r="BS372" s="449">
        <f t="shared" si="326"/>
        <v>416.66666666666669</v>
      </c>
      <c r="BT372" s="449">
        <f t="shared" si="326"/>
        <v>416.66666666666669</v>
      </c>
    </row>
    <row r="373" spans="1:74" ht="15" x14ac:dyDescent="0.25">
      <c r="A373" s="502"/>
      <c r="B373" s="502"/>
      <c r="C373" s="538"/>
      <c r="D373" s="500"/>
      <c r="E373" s="449"/>
      <c r="F373" s="449"/>
      <c r="G373" s="421"/>
      <c r="H373" s="449"/>
      <c r="I373" s="449"/>
      <c r="J373" s="426"/>
      <c r="K373" s="421"/>
      <c r="L373" s="449"/>
      <c r="M373" s="449"/>
      <c r="N373" s="449"/>
      <c r="O373" s="449"/>
      <c r="P373" s="449"/>
      <c r="Q373" s="449"/>
      <c r="R373" s="449"/>
      <c r="S373" s="449"/>
      <c r="T373" s="449"/>
      <c r="U373" s="449"/>
      <c r="V373" s="449"/>
      <c r="W373" s="449"/>
      <c r="X373" s="449"/>
      <c r="Y373" s="449"/>
      <c r="Z373" s="531"/>
      <c r="AA373" s="449"/>
      <c r="AB373" s="449"/>
      <c r="AC373" s="449"/>
      <c r="AD373" s="449"/>
      <c r="AE373" s="449"/>
      <c r="AF373" s="449"/>
      <c r="AG373" s="449"/>
      <c r="AH373" s="449"/>
      <c r="AI373" s="449"/>
      <c r="AJ373" s="449"/>
      <c r="AK373" s="449"/>
      <c r="AL373" s="449"/>
      <c r="AN373" s="500"/>
      <c r="AO373" s="449"/>
      <c r="AP373" s="449"/>
      <c r="AQ373" s="453"/>
      <c r="AR373" s="449"/>
      <c r="AS373" s="449"/>
      <c r="AT373" s="426"/>
      <c r="AU373" s="421"/>
      <c r="AV373" s="449"/>
      <c r="AW373" s="449"/>
      <c r="AX373" s="449"/>
      <c r="AY373" s="449"/>
      <c r="AZ373" s="449"/>
      <c r="BA373" s="449"/>
      <c r="BB373" s="449"/>
      <c r="BC373" s="449"/>
      <c r="BD373" s="449"/>
      <c r="BE373" s="449"/>
      <c r="BF373" s="449"/>
      <c r="BG373" s="449"/>
      <c r="BH373" s="531"/>
      <c r="BI373" s="449"/>
      <c r="BJ373" s="449"/>
      <c r="BK373" s="449"/>
      <c r="BL373" s="449"/>
      <c r="BM373" s="449"/>
      <c r="BN373" s="449"/>
      <c r="BO373" s="449"/>
      <c r="BP373" s="449"/>
      <c r="BQ373" s="449"/>
      <c r="BR373" s="449"/>
      <c r="BS373" s="449"/>
      <c r="BT373" s="449"/>
    </row>
    <row r="374" spans="1:74" s="536" customFormat="1" ht="15.75" thickBot="1" x14ac:dyDescent="0.3">
      <c r="A374" s="524"/>
      <c r="B374" s="524" t="s">
        <v>627</v>
      </c>
      <c r="C374" s="535"/>
      <c r="D374" s="532">
        <f>SUM(D370:D373)</f>
        <v>11956</v>
      </c>
      <c r="E374" s="533">
        <f>SUM(E370:E373)</f>
        <v>21956.260000000002</v>
      </c>
      <c r="F374" s="533">
        <f>IFERROR(D374-E374,0)</f>
        <v>-10000.260000000002</v>
      </c>
      <c r="G374" s="520">
        <f>IFERROR(F374/ABS(E374),0)</f>
        <v>-0.45546281561613866</v>
      </c>
      <c r="H374" s="533">
        <f>SUM(H370:H373)</f>
        <v>11956</v>
      </c>
      <c r="I374" s="533">
        <f>IFERROR(D374-H374,0)</f>
        <v>0</v>
      </c>
      <c r="J374" s="521">
        <f>IFERROR(I374/ABS(H374),0)</f>
        <v>0</v>
      </c>
      <c r="K374" s="507"/>
      <c r="L374" s="533">
        <f>SUM(L370:L373)</f>
        <v>0</v>
      </c>
      <c r="M374" s="533">
        <f t="shared" ref="M374:W374" si="327">SUM(M370:M373)</f>
        <v>0</v>
      </c>
      <c r="N374" s="533">
        <f t="shared" si="327"/>
        <v>0</v>
      </c>
      <c r="O374" s="533">
        <f t="shared" si="327"/>
        <v>0</v>
      </c>
      <c r="P374" s="533">
        <f t="shared" si="327"/>
        <v>0</v>
      </c>
      <c r="Q374" s="533">
        <f t="shared" si="327"/>
        <v>0</v>
      </c>
      <c r="R374" s="533">
        <f t="shared" si="327"/>
        <v>1992.6666666666665</v>
      </c>
      <c r="S374" s="533">
        <f t="shared" si="327"/>
        <v>1992.666666666667</v>
      </c>
      <c r="T374" s="533">
        <f t="shared" si="327"/>
        <v>1992.6666666666665</v>
      </c>
      <c r="U374" s="533">
        <f t="shared" si="327"/>
        <v>1992.6666666666665</v>
      </c>
      <c r="V374" s="533">
        <f t="shared" si="327"/>
        <v>1992.6666666666667</v>
      </c>
      <c r="W374" s="533">
        <f t="shared" si="327"/>
        <v>1992.6666666666665</v>
      </c>
      <c r="X374" s="533"/>
      <c r="Y374" s="533">
        <f>SUM(L374:W374)</f>
        <v>11955.999999999998</v>
      </c>
      <c r="Z374" s="508"/>
      <c r="AA374" s="533">
        <f t="shared" ref="AA374:AL374" si="328">SUM(AA370:AA373)</f>
        <v>996.33333333333326</v>
      </c>
      <c r="AB374" s="533">
        <f t="shared" si="328"/>
        <v>996.33333333333326</v>
      </c>
      <c r="AC374" s="533">
        <f t="shared" si="328"/>
        <v>996.33333333333326</v>
      </c>
      <c r="AD374" s="533">
        <f t="shared" si="328"/>
        <v>996.33333333333326</v>
      </c>
      <c r="AE374" s="533">
        <f t="shared" si="328"/>
        <v>996.33333333333326</v>
      </c>
      <c r="AF374" s="533">
        <f t="shared" si="328"/>
        <v>996.33333333333326</v>
      </c>
      <c r="AG374" s="533">
        <f t="shared" si="328"/>
        <v>996.33333333333326</v>
      </c>
      <c r="AH374" s="533">
        <f t="shared" si="328"/>
        <v>996.33333333333326</v>
      </c>
      <c r="AI374" s="533">
        <f t="shared" si="328"/>
        <v>996.33333333333326</v>
      </c>
      <c r="AJ374" s="533">
        <f t="shared" si="328"/>
        <v>996.33333333333326</v>
      </c>
      <c r="AK374" s="533">
        <f t="shared" si="328"/>
        <v>996.33333333333326</v>
      </c>
      <c r="AL374" s="533">
        <f t="shared" si="328"/>
        <v>996.33333333333326</v>
      </c>
      <c r="AN374" s="532">
        <f>SUM(AN370:AN373)</f>
        <v>11956</v>
      </c>
      <c r="AO374" s="533">
        <f>SUM(AO370:AO373)</f>
        <v>12648.806425702811</v>
      </c>
      <c r="AP374" s="533">
        <f>IFERROR(AO374-AN374,0)</f>
        <v>692.80642570281088</v>
      </c>
      <c r="AQ374" s="523">
        <f>IFERROR(AP374/ABS(AN374),"-")</f>
        <v>5.7946338717197295E-2</v>
      </c>
      <c r="AR374" s="533">
        <f>SUM(AR370:AR373)</f>
        <v>12648.806425702811</v>
      </c>
      <c r="AS374" s="533">
        <f>IFERROR(AO374-AR374,0)</f>
        <v>0</v>
      </c>
      <c r="AT374" s="521">
        <f>IFERROR(AS374/ABS(AR374),0)</f>
        <v>0</v>
      </c>
      <c r="AU374" s="507"/>
      <c r="AV374" s="533">
        <f>SUM(AV370:AV373)</f>
        <v>1054.0672021419009</v>
      </c>
      <c r="AW374" s="533">
        <f t="shared" ref="AW374:BG374" si="329">SUM(AW370:AW373)</f>
        <v>1054.0672021419009</v>
      </c>
      <c r="AX374" s="533">
        <f t="shared" si="329"/>
        <v>1054.0672021419009</v>
      </c>
      <c r="AY374" s="533">
        <f t="shared" si="329"/>
        <v>1054.0672021419009</v>
      </c>
      <c r="AZ374" s="533">
        <f t="shared" si="329"/>
        <v>1054.0672021419009</v>
      </c>
      <c r="BA374" s="533">
        <f t="shared" si="329"/>
        <v>1054.0672021419009</v>
      </c>
      <c r="BB374" s="533">
        <f t="shared" si="329"/>
        <v>1054.0672021419009</v>
      </c>
      <c r="BC374" s="533">
        <f t="shared" si="329"/>
        <v>1054.0672021419009</v>
      </c>
      <c r="BD374" s="533">
        <f t="shared" si="329"/>
        <v>1054.0672021419009</v>
      </c>
      <c r="BE374" s="533">
        <f t="shared" si="329"/>
        <v>1054.0672021419009</v>
      </c>
      <c r="BF374" s="533">
        <f t="shared" si="329"/>
        <v>1054.0672021419009</v>
      </c>
      <c r="BG374" s="533">
        <f t="shared" si="329"/>
        <v>1054.0672021419009</v>
      </c>
      <c r="BH374" s="508"/>
      <c r="BI374" s="533">
        <f t="shared" ref="BI374:BT374" si="330">SUM(BI370:BI373)</f>
        <v>1054.0672021419009</v>
      </c>
      <c r="BJ374" s="533">
        <f t="shared" si="330"/>
        <v>1054.0672021419009</v>
      </c>
      <c r="BK374" s="533">
        <f t="shared" si="330"/>
        <v>1054.0672021419009</v>
      </c>
      <c r="BL374" s="533">
        <f t="shared" si="330"/>
        <v>1054.0672021419009</v>
      </c>
      <c r="BM374" s="533">
        <f t="shared" si="330"/>
        <v>1054.0672021419009</v>
      </c>
      <c r="BN374" s="533">
        <f t="shared" si="330"/>
        <v>1054.0672021419009</v>
      </c>
      <c r="BO374" s="533">
        <f t="shared" si="330"/>
        <v>1054.0672021419009</v>
      </c>
      <c r="BP374" s="533">
        <f t="shared" si="330"/>
        <v>1054.0672021419009</v>
      </c>
      <c r="BQ374" s="533">
        <f t="shared" si="330"/>
        <v>1054.0672021419009</v>
      </c>
      <c r="BR374" s="533">
        <f t="shared" si="330"/>
        <v>1054.0672021419009</v>
      </c>
      <c r="BS374" s="533">
        <f t="shared" si="330"/>
        <v>1054.0672021419009</v>
      </c>
      <c r="BT374" s="533">
        <f t="shared" si="330"/>
        <v>1054.0672021419009</v>
      </c>
      <c r="BV374" s="400"/>
    </row>
    <row r="375" spans="1:74" ht="15.75" thickTop="1" x14ac:dyDescent="0.25">
      <c r="A375" s="502"/>
      <c r="B375" s="502"/>
      <c r="C375" s="538"/>
      <c r="D375" s="500"/>
      <c r="E375" s="449"/>
      <c r="F375" s="449"/>
      <c r="G375" s="421"/>
      <c r="H375" s="449"/>
      <c r="I375" s="449"/>
      <c r="J375" s="426"/>
      <c r="K375" s="421"/>
      <c r="L375" s="449"/>
      <c r="M375" s="449"/>
      <c r="N375" s="449"/>
      <c r="O375" s="449"/>
      <c r="P375" s="449"/>
      <c r="Q375" s="449"/>
      <c r="R375" s="449"/>
      <c r="S375" s="449"/>
      <c r="T375" s="449"/>
      <c r="U375" s="449"/>
      <c r="V375" s="449"/>
      <c r="W375" s="449"/>
      <c r="X375" s="449"/>
      <c r="Y375" s="449"/>
      <c r="Z375" s="531"/>
      <c r="AA375" s="449"/>
      <c r="AB375" s="449"/>
      <c r="AC375" s="449"/>
      <c r="AD375" s="449"/>
      <c r="AE375" s="449"/>
      <c r="AF375" s="449"/>
      <c r="AG375" s="449"/>
      <c r="AH375" s="449"/>
      <c r="AI375" s="449"/>
      <c r="AJ375" s="449"/>
      <c r="AK375" s="449"/>
      <c r="AL375" s="449"/>
      <c r="AN375" s="500"/>
      <c r="AO375" s="449"/>
      <c r="AP375" s="449"/>
      <c r="AQ375" s="453"/>
      <c r="AR375" s="449"/>
      <c r="AS375" s="449"/>
      <c r="AT375" s="426"/>
      <c r="AU375" s="421"/>
      <c r="AV375" s="449"/>
      <c r="AW375" s="449"/>
      <c r="AX375" s="449"/>
      <c r="AY375" s="449"/>
      <c r="AZ375" s="449"/>
      <c r="BA375" s="449"/>
      <c r="BB375" s="449"/>
      <c r="BC375" s="449"/>
      <c r="BD375" s="449"/>
      <c r="BE375" s="449"/>
      <c r="BF375" s="449"/>
      <c r="BG375" s="449"/>
      <c r="BH375" s="531"/>
      <c r="BI375" s="449"/>
      <c r="BJ375" s="449"/>
      <c r="BK375" s="449"/>
      <c r="BL375" s="449"/>
      <c r="BM375" s="449"/>
      <c r="BN375" s="449"/>
      <c r="BO375" s="449"/>
      <c r="BP375" s="449"/>
      <c r="BQ375" s="449"/>
      <c r="BR375" s="449"/>
      <c r="BS375" s="449"/>
      <c r="BT375" s="449"/>
    </row>
    <row r="376" spans="1:74" ht="15.75" x14ac:dyDescent="0.25">
      <c r="A376" s="502"/>
      <c r="B376" s="525" t="s">
        <v>628</v>
      </c>
      <c r="C376" s="538"/>
      <c r="D376" s="500"/>
      <c r="E376" s="449"/>
      <c r="F376" s="449"/>
      <c r="G376" s="421"/>
      <c r="H376" s="449"/>
      <c r="I376" s="449"/>
      <c r="J376" s="426"/>
      <c r="K376" s="421"/>
      <c r="L376" s="449"/>
      <c r="M376" s="449"/>
      <c r="N376" s="449"/>
      <c r="O376" s="449"/>
      <c r="P376" s="449"/>
      <c r="Q376" s="449"/>
      <c r="R376" s="449"/>
      <c r="S376" s="449"/>
      <c r="T376" s="449"/>
      <c r="U376" s="449"/>
      <c r="V376" s="449"/>
      <c r="W376" s="449"/>
      <c r="X376" s="449"/>
      <c r="Y376" s="449"/>
      <c r="Z376" s="531"/>
      <c r="AA376" s="449"/>
      <c r="AB376" s="449"/>
      <c r="AC376" s="449"/>
      <c r="AD376" s="449"/>
      <c r="AE376" s="449"/>
      <c r="AF376" s="449"/>
      <c r="AG376" s="449"/>
      <c r="AH376" s="449"/>
      <c r="AI376" s="449"/>
      <c r="AJ376" s="449"/>
      <c r="AK376" s="449"/>
      <c r="AL376" s="449"/>
      <c r="AN376" s="500"/>
      <c r="AO376" s="449"/>
      <c r="AP376" s="449"/>
      <c r="AQ376" s="453"/>
      <c r="AR376" s="449"/>
      <c r="AS376" s="449"/>
      <c r="AT376" s="426"/>
      <c r="AU376" s="421"/>
      <c r="AV376" s="449"/>
      <c r="AW376" s="449"/>
      <c r="AX376" s="449"/>
      <c r="AY376" s="449"/>
      <c r="AZ376" s="449"/>
      <c r="BA376" s="449"/>
      <c r="BB376" s="449"/>
      <c r="BC376" s="449"/>
      <c r="BD376" s="449"/>
      <c r="BE376" s="449"/>
      <c r="BF376" s="449"/>
      <c r="BG376" s="449"/>
      <c r="BH376" s="531"/>
      <c r="BI376" s="449"/>
      <c r="BJ376" s="449"/>
      <c r="BK376" s="449"/>
      <c r="BL376" s="449"/>
      <c r="BM376" s="449"/>
      <c r="BN376" s="449"/>
      <c r="BO376" s="449"/>
      <c r="BP376" s="449"/>
      <c r="BQ376" s="449"/>
      <c r="BR376" s="449"/>
      <c r="BS376" s="449"/>
      <c r="BT376" s="449"/>
    </row>
    <row r="377" spans="1:74" ht="8.25" customHeight="1" x14ac:dyDescent="0.25">
      <c r="A377" s="502"/>
      <c r="B377" s="502"/>
      <c r="C377" s="538"/>
      <c r="D377" s="500"/>
      <c r="E377" s="449"/>
      <c r="F377" s="449"/>
      <c r="G377" s="421"/>
      <c r="H377" s="449"/>
      <c r="I377" s="449"/>
      <c r="J377" s="426"/>
      <c r="K377" s="421"/>
      <c r="L377" s="449"/>
      <c r="M377" s="449"/>
      <c r="N377" s="449"/>
      <c r="O377" s="449"/>
      <c r="P377" s="449"/>
      <c r="Q377" s="449"/>
      <c r="R377" s="449"/>
      <c r="S377" s="449"/>
      <c r="T377" s="449"/>
      <c r="U377" s="449"/>
      <c r="V377" s="449"/>
      <c r="W377" s="449"/>
      <c r="X377" s="449"/>
      <c r="Y377" s="449"/>
      <c r="Z377" s="531"/>
      <c r="AA377" s="449"/>
      <c r="AB377" s="449"/>
      <c r="AC377" s="449"/>
      <c r="AD377" s="449"/>
      <c r="AE377" s="449"/>
      <c r="AF377" s="449"/>
      <c r="AG377" s="449"/>
      <c r="AH377" s="449"/>
      <c r="AI377" s="449"/>
      <c r="AJ377" s="449"/>
      <c r="AK377" s="449"/>
      <c r="AL377" s="449"/>
      <c r="AN377" s="500"/>
      <c r="AO377" s="449"/>
      <c r="AP377" s="449"/>
      <c r="AQ377" s="453"/>
      <c r="AR377" s="449"/>
      <c r="AS377" s="449"/>
      <c r="AT377" s="426"/>
      <c r="AU377" s="421"/>
      <c r="AV377" s="449"/>
      <c r="AW377" s="449"/>
      <c r="AX377" s="449"/>
      <c r="AY377" s="449"/>
      <c r="AZ377" s="449"/>
      <c r="BA377" s="449"/>
      <c r="BB377" s="449"/>
      <c r="BC377" s="449"/>
      <c r="BD377" s="449"/>
      <c r="BE377" s="449"/>
      <c r="BF377" s="449"/>
      <c r="BG377" s="449"/>
      <c r="BH377" s="531"/>
      <c r="BI377" s="449"/>
      <c r="BJ377" s="449"/>
      <c r="BK377" s="449"/>
      <c r="BL377" s="449"/>
      <c r="BM377" s="449"/>
      <c r="BN377" s="449"/>
      <c r="BO377" s="449"/>
      <c r="BP377" s="449"/>
      <c r="BQ377" s="449"/>
      <c r="BR377" s="449"/>
      <c r="BS377" s="449"/>
      <c r="BT377" s="449"/>
    </row>
    <row r="378" spans="1:74" ht="15" x14ac:dyDescent="0.25">
      <c r="A378" s="502" t="s">
        <v>629</v>
      </c>
      <c r="B378" s="502" t="s">
        <v>630</v>
      </c>
      <c r="C378" s="538"/>
      <c r="D378" s="500">
        <f>SUM(L378:W378)</f>
        <v>12056</v>
      </c>
      <c r="E378" s="449">
        <v>12056.25</v>
      </c>
      <c r="F378" s="449">
        <f>IFERROR(D378-E378,0)</f>
        <v>-0.25</v>
      </c>
      <c r="G378" s="421">
        <f>IFERROR(F378/ABS(E378),0)</f>
        <v>-2.0736132711249351E-5</v>
      </c>
      <c r="H378" s="449">
        <v>12056</v>
      </c>
      <c r="I378" s="449">
        <f>IFERROR(D378-H378,0)</f>
        <v>0</v>
      </c>
      <c r="J378" s="426">
        <f>IFERROR(I378/ABS(H378),0)</f>
        <v>0</v>
      </c>
      <c r="K378" s="421"/>
      <c r="L378" s="449">
        <v>0</v>
      </c>
      <c r="M378" s="449">
        <v>0</v>
      </c>
      <c r="N378" s="449">
        <v>0</v>
      </c>
      <c r="O378" s="449">
        <v>0</v>
      </c>
      <c r="P378" s="449">
        <v>0</v>
      </c>
      <c r="Q378" s="449">
        <v>0</v>
      </c>
      <c r="R378" s="449">
        <f>($H378-SUM($L378:Q378))/R$694</f>
        <v>2009.3333333333333</v>
      </c>
      <c r="S378" s="449">
        <f>($H378-SUM($L378:R378))/S$694</f>
        <v>2009.3333333333333</v>
      </c>
      <c r="T378" s="449">
        <f>($H378-SUM($L378:S378))/T$694</f>
        <v>2009.3333333333335</v>
      </c>
      <c r="U378" s="449">
        <f>($H378-SUM($L378:T378))/U$694</f>
        <v>2009.3333333333333</v>
      </c>
      <c r="V378" s="449">
        <f>($H378-SUM($L378:U378))/V$694</f>
        <v>2009.3333333333335</v>
      </c>
      <c r="W378" s="449">
        <f>($H378-SUM($L378:V378))/W$694</f>
        <v>2009.3333333333339</v>
      </c>
      <c r="X378" s="449"/>
      <c r="Y378" s="449">
        <f>SUM(L378:W378)</f>
        <v>12056</v>
      </c>
      <c r="Z378" s="531"/>
      <c r="AA378" s="449">
        <f t="shared" ref="AA378:AL380" si="331">IFERROR($H378/12,0)</f>
        <v>1004.6666666666666</v>
      </c>
      <c r="AB378" s="449">
        <f t="shared" si="331"/>
        <v>1004.6666666666666</v>
      </c>
      <c r="AC378" s="449">
        <f t="shared" si="331"/>
        <v>1004.6666666666666</v>
      </c>
      <c r="AD378" s="449">
        <f t="shared" si="331"/>
        <v>1004.6666666666666</v>
      </c>
      <c r="AE378" s="449">
        <f t="shared" si="331"/>
        <v>1004.6666666666666</v>
      </c>
      <c r="AF378" s="449">
        <f t="shared" si="331"/>
        <v>1004.6666666666666</v>
      </c>
      <c r="AG378" s="449">
        <f t="shared" si="331"/>
        <v>1004.6666666666666</v>
      </c>
      <c r="AH378" s="449">
        <f t="shared" si="331"/>
        <v>1004.6666666666666</v>
      </c>
      <c r="AI378" s="449">
        <f t="shared" si="331"/>
        <v>1004.6666666666666</v>
      </c>
      <c r="AJ378" s="449">
        <f t="shared" si="331"/>
        <v>1004.6666666666666</v>
      </c>
      <c r="AK378" s="449">
        <f t="shared" si="331"/>
        <v>1004.6666666666666</v>
      </c>
      <c r="AL378" s="449">
        <f t="shared" si="331"/>
        <v>1004.6666666666666</v>
      </c>
      <c r="AN378" s="500">
        <f>SUM(L378:W378)</f>
        <v>12056</v>
      </c>
      <c r="AO378" s="449">
        <f>SUM(BI378:BT378)</f>
        <v>12417.680000000002</v>
      </c>
      <c r="AP378" s="449">
        <f>IFERROR(AO378-AN378,0)</f>
        <v>361.68000000000211</v>
      </c>
      <c r="AQ378" s="453">
        <f>IFERROR(AP378/ABS(AN378),"-")</f>
        <v>3.0000000000000176E-2</v>
      </c>
      <c r="AR378" s="449">
        <f>SUM(BI378:BT378)</f>
        <v>12417.680000000002</v>
      </c>
      <c r="AS378" s="449">
        <f>IFERROR(AO378-AR378,0)</f>
        <v>0</v>
      </c>
      <c r="AT378" s="426">
        <f>IFERROR(AS378/ABS(AR378),0)</f>
        <v>0</v>
      </c>
      <c r="AU378" s="421"/>
      <c r="AV378" s="449">
        <f t="shared" ref="AV378:BG380" si="332">BI378</f>
        <v>1034.8066666666666</v>
      </c>
      <c r="AW378" s="449">
        <f t="shared" si="332"/>
        <v>1034.8066666666666</v>
      </c>
      <c r="AX378" s="449">
        <f t="shared" si="332"/>
        <v>1034.8066666666666</v>
      </c>
      <c r="AY378" s="449">
        <f t="shared" si="332"/>
        <v>1034.8066666666666</v>
      </c>
      <c r="AZ378" s="449">
        <f t="shared" si="332"/>
        <v>1034.8066666666666</v>
      </c>
      <c r="BA378" s="449">
        <f t="shared" si="332"/>
        <v>1034.8066666666666</v>
      </c>
      <c r="BB378" s="449">
        <f t="shared" si="332"/>
        <v>1034.8066666666666</v>
      </c>
      <c r="BC378" s="449">
        <f t="shared" si="332"/>
        <v>1034.8066666666666</v>
      </c>
      <c r="BD378" s="449">
        <f t="shared" si="332"/>
        <v>1034.8066666666666</v>
      </c>
      <c r="BE378" s="449">
        <f t="shared" si="332"/>
        <v>1034.8066666666666</v>
      </c>
      <c r="BF378" s="449">
        <f t="shared" si="332"/>
        <v>1034.8066666666666</v>
      </c>
      <c r="BG378" s="449">
        <f t="shared" si="332"/>
        <v>1034.8066666666666</v>
      </c>
      <c r="BH378" s="400"/>
      <c r="BI378" s="449">
        <f t="shared" ref="BI378:BT379" si="333">IFERROR(($H378*1.03)/12,0)</f>
        <v>1034.8066666666666</v>
      </c>
      <c r="BJ378" s="449">
        <f t="shared" si="333"/>
        <v>1034.8066666666666</v>
      </c>
      <c r="BK378" s="449">
        <f t="shared" si="333"/>
        <v>1034.8066666666666</v>
      </c>
      <c r="BL378" s="449">
        <f t="shared" si="333"/>
        <v>1034.8066666666666</v>
      </c>
      <c r="BM378" s="449">
        <f t="shared" si="333"/>
        <v>1034.8066666666666</v>
      </c>
      <c r="BN378" s="449">
        <f t="shared" si="333"/>
        <v>1034.8066666666666</v>
      </c>
      <c r="BO378" s="449">
        <f t="shared" si="333"/>
        <v>1034.8066666666666</v>
      </c>
      <c r="BP378" s="449">
        <f t="shared" si="333"/>
        <v>1034.8066666666666</v>
      </c>
      <c r="BQ378" s="449">
        <f t="shared" si="333"/>
        <v>1034.8066666666666</v>
      </c>
      <c r="BR378" s="449">
        <f t="shared" si="333"/>
        <v>1034.8066666666666</v>
      </c>
      <c r="BS378" s="449">
        <f t="shared" si="333"/>
        <v>1034.8066666666666</v>
      </c>
      <c r="BT378" s="449">
        <f t="shared" si="333"/>
        <v>1034.8066666666666</v>
      </c>
    </row>
    <row r="379" spans="1:74" ht="15" x14ac:dyDescent="0.25">
      <c r="A379" s="502" t="s">
        <v>631</v>
      </c>
      <c r="B379" s="502" t="s">
        <v>632</v>
      </c>
      <c r="C379" s="538"/>
      <c r="D379" s="500">
        <f>SUM(L379:W379)</f>
        <v>12860</v>
      </c>
      <c r="E379" s="449">
        <v>12860</v>
      </c>
      <c r="F379" s="449">
        <f>IFERROR(D379-E379,0)</f>
        <v>0</v>
      </c>
      <c r="G379" s="421">
        <f>IFERROR(F379/ABS(E379),0)</f>
        <v>0</v>
      </c>
      <c r="H379" s="449">
        <v>12860</v>
      </c>
      <c r="I379" s="449">
        <f>IFERROR(D379-H379,0)</f>
        <v>0</v>
      </c>
      <c r="J379" s="426">
        <f>IFERROR(I379/ABS(H379),0)</f>
        <v>0</v>
      </c>
      <c r="K379" s="421"/>
      <c r="L379" s="449">
        <v>0</v>
      </c>
      <c r="M379" s="449">
        <v>2700</v>
      </c>
      <c r="N379" s="449">
        <v>0</v>
      </c>
      <c r="O379" s="449">
        <v>4500</v>
      </c>
      <c r="P379" s="449">
        <v>0</v>
      </c>
      <c r="Q379" s="449">
        <v>1500</v>
      </c>
      <c r="R379" s="449">
        <f>($H379-SUM($L379:Q379))/R$694</f>
        <v>693.33333333333337</v>
      </c>
      <c r="S379" s="449">
        <f>($H379-SUM($L379:R379))/S$694</f>
        <v>693.33333333333326</v>
      </c>
      <c r="T379" s="449">
        <f>($H379-SUM($L379:S379))/T$694</f>
        <v>693.33333333333303</v>
      </c>
      <c r="U379" s="449">
        <f>($H379-SUM($L379:T379))/U$694</f>
        <v>693.33333333333337</v>
      </c>
      <c r="V379" s="449">
        <f>($H379-SUM($L379:U379))/V$694</f>
        <v>693.33333333333303</v>
      </c>
      <c r="W379" s="449">
        <f>($H379-SUM($L379:V379))/W$694</f>
        <v>693.33333333333212</v>
      </c>
      <c r="X379" s="449"/>
      <c r="Y379" s="449">
        <f>SUM(L379:W379)</f>
        <v>12860</v>
      </c>
      <c r="Z379" s="531"/>
      <c r="AA379" s="449">
        <f t="shared" si="331"/>
        <v>1071.6666666666667</v>
      </c>
      <c r="AB379" s="449">
        <f t="shared" si="331"/>
        <v>1071.6666666666667</v>
      </c>
      <c r="AC379" s="449">
        <f t="shared" si="331"/>
        <v>1071.6666666666667</v>
      </c>
      <c r="AD379" s="449">
        <f t="shared" si="331"/>
        <v>1071.6666666666667</v>
      </c>
      <c r="AE379" s="449">
        <f t="shared" si="331"/>
        <v>1071.6666666666667</v>
      </c>
      <c r="AF379" s="449">
        <f t="shared" si="331"/>
        <v>1071.6666666666667</v>
      </c>
      <c r="AG379" s="449">
        <f t="shared" si="331"/>
        <v>1071.6666666666667</v>
      </c>
      <c r="AH379" s="449">
        <f t="shared" si="331"/>
        <v>1071.6666666666667</v>
      </c>
      <c r="AI379" s="449">
        <f t="shared" si="331"/>
        <v>1071.6666666666667</v>
      </c>
      <c r="AJ379" s="449">
        <f t="shared" si="331"/>
        <v>1071.6666666666667</v>
      </c>
      <c r="AK379" s="449">
        <f t="shared" si="331"/>
        <v>1071.6666666666667</v>
      </c>
      <c r="AL379" s="449">
        <f t="shared" si="331"/>
        <v>1071.6666666666667</v>
      </c>
      <c r="AN379" s="500">
        <f>SUM(L379:W379)</f>
        <v>12860</v>
      </c>
      <c r="AO379" s="449">
        <f>SUM(BI379:BT379)</f>
        <v>13245.800000000005</v>
      </c>
      <c r="AP379" s="449">
        <f>IFERROR(AO379-AN379,0)</f>
        <v>385.80000000000473</v>
      </c>
      <c r="AQ379" s="453">
        <f>IFERROR(AP379/ABS(AN379),"-")</f>
        <v>3.0000000000000367E-2</v>
      </c>
      <c r="AR379" s="449">
        <f>SUM(BI379:BT379)</f>
        <v>13245.800000000005</v>
      </c>
      <c r="AS379" s="449">
        <f>IFERROR(AO379-AR379,0)</f>
        <v>0</v>
      </c>
      <c r="AT379" s="426">
        <f>IFERROR(AS379/ABS(AR379),0)</f>
        <v>0</v>
      </c>
      <c r="AU379" s="421"/>
      <c r="AV379" s="449">
        <f t="shared" si="332"/>
        <v>1103.8166666666668</v>
      </c>
      <c r="AW379" s="449">
        <f t="shared" si="332"/>
        <v>1103.8166666666668</v>
      </c>
      <c r="AX379" s="449">
        <f t="shared" si="332"/>
        <v>1103.8166666666668</v>
      </c>
      <c r="AY379" s="449">
        <f t="shared" si="332"/>
        <v>1103.8166666666668</v>
      </c>
      <c r="AZ379" s="449">
        <f t="shared" si="332"/>
        <v>1103.8166666666668</v>
      </c>
      <c r="BA379" s="449">
        <f t="shared" si="332"/>
        <v>1103.8166666666668</v>
      </c>
      <c r="BB379" s="449">
        <f t="shared" si="332"/>
        <v>1103.8166666666668</v>
      </c>
      <c r="BC379" s="449">
        <f t="shared" si="332"/>
        <v>1103.8166666666668</v>
      </c>
      <c r="BD379" s="449">
        <f t="shared" si="332"/>
        <v>1103.8166666666668</v>
      </c>
      <c r="BE379" s="449">
        <f t="shared" si="332"/>
        <v>1103.8166666666668</v>
      </c>
      <c r="BF379" s="449">
        <f t="shared" si="332"/>
        <v>1103.8166666666668</v>
      </c>
      <c r="BG379" s="449">
        <f t="shared" si="332"/>
        <v>1103.8166666666668</v>
      </c>
      <c r="BH379" s="400"/>
      <c r="BI379" s="449">
        <f t="shared" si="333"/>
        <v>1103.8166666666668</v>
      </c>
      <c r="BJ379" s="449">
        <f t="shared" si="333"/>
        <v>1103.8166666666668</v>
      </c>
      <c r="BK379" s="449">
        <f t="shared" si="333"/>
        <v>1103.8166666666668</v>
      </c>
      <c r="BL379" s="449">
        <f t="shared" si="333"/>
        <v>1103.8166666666668</v>
      </c>
      <c r="BM379" s="449">
        <f t="shared" si="333"/>
        <v>1103.8166666666668</v>
      </c>
      <c r="BN379" s="449">
        <f t="shared" si="333"/>
        <v>1103.8166666666668</v>
      </c>
      <c r="BO379" s="449">
        <f t="shared" si="333"/>
        <v>1103.8166666666668</v>
      </c>
      <c r="BP379" s="449">
        <f t="shared" si="333"/>
        <v>1103.8166666666668</v>
      </c>
      <c r="BQ379" s="449">
        <f t="shared" si="333"/>
        <v>1103.8166666666668</v>
      </c>
      <c r="BR379" s="449">
        <f t="shared" si="333"/>
        <v>1103.8166666666668</v>
      </c>
      <c r="BS379" s="449">
        <f t="shared" si="333"/>
        <v>1103.8166666666668</v>
      </c>
      <c r="BT379" s="449">
        <f t="shared" si="333"/>
        <v>1103.8166666666668</v>
      </c>
    </row>
    <row r="380" spans="1:74" ht="15" x14ac:dyDescent="0.25">
      <c r="A380" s="502" t="s">
        <v>633</v>
      </c>
      <c r="B380" s="502" t="s">
        <v>634</v>
      </c>
      <c r="C380" s="538" t="s">
        <v>573</v>
      </c>
      <c r="D380" s="500">
        <f>SUM(L380:W380)</f>
        <v>364226.03</v>
      </c>
      <c r="E380" s="449">
        <v>318198.87728999997</v>
      </c>
      <c r="F380" s="449">
        <f>IFERROR(D380-E380,0)</f>
        <v>46027.152710000053</v>
      </c>
      <c r="G380" s="421">
        <f>IFERROR(F380/ABS(E380),0)</f>
        <v>0.14464901039877601</v>
      </c>
      <c r="H380" s="449">
        <v>364226.03</v>
      </c>
      <c r="I380" s="449">
        <f>IFERROR(D380-H380,0)</f>
        <v>0</v>
      </c>
      <c r="J380" s="426">
        <f>IFERROR(I380/ABS(H380),0)</f>
        <v>0</v>
      </c>
      <c r="K380" s="421"/>
      <c r="L380" s="449">
        <v>23589.62</v>
      </c>
      <c r="M380" s="449">
        <v>44341.919999999998</v>
      </c>
      <c r="N380" s="449">
        <v>34101.64</v>
      </c>
      <c r="O380" s="449">
        <v>33965.770000000019</v>
      </c>
      <c r="P380" s="449">
        <v>33999.739999999991</v>
      </c>
      <c r="Q380" s="449">
        <v>33999.739999999991</v>
      </c>
      <c r="R380" s="449">
        <f>($H380-SUM($L380:Q380))/R$694</f>
        <v>26704.600000000006</v>
      </c>
      <c r="S380" s="449">
        <f>($H380-SUM($L380:R380))/S$694</f>
        <v>26704.600000000006</v>
      </c>
      <c r="T380" s="449">
        <f>($H380-SUM($L380:S380))/T$694</f>
        <v>26704.600000000006</v>
      </c>
      <c r="U380" s="449">
        <f>($H380-SUM($L380:T380))/U$694</f>
        <v>26704.600000000017</v>
      </c>
      <c r="V380" s="449">
        <f>($H380-SUM($L380:U380))/V$694</f>
        <v>26704.600000000006</v>
      </c>
      <c r="W380" s="449">
        <f>($H380-SUM($L380:V380))/W$694</f>
        <v>26704.599999999977</v>
      </c>
      <c r="X380" s="449"/>
      <c r="Y380" s="449">
        <f>SUM(L380:W380)</f>
        <v>364226.03</v>
      </c>
      <c r="Z380" s="531"/>
      <c r="AA380" s="449">
        <f t="shared" si="331"/>
        <v>30352.16916666667</v>
      </c>
      <c r="AB380" s="449">
        <f t="shared" si="331"/>
        <v>30352.16916666667</v>
      </c>
      <c r="AC380" s="449">
        <f t="shared" si="331"/>
        <v>30352.16916666667</v>
      </c>
      <c r="AD380" s="449">
        <f t="shared" si="331"/>
        <v>30352.16916666667</v>
      </c>
      <c r="AE380" s="449">
        <f t="shared" si="331"/>
        <v>30352.16916666667</v>
      </c>
      <c r="AF380" s="449">
        <f t="shared" si="331"/>
        <v>30352.16916666667</v>
      </c>
      <c r="AG380" s="449">
        <f t="shared" si="331"/>
        <v>30352.16916666667</v>
      </c>
      <c r="AH380" s="449">
        <f t="shared" si="331"/>
        <v>30352.16916666667</v>
      </c>
      <c r="AI380" s="449">
        <f t="shared" si="331"/>
        <v>30352.16916666667</v>
      </c>
      <c r="AJ380" s="449">
        <f t="shared" si="331"/>
        <v>30352.16916666667</v>
      </c>
      <c r="AK380" s="449">
        <f t="shared" si="331"/>
        <v>30352.16916666667</v>
      </c>
      <c r="AL380" s="449">
        <f t="shared" si="331"/>
        <v>30352.16916666667</v>
      </c>
      <c r="AN380" s="500">
        <f>SUM(L380:W380)</f>
        <v>364226.03</v>
      </c>
      <c r="AO380" s="449">
        <f>SUM(BI380:BT380)</f>
        <v>360364.62557254912</v>
      </c>
      <c r="AP380" s="449">
        <f>IFERROR(AO380-AN380,0)</f>
        <v>-3861.404427450907</v>
      </c>
      <c r="AQ380" s="453">
        <f>IFERROR(AP380/ABS(AN380),"-")</f>
        <v>-1.0601670691825367E-2</v>
      </c>
      <c r="AR380" s="449">
        <f>SUM(BI380:BT380)</f>
        <v>360364.62557254912</v>
      </c>
      <c r="AS380" s="449">
        <f>IFERROR(AO380-AR380,0)</f>
        <v>0</v>
      </c>
      <c r="AT380" s="426">
        <f>IFERROR(AS380/ABS(AR380),0)</f>
        <v>0</v>
      </c>
      <c r="AU380" s="421"/>
      <c r="AV380" s="449">
        <f t="shared" si="332"/>
        <v>30030.385464379095</v>
      </c>
      <c r="AW380" s="449">
        <f t="shared" si="332"/>
        <v>30030.385464379095</v>
      </c>
      <c r="AX380" s="449">
        <f t="shared" si="332"/>
        <v>30030.385464379095</v>
      </c>
      <c r="AY380" s="449">
        <f t="shared" si="332"/>
        <v>30030.385464379095</v>
      </c>
      <c r="AZ380" s="449">
        <f t="shared" si="332"/>
        <v>30030.385464379095</v>
      </c>
      <c r="BA380" s="449">
        <f t="shared" si="332"/>
        <v>30030.385464379095</v>
      </c>
      <c r="BB380" s="449">
        <f t="shared" si="332"/>
        <v>30030.385464379095</v>
      </c>
      <c r="BC380" s="449">
        <f t="shared" si="332"/>
        <v>30030.385464379095</v>
      </c>
      <c r="BD380" s="449">
        <f t="shared" si="332"/>
        <v>30030.385464379095</v>
      </c>
      <c r="BE380" s="449">
        <f t="shared" si="332"/>
        <v>30030.385464379095</v>
      </c>
      <c r="BF380" s="449">
        <f t="shared" si="332"/>
        <v>30030.385464379095</v>
      </c>
      <c r="BG380" s="449">
        <f t="shared" si="332"/>
        <v>30030.385464379095</v>
      </c>
      <c r="BH380" s="400"/>
      <c r="BI380" s="449">
        <f>0.035*(BI$30+BI$36+BI$39)</f>
        <v>30030.385464379095</v>
      </c>
      <c r="BJ380" s="449">
        <f t="shared" ref="BJ380:BT380" si="334">0.035*(BJ$30+BJ$36+BJ$39)</f>
        <v>30030.385464379095</v>
      </c>
      <c r="BK380" s="449">
        <f t="shared" si="334"/>
        <v>30030.385464379095</v>
      </c>
      <c r="BL380" s="449">
        <f t="shared" si="334"/>
        <v>30030.385464379095</v>
      </c>
      <c r="BM380" s="449">
        <f t="shared" si="334"/>
        <v>30030.385464379095</v>
      </c>
      <c r="BN380" s="449">
        <f t="shared" si="334"/>
        <v>30030.385464379095</v>
      </c>
      <c r="BO380" s="449">
        <f t="shared" si="334"/>
        <v>30030.385464379095</v>
      </c>
      <c r="BP380" s="449">
        <f t="shared" si="334"/>
        <v>30030.385464379095</v>
      </c>
      <c r="BQ380" s="449">
        <f t="shared" si="334"/>
        <v>30030.385464379095</v>
      </c>
      <c r="BR380" s="449">
        <f t="shared" si="334"/>
        <v>30030.385464379095</v>
      </c>
      <c r="BS380" s="449">
        <f t="shared" si="334"/>
        <v>30030.385464379095</v>
      </c>
      <c r="BT380" s="449">
        <f t="shared" si="334"/>
        <v>30030.385464379095</v>
      </c>
    </row>
    <row r="381" spans="1:74" ht="15" x14ac:dyDescent="0.25">
      <c r="A381" s="502"/>
      <c r="B381" s="502"/>
      <c r="C381" s="538"/>
      <c r="D381" s="500"/>
      <c r="E381" s="449"/>
      <c r="F381" s="449"/>
      <c r="G381" s="421"/>
      <c r="H381" s="449"/>
      <c r="I381" s="449"/>
      <c r="J381" s="426"/>
      <c r="K381" s="421"/>
      <c r="L381" s="449"/>
      <c r="M381" s="449"/>
      <c r="N381" s="449"/>
      <c r="O381" s="449"/>
      <c r="P381" s="449"/>
      <c r="Q381" s="449"/>
      <c r="R381" s="449"/>
      <c r="S381" s="449"/>
      <c r="T381" s="449"/>
      <c r="U381" s="449"/>
      <c r="V381" s="449"/>
      <c r="W381" s="449"/>
      <c r="X381" s="449"/>
      <c r="Y381" s="449"/>
      <c r="Z381" s="531"/>
      <c r="AA381" s="449"/>
      <c r="AB381" s="449"/>
      <c r="AC381" s="449"/>
      <c r="AD381" s="449"/>
      <c r="AE381" s="449"/>
      <c r="AF381" s="449"/>
      <c r="AG381" s="449"/>
      <c r="AH381" s="449"/>
      <c r="AI381" s="449"/>
      <c r="AJ381" s="449"/>
      <c r="AK381" s="449"/>
      <c r="AL381" s="449"/>
      <c r="AN381" s="500"/>
      <c r="AO381" s="449"/>
      <c r="AP381" s="449"/>
      <c r="AQ381" s="453"/>
      <c r="AR381" s="449"/>
      <c r="AS381" s="449"/>
      <c r="AT381" s="426"/>
      <c r="AU381" s="421"/>
      <c r="AV381" s="449"/>
      <c r="AW381" s="449"/>
      <c r="AX381" s="449"/>
      <c r="AY381" s="449"/>
      <c r="AZ381" s="449"/>
      <c r="BA381" s="449"/>
      <c r="BB381" s="449"/>
      <c r="BC381" s="449"/>
      <c r="BD381" s="449"/>
      <c r="BE381" s="449"/>
      <c r="BF381" s="449"/>
      <c r="BG381" s="449"/>
      <c r="BH381" s="531"/>
      <c r="BI381" s="449"/>
      <c r="BJ381" s="449"/>
      <c r="BK381" s="449"/>
      <c r="BL381" s="449"/>
      <c r="BM381" s="449"/>
      <c r="BN381" s="449"/>
      <c r="BO381" s="449"/>
      <c r="BP381" s="449"/>
      <c r="BQ381" s="449"/>
      <c r="BR381" s="449"/>
      <c r="BS381" s="449"/>
      <c r="BT381" s="449"/>
    </row>
    <row r="382" spans="1:74" s="536" customFormat="1" ht="15.75" thickBot="1" x14ac:dyDescent="0.3">
      <c r="A382" s="524"/>
      <c r="B382" s="524" t="s">
        <v>635</v>
      </c>
      <c r="C382" s="535"/>
      <c r="D382" s="532">
        <f>SUM(D378:D381)</f>
        <v>389142.03</v>
      </c>
      <c r="E382" s="533">
        <f>SUM(E378:E381)</f>
        <v>343115.12728999997</v>
      </c>
      <c r="F382" s="533">
        <f>IFERROR(D382-E382,0)</f>
        <v>46026.902710000053</v>
      </c>
      <c r="G382" s="520">
        <f>IFERROR(F382/ABS(E382),0)</f>
        <v>0.13414419548776771</v>
      </c>
      <c r="H382" s="533">
        <f>SUM(H378:H381)</f>
        <v>389142.03</v>
      </c>
      <c r="I382" s="533">
        <f>IFERROR(D382-H382,0)</f>
        <v>0</v>
      </c>
      <c r="J382" s="521">
        <f>IFERROR(I382/ABS(H382),0)</f>
        <v>0</v>
      </c>
      <c r="K382" s="507"/>
      <c r="L382" s="533">
        <f>SUM(L378:L381)</f>
        <v>23589.62</v>
      </c>
      <c r="M382" s="533">
        <f t="shared" ref="M382:W382" si="335">SUM(M378:M381)</f>
        <v>47041.919999999998</v>
      </c>
      <c r="N382" s="533">
        <f t="shared" si="335"/>
        <v>34101.64</v>
      </c>
      <c r="O382" s="533">
        <f t="shared" si="335"/>
        <v>38465.770000000019</v>
      </c>
      <c r="P382" s="533">
        <f t="shared" si="335"/>
        <v>33999.739999999991</v>
      </c>
      <c r="Q382" s="533">
        <f t="shared" si="335"/>
        <v>35499.739999999991</v>
      </c>
      <c r="R382" s="533">
        <f t="shared" si="335"/>
        <v>29407.266666666674</v>
      </c>
      <c r="S382" s="533">
        <f t="shared" si="335"/>
        <v>29407.266666666674</v>
      </c>
      <c r="T382" s="533">
        <f t="shared" si="335"/>
        <v>29407.266666666674</v>
      </c>
      <c r="U382" s="533">
        <f t="shared" si="335"/>
        <v>29407.266666666685</v>
      </c>
      <c r="V382" s="533">
        <f t="shared" si="335"/>
        <v>29407.266666666674</v>
      </c>
      <c r="W382" s="533">
        <f t="shared" si="335"/>
        <v>29407.266666666641</v>
      </c>
      <c r="X382" s="533"/>
      <c r="Y382" s="533">
        <f>SUM(L382:W382)</f>
        <v>389142.02999999997</v>
      </c>
      <c r="Z382" s="508"/>
      <c r="AA382" s="533">
        <f t="shared" ref="AA382:AL382" si="336">SUM(AA378:AA381)</f>
        <v>32428.502500000002</v>
      </c>
      <c r="AB382" s="533">
        <f t="shared" si="336"/>
        <v>32428.502500000002</v>
      </c>
      <c r="AC382" s="533">
        <f t="shared" si="336"/>
        <v>32428.502500000002</v>
      </c>
      <c r="AD382" s="533">
        <f t="shared" si="336"/>
        <v>32428.502500000002</v>
      </c>
      <c r="AE382" s="533">
        <f t="shared" si="336"/>
        <v>32428.502500000002</v>
      </c>
      <c r="AF382" s="533">
        <f t="shared" si="336"/>
        <v>32428.502500000002</v>
      </c>
      <c r="AG382" s="533">
        <f t="shared" si="336"/>
        <v>32428.502500000002</v>
      </c>
      <c r="AH382" s="533">
        <f t="shared" si="336"/>
        <v>32428.502500000002</v>
      </c>
      <c r="AI382" s="533">
        <f t="shared" si="336"/>
        <v>32428.502500000002</v>
      </c>
      <c r="AJ382" s="533">
        <f t="shared" si="336"/>
        <v>32428.502500000002</v>
      </c>
      <c r="AK382" s="533">
        <f t="shared" si="336"/>
        <v>32428.502500000002</v>
      </c>
      <c r="AL382" s="533">
        <f t="shared" si="336"/>
        <v>32428.502500000002</v>
      </c>
      <c r="AN382" s="532">
        <f>SUM(AN378:AN381)</f>
        <v>389142.03</v>
      </c>
      <c r="AO382" s="533">
        <f>SUM(AO378:AO381)</f>
        <v>386028.1055725491</v>
      </c>
      <c r="AP382" s="533">
        <f>IFERROR(AO382-AN382,0)</f>
        <v>-3113.9244274509256</v>
      </c>
      <c r="AQ382" s="523">
        <f>IFERROR(AP382/ABS(AN382),"-")</f>
        <v>-8.0020254492965594E-3</v>
      </c>
      <c r="AR382" s="533">
        <f>SUM(AR378:AR381)</f>
        <v>386028.1055725491</v>
      </c>
      <c r="AS382" s="533">
        <f>IFERROR(AO382-AR382,0)</f>
        <v>0</v>
      </c>
      <c r="AT382" s="521">
        <f>IFERROR(AS382/ABS(AR382),0)</f>
        <v>0</v>
      </c>
      <c r="AU382" s="507"/>
      <c r="AV382" s="533">
        <f>SUM(AV378:AV381)</f>
        <v>32169.008797712428</v>
      </c>
      <c r="AW382" s="533">
        <f t="shared" ref="AW382:BG382" si="337">SUM(AW378:AW381)</f>
        <v>32169.008797712428</v>
      </c>
      <c r="AX382" s="533">
        <f t="shared" si="337"/>
        <v>32169.008797712428</v>
      </c>
      <c r="AY382" s="533">
        <f t="shared" si="337"/>
        <v>32169.008797712428</v>
      </c>
      <c r="AZ382" s="533">
        <f t="shared" si="337"/>
        <v>32169.008797712428</v>
      </c>
      <c r="BA382" s="533">
        <f t="shared" si="337"/>
        <v>32169.008797712428</v>
      </c>
      <c r="BB382" s="533">
        <f t="shared" si="337"/>
        <v>32169.008797712428</v>
      </c>
      <c r="BC382" s="533">
        <f t="shared" si="337"/>
        <v>32169.008797712428</v>
      </c>
      <c r="BD382" s="533">
        <f t="shared" si="337"/>
        <v>32169.008797712428</v>
      </c>
      <c r="BE382" s="533">
        <f t="shared" si="337"/>
        <v>32169.008797712428</v>
      </c>
      <c r="BF382" s="533">
        <f t="shared" si="337"/>
        <v>32169.008797712428</v>
      </c>
      <c r="BG382" s="533">
        <f t="shared" si="337"/>
        <v>32169.008797712428</v>
      </c>
      <c r="BH382" s="508"/>
      <c r="BI382" s="533">
        <f t="shared" ref="BI382:BT382" si="338">SUM(BI378:BI381)</f>
        <v>32169.008797712428</v>
      </c>
      <c r="BJ382" s="533">
        <f t="shared" si="338"/>
        <v>32169.008797712428</v>
      </c>
      <c r="BK382" s="533">
        <f t="shared" si="338"/>
        <v>32169.008797712428</v>
      </c>
      <c r="BL382" s="533">
        <f t="shared" si="338"/>
        <v>32169.008797712428</v>
      </c>
      <c r="BM382" s="533">
        <f t="shared" si="338"/>
        <v>32169.008797712428</v>
      </c>
      <c r="BN382" s="533">
        <f t="shared" si="338"/>
        <v>32169.008797712428</v>
      </c>
      <c r="BO382" s="533">
        <f t="shared" si="338"/>
        <v>32169.008797712428</v>
      </c>
      <c r="BP382" s="533">
        <f t="shared" si="338"/>
        <v>32169.008797712428</v>
      </c>
      <c r="BQ382" s="533">
        <f t="shared" si="338"/>
        <v>32169.008797712428</v>
      </c>
      <c r="BR382" s="533">
        <f t="shared" si="338"/>
        <v>32169.008797712428</v>
      </c>
      <c r="BS382" s="533">
        <f t="shared" si="338"/>
        <v>32169.008797712428</v>
      </c>
      <c r="BT382" s="533">
        <f t="shared" si="338"/>
        <v>32169.008797712428</v>
      </c>
      <c r="BV382" s="400"/>
    </row>
    <row r="383" spans="1:74" ht="15.75" thickTop="1" x14ac:dyDescent="0.25">
      <c r="A383" s="502"/>
      <c r="B383" s="502"/>
      <c r="C383" s="538"/>
      <c r="D383" s="500"/>
      <c r="E383" s="449"/>
      <c r="F383" s="449"/>
      <c r="G383" s="421"/>
      <c r="H383" s="449"/>
      <c r="I383" s="449"/>
      <c r="J383" s="426"/>
      <c r="K383" s="421"/>
      <c r="L383" s="449"/>
      <c r="M383" s="449"/>
      <c r="N383" s="449"/>
      <c r="O383" s="449"/>
      <c r="P383" s="449"/>
      <c r="Q383" s="449"/>
      <c r="R383" s="449"/>
      <c r="S383" s="449"/>
      <c r="T383" s="449"/>
      <c r="U383" s="449"/>
      <c r="V383" s="449"/>
      <c r="W383" s="449"/>
      <c r="X383" s="449"/>
      <c r="Y383" s="449"/>
      <c r="Z383" s="531"/>
      <c r="AA383" s="449"/>
      <c r="AB383" s="449"/>
      <c r="AC383" s="449"/>
      <c r="AD383" s="449"/>
      <c r="AE383" s="449"/>
      <c r="AF383" s="449"/>
      <c r="AG383" s="449"/>
      <c r="AH383" s="449"/>
      <c r="AI383" s="449"/>
      <c r="AJ383" s="449"/>
      <c r="AK383" s="449"/>
      <c r="AL383" s="449"/>
      <c r="AN383" s="500"/>
      <c r="AO383" s="449"/>
      <c r="AP383" s="449"/>
      <c r="AQ383" s="453"/>
      <c r="AR383" s="449"/>
      <c r="AS383" s="449"/>
      <c r="AT383" s="426"/>
      <c r="AU383" s="421"/>
      <c r="AV383" s="449"/>
      <c r="AW383" s="449"/>
      <c r="AX383" s="449"/>
      <c r="AY383" s="449"/>
      <c r="AZ383" s="449"/>
      <c r="BA383" s="449"/>
      <c r="BB383" s="449"/>
      <c r="BC383" s="449"/>
      <c r="BD383" s="449"/>
      <c r="BE383" s="449"/>
      <c r="BF383" s="449"/>
      <c r="BG383" s="449"/>
      <c r="BH383" s="531"/>
      <c r="BI383" s="449"/>
      <c r="BJ383" s="449"/>
      <c r="BK383" s="449"/>
      <c r="BL383" s="449"/>
      <c r="BM383" s="449"/>
      <c r="BN383" s="449"/>
      <c r="BO383" s="449"/>
      <c r="BP383" s="449"/>
      <c r="BQ383" s="449"/>
      <c r="BR383" s="449"/>
      <c r="BS383" s="449"/>
      <c r="BT383" s="449"/>
    </row>
    <row r="384" spans="1:74" ht="15.75" x14ac:dyDescent="0.25">
      <c r="A384" s="502"/>
      <c r="B384" s="525" t="s">
        <v>636</v>
      </c>
      <c r="C384" s="538"/>
      <c r="D384" s="500"/>
      <c r="E384" s="449"/>
      <c r="F384" s="449"/>
      <c r="G384" s="421"/>
      <c r="H384" s="449"/>
      <c r="I384" s="449"/>
      <c r="J384" s="426"/>
      <c r="K384" s="421"/>
      <c r="L384" s="449"/>
      <c r="M384" s="449"/>
      <c r="N384" s="449"/>
      <c r="O384" s="449"/>
      <c r="P384" s="449"/>
      <c r="Q384" s="449"/>
      <c r="R384" s="449"/>
      <c r="S384" s="449"/>
      <c r="T384" s="449"/>
      <c r="U384" s="449"/>
      <c r="V384" s="449"/>
      <c r="W384" s="449"/>
      <c r="X384" s="449"/>
      <c r="Y384" s="449"/>
      <c r="Z384" s="531"/>
      <c r="AA384" s="449"/>
      <c r="AB384" s="449"/>
      <c r="AC384" s="449"/>
      <c r="AD384" s="449"/>
      <c r="AE384" s="449"/>
      <c r="AF384" s="449"/>
      <c r="AG384" s="449"/>
      <c r="AH384" s="449"/>
      <c r="AI384" s="449"/>
      <c r="AJ384" s="449"/>
      <c r="AK384" s="449"/>
      <c r="AL384" s="449"/>
      <c r="AN384" s="500"/>
      <c r="AO384" s="449"/>
      <c r="AP384" s="449"/>
      <c r="AQ384" s="453"/>
      <c r="AR384" s="449"/>
      <c r="AS384" s="449"/>
      <c r="AT384" s="426"/>
      <c r="AU384" s="421"/>
      <c r="AV384" s="449"/>
      <c r="AW384" s="449"/>
      <c r="AX384" s="449"/>
      <c r="AY384" s="449"/>
      <c r="AZ384" s="449"/>
      <c r="BA384" s="449"/>
      <c r="BB384" s="449"/>
      <c r="BC384" s="449"/>
      <c r="BD384" s="449"/>
      <c r="BE384" s="449"/>
      <c r="BF384" s="449"/>
      <c r="BG384" s="449"/>
      <c r="BH384" s="531"/>
      <c r="BI384" s="449"/>
      <c r="BJ384" s="449"/>
      <c r="BK384" s="449"/>
      <c r="BL384" s="449"/>
      <c r="BM384" s="449"/>
      <c r="BN384" s="449"/>
      <c r="BO384" s="449"/>
      <c r="BP384" s="449"/>
      <c r="BQ384" s="449"/>
      <c r="BR384" s="449"/>
      <c r="BS384" s="449"/>
      <c r="BT384" s="449"/>
    </row>
    <row r="385" spans="1:72" ht="9" customHeight="1" x14ac:dyDescent="0.25">
      <c r="A385" s="502"/>
      <c r="B385" s="502"/>
      <c r="C385" s="538"/>
      <c r="D385" s="500"/>
      <c r="E385" s="449"/>
      <c r="F385" s="449"/>
      <c r="G385" s="421"/>
      <c r="H385" s="449"/>
      <c r="I385" s="449"/>
      <c r="J385" s="426"/>
      <c r="K385" s="421"/>
      <c r="L385" s="449"/>
      <c r="M385" s="449"/>
      <c r="N385" s="449"/>
      <c r="O385" s="449"/>
      <c r="P385" s="449"/>
      <c r="Q385" s="449"/>
      <c r="R385" s="449"/>
      <c r="S385" s="449"/>
      <c r="T385" s="449"/>
      <c r="U385" s="449"/>
      <c r="V385" s="449"/>
      <c r="W385" s="449"/>
      <c r="X385" s="449"/>
      <c r="Y385" s="449"/>
      <c r="Z385" s="531"/>
      <c r="AA385" s="449"/>
      <c r="AB385" s="449"/>
      <c r="AC385" s="449"/>
      <c r="AD385" s="449"/>
      <c r="AE385" s="449"/>
      <c r="AF385" s="449"/>
      <c r="AG385" s="449"/>
      <c r="AH385" s="449"/>
      <c r="AI385" s="449"/>
      <c r="AJ385" s="449"/>
      <c r="AK385" s="449"/>
      <c r="AL385" s="449"/>
      <c r="AN385" s="500"/>
      <c r="AO385" s="449"/>
      <c r="AP385" s="449"/>
      <c r="AQ385" s="453"/>
      <c r="AR385" s="449"/>
      <c r="AS385" s="449"/>
      <c r="AT385" s="426"/>
      <c r="AU385" s="421"/>
      <c r="AV385" s="449"/>
      <c r="AW385" s="449"/>
      <c r="AX385" s="449"/>
      <c r="AY385" s="449"/>
      <c r="AZ385" s="449"/>
      <c r="BA385" s="449"/>
      <c r="BB385" s="449"/>
      <c r="BC385" s="449"/>
      <c r="BD385" s="449"/>
      <c r="BE385" s="449"/>
      <c r="BF385" s="449"/>
      <c r="BG385" s="449"/>
      <c r="BH385" s="531"/>
      <c r="BI385" s="449"/>
      <c r="BJ385" s="449"/>
      <c r="BK385" s="449"/>
      <c r="BL385" s="449"/>
      <c r="BM385" s="449"/>
      <c r="BN385" s="449"/>
      <c r="BO385" s="449"/>
      <c r="BP385" s="449"/>
      <c r="BQ385" s="449"/>
      <c r="BR385" s="449"/>
      <c r="BS385" s="449"/>
      <c r="BT385" s="449"/>
    </row>
    <row r="386" spans="1:72" ht="15" x14ac:dyDescent="0.25">
      <c r="A386" s="502" t="s">
        <v>637</v>
      </c>
      <c r="B386" s="502" t="s">
        <v>638</v>
      </c>
      <c r="C386" s="630"/>
      <c r="D386" s="500">
        <f t="shared" ref="D386:D455" si="339">SUM(L386:W386)</f>
        <v>98500</v>
      </c>
      <c r="E386" s="449">
        <v>98500</v>
      </c>
      <c r="F386" s="449">
        <f t="shared" ref="F386:F449" si="340">IFERROR(D386-E386,0)</f>
        <v>0</v>
      </c>
      <c r="G386" s="421">
        <f t="shared" ref="G386:G455" si="341">IFERROR(F386/ABS(E386),0)</f>
        <v>0</v>
      </c>
      <c r="H386" s="449">
        <v>98500</v>
      </c>
      <c r="I386" s="449">
        <f t="shared" ref="I386:I455" si="342">IFERROR(D386-H386,0)</f>
        <v>0</v>
      </c>
      <c r="J386" s="426">
        <f t="shared" ref="J386:J455" si="343">IFERROR(I386/ABS(H386),0)</f>
        <v>0</v>
      </c>
      <c r="K386" s="421"/>
      <c r="L386" s="449">
        <v>5682.69</v>
      </c>
      <c r="M386" s="449">
        <v>10986.530000000002</v>
      </c>
      <c r="N386" s="449">
        <v>7955.77</v>
      </c>
      <c r="O386" s="449">
        <v>7576.9199999999983</v>
      </c>
      <c r="P386" s="449">
        <v>7576.9200000000019</v>
      </c>
      <c r="Q386" s="449">
        <v>9471.1500000000015</v>
      </c>
      <c r="R386" s="449">
        <f>($H386-SUM($L386:Q386))/R$694</f>
        <v>8208.3366666666661</v>
      </c>
      <c r="S386" s="449">
        <f>($H386-SUM($L386:R386))/S$694</f>
        <v>8208.3366666666661</v>
      </c>
      <c r="T386" s="449">
        <f>($H386-SUM($L386:S386))/T$694</f>
        <v>8208.3366666666661</v>
      </c>
      <c r="U386" s="449">
        <f>($H386-SUM($L386:T386))/U$694</f>
        <v>8208.3366666666643</v>
      </c>
      <c r="V386" s="449">
        <f>($H386-SUM($L386:U386))/V$694</f>
        <v>8208.3366666666625</v>
      </c>
      <c r="W386" s="449">
        <f>($H386-SUM($L386:V386))/W$694</f>
        <v>8208.3366666666698</v>
      </c>
      <c r="X386" s="449"/>
      <c r="Y386" s="449">
        <f t="shared" ref="Y386:Y455" si="344">SUM(L386:W386)</f>
        <v>98500</v>
      </c>
      <c r="Z386" s="531"/>
      <c r="AA386" s="449">
        <f t="shared" ref="AA386:AL401" si="345">IFERROR($H386/12,0)</f>
        <v>8208.3333333333339</v>
      </c>
      <c r="AB386" s="449">
        <f t="shared" si="345"/>
        <v>8208.3333333333339</v>
      </c>
      <c r="AC386" s="449">
        <f t="shared" si="345"/>
        <v>8208.3333333333339</v>
      </c>
      <c r="AD386" s="449">
        <f t="shared" si="345"/>
        <v>8208.3333333333339</v>
      </c>
      <c r="AE386" s="449">
        <f t="shared" si="345"/>
        <v>8208.3333333333339</v>
      </c>
      <c r="AF386" s="449">
        <f t="shared" si="345"/>
        <v>8208.3333333333339</v>
      </c>
      <c r="AG386" s="449">
        <f t="shared" si="345"/>
        <v>8208.3333333333339</v>
      </c>
      <c r="AH386" s="449">
        <f t="shared" si="345"/>
        <v>8208.3333333333339</v>
      </c>
      <c r="AI386" s="449">
        <f t="shared" si="345"/>
        <v>8208.3333333333339</v>
      </c>
      <c r="AJ386" s="449">
        <f t="shared" si="345"/>
        <v>8208.3333333333339</v>
      </c>
      <c r="AK386" s="449">
        <f t="shared" si="345"/>
        <v>8208.3333333333339</v>
      </c>
      <c r="AL386" s="449">
        <f t="shared" si="345"/>
        <v>8208.3333333333339</v>
      </c>
      <c r="AN386" s="500">
        <f t="shared" ref="AN386:AN425" si="346">SUM(L386:W386)</f>
        <v>98500</v>
      </c>
      <c r="AO386" s="449">
        <f t="shared" ref="AO386:AO455" si="347">SUM(BI386:BT386)</f>
        <v>98499.999999999985</v>
      </c>
      <c r="AP386" s="449">
        <f t="shared" ref="AP386:AP449" si="348">IFERROR(AO386-AN386,0)</f>
        <v>-1.4551915228366852E-11</v>
      </c>
      <c r="AQ386" s="453">
        <f t="shared" ref="AQ386:AQ449" si="349">IFERROR(AP386/ABS(AN386),"-")</f>
        <v>-1.4773517998341981E-16</v>
      </c>
      <c r="AR386" s="449">
        <f t="shared" ref="AR386:AR455" si="350">SUM(BI386:BT386)</f>
        <v>98499.999999999985</v>
      </c>
      <c r="AS386" s="449">
        <f t="shared" ref="AS386:AS449" si="351">IFERROR(AO386-AR386,0)</f>
        <v>0</v>
      </c>
      <c r="AT386" s="426">
        <f t="shared" ref="AT386:AT455" si="352">IFERROR(AS386/ABS(AR386),0)</f>
        <v>0</v>
      </c>
      <c r="AU386" s="421"/>
      <c r="AV386" s="449">
        <f t="shared" ref="AV386:BG407" si="353">BI386</f>
        <v>8208.3333333333339</v>
      </c>
      <c r="AW386" s="449">
        <f t="shared" si="353"/>
        <v>8208.3333333333339</v>
      </c>
      <c r="AX386" s="449">
        <f t="shared" si="353"/>
        <v>8208.3333333333339</v>
      </c>
      <c r="AY386" s="449">
        <f t="shared" si="353"/>
        <v>8208.3333333333339</v>
      </c>
      <c r="AZ386" s="449">
        <f t="shared" si="353"/>
        <v>8208.3333333333339</v>
      </c>
      <c r="BA386" s="449">
        <f t="shared" si="353"/>
        <v>8208.3333333333339</v>
      </c>
      <c r="BB386" s="449">
        <f t="shared" si="353"/>
        <v>8208.3333333333339</v>
      </c>
      <c r="BC386" s="449">
        <f t="shared" si="353"/>
        <v>8208.3333333333339</v>
      </c>
      <c r="BD386" s="449">
        <f t="shared" si="353"/>
        <v>8208.3333333333339</v>
      </c>
      <c r="BE386" s="449">
        <f t="shared" si="353"/>
        <v>8208.3333333333339</v>
      </c>
      <c r="BF386" s="449">
        <f t="shared" si="353"/>
        <v>8208.3333333333339</v>
      </c>
      <c r="BG386" s="449">
        <f t="shared" si="353"/>
        <v>8208.3333333333339</v>
      </c>
      <c r="BH386" s="400"/>
      <c r="BI386" s="449">
        <f>SUM('FY19 Staffing V1-1 (3)'!$P$207)/12</f>
        <v>8208.3333333333339</v>
      </c>
      <c r="BJ386" s="449">
        <f>SUM('FY19 Staffing V1-1 (3)'!$P$207)/12</f>
        <v>8208.3333333333339</v>
      </c>
      <c r="BK386" s="449">
        <f>SUM('FY19 Staffing V1-1 (3)'!$P$207)/12</f>
        <v>8208.3333333333339</v>
      </c>
      <c r="BL386" s="449">
        <f>SUM('FY19 Staffing V1-1 (3)'!$P$207)/12</f>
        <v>8208.3333333333339</v>
      </c>
      <c r="BM386" s="449">
        <f>SUM('FY19 Staffing V1-1 (3)'!$P$207)/12</f>
        <v>8208.3333333333339</v>
      </c>
      <c r="BN386" s="449">
        <f>SUM('FY19 Staffing V1-1 (3)'!$P$207)/12</f>
        <v>8208.3333333333339</v>
      </c>
      <c r="BO386" s="449">
        <f>SUM('FY19 Staffing V1-1 (3)'!$P$207)/12</f>
        <v>8208.3333333333339</v>
      </c>
      <c r="BP386" s="449">
        <f>SUM('FY19 Staffing V1-1 (3)'!$P$207)/12</f>
        <v>8208.3333333333339</v>
      </c>
      <c r="BQ386" s="449">
        <f>SUM('FY19 Staffing V1-1 (3)'!$P$207)/12</f>
        <v>8208.3333333333339</v>
      </c>
      <c r="BR386" s="449">
        <f>SUM('FY19 Staffing V1-1 (3)'!$P$207)/12</f>
        <v>8208.3333333333339</v>
      </c>
      <c r="BS386" s="449">
        <f>SUM('FY19 Staffing V1-1 (3)'!$P$207)/12</f>
        <v>8208.3333333333339</v>
      </c>
      <c r="BT386" s="449">
        <f>SUM('FY19 Staffing V1-1 (3)'!$P$207)/12</f>
        <v>8208.3333333333339</v>
      </c>
    </row>
    <row r="387" spans="1:72" ht="15" x14ac:dyDescent="0.25">
      <c r="A387" s="502" t="s">
        <v>639</v>
      </c>
      <c r="B387" s="502" t="s">
        <v>640</v>
      </c>
      <c r="C387" s="630"/>
      <c r="D387" s="500">
        <f t="shared" si="339"/>
        <v>0</v>
      </c>
      <c r="E387" s="449">
        <v>0</v>
      </c>
      <c r="F387" s="449">
        <f t="shared" si="340"/>
        <v>0</v>
      </c>
      <c r="G387" s="421">
        <f t="shared" si="341"/>
        <v>0</v>
      </c>
      <c r="H387" s="449">
        <v>0</v>
      </c>
      <c r="I387" s="449">
        <f t="shared" si="342"/>
        <v>0</v>
      </c>
      <c r="J387" s="426">
        <f t="shared" si="343"/>
        <v>0</v>
      </c>
      <c r="K387" s="421"/>
      <c r="L387" s="449">
        <v>0</v>
      </c>
      <c r="M387" s="449">
        <v>0</v>
      </c>
      <c r="N387" s="449">
        <v>0</v>
      </c>
      <c r="O387" s="449">
        <v>0</v>
      </c>
      <c r="P387" s="449">
        <v>0</v>
      </c>
      <c r="Q387" s="449">
        <v>0</v>
      </c>
      <c r="R387" s="449">
        <f>($H387-SUM($L387:Q387))/R$694</f>
        <v>0</v>
      </c>
      <c r="S387" s="449">
        <f>($H387-SUM($L387:R387))/S$694</f>
        <v>0</v>
      </c>
      <c r="T387" s="449">
        <f>($H387-SUM($L387:S387))/T$694</f>
        <v>0</v>
      </c>
      <c r="U387" s="449">
        <f>($H387-SUM($L387:T387))/U$694</f>
        <v>0</v>
      </c>
      <c r="V387" s="449">
        <f>($H387-SUM($L387:U387))/V$694</f>
        <v>0</v>
      </c>
      <c r="W387" s="449">
        <f>($H387-SUM($L387:V387))/W$694</f>
        <v>0</v>
      </c>
      <c r="X387" s="449"/>
      <c r="Y387" s="449">
        <f t="shared" si="344"/>
        <v>0</v>
      </c>
      <c r="Z387" s="531"/>
      <c r="AA387" s="449">
        <f t="shared" si="345"/>
        <v>0</v>
      </c>
      <c r="AB387" s="449">
        <f t="shared" si="345"/>
        <v>0</v>
      </c>
      <c r="AC387" s="449">
        <f t="shared" si="345"/>
        <v>0</v>
      </c>
      <c r="AD387" s="449">
        <f t="shared" si="345"/>
        <v>0</v>
      </c>
      <c r="AE387" s="449">
        <f t="shared" si="345"/>
        <v>0</v>
      </c>
      <c r="AF387" s="449">
        <f t="shared" si="345"/>
        <v>0</v>
      </c>
      <c r="AG387" s="449">
        <f t="shared" si="345"/>
        <v>0</v>
      </c>
      <c r="AH387" s="449">
        <f t="shared" si="345"/>
        <v>0</v>
      </c>
      <c r="AI387" s="449">
        <f t="shared" si="345"/>
        <v>0</v>
      </c>
      <c r="AJ387" s="449">
        <f t="shared" si="345"/>
        <v>0</v>
      </c>
      <c r="AK387" s="449">
        <f t="shared" si="345"/>
        <v>0</v>
      </c>
      <c r="AL387" s="449">
        <f t="shared" si="345"/>
        <v>0</v>
      </c>
      <c r="AN387" s="500">
        <f t="shared" si="346"/>
        <v>0</v>
      </c>
      <c r="AO387" s="449">
        <f t="shared" si="347"/>
        <v>3000</v>
      </c>
      <c r="AP387" s="449">
        <f t="shared" si="348"/>
        <v>3000</v>
      </c>
      <c r="AQ387" s="453" t="str">
        <f t="shared" si="349"/>
        <v>-</v>
      </c>
      <c r="AR387" s="449">
        <f t="shared" si="350"/>
        <v>3000</v>
      </c>
      <c r="AS387" s="449">
        <f t="shared" si="351"/>
        <v>0</v>
      </c>
      <c r="AT387" s="426">
        <f t="shared" si="352"/>
        <v>0</v>
      </c>
      <c r="AU387" s="421"/>
      <c r="AV387" s="449">
        <f t="shared" si="353"/>
        <v>0</v>
      </c>
      <c r="AW387" s="449">
        <f t="shared" si="353"/>
        <v>0</v>
      </c>
      <c r="AX387" s="449">
        <f t="shared" si="353"/>
        <v>0</v>
      </c>
      <c r="AY387" s="449">
        <f t="shared" si="353"/>
        <v>3000</v>
      </c>
      <c r="AZ387" s="449">
        <f t="shared" si="353"/>
        <v>0</v>
      </c>
      <c r="BA387" s="449">
        <f t="shared" si="353"/>
        <v>0</v>
      </c>
      <c r="BB387" s="449">
        <f t="shared" si="353"/>
        <v>0</v>
      </c>
      <c r="BC387" s="449">
        <f t="shared" si="353"/>
        <v>0</v>
      </c>
      <c r="BD387" s="449">
        <f t="shared" si="353"/>
        <v>0</v>
      </c>
      <c r="BE387" s="449">
        <f t="shared" si="353"/>
        <v>0</v>
      </c>
      <c r="BF387" s="449">
        <f t="shared" si="353"/>
        <v>0</v>
      </c>
      <c r="BG387" s="449">
        <f t="shared" si="353"/>
        <v>0</v>
      </c>
      <c r="BH387" s="400"/>
      <c r="BI387" s="449">
        <v>0</v>
      </c>
      <c r="BJ387" s="449">
        <v>0</v>
      </c>
      <c r="BK387" s="449">
        <v>0</v>
      </c>
      <c r="BL387" s="449">
        <f>SUM('FY19 Staffing V1-1 (3)'!$J$207)</f>
        <v>3000</v>
      </c>
      <c r="BM387" s="449">
        <v>0</v>
      </c>
      <c r="BN387" s="449">
        <v>0</v>
      </c>
      <c r="BO387" s="449">
        <v>0</v>
      </c>
      <c r="BP387" s="449">
        <v>0</v>
      </c>
      <c r="BQ387" s="449">
        <v>0</v>
      </c>
      <c r="BR387" s="449">
        <v>0</v>
      </c>
      <c r="BS387" s="449">
        <v>0</v>
      </c>
      <c r="BT387" s="449">
        <v>0</v>
      </c>
    </row>
    <row r="388" spans="1:72" ht="15" x14ac:dyDescent="0.25">
      <c r="A388" s="502" t="s">
        <v>641</v>
      </c>
      <c r="B388" s="502" t="s">
        <v>642</v>
      </c>
      <c r="C388" s="541"/>
      <c r="D388" s="500">
        <f t="shared" si="339"/>
        <v>7535</v>
      </c>
      <c r="E388" s="449">
        <v>14157</v>
      </c>
      <c r="F388" s="449">
        <f t="shared" si="340"/>
        <v>-6622</v>
      </c>
      <c r="G388" s="421">
        <f t="shared" si="341"/>
        <v>-0.46775446775446777</v>
      </c>
      <c r="H388" s="449">
        <v>7535</v>
      </c>
      <c r="I388" s="449">
        <f t="shared" si="342"/>
        <v>0</v>
      </c>
      <c r="J388" s="426">
        <f t="shared" si="343"/>
        <v>0</v>
      </c>
      <c r="K388" s="421"/>
      <c r="L388" s="449">
        <v>0</v>
      </c>
      <c r="M388" s="449">
        <v>2291.71</v>
      </c>
      <c r="N388" s="449">
        <v>430.05999999999995</v>
      </c>
      <c r="O388" s="449">
        <v>579.61999999999989</v>
      </c>
      <c r="P388" s="449">
        <v>579.62000000000035</v>
      </c>
      <c r="Q388" s="449">
        <v>724.52999999999975</v>
      </c>
      <c r="R388" s="449">
        <f>($H388-SUM($L388:Q388))/R$694</f>
        <v>488.24333333333334</v>
      </c>
      <c r="S388" s="449">
        <f>($H388-SUM($L388:R388))/S$694</f>
        <v>488.24333333333345</v>
      </c>
      <c r="T388" s="449">
        <f>($H388-SUM($L388:S388))/T$694</f>
        <v>488.24333333333334</v>
      </c>
      <c r="U388" s="449">
        <f>($H388-SUM($L388:T388))/U$694</f>
        <v>488.24333333333317</v>
      </c>
      <c r="V388" s="449">
        <f>($H388-SUM($L388:U388))/V$694</f>
        <v>488.24333333333334</v>
      </c>
      <c r="W388" s="449">
        <f>($H388-SUM($L388:V388))/W$694</f>
        <v>488.24333333333379</v>
      </c>
      <c r="X388" s="449"/>
      <c r="Y388" s="449">
        <f t="shared" si="344"/>
        <v>7535</v>
      </c>
      <c r="Z388" s="531"/>
      <c r="AA388" s="449">
        <f t="shared" si="345"/>
        <v>627.91666666666663</v>
      </c>
      <c r="AB388" s="449">
        <f t="shared" si="345"/>
        <v>627.91666666666663</v>
      </c>
      <c r="AC388" s="449">
        <f t="shared" si="345"/>
        <v>627.91666666666663</v>
      </c>
      <c r="AD388" s="449">
        <f t="shared" si="345"/>
        <v>627.91666666666663</v>
      </c>
      <c r="AE388" s="449">
        <f t="shared" si="345"/>
        <v>627.91666666666663</v>
      </c>
      <c r="AF388" s="449">
        <f t="shared" si="345"/>
        <v>627.91666666666663</v>
      </c>
      <c r="AG388" s="449">
        <f t="shared" si="345"/>
        <v>627.91666666666663</v>
      </c>
      <c r="AH388" s="449">
        <f t="shared" si="345"/>
        <v>627.91666666666663</v>
      </c>
      <c r="AI388" s="449">
        <f t="shared" si="345"/>
        <v>627.91666666666663</v>
      </c>
      <c r="AJ388" s="449">
        <f t="shared" si="345"/>
        <v>627.91666666666663</v>
      </c>
      <c r="AK388" s="449">
        <f t="shared" si="345"/>
        <v>627.91666666666663</v>
      </c>
      <c r="AL388" s="449">
        <f t="shared" si="345"/>
        <v>627.91666666666663</v>
      </c>
      <c r="AN388" s="500">
        <f t="shared" si="346"/>
        <v>7535</v>
      </c>
      <c r="AO388" s="449">
        <f t="shared" si="347"/>
        <v>9156.25</v>
      </c>
      <c r="AP388" s="449">
        <f t="shared" si="348"/>
        <v>1621.25</v>
      </c>
      <c r="AQ388" s="453">
        <f t="shared" si="349"/>
        <v>0.21516257465162575</v>
      </c>
      <c r="AR388" s="449">
        <f t="shared" si="350"/>
        <v>9156.25</v>
      </c>
      <c r="AS388" s="449">
        <f t="shared" si="351"/>
        <v>0</v>
      </c>
      <c r="AT388" s="426">
        <f t="shared" si="352"/>
        <v>0</v>
      </c>
      <c r="AU388" s="421"/>
      <c r="AV388" s="449">
        <f t="shared" si="353"/>
        <v>763.02083333333337</v>
      </c>
      <c r="AW388" s="449">
        <f t="shared" si="353"/>
        <v>763.02083333333337</v>
      </c>
      <c r="AX388" s="449">
        <f t="shared" si="353"/>
        <v>763.02083333333337</v>
      </c>
      <c r="AY388" s="449">
        <f t="shared" si="353"/>
        <v>763.02083333333337</v>
      </c>
      <c r="AZ388" s="449">
        <f t="shared" si="353"/>
        <v>763.02083333333337</v>
      </c>
      <c r="BA388" s="449">
        <f t="shared" si="353"/>
        <v>763.02083333333337</v>
      </c>
      <c r="BB388" s="449">
        <f t="shared" si="353"/>
        <v>763.02083333333337</v>
      </c>
      <c r="BC388" s="449">
        <f t="shared" si="353"/>
        <v>763.02083333333337</v>
      </c>
      <c r="BD388" s="449">
        <f t="shared" si="353"/>
        <v>763.02083333333337</v>
      </c>
      <c r="BE388" s="449">
        <f t="shared" si="353"/>
        <v>763.02083333333337</v>
      </c>
      <c r="BF388" s="449">
        <f t="shared" si="353"/>
        <v>763.02083333333337</v>
      </c>
      <c r="BG388" s="449">
        <f t="shared" si="353"/>
        <v>763.02083333333337</v>
      </c>
      <c r="BH388" s="400"/>
      <c r="BI388" s="449">
        <f>SUM('FY19 Staffing V1-1 (3)'!$Q$207:$R$207,'FY19 Staffing V1-1 (3)'!$T$207:$U$207)/12</f>
        <v>763.02083333333337</v>
      </c>
      <c r="BJ388" s="449">
        <f>SUM('FY19 Staffing V1-1 (3)'!$Q$207:$R$207,'FY19 Staffing V1-1 (3)'!$T$207:$U$207)/12</f>
        <v>763.02083333333337</v>
      </c>
      <c r="BK388" s="449">
        <f>SUM('FY19 Staffing V1-1 (3)'!$Q$207:$R$207,'FY19 Staffing V1-1 (3)'!$T$207:$U$207)/12</f>
        <v>763.02083333333337</v>
      </c>
      <c r="BL388" s="449">
        <f>SUM('FY19 Staffing V1-1 (3)'!$Q$207:$R$207,'FY19 Staffing V1-1 (3)'!$T$207:$U$207)/12</f>
        <v>763.02083333333337</v>
      </c>
      <c r="BM388" s="449">
        <f>SUM('FY19 Staffing V1-1 (3)'!$Q$207:$R$207,'FY19 Staffing V1-1 (3)'!$T$207:$U$207)/12</f>
        <v>763.02083333333337</v>
      </c>
      <c r="BN388" s="449">
        <f>SUM('FY19 Staffing V1-1 (3)'!$Q$207:$R$207,'FY19 Staffing V1-1 (3)'!$T$207:$U$207)/12</f>
        <v>763.02083333333337</v>
      </c>
      <c r="BO388" s="449">
        <f>SUM('FY19 Staffing V1-1 (3)'!$Q$207:$R$207,'FY19 Staffing V1-1 (3)'!$T$207:$U$207)/12</f>
        <v>763.02083333333337</v>
      </c>
      <c r="BP388" s="449">
        <f>SUM('FY19 Staffing V1-1 (3)'!$Q$207:$R$207,'FY19 Staffing V1-1 (3)'!$T$207:$U$207)/12</f>
        <v>763.02083333333337</v>
      </c>
      <c r="BQ388" s="449">
        <f>SUM('FY19 Staffing V1-1 (3)'!$Q$207:$R$207,'FY19 Staffing V1-1 (3)'!$T$207:$U$207)/12</f>
        <v>763.02083333333337</v>
      </c>
      <c r="BR388" s="449">
        <f>SUM('FY19 Staffing V1-1 (3)'!$Q$207:$R$207,'FY19 Staffing V1-1 (3)'!$T$207:$U$207)/12</f>
        <v>763.02083333333337</v>
      </c>
      <c r="BS388" s="449">
        <f>SUM('FY19 Staffing V1-1 (3)'!$Q$207:$R$207,'FY19 Staffing V1-1 (3)'!$T$207:$U$207)/12</f>
        <v>763.02083333333337</v>
      </c>
      <c r="BT388" s="449">
        <f>SUM('FY19 Staffing V1-1 (3)'!$Q$207:$R$207,'FY19 Staffing V1-1 (3)'!$T$207:$U$207)/12</f>
        <v>763.02083333333337</v>
      </c>
    </row>
    <row r="389" spans="1:72" ht="15" x14ac:dyDescent="0.25">
      <c r="A389" s="502" t="s">
        <v>643</v>
      </c>
      <c r="B389" s="502" t="s">
        <v>644</v>
      </c>
      <c r="C389" s="541"/>
      <c r="D389" s="500">
        <f t="shared" si="339"/>
        <v>13167</v>
      </c>
      <c r="E389" s="449">
        <v>4332</v>
      </c>
      <c r="F389" s="449">
        <f t="shared" si="340"/>
        <v>8835</v>
      </c>
      <c r="G389" s="421">
        <f t="shared" si="341"/>
        <v>2.0394736842105261</v>
      </c>
      <c r="H389" s="449">
        <f>4332+6626+2209</f>
        <v>13167</v>
      </c>
      <c r="I389" s="449">
        <f t="shared" si="342"/>
        <v>0</v>
      </c>
      <c r="J389" s="426">
        <f t="shared" si="343"/>
        <v>0</v>
      </c>
      <c r="K389" s="421"/>
      <c r="L389" s="449">
        <v>0</v>
      </c>
      <c r="M389" s="449">
        <v>1067.72</v>
      </c>
      <c r="N389" s="449">
        <v>874.11999999999989</v>
      </c>
      <c r="O389" s="449">
        <v>6282.2999999999993</v>
      </c>
      <c r="P389" s="449">
        <v>1424.92</v>
      </c>
      <c r="Q389" s="449">
        <v>834.52000000000044</v>
      </c>
      <c r="R389" s="449">
        <f>($H389-SUM($L389:Q389))/R$694</f>
        <v>447.23666666666668</v>
      </c>
      <c r="S389" s="449">
        <f>($H389-SUM($L389:R389))/S$694</f>
        <v>447.23666666666685</v>
      </c>
      <c r="T389" s="449">
        <f>($H389-SUM($L389:S389))/T$694</f>
        <v>447.23666666666668</v>
      </c>
      <c r="U389" s="449">
        <f>($H389-SUM($L389:T389))/U$694</f>
        <v>447.23666666666639</v>
      </c>
      <c r="V389" s="449">
        <f>($H389-SUM($L389:U389))/V$694</f>
        <v>447.23666666666668</v>
      </c>
      <c r="W389" s="449">
        <f>($H389-SUM($L389:V389))/W$694</f>
        <v>447.23666666666759</v>
      </c>
      <c r="X389" s="449"/>
      <c r="Y389" s="449">
        <f t="shared" si="344"/>
        <v>13167</v>
      </c>
      <c r="Z389" s="531"/>
      <c r="AA389" s="449">
        <f t="shared" si="345"/>
        <v>1097.25</v>
      </c>
      <c r="AB389" s="449">
        <f t="shared" si="345"/>
        <v>1097.25</v>
      </c>
      <c r="AC389" s="449">
        <f t="shared" si="345"/>
        <v>1097.25</v>
      </c>
      <c r="AD389" s="449">
        <f t="shared" si="345"/>
        <v>1097.25</v>
      </c>
      <c r="AE389" s="449">
        <f t="shared" si="345"/>
        <v>1097.25</v>
      </c>
      <c r="AF389" s="449">
        <f t="shared" si="345"/>
        <v>1097.25</v>
      </c>
      <c r="AG389" s="449">
        <f t="shared" si="345"/>
        <v>1097.25</v>
      </c>
      <c r="AH389" s="449">
        <f t="shared" si="345"/>
        <v>1097.25</v>
      </c>
      <c r="AI389" s="449">
        <f t="shared" si="345"/>
        <v>1097.25</v>
      </c>
      <c r="AJ389" s="449">
        <f t="shared" si="345"/>
        <v>1097.25</v>
      </c>
      <c r="AK389" s="449">
        <f t="shared" si="345"/>
        <v>1097.25</v>
      </c>
      <c r="AL389" s="449">
        <f t="shared" si="345"/>
        <v>1097.25</v>
      </c>
      <c r="AN389" s="500">
        <f t="shared" si="346"/>
        <v>13167</v>
      </c>
      <c r="AO389" s="449">
        <f t="shared" si="347"/>
        <v>15031.100000000004</v>
      </c>
      <c r="AP389" s="449">
        <f t="shared" si="348"/>
        <v>1864.100000000004</v>
      </c>
      <c r="AQ389" s="453">
        <f t="shared" si="349"/>
        <v>0.14157363104731557</v>
      </c>
      <c r="AR389" s="449">
        <f t="shared" si="350"/>
        <v>15031.100000000004</v>
      </c>
      <c r="AS389" s="449">
        <f t="shared" si="351"/>
        <v>0</v>
      </c>
      <c r="AT389" s="426">
        <f t="shared" si="352"/>
        <v>0</v>
      </c>
      <c r="AU389" s="421"/>
      <c r="AV389" s="449">
        <f t="shared" si="353"/>
        <v>1252.5916666666669</v>
      </c>
      <c r="AW389" s="449">
        <f t="shared" si="353"/>
        <v>1252.5916666666669</v>
      </c>
      <c r="AX389" s="449">
        <f t="shared" si="353"/>
        <v>1252.5916666666669</v>
      </c>
      <c r="AY389" s="449">
        <f t="shared" si="353"/>
        <v>1252.5916666666669</v>
      </c>
      <c r="AZ389" s="449">
        <f t="shared" si="353"/>
        <v>1252.5916666666669</v>
      </c>
      <c r="BA389" s="449">
        <f t="shared" si="353"/>
        <v>1252.5916666666669</v>
      </c>
      <c r="BB389" s="449">
        <f t="shared" si="353"/>
        <v>1252.5916666666669</v>
      </c>
      <c r="BC389" s="449">
        <f t="shared" si="353"/>
        <v>1252.5916666666669</v>
      </c>
      <c r="BD389" s="449">
        <f t="shared" si="353"/>
        <v>1252.5916666666669</v>
      </c>
      <c r="BE389" s="449">
        <f t="shared" si="353"/>
        <v>1252.5916666666669</v>
      </c>
      <c r="BF389" s="449">
        <f t="shared" si="353"/>
        <v>1252.5916666666669</v>
      </c>
      <c r="BG389" s="449">
        <f t="shared" si="353"/>
        <v>1252.5916666666669</v>
      </c>
      <c r="BH389" s="400"/>
      <c r="BI389" s="449">
        <f>SUM('FY19 Staffing V1-1 (3)'!$W$207)/12</f>
        <v>1252.5916666666669</v>
      </c>
      <c r="BJ389" s="449">
        <f>SUM('FY19 Staffing V1-1 (3)'!$W$207)/12</f>
        <v>1252.5916666666669</v>
      </c>
      <c r="BK389" s="449">
        <f>SUM('FY19 Staffing V1-1 (3)'!$W$207)/12</f>
        <v>1252.5916666666669</v>
      </c>
      <c r="BL389" s="449">
        <f>SUM('FY19 Staffing V1-1 (3)'!$W$207)/12</f>
        <v>1252.5916666666669</v>
      </c>
      <c r="BM389" s="449">
        <f>SUM('FY19 Staffing V1-1 (3)'!$W$207)/12</f>
        <v>1252.5916666666669</v>
      </c>
      <c r="BN389" s="449">
        <f>SUM('FY19 Staffing V1-1 (3)'!$W$207)/12</f>
        <v>1252.5916666666669</v>
      </c>
      <c r="BO389" s="449">
        <f>SUM('FY19 Staffing V1-1 (3)'!$W$207)/12</f>
        <v>1252.5916666666669</v>
      </c>
      <c r="BP389" s="449">
        <f>SUM('FY19 Staffing V1-1 (3)'!$W$207)/12</f>
        <v>1252.5916666666669</v>
      </c>
      <c r="BQ389" s="449">
        <f>SUM('FY19 Staffing V1-1 (3)'!$W$207)/12</f>
        <v>1252.5916666666669</v>
      </c>
      <c r="BR389" s="449">
        <f>SUM('FY19 Staffing V1-1 (3)'!$W$207)/12</f>
        <v>1252.5916666666669</v>
      </c>
      <c r="BS389" s="449">
        <f>SUM('FY19 Staffing V1-1 (3)'!$W$207)/12</f>
        <v>1252.5916666666669</v>
      </c>
      <c r="BT389" s="449">
        <f>SUM('FY19 Staffing V1-1 (3)'!$W$207)/12</f>
        <v>1252.5916666666669</v>
      </c>
    </row>
    <row r="390" spans="1:72" ht="15" x14ac:dyDescent="0.25">
      <c r="A390" s="502" t="s">
        <v>645</v>
      </c>
      <c r="B390" s="502" t="s">
        <v>646</v>
      </c>
      <c r="C390" s="541"/>
      <c r="D390" s="500">
        <f t="shared" si="339"/>
        <v>3940</v>
      </c>
      <c r="E390" s="449">
        <v>3940</v>
      </c>
      <c r="F390" s="449">
        <f t="shared" si="340"/>
        <v>0</v>
      </c>
      <c r="G390" s="421">
        <f t="shared" si="341"/>
        <v>0</v>
      </c>
      <c r="H390" s="449">
        <v>3940</v>
      </c>
      <c r="I390" s="449">
        <f t="shared" si="342"/>
        <v>0</v>
      </c>
      <c r="J390" s="426">
        <f t="shared" si="343"/>
        <v>0</v>
      </c>
      <c r="K390" s="421"/>
      <c r="L390" s="449">
        <v>0</v>
      </c>
      <c r="M390" s="449">
        <v>666.78</v>
      </c>
      <c r="N390" s="449">
        <v>318.23</v>
      </c>
      <c r="O390" s="449">
        <v>303.07999999999993</v>
      </c>
      <c r="P390" s="449">
        <v>303.08000000000015</v>
      </c>
      <c r="Q390" s="449">
        <v>378.84999999999991</v>
      </c>
      <c r="R390" s="449">
        <f>($H390-SUM($L390:Q390))/R$694</f>
        <v>328.33</v>
      </c>
      <c r="S390" s="449">
        <f>($H390-SUM($L390:R390))/S$694</f>
        <v>328.33000000000004</v>
      </c>
      <c r="T390" s="449">
        <f>($H390-SUM($L390:S390))/T$694</f>
        <v>328.33000000000004</v>
      </c>
      <c r="U390" s="449">
        <f>($H390-SUM($L390:T390))/U$694</f>
        <v>328.3300000000001</v>
      </c>
      <c r="V390" s="449">
        <f>($H390-SUM($L390:U390))/V$694</f>
        <v>328.33000000000015</v>
      </c>
      <c r="W390" s="449">
        <f>($H390-SUM($L390:V390))/W$694</f>
        <v>328.32999999999993</v>
      </c>
      <c r="X390" s="449"/>
      <c r="Y390" s="449">
        <f t="shared" si="344"/>
        <v>3940</v>
      </c>
      <c r="Z390" s="531"/>
      <c r="AA390" s="449">
        <f t="shared" si="345"/>
        <v>328.33333333333331</v>
      </c>
      <c r="AB390" s="449">
        <f t="shared" si="345"/>
        <v>328.33333333333331</v>
      </c>
      <c r="AC390" s="449">
        <f t="shared" si="345"/>
        <v>328.33333333333331</v>
      </c>
      <c r="AD390" s="449">
        <f t="shared" si="345"/>
        <v>328.33333333333331</v>
      </c>
      <c r="AE390" s="449">
        <f t="shared" si="345"/>
        <v>328.33333333333331</v>
      </c>
      <c r="AF390" s="449">
        <f t="shared" si="345"/>
        <v>328.33333333333331</v>
      </c>
      <c r="AG390" s="449">
        <f t="shared" si="345"/>
        <v>328.33333333333331</v>
      </c>
      <c r="AH390" s="449">
        <f t="shared" si="345"/>
        <v>328.33333333333331</v>
      </c>
      <c r="AI390" s="449">
        <f t="shared" si="345"/>
        <v>328.33333333333331</v>
      </c>
      <c r="AJ390" s="449">
        <f t="shared" si="345"/>
        <v>328.33333333333331</v>
      </c>
      <c r="AK390" s="449">
        <f t="shared" si="345"/>
        <v>328.33333333333331</v>
      </c>
      <c r="AL390" s="449">
        <f t="shared" si="345"/>
        <v>328.33333333333331</v>
      </c>
      <c r="AN390" s="500">
        <f t="shared" si="346"/>
        <v>3940</v>
      </c>
      <c r="AO390" s="449">
        <f t="shared" si="347"/>
        <v>3940.0000000000005</v>
      </c>
      <c r="AP390" s="449">
        <f t="shared" si="348"/>
        <v>4.5474735088646412E-13</v>
      </c>
      <c r="AQ390" s="453">
        <f t="shared" si="349"/>
        <v>1.1541810936204674E-16</v>
      </c>
      <c r="AR390" s="449">
        <f t="shared" si="350"/>
        <v>3940.0000000000005</v>
      </c>
      <c r="AS390" s="449">
        <f t="shared" si="351"/>
        <v>0</v>
      </c>
      <c r="AT390" s="426">
        <f t="shared" si="352"/>
        <v>0</v>
      </c>
      <c r="AU390" s="421"/>
      <c r="AV390" s="449">
        <f t="shared" si="353"/>
        <v>328.33333333333331</v>
      </c>
      <c r="AW390" s="449">
        <f t="shared" si="353"/>
        <v>328.33333333333331</v>
      </c>
      <c r="AX390" s="449">
        <f t="shared" si="353"/>
        <v>328.33333333333331</v>
      </c>
      <c r="AY390" s="449">
        <f t="shared" si="353"/>
        <v>328.33333333333331</v>
      </c>
      <c r="AZ390" s="449">
        <f t="shared" si="353"/>
        <v>328.33333333333331</v>
      </c>
      <c r="BA390" s="449">
        <f t="shared" si="353"/>
        <v>328.33333333333331</v>
      </c>
      <c r="BB390" s="449">
        <f t="shared" si="353"/>
        <v>328.33333333333331</v>
      </c>
      <c r="BC390" s="449">
        <f t="shared" si="353"/>
        <v>328.33333333333331</v>
      </c>
      <c r="BD390" s="449">
        <f t="shared" si="353"/>
        <v>328.33333333333331</v>
      </c>
      <c r="BE390" s="449">
        <f t="shared" si="353"/>
        <v>328.33333333333331</v>
      </c>
      <c r="BF390" s="449">
        <f t="shared" si="353"/>
        <v>328.33333333333331</v>
      </c>
      <c r="BG390" s="449">
        <f t="shared" si="353"/>
        <v>328.33333333333331</v>
      </c>
      <c r="BH390" s="400"/>
      <c r="BI390" s="449">
        <f>SUM('FY19 Staffing V1-1 (3)'!$S$207)/12</f>
        <v>328.33333333333331</v>
      </c>
      <c r="BJ390" s="449">
        <f>SUM('FY19 Staffing V1-1 (3)'!$S$207)/12</f>
        <v>328.33333333333331</v>
      </c>
      <c r="BK390" s="449">
        <f>SUM('FY19 Staffing V1-1 (3)'!$S$207)/12</f>
        <v>328.33333333333331</v>
      </c>
      <c r="BL390" s="449">
        <f>SUM('FY19 Staffing V1-1 (3)'!$S$207)/12</f>
        <v>328.33333333333331</v>
      </c>
      <c r="BM390" s="449">
        <f>SUM('FY19 Staffing V1-1 (3)'!$S$207)/12</f>
        <v>328.33333333333331</v>
      </c>
      <c r="BN390" s="449">
        <f>SUM('FY19 Staffing V1-1 (3)'!$S$207)/12</f>
        <v>328.33333333333331</v>
      </c>
      <c r="BO390" s="449">
        <f>SUM('FY19 Staffing V1-1 (3)'!$S$207)/12</f>
        <v>328.33333333333331</v>
      </c>
      <c r="BP390" s="449">
        <f>SUM('FY19 Staffing V1-1 (3)'!$S$207)/12</f>
        <v>328.33333333333331</v>
      </c>
      <c r="BQ390" s="449">
        <f>SUM('FY19 Staffing V1-1 (3)'!$S$207)/12</f>
        <v>328.33333333333331</v>
      </c>
      <c r="BR390" s="449">
        <f>SUM('FY19 Staffing V1-1 (3)'!$S$207)/12</f>
        <v>328.33333333333331</v>
      </c>
      <c r="BS390" s="449">
        <f>SUM('FY19 Staffing V1-1 (3)'!$S$207)/12</f>
        <v>328.33333333333331</v>
      </c>
      <c r="BT390" s="449">
        <f>SUM('FY19 Staffing V1-1 (3)'!$S$207)/12</f>
        <v>328.33333333333331</v>
      </c>
    </row>
    <row r="391" spans="1:72" ht="15" x14ac:dyDescent="0.25">
      <c r="A391" s="502" t="s">
        <v>647</v>
      </c>
      <c r="B391" s="502" t="s">
        <v>648</v>
      </c>
      <c r="C391" s="630"/>
      <c r="D391" s="500">
        <f t="shared" si="339"/>
        <v>63750</v>
      </c>
      <c r="E391" s="449">
        <v>64298</v>
      </c>
      <c r="F391" s="449">
        <f t="shared" si="340"/>
        <v>-548</v>
      </c>
      <c r="G391" s="421">
        <f t="shared" si="341"/>
        <v>-8.5228156396777513E-3</v>
      </c>
      <c r="H391" s="449">
        <v>63750</v>
      </c>
      <c r="I391" s="449">
        <f t="shared" si="342"/>
        <v>0</v>
      </c>
      <c r="J391" s="426">
        <f t="shared" si="343"/>
        <v>0</v>
      </c>
      <c r="K391" s="421"/>
      <c r="L391" s="449">
        <v>4903.84</v>
      </c>
      <c r="M391" s="449">
        <v>9480.77</v>
      </c>
      <c r="N391" s="449">
        <v>6865.380000000001</v>
      </c>
      <c r="O391" s="449">
        <v>6538.4599999999991</v>
      </c>
      <c r="P391" s="449">
        <v>-2043.2674999999981</v>
      </c>
      <c r="Q391" s="449">
        <v>16754.807499999995</v>
      </c>
      <c r="R391" s="449">
        <f>($H391-SUM($L391:Q391))/R$694</f>
        <v>3541.6683333333335</v>
      </c>
      <c r="S391" s="449">
        <f>($H391-SUM($L391:R391))/S$694</f>
        <v>3541.6683333333335</v>
      </c>
      <c r="T391" s="449">
        <f>($H391-SUM($L391:S391))/T$694</f>
        <v>3541.6683333333331</v>
      </c>
      <c r="U391" s="449">
        <f>($H391-SUM($L391:T391))/U$694</f>
        <v>3541.6683333333326</v>
      </c>
      <c r="V391" s="449">
        <f>($H391-SUM($L391:U391))/V$694</f>
        <v>3541.6683333333312</v>
      </c>
      <c r="W391" s="449">
        <f>($H391-SUM($L391:V391))/W$694</f>
        <v>3541.6683333333349</v>
      </c>
      <c r="X391" s="449"/>
      <c r="Y391" s="449">
        <f t="shared" si="344"/>
        <v>63750</v>
      </c>
      <c r="Z391" s="531"/>
      <c r="AA391" s="449">
        <f t="shared" si="345"/>
        <v>5312.5</v>
      </c>
      <c r="AB391" s="449">
        <f t="shared" si="345"/>
        <v>5312.5</v>
      </c>
      <c r="AC391" s="449">
        <f t="shared" si="345"/>
        <v>5312.5</v>
      </c>
      <c r="AD391" s="449">
        <f t="shared" si="345"/>
        <v>5312.5</v>
      </c>
      <c r="AE391" s="449">
        <f t="shared" si="345"/>
        <v>5312.5</v>
      </c>
      <c r="AF391" s="449">
        <f t="shared" si="345"/>
        <v>5312.5</v>
      </c>
      <c r="AG391" s="449">
        <f t="shared" si="345"/>
        <v>5312.5</v>
      </c>
      <c r="AH391" s="449">
        <f t="shared" si="345"/>
        <v>5312.5</v>
      </c>
      <c r="AI391" s="449">
        <f t="shared" si="345"/>
        <v>5312.5</v>
      </c>
      <c r="AJ391" s="449">
        <f t="shared" si="345"/>
        <v>5312.5</v>
      </c>
      <c r="AK391" s="449">
        <f t="shared" si="345"/>
        <v>5312.5</v>
      </c>
      <c r="AL391" s="449">
        <f t="shared" si="345"/>
        <v>5312.5</v>
      </c>
      <c r="AN391" s="500">
        <f t="shared" si="346"/>
        <v>63750</v>
      </c>
      <c r="AO391" s="449">
        <f t="shared" si="347"/>
        <v>52530</v>
      </c>
      <c r="AP391" s="449">
        <f t="shared" si="348"/>
        <v>-11220</v>
      </c>
      <c r="AQ391" s="453">
        <f t="shared" si="349"/>
        <v>-0.17599999999999999</v>
      </c>
      <c r="AR391" s="449">
        <f t="shared" si="350"/>
        <v>52530</v>
      </c>
      <c r="AS391" s="449">
        <f t="shared" si="351"/>
        <v>0</v>
      </c>
      <c r="AT391" s="426">
        <f t="shared" si="352"/>
        <v>0</v>
      </c>
      <c r="AU391" s="421"/>
      <c r="AV391" s="449">
        <f t="shared" si="353"/>
        <v>4377.5</v>
      </c>
      <c r="AW391" s="449">
        <f t="shared" si="353"/>
        <v>4377.5</v>
      </c>
      <c r="AX391" s="449">
        <f t="shared" si="353"/>
        <v>4377.5</v>
      </c>
      <c r="AY391" s="449">
        <f t="shared" si="353"/>
        <v>4377.5</v>
      </c>
      <c r="AZ391" s="449">
        <f t="shared" si="353"/>
        <v>4377.5</v>
      </c>
      <c r="BA391" s="449">
        <f t="shared" si="353"/>
        <v>4377.5</v>
      </c>
      <c r="BB391" s="449">
        <f t="shared" si="353"/>
        <v>4377.5</v>
      </c>
      <c r="BC391" s="449">
        <f t="shared" si="353"/>
        <v>4377.5</v>
      </c>
      <c r="BD391" s="449">
        <f t="shared" si="353"/>
        <v>4377.5</v>
      </c>
      <c r="BE391" s="449">
        <f t="shared" si="353"/>
        <v>4377.5</v>
      </c>
      <c r="BF391" s="449">
        <f t="shared" si="353"/>
        <v>4377.5</v>
      </c>
      <c r="BG391" s="449">
        <f t="shared" si="353"/>
        <v>4377.5</v>
      </c>
      <c r="BH391" s="400"/>
      <c r="BI391" s="449">
        <f>SUM('FY19 Staffing V1-1 (3)'!$P$286)/12</f>
        <v>4377.5</v>
      </c>
      <c r="BJ391" s="449">
        <f>SUM('FY19 Staffing V1-1 (3)'!$P$286)/12</f>
        <v>4377.5</v>
      </c>
      <c r="BK391" s="449">
        <f>SUM('FY19 Staffing V1-1 (3)'!$P$286)/12</f>
        <v>4377.5</v>
      </c>
      <c r="BL391" s="449">
        <f>SUM('FY19 Staffing V1-1 (3)'!$P$286)/12</f>
        <v>4377.5</v>
      </c>
      <c r="BM391" s="449">
        <f>SUM('FY19 Staffing V1-1 (3)'!$P$286)/12</f>
        <v>4377.5</v>
      </c>
      <c r="BN391" s="449">
        <f>SUM('FY19 Staffing V1-1 (3)'!$P$286)/12</f>
        <v>4377.5</v>
      </c>
      <c r="BO391" s="449">
        <f>SUM('FY19 Staffing V1-1 (3)'!$P$286)/12</f>
        <v>4377.5</v>
      </c>
      <c r="BP391" s="449">
        <f>SUM('FY19 Staffing V1-1 (3)'!$P$286)/12</f>
        <v>4377.5</v>
      </c>
      <c r="BQ391" s="449">
        <f>SUM('FY19 Staffing V1-1 (3)'!$P$286)/12</f>
        <v>4377.5</v>
      </c>
      <c r="BR391" s="449">
        <f>SUM('FY19 Staffing V1-1 (3)'!$P$286)/12</f>
        <v>4377.5</v>
      </c>
      <c r="BS391" s="449">
        <f>SUM('FY19 Staffing V1-1 (3)'!$P$286)/12</f>
        <v>4377.5</v>
      </c>
      <c r="BT391" s="449">
        <f>SUM('FY19 Staffing V1-1 (3)'!$P$286)/12</f>
        <v>4377.5</v>
      </c>
    </row>
    <row r="392" spans="1:72" ht="15" x14ac:dyDescent="0.25">
      <c r="A392" s="502" t="s">
        <v>649</v>
      </c>
      <c r="B392" s="502" t="s">
        <v>650</v>
      </c>
      <c r="C392" s="630"/>
      <c r="D392" s="500">
        <f t="shared" si="339"/>
        <v>21250</v>
      </c>
      <c r="E392" s="449">
        <v>21433</v>
      </c>
      <c r="F392" s="449">
        <f t="shared" si="340"/>
        <v>-183</v>
      </c>
      <c r="G392" s="421">
        <f t="shared" si="341"/>
        <v>-8.5382354313441895E-3</v>
      </c>
      <c r="H392" s="449">
        <v>21250</v>
      </c>
      <c r="I392" s="449">
        <f t="shared" si="342"/>
        <v>0</v>
      </c>
      <c r="J392" s="426">
        <f t="shared" si="343"/>
        <v>0</v>
      </c>
      <c r="K392" s="421"/>
      <c r="L392" s="449">
        <v>0</v>
      </c>
      <c r="M392" s="449">
        <v>0</v>
      </c>
      <c r="N392" s="449">
        <v>0</v>
      </c>
      <c r="O392" s="449">
        <v>0</v>
      </c>
      <c r="P392" s="449">
        <v>8581.7275000000009</v>
      </c>
      <c r="Q392" s="449">
        <v>-8581.7275000000009</v>
      </c>
      <c r="R392" s="449">
        <f>($H392-SUM($L392:Q392))/R$694</f>
        <v>3541.6666666666665</v>
      </c>
      <c r="S392" s="449">
        <f>($H392-SUM($L392:R392))/S$694</f>
        <v>3541.6666666666665</v>
      </c>
      <c r="T392" s="449">
        <f>($H392-SUM($L392:S392))/T$694</f>
        <v>3541.666666666667</v>
      </c>
      <c r="U392" s="449">
        <f>($H392-SUM($L392:T392))/U$694</f>
        <v>3541.6666666666665</v>
      </c>
      <c r="V392" s="449">
        <f>($H392-SUM($L392:U392))/V$694</f>
        <v>3541.666666666667</v>
      </c>
      <c r="W392" s="449">
        <f>($H392-SUM($L392:V392))/W$694</f>
        <v>3541.6666666666679</v>
      </c>
      <c r="X392" s="449"/>
      <c r="Y392" s="449">
        <f t="shared" si="344"/>
        <v>21250</v>
      </c>
      <c r="Z392" s="531"/>
      <c r="AA392" s="449">
        <f t="shared" si="345"/>
        <v>1770.8333333333333</v>
      </c>
      <c r="AB392" s="449">
        <f t="shared" si="345"/>
        <v>1770.8333333333333</v>
      </c>
      <c r="AC392" s="449">
        <f t="shared" si="345"/>
        <v>1770.8333333333333</v>
      </c>
      <c r="AD392" s="449">
        <f t="shared" si="345"/>
        <v>1770.8333333333333</v>
      </c>
      <c r="AE392" s="449">
        <f t="shared" si="345"/>
        <v>1770.8333333333333</v>
      </c>
      <c r="AF392" s="449">
        <f t="shared" si="345"/>
        <v>1770.8333333333333</v>
      </c>
      <c r="AG392" s="449">
        <f t="shared" si="345"/>
        <v>1770.8333333333333</v>
      </c>
      <c r="AH392" s="449">
        <f t="shared" si="345"/>
        <v>1770.8333333333333</v>
      </c>
      <c r="AI392" s="449">
        <f t="shared" si="345"/>
        <v>1770.8333333333333</v>
      </c>
      <c r="AJ392" s="449">
        <f t="shared" si="345"/>
        <v>1770.8333333333333</v>
      </c>
      <c r="AK392" s="449">
        <f t="shared" si="345"/>
        <v>1770.8333333333333</v>
      </c>
      <c r="AL392" s="449">
        <f t="shared" si="345"/>
        <v>1770.8333333333333</v>
      </c>
      <c r="AN392" s="500">
        <f t="shared" si="346"/>
        <v>21250</v>
      </c>
      <c r="AO392" s="449">
        <f t="shared" si="347"/>
        <v>35019.999999999993</v>
      </c>
      <c r="AP392" s="449">
        <f t="shared" si="348"/>
        <v>13769.999999999993</v>
      </c>
      <c r="AQ392" s="453">
        <f t="shared" si="349"/>
        <v>0.64799999999999969</v>
      </c>
      <c r="AR392" s="449">
        <f t="shared" si="350"/>
        <v>35019.999999999993</v>
      </c>
      <c r="AS392" s="449">
        <f t="shared" si="351"/>
        <v>0</v>
      </c>
      <c r="AT392" s="426">
        <f t="shared" si="352"/>
        <v>0</v>
      </c>
      <c r="AU392" s="421"/>
      <c r="AV392" s="449">
        <f t="shared" si="353"/>
        <v>2918.3333333333335</v>
      </c>
      <c r="AW392" s="449">
        <f t="shared" si="353"/>
        <v>2918.3333333333335</v>
      </c>
      <c r="AX392" s="449">
        <f t="shared" si="353"/>
        <v>2918.3333333333335</v>
      </c>
      <c r="AY392" s="449">
        <f t="shared" si="353"/>
        <v>2918.3333333333335</v>
      </c>
      <c r="AZ392" s="449">
        <f t="shared" si="353"/>
        <v>2918.3333333333335</v>
      </c>
      <c r="BA392" s="449">
        <f t="shared" si="353"/>
        <v>2918.3333333333335</v>
      </c>
      <c r="BB392" s="449">
        <f t="shared" si="353"/>
        <v>2918.3333333333335</v>
      </c>
      <c r="BC392" s="449">
        <f t="shared" si="353"/>
        <v>2918.3333333333335</v>
      </c>
      <c r="BD392" s="449">
        <f t="shared" si="353"/>
        <v>2918.3333333333335</v>
      </c>
      <c r="BE392" s="449">
        <f t="shared" si="353"/>
        <v>2918.3333333333335</v>
      </c>
      <c r="BF392" s="449">
        <f t="shared" si="353"/>
        <v>2918.3333333333335</v>
      </c>
      <c r="BG392" s="449">
        <f t="shared" si="353"/>
        <v>2918.3333333333335</v>
      </c>
      <c r="BH392" s="400"/>
      <c r="BI392" s="449">
        <f>SUM('FY19 Staffing V1-1 (3)'!$P$287)/12</f>
        <v>2918.3333333333335</v>
      </c>
      <c r="BJ392" s="449">
        <f>SUM('FY19 Staffing V1-1 (3)'!$P$287)/12</f>
        <v>2918.3333333333335</v>
      </c>
      <c r="BK392" s="449">
        <f>SUM('FY19 Staffing V1-1 (3)'!$P$287)/12</f>
        <v>2918.3333333333335</v>
      </c>
      <c r="BL392" s="449">
        <f>SUM('FY19 Staffing V1-1 (3)'!$P$287)/12</f>
        <v>2918.3333333333335</v>
      </c>
      <c r="BM392" s="449">
        <f>SUM('FY19 Staffing V1-1 (3)'!$P$287)/12</f>
        <v>2918.3333333333335</v>
      </c>
      <c r="BN392" s="449">
        <f>SUM('FY19 Staffing V1-1 (3)'!$P$287)/12</f>
        <v>2918.3333333333335</v>
      </c>
      <c r="BO392" s="449">
        <f>SUM('FY19 Staffing V1-1 (3)'!$P$287)/12</f>
        <v>2918.3333333333335</v>
      </c>
      <c r="BP392" s="449">
        <f>SUM('FY19 Staffing V1-1 (3)'!$P$287)/12</f>
        <v>2918.3333333333335</v>
      </c>
      <c r="BQ392" s="449">
        <f>SUM('FY19 Staffing V1-1 (3)'!$P$287)/12</f>
        <v>2918.3333333333335</v>
      </c>
      <c r="BR392" s="449">
        <f>SUM('FY19 Staffing V1-1 (3)'!$P$287)/12</f>
        <v>2918.3333333333335</v>
      </c>
      <c r="BS392" s="449">
        <f>SUM('FY19 Staffing V1-1 (3)'!$P$287)/12</f>
        <v>2918.3333333333335</v>
      </c>
      <c r="BT392" s="449">
        <f>SUM('FY19 Staffing V1-1 (3)'!$P$287)/12</f>
        <v>2918.3333333333335</v>
      </c>
    </row>
    <row r="393" spans="1:72" ht="15" x14ac:dyDescent="0.25">
      <c r="A393" s="537" t="s">
        <v>651</v>
      </c>
      <c r="B393" s="537" t="s">
        <v>652</v>
      </c>
      <c r="C393" s="630"/>
      <c r="D393" s="500">
        <f t="shared" si="339"/>
        <v>0</v>
      </c>
      <c r="E393" s="449">
        <v>0</v>
      </c>
      <c r="F393" s="449">
        <f t="shared" si="340"/>
        <v>0</v>
      </c>
      <c r="G393" s="421">
        <f t="shared" si="341"/>
        <v>0</v>
      </c>
      <c r="H393" s="449">
        <v>0</v>
      </c>
      <c r="I393" s="449">
        <f t="shared" si="342"/>
        <v>0</v>
      </c>
      <c r="J393" s="426">
        <f t="shared" si="343"/>
        <v>0</v>
      </c>
      <c r="K393" s="421"/>
      <c r="L393" s="449">
        <v>0</v>
      </c>
      <c r="M393" s="449">
        <v>0</v>
      </c>
      <c r="N393" s="449">
        <v>0</v>
      </c>
      <c r="O393" s="449">
        <v>0</v>
      </c>
      <c r="P393" s="449">
        <v>0</v>
      </c>
      <c r="Q393" s="449">
        <v>0</v>
      </c>
      <c r="R393" s="449">
        <f>($H393-SUM($L393:Q393))/R$694</f>
        <v>0</v>
      </c>
      <c r="S393" s="449">
        <f>($H393-SUM($L393:R393))/S$694</f>
        <v>0</v>
      </c>
      <c r="T393" s="449">
        <f>($H393-SUM($L393:S393))/T$694</f>
        <v>0</v>
      </c>
      <c r="U393" s="449">
        <f>($H393-SUM($L393:T393))/U$694</f>
        <v>0</v>
      </c>
      <c r="V393" s="449">
        <f>($H393-SUM($L393:U393))/V$694</f>
        <v>0</v>
      </c>
      <c r="W393" s="449">
        <f>($H393-SUM($L393:V393))/W$694</f>
        <v>0</v>
      </c>
      <c r="X393" s="449"/>
      <c r="Y393" s="449">
        <f t="shared" si="344"/>
        <v>0</v>
      </c>
      <c r="Z393" s="531"/>
      <c r="AA393" s="449">
        <f t="shared" si="345"/>
        <v>0</v>
      </c>
      <c r="AB393" s="449">
        <f t="shared" si="345"/>
        <v>0</v>
      </c>
      <c r="AC393" s="449">
        <f t="shared" si="345"/>
        <v>0</v>
      </c>
      <c r="AD393" s="449">
        <f t="shared" si="345"/>
        <v>0</v>
      </c>
      <c r="AE393" s="449">
        <f t="shared" si="345"/>
        <v>0</v>
      </c>
      <c r="AF393" s="449">
        <f t="shared" si="345"/>
        <v>0</v>
      </c>
      <c r="AG393" s="449">
        <f t="shared" si="345"/>
        <v>0</v>
      </c>
      <c r="AH393" s="449">
        <f t="shared" si="345"/>
        <v>0</v>
      </c>
      <c r="AI393" s="449">
        <f t="shared" si="345"/>
        <v>0</v>
      </c>
      <c r="AJ393" s="449">
        <f t="shared" si="345"/>
        <v>0</v>
      </c>
      <c r="AK393" s="449">
        <f t="shared" si="345"/>
        <v>0</v>
      </c>
      <c r="AL393" s="449">
        <f t="shared" si="345"/>
        <v>0</v>
      </c>
      <c r="AN393" s="500">
        <f>SUM(L393:W393)</f>
        <v>0</v>
      </c>
      <c r="AO393" s="449">
        <f>SUM(BI393:BT393)</f>
        <v>3000</v>
      </c>
      <c r="AP393" s="449">
        <f t="shared" si="348"/>
        <v>3000</v>
      </c>
      <c r="AQ393" s="453" t="str">
        <f t="shared" si="349"/>
        <v>-</v>
      </c>
      <c r="AR393" s="449">
        <f t="shared" si="350"/>
        <v>3000</v>
      </c>
      <c r="AS393" s="449">
        <f t="shared" si="351"/>
        <v>0</v>
      </c>
      <c r="AT393" s="426">
        <f t="shared" si="352"/>
        <v>0</v>
      </c>
      <c r="AU393" s="421"/>
      <c r="AV393" s="449">
        <f t="shared" si="353"/>
        <v>0</v>
      </c>
      <c r="AW393" s="449">
        <f t="shared" si="353"/>
        <v>0</v>
      </c>
      <c r="AX393" s="449">
        <f t="shared" si="353"/>
        <v>0</v>
      </c>
      <c r="AY393" s="449">
        <f t="shared" si="353"/>
        <v>3000</v>
      </c>
      <c r="AZ393" s="449">
        <f t="shared" si="353"/>
        <v>0</v>
      </c>
      <c r="BA393" s="449">
        <f t="shared" si="353"/>
        <v>0</v>
      </c>
      <c r="BB393" s="449">
        <f t="shared" si="353"/>
        <v>0</v>
      </c>
      <c r="BC393" s="449">
        <f t="shared" si="353"/>
        <v>0</v>
      </c>
      <c r="BD393" s="449">
        <f t="shared" si="353"/>
        <v>0</v>
      </c>
      <c r="BE393" s="449">
        <f t="shared" si="353"/>
        <v>0</v>
      </c>
      <c r="BF393" s="449">
        <f t="shared" si="353"/>
        <v>0</v>
      </c>
      <c r="BG393" s="449">
        <f t="shared" si="353"/>
        <v>0</v>
      </c>
      <c r="BH393" s="400"/>
      <c r="BI393" s="449">
        <v>0</v>
      </c>
      <c r="BJ393" s="449">
        <v>0</v>
      </c>
      <c r="BK393" s="449">
        <v>0</v>
      </c>
      <c r="BL393" s="449">
        <f>SUM('FY19 Staffing V1-1 (3)'!$J$286)</f>
        <v>3000</v>
      </c>
      <c r="BM393" s="449">
        <v>0</v>
      </c>
      <c r="BN393" s="449">
        <v>0</v>
      </c>
      <c r="BO393" s="449">
        <v>0</v>
      </c>
      <c r="BP393" s="449">
        <v>0</v>
      </c>
      <c r="BQ393" s="449">
        <v>0</v>
      </c>
      <c r="BR393" s="449">
        <v>0</v>
      </c>
      <c r="BS393" s="449">
        <v>0</v>
      </c>
      <c r="BT393" s="449">
        <v>0</v>
      </c>
    </row>
    <row r="394" spans="1:72" ht="15" x14ac:dyDescent="0.25">
      <c r="A394" s="537" t="s">
        <v>653</v>
      </c>
      <c r="B394" s="537" t="s">
        <v>654</v>
      </c>
      <c r="C394" s="630"/>
      <c r="D394" s="500">
        <f t="shared" si="339"/>
        <v>0</v>
      </c>
      <c r="E394" s="449">
        <v>0</v>
      </c>
      <c r="F394" s="449">
        <f t="shared" si="340"/>
        <v>0</v>
      </c>
      <c r="G394" s="421">
        <f t="shared" si="341"/>
        <v>0</v>
      </c>
      <c r="H394" s="449">
        <v>0</v>
      </c>
      <c r="I394" s="449">
        <f t="shared" si="342"/>
        <v>0</v>
      </c>
      <c r="J394" s="426">
        <f t="shared" si="343"/>
        <v>0</v>
      </c>
      <c r="K394" s="421"/>
      <c r="L394" s="449">
        <v>0</v>
      </c>
      <c r="M394" s="449">
        <v>0</v>
      </c>
      <c r="N394" s="449">
        <v>0</v>
      </c>
      <c r="O394" s="449">
        <v>0</v>
      </c>
      <c r="P394" s="449">
        <v>0</v>
      </c>
      <c r="Q394" s="449">
        <v>0</v>
      </c>
      <c r="R394" s="449">
        <f>($H394-SUM($L394:Q394))/R$694</f>
        <v>0</v>
      </c>
      <c r="S394" s="449">
        <f>($H394-SUM($L394:R394))/S$694</f>
        <v>0</v>
      </c>
      <c r="T394" s="449">
        <f>($H394-SUM($L394:S394))/T$694</f>
        <v>0</v>
      </c>
      <c r="U394" s="449">
        <f>($H394-SUM($L394:T394))/U$694</f>
        <v>0</v>
      </c>
      <c r="V394" s="449">
        <f>($H394-SUM($L394:U394))/V$694</f>
        <v>0</v>
      </c>
      <c r="W394" s="449">
        <f>($H394-SUM($L394:V394))/W$694</f>
        <v>0</v>
      </c>
      <c r="X394" s="449"/>
      <c r="Y394" s="449">
        <f t="shared" si="344"/>
        <v>0</v>
      </c>
      <c r="Z394" s="531"/>
      <c r="AA394" s="449">
        <f t="shared" si="345"/>
        <v>0</v>
      </c>
      <c r="AB394" s="449">
        <f t="shared" si="345"/>
        <v>0</v>
      </c>
      <c r="AC394" s="449">
        <f t="shared" si="345"/>
        <v>0</v>
      </c>
      <c r="AD394" s="449">
        <f t="shared" si="345"/>
        <v>0</v>
      </c>
      <c r="AE394" s="449">
        <f t="shared" si="345"/>
        <v>0</v>
      </c>
      <c r="AF394" s="449">
        <f t="shared" si="345"/>
        <v>0</v>
      </c>
      <c r="AG394" s="449">
        <f t="shared" si="345"/>
        <v>0</v>
      </c>
      <c r="AH394" s="449">
        <f t="shared" si="345"/>
        <v>0</v>
      </c>
      <c r="AI394" s="449">
        <f t="shared" si="345"/>
        <v>0</v>
      </c>
      <c r="AJ394" s="449">
        <f t="shared" si="345"/>
        <v>0</v>
      </c>
      <c r="AK394" s="449">
        <f t="shared" si="345"/>
        <v>0</v>
      </c>
      <c r="AL394" s="449">
        <f t="shared" si="345"/>
        <v>0</v>
      </c>
      <c r="AN394" s="500">
        <f>SUM(L394:W394)</f>
        <v>0</v>
      </c>
      <c r="AO394" s="449">
        <f>SUM(BI394:BT394)</f>
        <v>3000</v>
      </c>
      <c r="AP394" s="449">
        <f t="shared" si="348"/>
        <v>3000</v>
      </c>
      <c r="AQ394" s="453" t="str">
        <f t="shared" si="349"/>
        <v>-</v>
      </c>
      <c r="AR394" s="449">
        <f t="shared" si="350"/>
        <v>3000</v>
      </c>
      <c r="AS394" s="449">
        <f t="shared" si="351"/>
        <v>0</v>
      </c>
      <c r="AT394" s="426">
        <f t="shared" si="352"/>
        <v>0</v>
      </c>
      <c r="AU394" s="421"/>
      <c r="AV394" s="449">
        <f t="shared" si="353"/>
        <v>0</v>
      </c>
      <c r="AW394" s="449">
        <f t="shared" si="353"/>
        <v>0</v>
      </c>
      <c r="AX394" s="449">
        <f t="shared" si="353"/>
        <v>0</v>
      </c>
      <c r="AY394" s="449">
        <f t="shared" si="353"/>
        <v>3000</v>
      </c>
      <c r="AZ394" s="449">
        <f t="shared" si="353"/>
        <v>0</v>
      </c>
      <c r="BA394" s="449">
        <f t="shared" si="353"/>
        <v>0</v>
      </c>
      <c r="BB394" s="449">
        <f t="shared" si="353"/>
        <v>0</v>
      </c>
      <c r="BC394" s="449">
        <f t="shared" si="353"/>
        <v>0</v>
      </c>
      <c r="BD394" s="449">
        <f t="shared" si="353"/>
        <v>0</v>
      </c>
      <c r="BE394" s="449">
        <f t="shared" si="353"/>
        <v>0</v>
      </c>
      <c r="BF394" s="449">
        <f t="shared" si="353"/>
        <v>0</v>
      </c>
      <c r="BG394" s="449">
        <f t="shared" si="353"/>
        <v>0</v>
      </c>
      <c r="BH394" s="400"/>
      <c r="BI394" s="449">
        <v>0</v>
      </c>
      <c r="BJ394" s="449">
        <v>0</v>
      </c>
      <c r="BK394" s="449">
        <v>0</v>
      </c>
      <c r="BL394" s="449">
        <f>SUM('FY19 Staffing V1-1 (3)'!$J$287)</f>
        <v>3000</v>
      </c>
      <c r="BM394" s="449">
        <v>0</v>
      </c>
      <c r="BN394" s="449">
        <v>0</v>
      </c>
      <c r="BO394" s="449">
        <v>0</v>
      </c>
      <c r="BP394" s="449">
        <v>0</v>
      </c>
      <c r="BQ394" s="449">
        <v>0</v>
      </c>
      <c r="BR394" s="449">
        <v>0</v>
      </c>
      <c r="BS394" s="449">
        <v>0</v>
      </c>
      <c r="BT394" s="449">
        <v>0</v>
      </c>
    </row>
    <row r="395" spans="1:72" ht="15" x14ac:dyDescent="0.25">
      <c r="A395" s="502" t="s">
        <v>655</v>
      </c>
      <c r="B395" s="502" t="s">
        <v>656</v>
      </c>
      <c r="C395" s="541"/>
      <c r="D395" s="500">
        <f t="shared" si="339"/>
        <v>6971</v>
      </c>
      <c r="E395" s="449">
        <v>7013</v>
      </c>
      <c r="F395" s="449">
        <f t="shared" si="340"/>
        <v>-42</v>
      </c>
      <c r="G395" s="421">
        <f t="shared" si="341"/>
        <v>-5.9888777983744474E-3</v>
      </c>
      <c r="H395" s="449">
        <v>6971</v>
      </c>
      <c r="I395" s="449">
        <f t="shared" si="342"/>
        <v>0</v>
      </c>
      <c r="J395" s="426">
        <f t="shared" si="343"/>
        <v>0</v>
      </c>
      <c r="K395" s="421"/>
      <c r="L395" s="449">
        <v>1552.37</v>
      </c>
      <c r="M395" s="449">
        <v>520.82999999999993</v>
      </c>
      <c r="N395" s="449">
        <v>390.40000000000009</v>
      </c>
      <c r="O395" s="449">
        <v>500.18000000000029</v>
      </c>
      <c r="P395" s="449">
        <v>500.17999999999984</v>
      </c>
      <c r="Q395" s="449">
        <v>625.23</v>
      </c>
      <c r="R395" s="449">
        <f>($H395-SUM($L395:Q395))/R$694</f>
        <v>480.30166666666668</v>
      </c>
      <c r="S395" s="449">
        <f>($H395-SUM($L395:R395))/S$694</f>
        <v>480.30166666666662</v>
      </c>
      <c r="T395" s="449">
        <f>($H395-SUM($L395:S395))/T$694</f>
        <v>480.30166666666673</v>
      </c>
      <c r="U395" s="449">
        <f>($H395-SUM($L395:T395))/U$694</f>
        <v>480.3016666666669</v>
      </c>
      <c r="V395" s="449">
        <f>($H395-SUM($L395:U395))/V$694</f>
        <v>480.30166666666673</v>
      </c>
      <c r="W395" s="449">
        <f>($H395-SUM($L395:V395))/W$694</f>
        <v>480.30166666666628</v>
      </c>
      <c r="X395" s="449"/>
      <c r="Y395" s="449">
        <f t="shared" si="344"/>
        <v>6971</v>
      </c>
      <c r="Z395" s="531"/>
      <c r="AA395" s="449">
        <f t="shared" si="345"/>
        <v>580.91666666666663</v>
      </c>
      <c r="AB395" s="449">
        <f t="shared" si="345"/>
        <v>580.91666666666663</v>
      </c>
      <c r="AC395" s="449">
        <f t="shared" si="345"/>
        <v>580.91666666666663</v>
      </c>
      <c r="AD395" s="449">
        <f t="shared" si="345"/>
        <v>580.91666666666663</v>
      </c>
      <c r="AE395" s="449">
        <f t="shared" si="345"/>
        <v>580.91666666666663</v>
      </c>
      <c r="AF395" s="449">
        <f t="shared" si="345"/>
        <v>580.91666666666663</v>
      </c>
      <c r="AG395" s="449">
        <f t="shared" si="345"/>
        <v>580.91666666666663</v>
      </c>
      <c r="AH395" s="449">
        <f t="shared" si="345"/>
        <v>580.91666666666663</v>
      </c>
      <c r="AI395" s="449">
        <f t="shared" si="345"/>
        <v>580.91666666666663</v>
      </c>
      <c r="AJ395" s="449">
        <f t="shared" si="345"/>
        <v>580.91666666666663</v>
      </c>
      <c r="AK395" s="449">
        <f t="shared" si="345"/>
        <v>580.91666666666663</v>
      </c>
      <c r="AL395" s="449">
        <f t="shared" si="345"/>
        <v>580.91666666666663</v>
      </c>
      <c r="AN395" s="500">
        <f t="shared" si="346"/>
        <v>6971</v>
      </c>
      <c r="AO395" s="449">
        <f t="shared" si="347"/>
        <v>4991.1500000000005</v>
      </c>
      <c r="AP395" s="449">
        <f t="shared" si="348"/>
        <v>-1979.8499999999995</v>
      </c>
      <c r="AQ395" s="453">
        <f t="shared" si="349"/>
        <v>-0.28401233682398502</v>
      </c>
      <c r="AR395" s="449">
        <f t="shared" si="350"/>
        <v>4991.1500000000005</v>
      </c>
      <c r="AS395" s="449">
        <f t="shared" si="351"/>
        <v>0</v>
      </c>
      <c r="AT395" s="426">
        <f t="shared" si="352"/>
        <v>0</v>
      </c>
      <c r="AU395" s="421"/>
      <c r="AV395" s="449">
        <f t="shared" si="353"/>
        <v>415.92916666666673</v>
      </c>
      <c r="AW395" s="449">
        <f t="shared" si="353"/>
        <v>415.92916666666673</v>
      </c>
      <c r="AX395" s="449">
        <f t="shared" si="353"/>
        <v>415.92916666666673</v>
      </c>
      <c r="AY395" s="449">
        <f t="shared" si="353"/>
        <v>415.92916666666673</v>
      </c>
      <c r="AZ395" s="449">
        <f t="shared" si="353"/>
        <v>415.92916666666673</v>
      </c>
      <c r="BA395" s="449">
        <f t="shared" si="353"/>
        <v>415.92916666666673</v>
      </c>
      <c r="BB395" s="449">
        <f t="shared" si="353"/>
        <v>415.92916666666673</v>
      </c>
      <c r="BC395" s="449">
        <f t="shared" si="353"/>
        <v>415.92916666666673</v>
      </c>
      <c r="BD395" s="449">
        <f t="shared" si="353"/>
        <v>415.92916666666673</v>
      </c>
      <c r="BE395" s="449">
        <f t="shared" si="353"/>
        <v>415.92916666666673</v>
      </c>
      <c r="BF395" s="449">
        <f t="shared" si="353"/>
        <v>415.92916666666673</v>
      </c>
      <c r="BG395" s="449">
        <f t="shared" si="353"/>
        <v>415.92916666666673</v>
      </c>
      <c r="BH395" s="400"/>
      <c r="BI395" s="449">
        <f>SUM('FY19 Staffing V1-1 (3)'!$Q$286:$R$286,'FY19 Staffing V1-1 (3)'!$T$286:$U$286)/12</f>
        <v>415.92916666666673</v>
      </c>
      <c r="BJ395" s="449">
        <f>SUM('FY19 Staffing V1-1 (3)'!$Q$286:$R$286,'FY19 Staffing V1-1 (3)'!$T$286:$U$286)/12</f>
        <v>415.92916666666673</v>
      </c>
      <c r="BK395" s="449">
        <f>SUM('FY19 Staffing V1-1 (3)'!$Q$286:$R$286,'FY19 Staffing V1-1 (3)'!$T$286:$U$286)/12</f>
        <v>415.92916666666673</v>
      </c>
      <c r="BL395" s="449">
        <f>SUM('FY19 Staffing V1-1 (3)'!$Q$286:$R$286,'FY19 Staffing V1-1 (3)'!$T$286:$U$286)/12</f>
        <v>415.92916666666673</v>
      </c>
      <c r="BM395" s="449">
        <f>SUM('FY19 Staffing V1-1 (3)'!$Q$286:$R$286,'FY19 Staffing V1-1 (3)'!$T$286:$U$286)/12</f>
        <v>415.92916666666673</v>
      </c>
      <c r="BN395" s="449">
        <f>SUM('FY19 Staffing V1-1 (3)'!$Q$286:$R$286,'FY19 Staffing V1-1 (3)'!$T$286:$U$286)/12</f>
        <v>415.92916666666673</v>
      </c>
      <c r="BO395" s="449">
        <f>SUM('FY19 Staffing V1-1 (3)'!$Q$286:$R$286,'FY19 Staffing V1-1 (3)'!$T$286:$U$286)/12</f>
        <v>415.92916666666673</v>
      </c>
      <c r="BP395" s="449">
        <f>SUM('FY19 Staffing V1-1 (3)'!$Q$286:$R$286,'FY19 Staffing V1-1 (3)'!$T$286:$U$286)/12</f>
        <v>415.92916666666673</v>
      </c>
      <c r="BQ395" s="449">
        <f>SUM('FY19 Staffing V1-1 (3)'!$Q$286:$R$286,'FY19 Staffing V1-1 (3)'!$T$286:$U$286)/12</f>
        <v>415.92916666666673</v>
      </c>
      <c r="BR395" s="449">
        <f>SUM('FY19 Staffing V1-1 (3)'!$Q$286:$R$286,'FY19 Staffing V1-1 (3)'!$T$286:$U$286)/12</f>
        <v>415.92916666666673</v>
      </c>
      <c r="BS395" s="449">
        <f>SUM('FY19 Staffing V1-1 (3)'!$Q$286:$R$286,'FY19 Staffing V1-1 (3)'!$T$286:$U$286)/12</f>
        <v>415.92916666666673</v>
      </c>
      <c r="BT395" s="449">
        <f>SUM('FY19 Staffing V1-1 (3)'!$Q$286:$R$286,'FY19 Staffing V1-1 (3)'!$T$286:$U$286)/12</f>
        <v>415.92916666666673</v>
      </c>
    </row>
    <row r="396" spans="1:72" ht="15" x14ac:dyDescent="0.25">
      <c r="A396" s="502" t="s">
        <v>657</v>
      </c>
      <c r="B396" s="502" t="s">
        <v>658</v>
      </c>
      <c r="C396" s="541"/>
      <c r="D396" s="500">
        <f t="shared" si="339"/>
        <v>2324</v>
      </c>
      <c r="E396" s="449">
        <v>2338</v>
      </c>
      <c r="F396" s="449">
        <f t="shared" si="340"/>
        <v>-14</v>
      </c>
      <c r="G396" s="421">
        <f t="shared" si="341"/>
        <v>-5.9880239520958087E-3</v>
      </c>
      <c r="H396" s="449">
        <v>2324</v>
      </c>
      <c r="I396" s="449">
        <f t="shared" si="342"/>
        <v>0</v>
      </c>
      <c r="J396" s="426">
        <f t="shared" si="343"/>
        <v>0</v>
      </c>
      <c r="K396" s="421"/>
      <c r="L396" s="449">
        <v>0</v>
      </c>
      <c r="M396" s="449">
        <v>0</v>
      </c>
      <c r="N396" s="449">
        <v>0</v>
      </c>
      <c r="O396" s="449">
        <v>0</v>
      </c>
      <c r="P396" s="449">
        <v>0</v>
      </c>
      <c r="Q396" s="449">
        <v>0</v>
      </c>
      <c r="R396" s="449">
        <f>($H396-SUM($L396:Q396))/R$694</f>
        <v>387.33333333333331</v>
      </c>
      <c r="S396" s="449">
        <f>($H396-SUM($L396:R396))/S$694</f>
        <v>387.33333333333337</v>
      </c>
      <c r="T396" s="449">
        <f>($H396-SUM($L396:S396))/T$694</f>
        <v>387.33333333333331</v>
      </c>
      <c r="U396" s="449">
        <f>($H396-SUM($L396:T396))/U$694</f>
        <v>387.33333333333331</v>
      </c>
      <c r="V396" s="449">
        <f>($H396-SUM($L396:U396))/V$694</f>
        <v>387.33333333333337</v>
      </c>
      <c r="W396" s="449">
        <f>($H396-SUM($L396:V396))/W$694</f>
        <v>387.33333333333348</v>
      </c>
      <c r="X396" s="449"/>
      <c r="Y396" s="449">
        <f t="shared" si="344"/>
        <v>2324</v>
      </c>
      <c r="Z396" s="531"/>
      <c r="AA396" s="449">
        <f t="shared" si="345"/>
        <v>193.66666666666666</v>
      </c>
      <c r="AB396" s="449">
        <f t="shared" si="345"/>
        <v>193.66666666666666</v>
      </c>
      <c r="AC396" s="449">
        <f t="shared" si="345"/>
        <v>193.66666666666666</v>
      </c>
      <c r="AD396" s="449">
        <f t="shared" si="345"/>
        <v>193.66666666666666</v>
      </c>
      <c r="AE396" s="449">
        <f t="shared" si="345"/>
        <v>193.66666666666666</v>
      </c>
      <c r="AF396" s="449">
        <f t="shared" si="345"/>
        <v>193.66666666666666</v>
      </c>
      <c r="AG396" s="449">
        <f t="shared" si="345"/>
        <v>193.66666666666666</v>
      </c>
      <c r="AH396" s="449">
        <f t="shared" si="345"/>
        <v>193.66666666666666</v>
      </c>
      <c r="AI396" s="449">
        <f t="shared" si="345"/>
        <v>193.66666666666666</v>
      </c>
      <c r="AJ396" s="449">
        <f t="shared" si="345"/>
        <v>193.66666666666666</v>
      </c>
      <c r="AK396" s="449">
        <f t="shared" si="345"/>
        <v>193.66666666666666</v>
      </c>
      <c r="AL396" s="449">
        <f t="shared" si="345"/>
        <v>193.66666666666666</v>
      </c>
      <c r="AN396" s="500">
        <f t="shared" si="346"/>
        <v>2324</v>
      </c>
      <c r="AO396" s="449">
        <f t="shared" si="347"/>
        <v>3327.43</v>
      </c>
      <c r="AP396" s="449">
        <f t="shared" si="348"/>
        <v>1003.4299999999998</v>
      </c>
      <c r="AQ396" s="453">
        <f t="shared" si="349"/>
        <v>0.43176850258175553</v>
      </c>
      <c r="AR396" s="449">
        <f t="shared" si="350"/>
        <v>3327.43</v>
      </c>
      <c r="AS396" s="449">
        <f t="shared" si="351"/>
        <v>0</v>
      </c>
      <c r="AT396" s="426">
        <f t="shared" si="352"/>
        <v>0</v>
      </c>
      <c r="AU396" s="421"/>
      <c r="AV396" s="449">
        <f t="shared" si="353"/>
        <v>277.2858333333333</v>
      </c>
      <c r="AW396" s="449">
        <f t="shared" si="353"/>
        <v>277.2858333333333</v>
      </c>
      <c r="AX396" s="449">
        <f t="shared" si="353"/>
        <v>277.2858333333333</v>
      </c>
      <c r="AY396" s="449">
        <f t="shared" si="353"/>
        <v>277.2858333333333</v>
      </c>
      <c r="AZ396" s="449">
        <f t="shared" si="353"/>
        <v>277.2858333333333</v>
      </c>
      <c r="BA396" s="449">
        <f t="shared" si="353"/>
        <v>277.2858333333333</v>
      </c>
      <c r="BB396" s="449">
        <f t="shared" si="353"/>
        <v>277.2858333333333</v>
      </c>
      <c r="BC396" s="449">
        <f t="shared" si="353"/>
        <v>277.2858333333333</v>
      </c>
      <c r="BD396" s="449">
        <f t="shared" si="353"/>
        <v>277.2858333333333</v>
      </c>
      <c r="BE396" s="449">
        <f t="shared" si="353"/>
        <v>277.2858333333333</v>
      </c>
      <c r="BF396" s="449">
        <f t="shared" si="353"/>
        <v>277.2858333333333</v>
      </c>
      <c r="BG396" s="449">
        <f t="shared" si="353"/>
        <v>277.2858333333333</v>
      </c>
      <c r="BH396" s="400"/>
      <c r="BI396" s="449">
        <f>SUM('FY19 Staffing V1-1 (3)'!$Q$287:$R$287,'FY19 Staffing V1-1 (3)'!$T$287:$U$287)/12</f>
        <v>277.2858333333333</v>
      </c>
      <c r="BJ396" s="449">
        <f>SUM('FY19 Staffing V1-1 (3)'!$Q$287:$R$287,'FY19 Staffing V1-1 (3)'!$T$287:$U$287)/12</f>
        <v>277.2858333333333</v>
      </c>
      <c r="BK396" s="449">
        <f>SUM('FY19 Staffing V1-1 (3)'!$Q$287:$R$287,'FY19 Staffing V1-1 (3)'!$T$287:$U$287)/12</f>
        <v>277.2858333333333</v>
      </c>
      <c r="BL396" s="449">
        <f>SUM('FY19 Staffing V1-1 (3)'!$Q$287:$R$287,'FY19 Staffing V1-1 (3)'!$T$287:$U$287)/12</f>
        <v>277.2858333333333</v>
      </c>
      <c r="BM396" s="449">
        <f>SUM('FY19 Staffing V1-1 (3)'!$Q$287:$R$287,'FY19 Staffing V1-1 (3)'!$T$287:$U$287)/12</f>
        <v>277.2858333333333</v>
      </c>
      <c r="BN396" s="449">
        <f>SUM('FY19 Staffing V1-1 (3)'!$Q$287:$R$287,'FY19 Staffing V1-1 (3)'!$T$287:$U$287)/12</f>
        <v>277.2858333333333</v>
      </c>
      <c r="BO396" s="449">
        <f>SUM('FY19 Staffing V1-1 (3)'!$Q$287:$R$287,'FY19 Staffing V1-1 (3)'!$T$287:$U$287)/12</f>
        <v>277.2858333333333</v>
      </c>
      <c r="BP396" s="449">
        <f>SUM('FY19 Staffing V1-1 (3)'!$Q$287:$R$287,'FY19 Staffing V1-1 (3)'!$T$287:$U$287)/12</f>
        <v>277.2858333333333</v>
      </c>
      <c r="BQ396" s="449">
        <f>SUM('FY19 Staffing V1-1 (3)'!$Q$287:$R$287,'FY19 Staffing V1-1 (3)'!$T$287:$U$287)/12</f>
        <v>277.2858333333333</v>
      </c>
      <c r="BR396" s="449">
        <f>SUM('FY19 Staffing V1-1 (3)'!$Q$287:$R$287,'FY19 Staffing V1-1 (3)'!$T$287:$U$287)/12</f>
        <v>277.2858333333333</v>
      </c>
      <c r="BS396" s="449">
        <f>SUM('FY19 Staffing V1-1 (3)'!$Q$287:$R$287,'FY19 Staffing V1-1 (3)'!$T$287:$U$287)/12</f>
        <v>277.2858333333333</v>
      </c>
      <c r="BT396" s="449">
        <f>SUM('FY19 Staffing V1-1 (3)'!$Q$287:$R$287,'FY19 Staffing V1-1 (3)'!$T$287:$U$287)/12</f>
        <v>277.2858333333333</v>
      </c>
    </row>
    <row r="397" spans="1:72" ht="15" x14ac:dyDescent="0.25">
      <c r="A397" s="502" t="s">
        <v>659</v>
      </c>
      <c r="B397" s="502" t="s">
        <v>660</v>
      </c>
      <c r="C397" s="541"/>
      <c r="D397" s="500">
        <f t="shared" si="339"/>
        <v>0</v>
      </c>
      <c r="E397" s="449">
        <v>6626</v>
      </c>
      <c r="F397" s="449">
        <f t="shared" si="340"/>
        <v>-6626</v>
      </c>
      <c r="G397" s="421">
        <f t="shared" si="341"/>
        <v>-1</v>
      </c>
      <c r="H397" s="449">
        <v>0</v>
      </c>
      <c r="I397" s="449">
        <f t="shared" si="342"/>
        <v>0</v>
      </c>
      <c r="J397" s="426">
        <f t="shared" si="343"/>
        <v>0</v>
      </c>
      <c r="K397" s="421"/>
      <c r="L397" s="449">
        <v>533.86</v>
      </c>
      <c r="M397" s="449">
        <v>-533.86</v>
      </c>
      <c r="N397" s="449">
        <v>0</v>
      </c>
      <c r="O397" s="449">
        <v>0</v>
      </c>
      <c r="P397" s="449">
        <v>0</v>
      </c>
      <c r="Q397" s="449">
        <v>0</v>
      </c>
      <c r="R397" s="449">
        <f>($H397-SUM($L397:Q397))/R$694</f>
        <v>0</v>
      </c>
      <c r="S397" s="449">
        <f>($H397-SUM($L397:R397))/S$694</f>
        <v>0</v>
      </c>
      <c r="T397" s="449">
        <f>($H397-SUM($L397:S397))/T$694</f>
        <v>0</v>
      </c>
      <c r="U397" s="449">
        <f>($H397-SUM($L397:T397))/U$694</f>
        <v>0</v>
      </c>
      <c r="V397" s="449">
        <f>($H397-SUM($L397:U397))/V$694</f>
        <v>0</v>
      </c>
      <c r="W397" s="449">
        <f>($H397-SUM($L397:V397))/W$694</f>
        <v>0</v>
      </c>
      <c r="X397" s="449"/>
      <c r="Y397" s="449">
        <f t="shared" si="344"/>
        <v>0</v>
      </c>
      <c r="Z397" s="531"/>
      <c r="AA397" s="449">
        <f t="shared" si="345"/>
        <v>0</v>
      </c>
      <c r="AB397" s="449">
        <f t="shared" si="345"/>
        <v>0</v>
      </c>
      <c r="AC397" s="449">
        <f t="shared" si="345"/>
        <v>0</v>
      </c>
      <c r="AD397" s="449">
        <f t="shared" si="345"/>
        <v>0</v>
      </c>
      <c r="AE397" s="449">
        <f t="shared" si="345"/>
        <v>0</v>
      </c>
      <c r="AF397" s="449">
        <f t="shared" si="345"/>
        <v>0</v>
      </c>
      <c r="AG397" s="449">
        <f t="shared" si="345"/>
        <v>0</v>
      </c>
      <c r="AH397" s="449">
        <f t="shared" si="345"/>
        <v>0</v>
      </c>
      <c r="AI397" s="449">
        <f t="shared" si="345"/>
        <v>0</v>
      </c>
      <c r="AJ397" s="449">
        <f t="shared" si="345"/>
        <v>0</v>
      </c>
      <c r="AK397" s="449">
        <f t="shared" si="345"/>
        <v>0</v>
      </c>
      <c r="AL397" s="449">
        <f t="shared" si="345"/>
        <v>0</v>
      </c>
      <c r="AN397" s="500">
        <f t="shared" si="346"/>
        <v>0</v>
      </c>
      <c r="AO397" s="449">
        <f t="shared" si="347"/>
        <v>8016.0780000000022</v>
      </c>
      <c r="AP397" s="449">
        <f t="shared" si="348"/>
        <v>8016.0780000000022</v>
      </c>
      <c r="AQ397" s="453" t="str">
        <f t="shared" si="349"/>
        <v>-</v>
      </c>
      <c r="AR397" s="449">
        <f t="shared" si="350"/>
        <v>8016.0780000000022</v>
      </c>
      <c r="AS397" s="449">
        <f t="shared" si="351"/>
        <v>0</v>
      </c>
      <c r="AT397" s="426">
        <f t="shared" si="352"/>
        <v>0</v>
      </c>
      <c r="AU397" s="421"/>
      <c r="AV397" s="449">
        <f t="shared" si="353"/>
        <v>668.00650000000007</v>
      </c>
      <c r="AW397" s="449">
        <f t="shared" si="353"/>
        <v>668.00650000000007</v>
      </c>
      <c r="AX397" s="449">
        <f t="shared" si="353"/>
        <v>668.00650000000007</v>
      </c>
      <c r="AY397" s="449">
        <f t="shared" si="353"/>
        <v>668.00650000000007</v>
      </c>
      <c r="AZ397" s="449">
        <f t="shared" si="353"/>
        <v>668.00650000000007</v>
      </c>
      <c r="BA397" s="449">
        <f t="shared" si="353"/>
        <v>668.00650000000007</v>
      </c>
      <c r="BB397" s="449">
        <f t="shared" si="353"/>
        <v>668.00650000000007</v>
      </c>
      <c r="BC397" s="449">
        <f t="shared" si="353"/>
        <v>668.00650000000007</v>
      </c>
      <c r="BD397" s="449">
        <f t="shared" si="353"/>
        <v>668.00650000000007</v>
      </c>
      <c r="BE397" s="449">
        <f t="shared" si="353"/>
        <v>668.00650000000007</v>
      </c>
      <c r="BF397" s="449">
        <f t="shared" si="353"/>
        <v>668.00650000000007</v>
      </c>
      <c r="BG397" s="449">
        <f t="shared" si="353"/>
        <v>668.00650000000007</v>
      </c>
      <c r="BH397" s="400"/>
      <c r="BI397" s="449">
        <f>SUM('FY19 Staffing V1-1 (3)'!$W$286)/12</f>
        <v>668.00650000000007</v>
      </c>
      <c r="BJ397" s="449">
        <f>SUM('FY19 Staffing V1-1 (3)'!$W$286)/12</f>
        <v>668.00650000000007</v>
      </c>
      <c r="BK397" s="449">
        <f>SUM('FY19 Staffing V1-1 (3)'!$W$286)/12</f>
        <v>668.00650000000007</v>
      </c>
      <c r="BL397" s="449">
        <f>SUM('FY19 Staffing V1-1 (3)'!$W$286)/12</f>
        <v>668.00650000000007</v>
      </c>
      <c r="BM397" s="449">
        <f>SUM('FY19 Staffing V1-1 (3)'!$W$286)/12</f>
        <v>668.00650000000007</v>
      </c>
      <c r="BN397" s="449">
        <f>SUM('FY19 Staffing V1-1 (3)'!$W$286)/12</f>
        <v>668.00650000000007</v>
      </c>
      <c r="BO397" s="449">
        <f>SUM('FY19 Staffing V1-1 (3)'!$W$286)/12</f>
        <v>668.00650000000007</v>
      </c>
      <c r="BP397" s="449">
        <f>SUM('FY19 Staffing V1-1 (3)'!$W$286)/12</f>
        <v>668.00650000000007</v>
      </c>
      <c r="BQ397" s="449">
        <f>SUM('FY19 Staffing V1-1 (3)'!$W$286)/12</f>
        <v>668.00650000000007</v>
      </c>
      <c r="BR397" s="449">
        <f>SUM('FY19 Staffing V1-1 (3)'!$W$286)/12</f>
        <v>668.00650000000007</v>
      </c>
      <c r="BS397" s="449">
        <f>SUM('FY19 Staffing V1-1 (3)'!$W$286)/12</f>
        <v>668.00650000000007</v>
      </c>
      <c r="BT397" s="449">
        <f>SUM('FY19 Staffing V1-1 (3)'!$W$286)/12</f>
        <v>668.00650000000007</v>
      </c>
    </row>
    <row r="398" spans="1:72" ht="15" x14ac:dyDescent="0.25">
      <c r="A398" s="502" t="s">
        <v>661</v>
      </c>
      <c r="B398" s="502" t="s">
        <v>662</v>
      </c>
      <c r="C398" s="541"/>
      <c r="D398" s="500">
        <f t="shared" si="339"/>
        <v>0</v>
      </c>
      <c r="E398" s="449">
        <v>2209</v>
      </c>
      <c r="F398" s="449">
        <f t="shared" si="340"/>
        <v>-2209</v>
      </c>
      <c r="G398" s="421">
        <f t="shared" si="341"/>
        <v>-1</v>
      </c>
      <c r="H398" s="449">
        <v>0</v>
      </c>
      <c r="I398" s="449">
        <f t="shared" si="342"/>
        <v>0</v>
      </c>
      <c r="J398" s="426">
        <f t="shared" si="343"/>
        <v>0</v>
      </c>
      <c r="K398" s="421"/>
      <c r="L398" s="449">
        <v>0</v>
      </c>
      <c r="M398" s="449">
        <v>0</v>
      </c>
      <c r="N398" s="449">
        <v>0</v>
      </c>
      <c r="O398" s="449">
        <v>0</v>
      </c>
      <c r="P398" s="449">
        <v>0</v>
      </c>
      <c r="Q398" s="449">
        <v>0</v>
      </c>
      <c r="R398" s="449">
        <f>($H398-SUM($L398:Q398))/R$694</f>
        <v>0</v>
      </c>
      <c r="S398" s="449">
        <f>($H398-SUM($L398:R398))/S$694</f>
        <v>0</v>
      </c>
      <c r="T398" s="449">
        <f>($H398-SUM($L398:S398))/T$694</f>
        <v>0</v>
      </c>
      <c r="U398" s="449">
        <f>($H398-SUM($L398:T398))/U$694</f>
        <v>0</v>
      </c>
      <c r="V398" s="449">
        <f>($H398-SUM($L398:U398))/V$694</f>
        <v>0</v>
      </c>
      <c r="W398" s="449">
        <f>($H398-SUM($L398:V398))/W$694</f>
        <v>0</v>
      </c>
      <c r="X398" s="449"/>
      <c r="Y398" s="449">
        <f t="shared" si="344"/>
        <v>0</v>
      </c>
      <c r="Z398" s="531"/>
      <c r="AA398" s="449">
        <f t="shared" si="345"/>
        <v>0</v>
      </c>
      <c r="AB398" s="449">
        <f t="shared" si="345"/>
        <v>0</v>
      </c>
      <c r="AC398" s="449">
        <f t="shared" si="345"/>
        <v>0</v>
      </c>
      <c r="AD398" s="449">
        <f t="shared" si="345"/>
        <v>0</v>
      </c>
      <c r="AE398" s="449">
        <f t="shared" si="345"/>
        <v>0</v>
      </c>
      <c r="AF398" s="449">
        <f t="shared" si="345"/>
        <v>0</v>
      </c>
      <c r="AG398" s="449">
        <f t="shared" si="345"/>
        <v>0</v>
      </c>
      <c r="AH398" s="449">
        <f t="shared" si="345"/>
        <v>0</v>
      </c>
      <c r="AI398" s="449">
        <f t="shared" si="345"/>
        <v>0</v>
      </c>
      <c r="AJ398" s="449">
        <f t="shared" si="345"/>
        <v>0</v>
      </c>
      <c r="AK398" s="449">
        <f t="shared" si="345"/>
        <v>0</v>
      </c>
      <c r="AL398" s="449">
        <f t="shared" si="345"/>
        <v>0</v>
      </c>
      <c r="AN398" s="500">
        <f t="shared" si="346"/>
        <v>0</v>
      </c>
      <c r="AO398" s="449">
        <f t="shared" si="347"/>
        <v>5344.0519999999997</v>
      </c>
      <c r="AP398" s="449">
        <f t="shared" si="348"/>
        <v>5344.0519999999997</v>
      </c>
      <c r="AQ398" s="453" t="str">
        <f t="shared" si="349"/>
        <v>-</v>
      </c>
      <c r="AR398" s="449">
        <f t="shared" si="350"/>
        <v>5344.0519999999997</v>
      </c>
      <c r="AS398" s="449">
        <f t="shared" si="351"/>
        <v>0</v>
      </c>
      <c r="AT398" s="426">
        <f t="shared" si="352"/>
        <v>0</v>
      </c>
      <c r="AU398" s="421"/>
      <c r="AV398" s="449">
        <f t="shared" si="353"/>
        <v>445.33766666666673</v>
      </c>
      <c r="AW398" s="449">
        <f t="shared" si="353"/>
        <v>445.33766666666673</v>
      </c>
      <c r="AX398" s="449">
        <f t="shared" si="353"/>
        <v>445.33766666666673</v>
      </c>
      <c r="AY398" s="449">
        <f t="shared" si="353"/>
        <v>445.33766666666673</v>
      </c>
      <c r="AZ398" s="449">
        <f t="shared" si="353"/>
        <v>445.33766666666673</v>
      </c>
      <c r="BA398" s="449">
        <f t="shared" si="353"/>
        <v>445.33766666666673</v>
      </c>
      <c r="BB398" s="449">
        <f t="shared" si="353"/>
        <v>445.33766666666673</v>
      </c>
      <c r="BC398" s="449">
        <f t="shared" si="353"/>
        <v>445.33766666666673</v>
      </c>
      <c r="BD398" s="449">
        <f t="shared" si="353"/>
        <v>445.33766666666673</v>
      </c>
      <c r="BE398" s="449">
        <f t="shared" si="353"/>
        <v>445.33766666666673</v>
      </c>
      <c r="BF398" s="449">
        <f t="shared" si="353"/>
        <v>445.33766666666673</v>
      </c>
      <c r="BG398" s="449">
        <f t="shared" si="353"/>
        <v>445.33766666666673</v>
      </c>
      <c r="BH398" s="400"/>
      <c r="BI398" s="449">
        <f>SUM('FY19 Staffing V1-1 (3)'!$W$287)/12</f>
        <v>445.33766666666673</v>
      </c>
      <c r="BJ398" s="449">
        <f>SUM('FY19 Staffing V1-1 (3)'!$W$287)/12</f>
        <v>445.33766666666673</v>
      </c>
      <c r="BK398" s="449">
        <f>SUM('FY19 Staffing V1-1 (3)'!$W$287)/12</f>
        <v>445.33766666666673</v>
      </c>
      <c r="BL398" s="449">
        <f>SUM('FY19 Staffing V1-1 (3)'!$W$287)/12</f>
        <v>445.33766666666673</v>
      </c>
      <c r="BM398" s="449">
        <f>SUM('FY19 Staffing V1-1 (3)'!$W$287)/12</f>
        <v>445.33766666666673</v>
      </c>
      <c r="BN398" s="449">
        <f>SUM('FY19 Staffing V1-1 (3)'!$W$287)/12</f>
        <v>445.33766666666673</v>
      </c>
      <c r="BO398" s="449">
        <f>SUM('FY19 Staffing V1-1 (3)'!$W$287)/12</f>
        <v>445.33766666666673</v>
      </c>
      <c r="BP398" s="449">
        <f>SUM('FY19 Staffing V1-1 (3)'!$W$287)/12</f>
        <v>445.33766666666673</v>
      </c>
      <c r="BQ398" s="449">
        <f>SUM('FY19 Staffing V1-1 (3)'!$W$287)/12</f>
        <v>445.33766666666673</v>
      </c>
      <c r="BR398" s="449">
        <f>SUM('FY19 Staffing V1-1 (3)'!$W$287)/12</f>
        <v>445.33766666666673</v>
      </c>
      <c r="BS398" s="449">
        <f>SUM('FY19 Staffing V1-1 (3)'!$W$287)/12</f>
        <v>445.33766666666673</v>
      </c>
      <c r="BT398" s="449">
        <f>SUM('FY19 Staffing V1-1 (3)'!$W$287)/12</f>
        <v>445.33766666666673</v>
      </c>
    </row>
    <row r="399" spans="1:72" ht="15" x14ac:dyDescent="0.25">
      <c r="A399" s="502" t="s">
        <v>663</v>
      </c>
      <c r="B399" s="502" t="s">
        <v>664</v>
      </c>
      <c r="C399" s="541"/>
      <c r="D399" s="500">
        <f t="shared" si="339"/>
        <v>2550</v>
      </c>
      <c r="E399" s="449">
        <v>2572</v>
      </c>
      <c r="F399" s="449">
        <f t="shared" si="340"/>
        <v>-22</v>
      </c>
      <c r="G399" s="421">
        <f t="shared" si="341"/>
        <v>-8.553654743390357E-3</v>
      </c>
      <c r="H399" s="449">
        <v>2550</v>
      </c>
      <c r="I399" s="449">
        <f t="shared" si="342"/>
        <v>0</v>
      </c>
      <c r="J399" s="426">
        <f t="shared" si="343"/>
        <v>0</v>
      </c>
      <c r="K399" s="421"/>
      <c r="L399" s="449">
        <v>423.46000000000004</v>
      </c>
      <c r="M399" s="449">
        <v>151.91999999999996</v>
      </c>
      <c r="N399" s="449">
        <v>274.62</v>
      </c>
      <c r="O399" s="449">
        <v>261.53999999999996</v>
      </c>
      <c r="P399" s="449">
        <v>261.53999999999996</v>
      </c>
      <c r="Q399" s="449">
        <v>326.92000000000007</v>
      </c>
      <c r="R399" s="449">
        <f>($H399-SUM($L399:Q399))/R$694</f>
        <v>141.66666666666666</v>
      </c>
      <c r="S399" s="449">
        <f>($H399-SUM($L399:R399))/S$694</f>
        <v>141.66666666666666</v>
      </c>
      <c r="T399" s="449">
        <f>($H399-SUM($L399:S399))/T$694</f>
        <v>141.66666666666663</v>
      </c>
      <c r="U399" s="449">
        <f>($H399-SUM($L399:T399))/U$694</f>
        <v>141.66666666666666</v>
      </c>
      <c r="V399" s="449">
        <f>($H399-SUM($L399:U399))/V$694</f>
        <v>141.66666666666674</v>
      </c>
      <c r="W399" s="449">
        <f>($H399-SUM($L399:V399))/W$694</f>
        <v>141.66666666666697</v>
      </c>
      <c r="X399" s="449"/>
      <c r="Y399" s="449">
        <f t="shared" si="344"/>
        <v>2550</v>
      </c>
      <c r="Z399" s="531"/>
      <c r="AA399" s="449">
        <f t="shared" si="345"/>
        <v>212.5</v>
      </c>
      <c r="AB399" s="449">
        <f t="shared" si="345"/>
        <v>212.5</v>
      </c>
      <c r="AC399" s="449">
        <f t="shared" si="345"/>
        <v>212.5</v>
      </c>
      <c r="AD399" s="449">
        <f t="shared" si="345"/>
        <v>212.5</v>
      </c>
      <c r="AE399" s="449">
        <f t="shared" si="345"/>
        <v>212.5</v>
      </c>
      <c r="AF399" s="449">
        <f t="shared" si="345"/>
        <v>212.5</v>
      </c>
      <c r="AG399" s="449">
        <f t="shared" si="345"/>
        <v>212.5</v>
      </c>
      <c r="AH399" s="449">
        <f t="shared" si="345"/>
        <v>212.5</v>
      </c>
      <c r="AI399" s="449">
        <f t="shared" si="345"/>
        <v>212.5</v>
      </c>
      <c r="AJ399" s="449">
        <f t="shared" si="345"/>
        <v>212.5</v>
      </c>
      <c r="AK399" s="449">
        <f t="shared" si="345"/>
        <v>212.5</v>
      </c>
      <c r="AL399" s="449">
        <f t="shared" si="345"/>
        <v>212.5</v>
      </c>
      <c r="AN399" s="500">
        <f t="shared" si="346"/>
        <v>2550</v>
      </c>
      <c r="AO399" s="449">
        <f t="shared" si="347"/>
        <v>2101.1999999999994</v>
      </c>
      <c r="AP399" s="449">
        <f t="shared" si="348"/>
        <v>-448.80000000000064</v>
      </c>
      <c r="AQ399" s="453">
        <f t="shared" si="349"/>
        <v>-0.17600000000000024</v>
      </c>
      <c r="AR399" s="449">
        <f t="shared" si="350"/>
        <v>2101.1999999999994</v>
      </c>
      <c r="AS399" s="449">
        <f t="shared" si="351"/>
        <v>0</v>
      </c>
      <c r="AT399" s="426">
        <f t="shared" si="352"/>
        <v>0</v>
      </c>
      <c r="AU399" s="421"/>
      <c r="AV399" s="449">
        <f t="shared" si="353"/>
        <v>175.1</v>
      </c>
      <c r="AW399" s="449">
        <f t="shared" si="353"/>
        <v>175.1</v>
      </c>
      <c r="AX399" s="449">
        <f t="shared" si="353"/>
        <v>175.1</v>
      </c>
      <c r="AY399" s="449">
        <f t="shared" si="353"/>
        <v>175.1</v>
      </c>
      <c r="AZ399" s="449">
        <f t="shared" si="353"/>
        <v>175.1</v>
      </c>
      <c r="BA399" s="449">
        <f t="shared" si="353"/>
        <v>175.1</v>
      </c>
      <c r="BB399" s="449">
        <f t="shared" si="353"/>
        <v>175.1</v>
      </c>
      <c r="BC399" s="449">
        <f t="shared" si="353"/>
        <v>175.1</v>
      </c>
      <c r="BD399" s="449">
        <f t="shared" si="353"/>
        <v>175.1</v>
      </c>
      <c r="BE399" s="449">
        <f t="shared" si="353"/>
        <v>175.1</v>
      </c>
      <c r="BF399" s="449">
        <f t="shared" si="353"/>
        <v>175.1</v>
      </c>
      <c r="BG399" s="449">
        <f t="shared" si="353"/>
        <v>175.1</v>
      </c>
      <c r="BH399" s="400"/>
      <c r="BI399" s="449">
        <f>SUM('FY19 Staffing V1-1 (3)'!$S$286)/12</f>
        <v>175.1</v>
      </c>
      <c r="BJ399" s="449">
        <f>SUM('FY19 Staffing V1-1 (3)'!$S$286)/12</f>
        <v>175.1</v>
      </c>
      <c r="BK399" s="449">
        <f>SUM('FY19 Staffing V1-1 (3)'!$S$286)/12</f>
        <v>175.1</v>
      </c>
      <c r="BL399" s="449">
        <f>SUM('FY19 Staffing V1-1 (3)'!$S$286)/12</f>
        <v>175.1</v>
      </c>
      <c r="BM399" s="449">
        <f>SUM('FY19 Staffing V1-1 (3)'!$S$286)/12</f>
        <v>175.1</v>
      </c>
      <c r="BN399" s="449">
        <f>SUM('FY19 Staffing V1-1 (3)'!$S$286)/12</f>
        <v>175.1</v>
      </c>
      <c r="BO399" s="449">
        <f>SUM('FY19 Staffing V1-1 (3)'!$S$286)/12</f>
        <v>175.1</v>
      </c>
      <c r="BP399" s="449">
        <f>SUM('FY19 Staffing V1-1 (3)'!$S$286)/12</f>
        <v>175.1</v>
      </c>
      <c r="BQ399" s="449">
        <f>SUM('FY19 Staffing V1-1 (3)'!$S$286)/12</f>
        <v>175.1</v>
      </c>
      <c r="BR399" s="449">
        <f>SUM('FY19 Staffing V1-1 (3)'!$S$286)/12</f>
        <v>175.1</v>
      </c>
      <c r="BS399" s="449">
        <f>SUM('FY19 Staffing V1-1 (3)'!$S$286)/12</f>
        <v>175.1</v>
      </c>
      <c r="BT399" s="449">
        <f>SUM('FY19 Staffing V1-1 (3)'!$S$286)/12</f>
        <v>175.1</v>
      </c>
    </row>
    <row r="400" spans="1:72" ht="15" x14ac:dyDescent="0.25">
      <c r="A400" s="502" t="s">
        <v>665</v>
      </c>
      <c r="B400" s="502" t="s">
        <v>666</v>
      </c>
      <c r="C400" s="541"/>
      <c r="D400" s="500">
        <f t="shared" si="339"/>
        <v>850</v>
      </c>
      <c r="E400" s="449">
        <v>857</v>
      </c>
      <c r="F400" s="449">
        <f t="shared" si="340"/>
        <v>-7</v>
      </c>
      <c r="G400" s="421">
        <f t="shared" si="341"/>
        <v>-8.1680280046674443E-3</v>
      </c>
      <c r="H400" s="449">
        <v>850</v>
      </c>
      <c r="I400" s="449">
        <f t="shared" si="342"/>
        <v>0</v>
      </c>
      <c r="J400" s="426">
        <f t="shared" si="343"/>
        <v>0</v>
      </c>
      <c r="K400" s="421"/>
      <c r="L400" s="449">
        <v>0</v>
      </c>
      <c r="M400" s="449">
        <v>0</v>
      </c>
      <c r="N400" s="449">
        <v>0</v>
      </c>
      <c r="O400" s="449">
        <v>0</v>
      </c>
      <c r="P400" s="449">
        <v>0</v>
      </c>
      <c r="Q400" s="449">
        <v>0</v>
      </c>
      <c r="R400" s="449">
        <f>($H400-SUM($L400:Q400))/R$694</f>
        <v>141.66666666666666</v>
      </c>
      <c r="S400" s="449">
        <f>($H400-SUM($L400:R400))/S$694</f>
        <v>141.66666666666669</v>
      </c>
      <c r="T400" s="449">
        <f>($H400-SUM($L400:S400))/T$694</f>
        <v>141.66666666666666</v>
      </c>
      <c r="U400" s="449">
        <f>($H400-SUM($L400:T400))/U$694</f>
        <v>141.66666666666666</v>
      </c>
      <c r="V400" s="449">
        <f>($H400-SUM($L400:U400))/V$694</f>
        <v>141.66666666666669</v>
      </c>
      <c r="W400" s="449">
        <f>($H400-SUM($L400:V400))/W$694</f>
        <v>141.66666666666674</v>
      </c>
      <c r="X400" s="449"/>
      <c r="Y400" s="449">
        <f t="shared" si="344"/>
        <v>850</v>
      </c>
      <c r="Z400" s="531"/>
      <c r="AA400" s="449">
        <f t="shared" si="345"/>
        <v>70.833333333333329</v>
      </c>
      <c r="AB400" s="449">
        <f t="shared" si="345"/>
        <v>70.833333333333329</v>
      </c>
      <c r="AC400" s="449">
        <f t="shared" si="345"/>
        <v>70.833333333333329</v>
      </c>
      <c r="AD400" s="449">
        <f t="shared" si="345"/>
        <v>70.833333333333329</v>
      </c>
      <c r="AE400" s="449">
        <f t="shared" si="345"/>
        <v>70.833333333333329</v>
      </c>
      <c r="AF400" s="449">
        <f t="shared" si="345"/>
        <v>70.833333333333329</v>
      </c>
      <c r="AG400" s="449">
        <f t="shared" si="345"/>
        <v>70.833333333333329</v>
      </c>
      <c r="AH400" s="449">
        <f t="shared" si="345"/>
        <v>70.833333333333329</v>
      </c>
      <c r="AI400" s="449">
        <f t="shared" si="345"/>
        <v>70.833333333333329</v>
      </c>
      <c r="AJ400" s="449">
        <f t="shared" si="345"/>
        <v>70.833333333333329</v>
      </c>
      <c r="AK400" s="449">
        <f t="shared" si="345"/>
        <v>70.833333333333329</v>
      </c>
      <c r="AL400" s="449">
        <f t="shared" si="345"/>
        <v>70.833333333333329</v>
      </c>
      <c r="AN400" s="500">
        <f t="shared" si="346"/>
        <v>850</v>
      </c>
      <c r="AO400" s="449">
        <f t="shared" si="347"/>
        <v>1400.8</v>
      </c>
      <c r="AP400" s="449">
        <f t="shared" si="348"/>
        <v>550.79999999999995</v>
      </c>
      <c r="AQ400" s="453">
        <f t="shared" si="349"/>
        <v>0.64799999999999991</v>
      </c>
      <c r="AR400" s="449">
        <f t="shared" si="350"/>
        <v>1400.8</v>
      </c>
      <c r="AS400" s="449">
        <f t="shared" si="351"/>
        <v>0</v>
      </c>
      <c r="AT400" s="426">
        <f t="shared" si="352"/>
        <v>0</v>
      </c>
      <c r="AU400" s="421"/>
      <c r="AV400" s="449">
        <f t="shared" si="353"/>
        <v>116.73333333333333</v>
      </c>
      <c r="AW400" s="449">
        <f t="shared" si="353"/>
        <v>116.73333333333333</v>
      </c>
      <c r="AX400" s="449">
        <f t="shared" si="353"/>
        <v>116.73333333333333</v>
      </c>
      <c r="AY400" s="449">
        <f t="shared" si="353"/>
        <v>116.73333333333333</v>
      </c>
      <c r="AZ400" s="449">
        <f t="shared" si="353"/>
        <v>116.73333333333333</v>
      </c>
      <c r="BA400" s="449">
        <f t="shared" si="353"/>
        <v>116.73333333333333</v>
      </c>
      <c r="BB400" s="449">
        <f t="shared" si="353"/>
        <v>116.73333333333333</v>
      </c>
      <c r="BC400" s="449">
        <f t="shared" si="353"/>
        <v>116.73333333333333</v>
      </c>
      <c r="BD400" s="449">
        <f t="shared" si="353"/>
        <v>116.73333333333333</v>
      </c>
      <c r="BE400" s="449">
        <f t="shared" si="353"/>
        <v>116.73333333333333</v>
      </c>
      <c r="BF400" s="449">
        <f t="shared" si="353"/>
        <v>116.73333333333333</v>
      </c>
      <c r="BG400" s="449">
        <f t="shared" si="353"/>
        <v>116.73333333333333</v>
      </c>
      <c r="BH400" s="400"/>
      <c r="BI400" s="449">
        <f>SUM('FY19 Staffing V1-1 (3)'!$S$287)/12</f>
        <v>116.73333333333333</v>
      </c>
      <c r="BJ400" s="449">
        <f>SUM('FY19 Staffing V1-1 (3)'!$S$287)/12</f>
        <v>116.73333333333333</v>
      </c>
      <c r="BK400" s="449">
        <f>SUM('FY19 Staffing V1-1 (3)'!$S$287)/12</f>
        <v>116.73333333333333</v>
      </c>
      <c r="BL400" s="449">
        <f>SUM('FY19 Staffing V1-1 (3)'!$S$287)/12</f>
        <v>116.73333333333333</v>
      </c>
      <c r="BM400" s="449">
        <f>SUM('FY19 Staffing V1-1 (3)'!$S$287)/12</f>
        <v>116.73333333333333</v>
      </c>
      <c r="BN400" s="449">
        <f>SUM('FY19 Staffing V1-1 (3)'!$S$287)/12</f>
        <v>116.73333333333333</v>
      </c>
      <c r="BO400" s="449">
        <f>SUM('FY19 Staffing V1-1 (3)'!$S$287)/12</f>
        <v>116.73333333333333</v>
      </c>
      <c r="BP400" s="449">
        <f>SUM('FY19 Staffing V1-1 (3)'!$S$287)/12</f>
        <v>116.73333333333333</v>
      </c>
      <c r="BQ400" s="449">
        <f>SUM('FY19 Staffing V1-1 (3)'!$S$287)/12</f>
        <v>116.73333333333333</v>
      </c>
      <c r="BR400" s="449">
        <f>SUM('FY19 Staffing V1-1 (3)'!$S$287)/12</f>
        <v>116.73333333333333</v>
      </c>
      <c r="BS400" s="449">
        <f>SUM('FY19 Staffing V1-1 (3)'!$S$287)/12</f>
        <v>116.73333333333333</v>
      </c>
      <c r="BT400" s="449">
        <f>SUM('FY19 Staffing V1-1 (3)'!$S$287)/12</f>
        <v>116.73333333333333</v>
      </c>
    </row>
    <row r="401" spans="1:72" ht="15" x14ac:dyDescent="0.25">
      <c r="A401" s="502" t="s">
        <v>667</v>
      </c>
      <c r="B401" s="502" t="s">
        <v>668</v>
      </c>
      <c r="C401" s="630"/>
      <c r="D401" s="500">
        <f t="shared" si="339"/>
        <v>169048</v>
      </c>
      <c r="E401" s="449">
        <v>169048</v>
      </c>
      <c r="F401" s="449">
        <f t="shared" si="340"/>
        <v>0</v>
      </c>
      <c r="G401" s="421">
        <f t="shared" si="341"/>
        <v>0</v>
      </c>
      <c r="H401" s="449">
        <v>169048</v>
      </c>
      <c r="I401" s="449">
        <f t="shared" si="342"/>
        <v>0</v>
      </c>
      <c r="J401" s="426">
        <f t="shared" si="343"/>
        <v>0</v>
      </c>
      <c r="K401" s="421"/>
      <c r="L401" s="449">
        <v>4903.8500000000004</v>
      </c>
      <c r="M401" s="449">
        <v>9480.7999999999993</v>
      </c>
      <c r="N401" s="449">
        <v>6865.3900000000012</v>
      </c>
      <c r="O401" s="449">
        <v>6538.4599999999991</v>
      </c>
      <c r="P401" s="449">
        <v>6538.4599999999991</v>
      </c>
      <c r="Q401" s="449">
        <v>8173.0800000000017</v>
      </c>
      <c r="R401" s="449">
        <f>($H401-SUM($L401:Q401))/R$694</f>
        <v>21091.326666666664</v>
      </c>
      <c r="S401" s="449">
        <f>($H401-SUM($L401:R401))/S$694</f>
        <v>21091.326666666668</v>
      </c>
      <c r="T401" s="449">
        <f>($H401-SUM($L401:S401))/T$694</f>
        <v>21091.326666666668</v>
      </c>
      <c r="U401" s="449">
        <f>($H401-SUM($L401:T401))/U$694</f>
        <v>21091.326666666671</v>
      </c>
      <c r="V401" s="449">
        <f>($H401-SUM($L401:U401))/V$694</f>
        <v>21091.326666666668</v>
      </c>
      <c r="W401" s="449">
        <f>($H401-SUM($L401:V401))/W$694</f>
        <v>21091.32666666666</v>
      </c>
      <c r="X401" s="449"/>
      <c r="Y401" s="449">
        <f t="shared" si="344"/>
        <v>169048</v>
      </c>
      <c r="Z401" s="531"/>
      <c r="AA401" s="449">
        <f t="shared" si="345"/>
        <v>14087.333333333334</v>
      </c>
      <c r="AB401" s="449">
        <f t="shared" si="345"/>
        <v>14087.333333333334</v>
      </c>
      <c r="AC401" s="449">
        <f t="shared" si="345"/>
        <v>14087.333333333334</v>
      </c>
      <c r="AD401" s="449">
        <f t="shared" si="345"/>
        <v>14087.333333333334</v>
      </c>
      <c r="AE401" s="449">
        <f t="shared" si="345"/>
        <v>14087.333333333334</v>
      </c>
      <c r="AF401" s="449">
        <f t="shared" si="345"/>
        <v>14087.333333333334</v>
      </c>
      <c r="AG401" s="449">
        <f t="shared" si="345"/>
        <v>14087.333333333334</v>
      </c>
      <c r="AH401" s="449">
        <f t="shared" si="345"/>
        <v>14087.333333333334</v>
      </c>
      <c r="AI401" s="449">
        <f t="shared" si="345"/>
        <v>14087.333333333334</v>
      </c>
      <c r="AJ401" s="449">
        <f t="shared" si="345"/>
        <v>14087.333333333334</v>
      </c>
      <c r="AK401" s="449">
        <f t="shared" si="345"/>
        <v>14087.333333333334</v>
      </c>
      <c r="AL401" s="449">
        <f t="shared" si="345"/>
        <v>14087.333333333334</v>
      </c>
      <c r="AN401" s="500">
        <f t="shared" si="346"/>
        <v>169048</v>
      </c>
      <c r="AO401" s="449">
        <f t="shared" si="347"/>
        <v>88400.000000000015</v>
      </c>
      <c r="AP401" s="449">
        <f t="shared" si="348"/>
        <v>-80647.999999999985</v>
      </c>
      <c r="AQ401" s="453">
        <f t="shared" si="349"/>
        <v>-0.47707160096540618</v>
      </c>
      <c r="AR401" s="449">
        <f t="shared" si="350"/>
        <v>88400.000000000015</v>
      </c>
      <c r="AS401" s="449">
        <f t="shared" si="351"/>
        <v>0</v>
      </c>
      <c r="AT401" s="426">
        <f t="shared" si="352"/>
        <v>0</v>
      </c>
      <c r="AU401" s="421"/>
      <c r="AV401" s="449">
        <f t="shared" si="353"/>
        <v>7366.666666666667</v>
      </c>
      <c r="AW401" s="449">
        <f t="shared" si="353"/>
        <v>7366.666666666667</v>
      </c>
      <c r="AX401" s="449">
        <f t="shared" si="353"/>
        <v>7366.666666666667</v>
      </c>
      <c r="AY401" s="449">
        <f t="shared" si="353"/>
        <v>7366.666666666667</v>
      </c>
      <c r="AZ401" s="449">
        <f t="shared" si="353"/>
        <v>7366.666666666667</v>
      </c>
      <c r="BA401" s="449">
        <f t="shared" si="353"/>
        <v>7366.666666666667</v>
      </c>
      <c r="BB401" s="449">
        <f t="shared" si="353"/>
        <v>7366.666666666667</v>
      </c>
      <c r="BC401" s="449">
        <f t="shared" si="353"/>
        <v>7366.666666666667</v>
      </c>
      <c r="BD401" s="449">
        <f t="shared" si="353"/>
        <v>7366.666666666667</v>
      </c>
      <c r="BE401" s="449">
        <f t="shared" si="353"/>
        <v>7366.666666666667</v>
      </c>
      <c r="BF401" s="449">
        <f t="shared" si="353"/>
        <v>7366.666666666667</v>
      </c>
      <c r="BG401" s="449">
        <f t="shared" si="353"/>
        <v>7366.666666666667</v>
      </c>
      <c r="BH401" s="400"/>
      <c r="BI401" s="449">
        <f>SUM('FY19 Staffing V1-1 (3)'!$P$215)/12</f>
        <v>7366.666666666667</v>
      </c>
      <c r="BJ401" s="449">
        <f>SUM('FY19 Staffing V1-1 (3)'!$P$215)/12</f>
        <v>7366.666666666667</v>
      </c>
      <c r="BK401" s="449">
        <f>SUM('FY19 Staffing V1-1 (3)'!$P$215)/12</f>
        <v>7366.666666666667</v>
      </c>
      <c r="BL401" s="449">
        <f>SUM('FY19 Staffing V1-1 (3)'!$P$215)/12</f>
        <v>7366.666666666667</v>
      </c>
      <c r="BM401" s="449">
        <f>SUM('FY19 Staffing V1-1 (3)'!$P$215)/12</f>
        <v>7366.666666666667</v>
      </c>
      <c r="BN401" s="449">
        <f>SUM('FY19 Staffing V1-1 (3)'!$P$215)/12</f>
        <v>7366.666666666667</v>
      </c>
      <c r="BO401" s="449">
        <f>SUM('FY19 Staffing V1-1 (3)'!$P$215)/12</f>
        <v>7366.666666666667</v>
      </c>
      <c r="BP401" s="449">
        <f>SUM('FY19 Staffing V1-1 (3)'!$P$215)/12</f>
        <v>7366.666666666667</v>
      </c>
      <c r="BQ401" s="449">
        <f>SUM('FY19 Staffing V1-1 (3)'!$P$215)/12</f>
        <v>7366.666666666667</v>
      </c>
      <c r="BR401" s="449">
        <f>SUM('FY19 Staffing V1-1 (3)'!$P$215)/12</f>
        <v>7366.666666666667</v>
      </c>
      <c r="BS401" s="449">
        <f>SUM('FY19 Staffing V1-1 (3)'!$P$215)/12</f>
        <v>7366.666666666667</v>
      </c>
      <c r="BT401" s="449">
        <f>SUM('FY19 Staffing V1-1 (3)'!$P$215)/12</f>
        <v>7366.666666666667</v>
      </c>
    </row>
    <row r="402" spans="1:72" ht="15" x14ac:dyDescent="0.25">
      <c r="A402" s="502" t="s">
        <v>669</v>
      </c>
      <c r="B402" s="502" t="s">
        <v>670</v>
      </c>
      <c r="C402" s="630"/>
      <c r="D402" s="500">
        <f t="shared" si="339"/>
        <v>43503.09</v>
      </c>
      <c r="E402" s="449">
        <v>0</v>
      </c>
      <c r="F402" s="449">
        <f t="shared" si="340"/>
        <v>43503.09</v>
      </c>
      <c r="G402" s="421">
        <f t="shared" si="341"/>
        <v>0</v>
      </c>
      <c r="H402" s="449">
        <v>0</v>
      </c>
      <c r="I402" s="449">
        <f t="shared" si="342"/>
        <v>43503.09</v>
      </c>
      <c r="J402" s="426">
        <f t="shared" si="343"/>
        <v>0</v>
      </c>
      <c r="K402" s="421"/>
      <c r="L402" s="449">
        <v>5019.49</v>
      </c>
      <c r="M402" s="449">
        <v>9704.56</v>
      </c>
      <c r="N402" s="449">
        <v>7027.4400000000023</v>
      </c>
      <c r="O402" s="449">
        <v>6692.7999999999993</v>
      </c>
      <c r="P402" s="449">
        <v>6692.7999999999956</v>
      </c>
      <c r="Q402" s="449">
        <v>8366</v>
      </c>
      <c r="R402" s="449">
        <v>0</v>
      </c>
      <c r="S402" s="449">
        <v>0</v>
      </c>
      <c r="T402" s="449">
        <v>0</v>
      </c>
      <c r="U402" s="449">
        <v>0</v>
      </c>
      <c r="V402" s="449">
        <v>0</v>
      </c>
      <c r="W402" s="449">
        <v>0</v>
      </c>
      <c r="X402" s="449"/>
      <c r="Y402" s="449">
        <f t="shared" si="344"/>
        <v>43503.09</v>
      </c>
      <c r="Z402" s="531"/>
      <c r="AA402" s="449">
        <f t="shared" ref="AA402:AL417" si="354">IFERROR($H402/12,0)</f>
        <v>0</v>
      </c>
      <c r="AB402" s="449">
        <f t="shared" si="354"/>
        <v>0</v>
      </c>
      <c r="AC402" s="449">
        <f t="shared" si="354"/>
        <v>0</v>
      </c>
      <c r="AD402" s="449">
        <f t="shared" si="354"/>
        <v>0</v>
      </c>
      <c r="AE402" s="449">
        <f t="shared" si="354"/>
        <v>0</v>
      </c>
      <c r="AF402" s="449">
        <f t="shared" si="354"/>
        <v>0</v>
      </c>
      <c r="AG402" s="449">
        <f t="shared" si="354"/>
        <v>0</v>
      </c>
      <c r="AH402" s="449">
        <f t="shared" si="354"/>
        <v>0</v>
      </c>
      <c r="AI402" s="449">
        <f t="shared" si="354"/>
        <v>0</v>
      </c>
      <c r="AJ402" s="449">
        <f t="shared" si="354"/>
        <v>0</v>
      </c>
      <c r="AK402" s="449">
        <f t="shared" si="354"/>
        <v>0</v>
      </c>
      <c r="AL402" s="449">
        <f t="shared" si="354"/>
        <v>0</v>
      </c>
      <c r="AN402" s="500">
        <f t="shared" si="346"/>
        <v>43503.09</v>
      </c>
      <c r="AO402" s="449">
        <f t="shared" si="347"/>
        <v>90480</v>
      </c>
      <c r="AP402" s="449">
        <f t="shared" si="348"/>
        <v>46976.91</v>
      </c>
      <c r="AQ402" s="453">
        <f t="shared" si="349"/>
        <v>1.0798522587705841</v>
      </c>
      <c r="AR402" s="449">
        <f t="shared" si="350"/>
        <v>90480</v>
      </c>
      <c r="AS402" s="449">
        <f t="shared" si="351"/>
        <v>0</v>
      </c>
      <c r="AT402" s="426">
        <f t="shared" si="352"/>
        <v>0</v>
      </c>
      <c r="AU402" s="421"/>
      <c r="AV402" s="449">
        <f t="shared" si="353"/>
        <v>7540</v>
      </c>
      <c r="AW402" s="449">
        <f t="shared" si="353"/>
        <v>7540</v>
      </c>
      <c r="AX402" s="449">
        <f t="shared" si="353"/>
        <v>7540</v>
      </c>
      <c r="AY402" s="449">
        <f t="shared" si="353"/>
        <v>7540</v>
      </c>
      <c r="AZ402" s="449">
        <f t="shared" si="353"/>
        <v>7540</v>
      </c>
      <c r="BA402" s="449">
        <f t="shared" si="353"/>
        <v>7540</v>
      </c>
      <c r="BB402" s="449">
        <f t="shared" si="353"/>
        <v>7540</v>
      </c>
      <c r="BC402" s="449">
        <f t="shared" si="353"/>
        <v>7540</v>
      </c>
      <c r="BD402" s="449">
        <f t="shared" si="353"/>
        <v>7540</v>
      </c>
      <c r="BE402" s="449">
        <f t="shared" si="353"/>
        <v>7540</v>
      </c>
      <c r="BF402" s="449">
        <f t="shared" si="353"/>
        <v>7540</v>
      </c>
      <c r="BG402" s="449">
        <f t="shared" si="353"/>
        <v>7540</v>
      </c>
      <c r="BH402" s="400"/>
      <c r="BI402" s="449">
        <f>SUM('FY19 Staffing V1-1 (3)'!$P$216)/12</f>
        <v>7540</v>
      </c>
      <c r="BJ402" s="449">
        <f>SUM('FY19 Staffing V1-1 (3)'!$P$216)/12</f>
        <v>7540</v>
      </c>
      <c r="BK402" s="449">
        <f>SUM('FY19 Staffing V1-1 (3)'!$P$216)/12</f>
        <v>7540</v>
      </c>
      <c r="BL402" s="449">
        <f>SUM('FY19 Staffing V1-1 (3)'!$P$216)/12</f>
        <v>7540</v>
      </c>
      <c r="BM402" s="449">
        <f>SUM('FY19 Staffing V1-1 (3)'!$P$216)/12</f>
        <v>7540</v>
      </c>
      <c r="BN402" s="449">
        <f>SUM('FY19 Staffing V1-1 (3)'!$P$216)/12</f>
        <v>7540</v>
      </c>
      <c r="BO402" s="449">
        <f>SUM('FY19 Staffing V1-1 (3)'!$P$216)/12</f>
        <v>7540</v>
      </c>
      <c r="BP402" s="449">
        <f>SUM('FY19 Staffing V1-1 (3)'!$P$216)/12</f>
        <v>7540</v>
      </c>
      <c r="BQ402" s="449">
        <f>SUM('FY19 Staffing V1-1 (3)'!$P$216)/12</f>
        <v>7540</v>
      </c>
      <c r="BR402" s="449">
        <f>SUM('FY19 Staffing V1-1 (3)'!$P$216)/12</f>
        <v>7540</v>
      </c>
      <c r="BS402" s="449">
        <f>SUM('FY19 Staffing V1-1 (3)'!$P$216)/12</f>
        <v>7540</v>
      </c>
      <c r="BT402" s="449">
        <f>SUM('FY19 Staffing V1-1 (3)'!$P$216)/12</f>
        <v>7540</v>
      </c>
    </row>
    <row r="403" spans="1:72" ht="15" x14ac:dyDescent="0.25">
      <c r="A403" s="502" t="s">
        <v>671</v>
      </c>
      <c r="B403" s="502" t="s">
        <v>672</v>
      </c>
      <c r="C403" s="630"/>
      <c r="D403" s="500">
        <f t="shared" si="339"/>
        <v>62000</v>
      </c>
      <c r="E403" s="449">
        <v>62000</v>
      </c>
      <c r="F403" s="449">
        <f t="shared" si="340"/>
        <v>0</v>
      </c>
      <c r="G403" s="421">
        <f t="shared" si="341"/>
        <v>0</v>
      </c>
      <c r="H403" s="449">
        <v>62000</v>
      </c>
      <c r="I403" s="449">
        <f t="shared" si="342"/>
        <v>0</v>
      </c>
      <c r="J403" s="426">
        <f t="shared" si="343"/>
        <v>0</v>
      </c>
      <c r="K403" s="421"/>
      <c r="L403" s="449">
        <v>3576.94</v>
      </c>
      <c r="M403" s="449">
        <v>6915.4</v>
      </c>
      <c r="N403" s="449">
        <v>5007.7000000000007</v>
      </c>
      <c r="O403" s="449">
        <v>4769.239999999998</v>
      </c>
      <c r="P403" s="449">
        <v>4769.2400000000016</v>
      </c>
      <c r="Q403" s="449">
        <v>5961.5499999999993</v>
      </c>
      <c r="R403" s="449">
        <f>($H403-SUM($L403:Q403))/R$694</f>
        <v>5166.6549999999997</v>
      </c>
      <c r="S403" s="449">
        <f>($H403-SUM($L403:R403))/S$694</f>
        <v>5166.6550000000007</v>
      </c>
      <c r="T403" s="449">
        <f>($H403-SUM($L403:S403))/T$694</f>
        <v>5166.6550000000007</v>
      </c>
      <c r="U403" s="449">
        <f>($H403-SUM($L403:T403))/U$694</f>
        <v>5166.6550000000016</v>
      </c>
      <c r="V403" s="449">
        <f>($H403-SUM($L403:U403))/V$694</f>
        <v>5166.6550000000025</v>
      </c>
      <c r="W403" s="449">
        <f>($H403-SUM($L403:V403))/W$694</f>
        <v>5166.6549999999988</v>
      </c>
      <c r="X403" s="449"/>
      <c r="Y403" s="449">
        <f t="shared" si="344"/>
        <v>62000</v>
      </c>
      <c r="Z403" s="531"/>
      <c r="AA403" s="449">
        <f t="shared" si="354"/>
        <v>5166.666666666667</v>
      </c>
      <c r="AB403" s="449">
        <f t="shared" si="354"/>
        <v>5166.666666666667</v>
      </c>
      <c r="AC403" s="449">
        <f t="shared" si="354"/>
        <v>5166.666666666667</v>
      </c>
      <c r="AD403" s="449">
        <f t="shared" si="354"/>
        <v>5166.666666666667</v>
      </c>
      <c r="AE403" s="449">
        <f t="shared" si="354"/>
        <v>5166.666666666667</v>
      </c>
      <c r="AF403" s="449">
        <f t="shared" si="354"/>
        <v>5166.666666666667</v>
      </c>
      <c r="AG403" s="449">
        <f t="shared" si="354"/>
        <v>5166.666666666667</v>
      </c>
      <c r="AH403" s="449">
        <f t="shared" si="354"/>
        <v>5166.666666666667</v>
      </c>
      <c r="AI403" s="449">
        <f t="shared" si="354"/>
        <v>5166.666666666667</v>
      </c>
      <c r="AJ403" s="449">
        <f t="shared" si="354"/>
        <v>5166.666666666667</v>
      </c>
      <c r="AK403" s="449">
        <f t="shared" si="354"/>
        <v>5166.666666666667</v>
      </c>
      <c r="AL403" s="449">
        <f t="shared" si="354"/>
        <v>5166.666666666667</v>
      </c>
      <c r="AN403" s="500">
        <f t="shared" si="346"/>
        <v>62000</v>
      </c>
      <c r="AO403" s="449">
        <f t="shared" si="347"/>
        <v>63859.999999999993</v>
      </c>
      <c r="AP403" s="449">
        <f t="shared" si="348"/>
        <v>1859.9999999999927</v>
      </c>
      <c r="AQ403" s="453">
        <f t="shared" si="349"/>
        <v>2.9999999999999881E-2</v>
      </c>
      <c r="AR403" s="449">
        <f t="shared" si="350"/>
        <v>63859.999999999993</v>
      </c>
      <c r="AS403" s="449">
        <f t="shared" si="351"/>
        <v>0</v>
      </c>
      <c r="AT403" s="426">
        <f t="shared" si="352"/>
        <v>0</v>
      </c>
      <c r="AU403" s="421"/>
      <c r="AV403" s="449">
        <f t="shared" si="353"/>
        <v>5321.666666666667</v>
      </c>
      <c r="AW403" s="449">
        <f t="shared" si="353"/>
        <v>5321.666666666667</v>
      </c>
      <c r="AX403" s="449">
        <f t="shared" si="353"/>
        <v>5321.666666666667</v>
      </c>
      <c r="AY403" s="449">
        <f t="shared" si="353"/>
        <v>5321.666666666667</v>
      </c>
      <c r="AZ403" s="449">
        <f t="shared" si="353"/>
        <v>5321.666666666667</v>
      </c>
      <c r="BA403" s="449">
        <f t="shared" si="353"/>
        <v>5321.666666666667</v>
      </c>
      <c r="BB403" s="449">
        <f t="shared" si="353"/>
        <v>5321.666666666667</v>
      </c>
      <c r="BC403" s="449">
        <f t="shared" si="353"/>
        <v>5321.666666666667</v>
      </c>
      <c r="BD403" s="449">
        <f t="shared" si="353"/>
        <v>5321.666666666667</v>
      </c>
      <c r="BE403" s="449">
        <f t="shared" si="353"/>
        <v>5321.666666666667</v>
      </c>
      <c r="BF403" s="449">
        <f t="shared" si="353"/>
        <v>5321.666666666667</v>
      </c>
      <c r="BG403" s="449">
        <f t="shared" si="353"/>
        <v>5321.666666666667</v>
      </c>
      <c r="BH403" s="400"/>
      <c r="BI403" s="449">
        <f>SUM('FY19 Staffing V1-1 (3)'!$P$217)/12</f>
        <v>5321.666666666667</v>
      </c>
      <c r="BJ403" s="449">
        <f>SUM('FY19 Staffing V1-1 (3)'!$P$217)/12</f>
        <v>5321.666666666667</v>
      </c>
      <c r="BK403" s="449">
        <f>SUM('FY19 Staffing V1-1 (3)'!$P$217)/12</f>
        <v>5321.666666666667</v>
      </c>
      <c r="BL403" s="449">
        <f>SUM('FY19 Staffing V1-1 (3)'!$P$217)/12</f>
        <v>5321.666666666667</v>
      </c>
      <c r="BM403" s="449">
        <f>SUM('FY19 Staffing V1-1 (3)'!$P$217)/12</f>
        <v>5321.666666666667</v>
      </c>
      <c r="BN403" s="449">
        <f>SUM('FY19 Staffing V1-1 (3)'!$P$217)/12</f>
        <v>5321.666666666667</v>
      </c>
      <c r="BO403" s="449">
        <f>SUM('FY19 Staffing V1-1 (3)'!$P$217)/12</f>
        <v>5321.666666666667</v>
      </c>
      <c r="BP403" s="449">
        <f>SUM('FY19 Staffing V1-1 (3)'!$P$217)/12</f>
        <v>5321.666666666667</v>
      </c>
      <c r="BQ403" s="449">
        <f>SUM('FY19 Staffing V1-1 (3)'!$P$217)/12</f>
        <v>5321.666666666667</v>
      </c>
      <c r="BR403" s="449">
        <f>SUM('FY19 Staffing V1-1 (3)'!$P$217)/12</f>
        <v>5321.666666666667</v>
      </c>
      <c r="BS403" s="449">
        <f>SUM('FY19 Staffing V1-1 (3)'!$P$217)/12</f>
        <v>5321.666666666667</v>
      </c>
      <c r="BT403" s="449">
        <f>SUM('FY19 Staffing V1-1 (3)'!$P$217)/12</f>
        <v>5321.666666666667</v>
      </c>
    </row>
    <row r="404" spans="1:72" ht="15" x14ac:dyDescent="0.25">
      <c r="A404" s="502" t="s">
        <v>673</v>
      </c>
      <c r="B404" s="502" t="s">
        <v>674</v>
      </c>
      <c r="C404" s="630"/>
      <c r="D404" s="500">
        <f t="shared" si="339"/>
        <v>69000</v>
      </c>
      <c r="E404" s="449">
        <v>124000</v>
      </c>
      <c r="F404" s="449">
        <f t="shared" si="340"/>
        <v>-55000</v>
      </c>
      <c r="G404" s="421">
        <f t="shared" si="341"/>
        <v>-0.44354838709677419</v>
      </c>
      <c r="H404" s="449">
        <v>69000</v>
      </c>
      <c r="I404" s="449">
        <f t="shared" si="342"/>
        <v>0</v>
      </c>
      <c r="J404" s="426">
        <f t="shared" si="343"/>
        <v>0</v>
      </c>
      <c r="K404" s="421"/>
      <c r="L404" s="449">
        <v>3980.54</v>
      </c>
      <c r="M404" s="449">
        <v>7695.44</v>
      </c>
      <c r="N404" s="449">
        <v>5572.5600000000013</v>
      </c>
      <c r="O404" s="449">
        <v>5307.2000000000007</v>
      </c>
      <c r="P404" s="449">
        <v>5307.1999999999971</v>
      </c>
      <c r="Q404" s="449">
        <v>6634.0000000000036</v>
      </c>
      <c r="R404" s="449">
        <f>($H404-SUM($L404:Q404))/R$694</f>
        <v>5750.5099999999993</v>
      </c>
      <c r="S404" s="449">
        <f>($H404-SUM($L404:R404))/S$694</f>
        <v>5750.5099999999993</v>
      </c>
      <c r="T404" s="449">
        <f>($H404-SUM($L404:S404))/T$694</f>
        <v>5750.5099999999984</v>
      </c>
      <c r="U404" s="449">
        <f>($H404-SUM($L404:T404))/U$694</f>
        <v>5750.5099999999993</v>
      </c>
      <c r="V404" s="449">
        <f>($H404-SUM($L404:U404))/V$694</f>
        <v>5750.5099999999984</v>
      </c>
      <c r="W404" s="449">
        <f>($H404-SUM($L404:V404))/W$694</f>
        <v>5750.5099999999948</v>
      </c>
      <c r="X404" s="449"/>
      <c r="Y404" s="449">
        <f t="shared" si="344"/>
        <v>69000</v>
      </c>
      <c r="Z404" s="531"/>
      <c r="AA404" s="449">
        <f t="shared" si="354"/>
        <v>5750</v>
      </c>
      <c r="AB404" s="449">
        <f t="shared" si="354"/>
        <v>5750</v>
      </c>
      <c r="AC404" s="449">
        <f t="shared" si="354"/>
        <v>5750</v>
      </c>
      <c r="AD404" s="449">
        <f t="shared" si="354"/>
        <v>5750</v>
      </c>
      <c r="AE404" s="449">
        <f t="shared" si="354"/>
        <v>5750</v>
      </c>
      <c r="AF404" s="449">
        <f t="shared" si="354"/>
        <v>5750</v>
      </c>
      <c r="AG404" s="449">
        <f t="shared" si="354"/>
        <v>5750</v>
      </c>
      <c r="AH404" s="449">
        <f t="shared" si="354"/>
        <v>5750</v>
      </c>
      <c r="AI404" s="449">
        <f t="shared" si="354"/>
        <v>5750</v>
      </c>
      <c r="AJ404" s="449">
        <f t="shared" si="354"/>
        <v>5750</v>
      </c>
      <c r="AK404" s="449">
        <f t="shared" si="354"/>
        <v>5750</v>
      </c>
      <c r="AL404" s="449">
        <f t="shared" si="354"/>
        <v>5750</v>
      </c>
      <c r="AN404" s="500">
        <f t="shared" si="346"/>
        <v>69000</v>
      </c>
      <c r="AO404" s="449">
        <f t="shared" si="347"/>
        <v>141069.99999999997</v>
      </c>
      <c r="AP404" s="449">
        <f t="shared" si="348"/>
        <v>72069.999999999971</v>
      </c>
      <c r="AQ404" s="453">
        <f t="shared" si="349"/>
        <v>1.0444927536231881</v>
      </c>
      <c r="AR404" s="449">
        <f t="shared" si="350"/>
        <v>141069.99999999997</v>
      </c>
      <c r="AS404" s="449">
        <f t="shared" si="351"/>
        <v>0</v>
      </c>
      <c r="AT404" s="426">
        <f t="shared" si="352"/>
        <v>0</v>
      </c>
      <c r="AU404" s="421"/>
      <c r="AV404" s="449">
        <f t="shared" si="353"/>
        <v>11755.833333333334</v>
      </c>
      <c r="AW404" s="449">
        <f t="shared" si="353"/>
        <v>11755.833333333334</v>
      </c>
      <c r="AX404" s="449">
        <f t="shared" si="353"/>
        <v>11755.833333333334</v>
      </c>
      <c r="AY404" s="449">
        <f t="shared" si="353"/>
        <v>11755.833333333334</v>
      </c>
      <c r="AZ404" s="449">
        <f t="shared" si="353"/>
        <v>11755.833333333334</v>
      </c>
      <c r="BA404" s="449">
        <f t="shared" si="353"/>
        <v>11755.833333333334</v>
      </c>
      <c r="BB404" s="449">
        <f t="shared" si="353"/>
        <v>11755.833333333334</v>
      </c>
      <c r="BC404" s="449">
        <f t="shared" si="353"/>
        <v>11755.833333333334</v>
      </c>
      <c r="BD404" s="449">
        <f t="shared" si="353"/>
        <v>11755.833333333334</v>
      </c>
      <c r="BE404" s="449">
        <f t="shared" si="353"/>
        <v>11755.833333333334</v>
      </c>
      <c r="BF404" s="449">
        <f t="shared" si="353"/>
        <v>11755.833333333334</v>
      </c>
      <c r="BG404" s="449">
        <f t="shared" si="353"/>
        <v>11755.833333333334</v>
      </c>
      <c r="BH404" s="400"/>
      <c r="BI404" s="449">
        <f>SUM('FY19 Staffing V1-1 (3)'!$P$218:$P$219)/12</f>
        <v>11755.833333333334</v>
      </c>
      <c r="BJ404" s="449">
        <f>SUM('FY19 Staffing V1-1 (3)'!$P$218:$P$219)/12</f>
        <v>11755.833333333334</v>
      </c>
      <c r="BK404" s="449">
        <f>SUM('FY19 Staffing V1-1 (3)'!$P$218:$P$219)/12</f>
        <v>11755.833333333334</v>
      </c>
      <c r="BL404" s="449">
        <f>SUM('FY19 Staffing V1-1 (3)'!$P$218:$P$219)/12</f>
        <v>11755.833333333334</v>
      </c>
      <c r="BM404" s="449">
        <f>SUM('FY19 Staffing V1-1 (3)'!$P$218:$P$219)/12</f>
        <v>11755.833333333334</v>
      </c>
      <c r="BN404" s="449">
        <f>SUM('FY19 Staffing V1-1 (3)'!$P$218:$P$219)/12</f>
        <v>11755.833333333334</v>
      </c>
      <c r="BO404" s="449">
        <f>SUM('FY19 Staffing V1-1 (3)'!$P$218:$P$219)/12</f>
        <v>11755.833333333334</v>
      </c>
      <c r="BP404" s="449">
        <f>SUM('FY19 Staffing V1-1 (3)'!$P$218:$P$219)/12</f>
        <v>11755.833333333334</v>
      </c>
      <c r="BQ404" s="449">
        <f>SUM('FY19 Staffing V1-1 (3)'!$P$218:$P$219)/12</f>
        <v>11755.833333333334</v>
      </c>
      <c r="BR404" s="449">
        <f>SUM('FY19 Staffing V1-1 (3)'!$P$218:$P$219)/12</f>
        <v>11755.833333333334</v>
      </c>
      <c r="BS404" s="449">
        <f>SUM('FY19 Staffing V1-1 (3)'!$P$218:$P$219)/12</f>
        <v>11755.833333333334</v>
      </c>
      <c r="BT404" s="449">
        <f>SUM('FY19 Staffing V1-1 (3)'!$P$218:$P$219)/12</f>
        <v>11755.833333333334</v>
      </c>
    </row>
    <row r="405" spans="1:72" ht="15" x14ac:dyDescent="0.25">
      <c r="A405" s="502" t="s">
        <v>675</v>
      </c>
      <c r="B405" s="502" t="s">
        <v>676</v>
      </c>
      <c r="C405" s="630"/>
      <c r="D405" s="500">
        <f t="shared" si="339"/>
        <v>0</v>
      </c>
      <c r="E405" s="449">
        <v>0</v>
      </c>
      <c r="F405" s="449">
        <f t="shared" si="340"/>
        <v>0</v>
      </c>
      <c r="G405" s="421">
        <f t="shared" si="341"/>
        <v>0</v>
      </c>
      <c r="H405" s="449">
        <v>0</v>
      </c>
      <c r="I405" s="449">
        <f t="shared" si="342"/>
        <v>0</v>
      </c>
      <c r="J405" s="426">
        <f t="shared" si="343"/>
        <v>0</v>
      </c>
      <c r="K405" s="421"/>
      <c r="L405" s="449">
        <v>0</v>
      </c>
      <c r="M405" s="449">
        <v>0</v>
      </c>
      <c r="N405" s="449">
        <v>0</v>
      </c>
      <c r="O405" s="449">
        <v>0</v>
      </c>
      <c r="P405" s="449">
        <v>0</v>
      </c>
      <c r="Q405" s="449">
        <v>0</v>
      </c>
      <c r="R405" s="449">
        <f>($H405-SUM($L405:Q405))/R$694</f>
        <v>0</v>
      </c>
      <c r="S405" s="449">
        <f>($H405-SUM($L405:R405))/S$694</f>
        <v>0</v>
      </c>
      <c r="T405" s="449">
        <f>($H405-SUM($L405:S405))/T$694</f>
        <v>0</v>
      </c>
      <c r="U405" s="449">
        <f>($H405-SUM($L405:T405))/U$694</f>
        <v>0</v>
      </c>
      <c r="V405" s="449">
        <f>($H405-SUM($L405:U405))/V$694</f>
        <v>0</v>
      </c>
      <c r="W405" s="449">
        <f>($H405-SUM($L405:V405))/W$694</f>
        <v>0</v>
      </c>
      <c r="X405" s="449"/>
      <c r="Y405" s="449">
        <f t="shared" si="344"/>
        <v>0</v>
      </c>
      <c r="Z405" s="531"/>
      <c r="AA405" s="449">
        <f t="shared" si="354"/>
        <v>0</v>
      </c>
      <c r="AB405" s="449">
        <f t="shared" si="354"/>
        <v>0</v>
      </c>
      <c r="AC405" s="449">
        <f t="shared" si="354"/>
        <v>0</v>
      </c>
      <c r="AD405" s="449">
        <f t="shared" si="354"/>
        <v>0</v>
      </c>
      <c r="AE405" s="449">
        <f t="shared" si="354"/>
        <v>0</v>
      </c>
      <c r="AF405" s="449">
        <f t="shared" si="354"/>
        <v>0</v>
      </c>
      <c r="AG405" s="449">
        <f t="shared" si="354"/>
        <v>0</v>
      </c>
      <c r="AH405" s="449">
        <f t="shared" si="354"/>
        <v>0</v>
      </c>
      <c r="AI405" s="449">
        <f t="shared" si="354"/>
        <v>0</v>
      </c>
      <c r="AJ405" s="449">
        <f t="shared" si="354"/>
        <v>0</v>
      </c>
      <c r="AK405" s="449">
        <f t="shared" si="354"/>
        <v>0</v>
      </c>
      <c r="AL405" s="449">
        <f t="shared" si="354"/>
        <v>0</v>
      </c>
      <c r="AN405" s="500">
        <f t="shared" si="346"/>
        <v>0</v>
      </c>
      <c r="AO405" s="449">
        <f t="shared" si="347"/>
        <v>0</v>
      </c>
      <c r="AP405" s="449">
        <f t="shared" si="348"/>
        <v>0</v>
      </c>
      <c r="AQ405" s="453" t="str">
        <f t="shared" si="349"/>
        <v>-</v>
      </c>
      <c r="AR405" s="449">
        <f t="shared" si="350"/>
        <v>0</v>
      </c>
      <c r="AS405" s="449">
        <f t="shared" si="351"/>
        <v>0</v>
      </c>
      <c r="AT405" s="426">
        <f t="shared" si="352"/>
        <v>0</v>
      </c>
      <c r="AU405" s="421"/>
      <c r="AV405" s="449">
        <f t="shared" si="353"/>
        <v>0</v>
      </c>
      <c r="AW405" s="449">
        <f t="shared" si="353"/>
        <v>0</v>
      </c>
      <c r="AX405" s="449">
        <f t="shared" si="353"/>
        <v>0</v>
      </c>
      <c r="AY405" s="449">
        <f t="shared" si="353"/>
        <v>0</v>
      </c>
      <c r="AZ405" s="449">
        <f t="shared" si="353"/>
        <v>0</v>
      </c>
      <c r="BA405" s="449">
        <f t="shared" si="353"/>
        <v>0</v>
      </c>
      <c r="BB405" s="449">
        <f t="shared" si="353"/>
        <v>0</v>
      </c>
      <c r="BC405" s="449">
        <f t="shared" si="353"/>
        <v>0</v>
      </c>
      <c r="BD405" s="449">
        <f t="shared" si="353"/>
        <v>0</v>
      </c>
      <c r="BE405" s="449">
        <f t="shared" si="353"/>
        <v>0</v>
      </c>
      <c r="BF405" s="449">
        <f t="shared" si="353"/>
        <v>0</v>
      </c>
      <c r="BG405" s="449">
        <f t="shared" si="353"/>
        <v>0</v>
      </c>
      <c r="BH405" s="400"/>
      <c r="BI405" s="449">
        <v>0</v>
      </c>
      <c r="BJ405" s="449">
        <v>0</v>
      </c>
      <c r="BK405" s="449">
        <v>0</v>
      </c>
      <c r="BL405" s="449">
        <v>0</v>
      </c>
      <c r="BM405" s="449">
        <v>0</v>
      </c>
      <c r="BN405" s="449">
        <v>0</v>
      </c>
      <c r="BO405" s="449">
        <v>0</v>
      </c>
      <c r="BP405" s="449">
        <v>0</v>
      </c>
      <c r="BQ405" s="449">
        <v>0</v>
      </c>
      <c r="BR405" s="449">
        <v>0</v>
      </c>
      <c r="BS405" s="449">
        <v>0</v>
      </c>
      <c r="BT405" s="449">
        <v>0</v>
      </c>
    </row>
    <row r="406" spans="1:72" ht="15" x14ac:dyDescent="0.25">
      <c r="A406" s="502" t="s">
        <v>677</v>
      </c>
      <c r="B406" s="502" t="s">
        <v>678</v>
      </c>
      <c r="C406" s="630"/>
      <c r="D406" s="500">
        <f t="shared" si="339"/>
        <v>112289</v>
      </c>
      <c r="E406" s="449">
        <v>112289</v>
      </c>
      <c r="F406" s="449">
        <f t="shared" si="340"/>
        <v>0</v>
      </c>
      <c r="G406" s="421">
        <f t="shared" si="341"/>
        <v>0</v>
      </c>
      <c r="H406" s="449">
        <v>112289</v>
      </c>
      <c r="I406" s="449">
        <f t="shared" si="342"/>
        <v>0</v>
      </c>
      <c r="J406" s="426">
        <f t="shared" si="343"/>
        <v>0</v>
      </c>
      <c r="K406" s="421"/>
      <c r="L406" s="449">
        <v>6663.75</v>
      </c>
      <c r="M406" s="449">
        <v>9494.64</v>
      </c>
      <c r="N406" s="449">
        <v>8111.93</v>
      </c>
      <c r="O406" s="449">
        <v>20590.21</v>
      </c>
      <c r="P406" s="449">
        <v>20731.020000000004</v>
      </c>
      <c r="Q406" s="449">
        <v>11469.160000000003</v>
      </c>
      <c r="R406" s="449">
        <f>($H406-SUM($L406:Q406))/R$694</f>
        <v>5871.3816666666653</v>
      </c>
      <c r="S406" s="449">
        <f>($H406-SUM($L406:R406))/S$694</f>
        <v>5871.3816666666653</v>
      </c>
      <c r="T406" s="449">
        <f>($H406-SUM($L406:S406))/T$694</f>
        <v>5871.3816666666644</v>
      </c>
      <c r="U406" s="449">
        <f>($H406-SUM($L406:T406))/U$694</f>
        <v>5871.3816666666635</v>
      </c>
      <c r="V406" s="449">
        <f>($H406-SUM($L406:U406))/V$694</f>
        <v>5871.3816666666607</v>
      </c>
      <c r="W406" s="449">
        <f>($H406-SUM($L406:V406))/W$694</f>
        <v>5871.3816666666535</v>
      </c>
      <c r="X406" s="449"/>
      <c r="Y406" s="449">
        <f t="shared" si="344"/>
        <v>112289</v>
      </c>
      <c r="Z406" s="531"/>
      <c r="AA406" s="449">
        <f t="shared" si="354"/>
        <v>9357.4166666666661</v>
      </c>
      <c r="AB406" s="449">
        <f t="shared" si="354"/>
        <v>9357.4166666666661</v>
      </c>
      <c r="AC406" s="449">
        <f t="shared" si="354"/>
        <v>9357.4166666666661</v>
      </c>
      <c r="AD406" s="449">
        <f t="shared" si="354"/>
        <v>9357.4166666666661</v>
      </c>
      <c r="AE406" s="449">
        <f t="shared" si="354"/>
        <v>9357.4166666666661</v>
      </c>
      <c r="AF406" s="449">
        <f t="shared" si="354"/>
        <v>9357.4166666666661</v>
      </c>
      <c r="AG406" s="449">
        <f t="shared" si="354"/>
        <v>9357.4166666666661</v>
      </c>
      <c r="AH406" s="449">
        <f t="shared" si="354"/>
        <v>9357.4166666666661</v>
      </c>
      <c r="AI406" s="449">
        <f t="shared" si="354"/>
        <v>9357.4166666666661</v>
      </c>
      <c r="AJ406" s="449">
        <f t="shared" si="354"/>
        <v>9357.4166666666661</v>
      </c>
      <c r="AK406" s="449">
        <f t="shared" si="354"/>
        <v>9357.4166666666661</v>
      </c>
      <c r="AL406" s="449">
        <f t="shared" si="354"/>
        <v>9357.4166666666661</v>
      </c>
      <c r="AN406" s="500">
        <f t="shared" si="346"/>
        <v>112289</v>
      </c>
      <c r="AO406" s="449">
        <f t="shared" si="347"/>
        <v>45523.94</v>
      </c>
      <c r="AP406" s="449">
        <f t="shared" si="348"/>
        <v>-66765.06</v>
      </c>
      <c r="AQ406" s="453">
        <f t="shared" si="349"/>
        <v>-0.59458237227154931</v>
      </c>
      <c r="AR406" s="449">
        <f t="shared" si="350"/>
        <v>45523.94</v>
      </c>
      <c r="AS406" s="449">
        <f t="shared" si="351"/>
        <v>0</v>
      </c>
      <c r="AT406" s="426">
        <f t="shared" si="352"/>
        <v>0</v>
      </c>
      <c r="AU406" s="421"/>
      <c r="AV406" s="449">
        <f t="shared" si="353"/>
        <v>3793.6616666666669</v>
      </c>
      <c r="AW406" s="449">
        <f t="shared" si="353"/>
        <v>3793.6616666666669</v>
      </c>
      <c r="AX406" s="449">
        <f t="shared" si="353"/>
        <v>3793.6616666666669</v>
      </c>
      <c r="AY406" s="449">
        <f t="shared" si="353"/>
        <v>3793.6616666666669</v>
      </c>
      <c r="AZ406" s="449">
        <f t="shared" si="353"/>
        <v>3793.6616666666669</v>
      </c>
      <c r="BA406" s="449">
        <f t="shared" si="353"/>
        <v>3793.6616666666669</v>
      </c>
      <c r="BB406" s="449">
        <f t="shared" si="353"/>
        <v>3793.6616666666669</v>
      </c>
      <c r="BC406" s="449">
        <f t="shared" si="353"/>
        <v>3793.6616666666669</v>
      </c>
      <c r="BD406" s="449">
        <f t="shared" si="353"/>
        <v>3793.6616666666669</v>
      </c>
      <c r="BE406" s="449">
        <f t="shared" si="353"/>
        <v>3793.6616666666669</v>
      </c>
      <c r="BF406" s="449">
        <f t="shared" si="353"/>
        <v>3793.6616666666669</v>
      </c>
      <c r="BG406" s="449">
        <f t="shared" si="353"/>
        <v>3793.6616666666669</v>
      </c>
      <c r="BH406" s="400"/>
      <c r="BI406" s="449">
        <f>SUM('FY19 Staffing V1-1 (3)'!$P$276:$P$278)/12</f>
        <v>3793.6616666666669</v>
      </c>
      <c r="BJ406" s="449">
        <f>SUM('FY19 Staffing V1-1 (3)'!$P$276:$P$278)/12</f>
        <v>3793.6616666666669</v>
      </c>
      <c r="BK406" s="449">
        <f>SUM('FY19 Staffing V1-1 (3)'!$P$276:$P$278)/12</f>
        <v>3793.6616666666669</v>
      </c>
      <c r="BL406" s="449">
        <f>SUM('FY19 Staffing V1-1 (3)'!$P$276:$P$278)/12</f>
        <v>3793.6616666666669</v>
      </c>
      <c r="BM406" s="449">
        <f>SUM('FY19 Staffing V1-1 (3)'!$P$276:$P$278)/12</f>
        <v>3793.6616666666669</v>
      </c>
      <c r="BN406" s="449">
        <f>SUM('FY19 Staffing V1-1 (3)'!$P$276:$P$278)/12</f>
        <v>3793.6616666666669</v>
      </c>
      <c r="BO406" s="449">
        <f>SUM('FY19 Staffing V1-1 (3)'!$P$276:$P$278)/12</f>
        <v>3793.6616666666669</v>
      </c>
      <c r="BP406" s="449">
        <f>SUM('FY19 Staffing V1-1 (3)'!$P$276:$P$278)/12</f>
        <v>3793.6616666666669</v>
      </c>
      <c r="BQ406" s="449">
        <f>SUM('FY19 Staffing V1-1 (3)'!$P$276:$P$278)/12</f>
        <v>3793.6616666666669</v>
      </c>
      <c r="BR406" s="449">
        <f>SUM('FY19 Staffing V1-1 (3)'!$P$276:$P$278)/12</f>
        <v>3793.6616666666669</v>
      </c>
      <c r="BS406" s="449">
        <f>SUM('FY19 Staffing V1-1 (3)'!$P$276:$P$278)/12</f>
        <v>3793.6616666666669</v>
      </c>
      <c r="BT406" s="449">
        <f>SUM('FY19 Staffing V1-1 (3)'!$P$276:$P$278)/12</f>
        <v>3793.6616666666669</v>
      </c>
    </row>
    <row r="407" spans="1:72" ht="15" x14ac:dyDescent="0.25">
      <c r="A407" s="537" t="s">
        <v>679</v>
      </c>
      <c r="B407" s="537" t="s">
        <v>680</v>
      </c>
      <c r="C407" s="630"/>
      <c r="D407" s="500">
        <f>SUM(L407:W407)</f>
        <v>0</v>
      </c>
      <c r="E407" s="449">
        <v>0</v>
      </c>
      <c r="F407" s="449">
        <f t="shared" si="340"/>
        <v>0</v>
      </c>
      <c r="G407" s="421">
        <f t="shared" si="341"/>
        <v>0</v>
      </c>
      <c r="H407" s="449">
        <v>0</v>
      </c>
      <c r="I407" s="449">
        <f t="shared" si="342"/>
        <v>0</v>
      </c>
      <c r="J407" s="426">
        <f t="shared" si="343"/>
        <v>0</v>
      </c>
      <c r="K407" s="421"/>
      <c r="L407" s="449">
        <v>0</v>
      </c>
      <c r="M407" s="449">
        <v>0</v>
      </c>
      <c r="N407" s="449">
        <v>0</v>
      </c>
      <c r="O407" s="449">
        <v>0</v>
      </c>
      <c r="P407" s="449">
        <v>0</v>
      </c>
      <c r="Q407" s="449">
        <v>0</v>
      </c>
      <c r="R407" s="449">
        <f>($H407-SUM($L407:Q407))/R$694</f>
        <v>0</v>
      </c>
      <c r="S407" s="449">
        <f>($H407-SUM($L407:R407))/S$694</f>
        <v>0</v>
      </c>
      <c r="T407" s="449">
        <f>($H407-SUM($L407:S407))/T$694</f>
        <v>0</v>
      </c>
      <c r="U407" s="449">
        <f>($H407-SUM($L407:T407))/U$694</f>
        <v>0</v>
      </c>
      <c r="V407" s="449">
        <f>($H407-SUM($L407:U407))/V$694</f>
        <v>0</v>
      </c>
      <c r="W407" s="449">
        <f>($H407-SUM($L407:V407))/W$694</f>
        <v>0</v>
      </c>
      <c r="X407" s="449"/>
      <c r="Y407" s="449">
        <f t="shared" si="344"/>
        <v>0</v>
      </c>
      <c r="Z407" s="531"/>
      <c r="AA407" s="449">
        <f t="shared" si="354"/>
        <v>0</v>
      </c>
      <c r="AB407" s="449">
        <f t="shared" si="354"/>
        <v>0</v>
      </c>
      <c r="AC407" s="449">
        <f t="shared" si="354"/>
        <v>0</v>
      </c>
      <c r="AD407" s="449">
        <f t="shared" si="354"/>
        <v>0</v>
      </c>
      <c r="AE407" s="449">
        <f t="shared" si="354"/>
        <v>0</v>
      </c>
      <c r="AF407" s="449">
        <f t="shared" si="354"/>
        <v>0</v>
      </c>
      <c r="AG407" s="449">
        <f t="shared" si="354"/>
        <v>0</v>
      </c>
      <c r="AH407" s="449">
        <f t="shared" si="354"/>
        <v>0</v>
      </c>
      <c r="AI407" s="449">
        <f t="shared" si="354"/>
        <v>0</v>
      </c>
      <c r="AJ407" s="449">
        <f t="shared" si="354"/>
        <v>0</v>
      </c>
      <c r="AK407" s="449">
        <f t="shared" si="354"/>
        <v>0</v>
      </c>
      <c r="AL407" s="449">
        <f t="shared" si="354"/>
        <v>0</v>
      </c>
      <c r="AN407" s="500">
        <f>SUM(L407:W407)</f>
        <v>0</v>
      </c>
      <c r="AO407" s="449">
        <f>SUM(BI407:BT407)</f>
        <v>0</v>
      </c>
      <c r="AP407" s="449">
        <f t="shared" si="348"/>
        <v>0</v>
      </c>
      <c r="AQ407" s="453" t="str">
        <f t="shared" si="349"/>
        <v>-</v>
      </c>
      <c r="AR407" s="449">
        <f t="shared" si="350"/>
        <v>0</v>
      </c>
      <c r="AS407" s="449">
        <f t="shared" si="351"/>
        <v>0</v>
      </c>
      <c r="AT407" s="426">
        <f t="shared" si="352"/>
        <v>0</v>
      </c>
      <c r="AU407" s="421"/>
      <c r="AV407" s="449">
        <f t="shared" si="353"/>
        <v>0</v>
      </c>
      <c r="AW407" s="449">
        <f t="shared" si="353"/>
        <v>0</v>
      </c>
      <c r="AX407" s="449">
        <f t="shared" si="353"/>
        <v>0</v>
      </c>
      <c r="AY407" s="449">
        <f t="shared" ref="AY407:BG422" si="355">BL407</f>
        <v>0</v>
      </c>
      <c r="AZ407" s="449">
        <f t="shared" si="355"/>
        <v>0</v>
      </c>
      <c r="BA407" s="449">
        <f t="shared" si="355"/>
        <v>0</v>
      </c>
      <c r="BB407" s="449">
        <f t="shared" si="355"/>
        <v>0</v>
      </c>
      <c r="BC407" s="449">
        <f t="shared" si="355"/>
        <v>0</v>
      </c>
      <c r="BD407" s="449">
        <f t="shared" si="355"/>
        <v>0</v>
      </c>
      <c r="BE407" s="449">
        <f t="shared" si="355"/>
        <v>0</v>
      </c>
      <c r="BF407" s="449">
        <f t="shared" si="355"/>
        <v>0</v>
      </c>
      <c r="BG407" s="449">
        <f t="shared" si="355"/>
        <v>0</v>
      </c>
      <c r="BH407" s="400"/>
      <c r="BI407" s="449">
        <v>0</v>
      </c>
      <c r="BJ407" s="449">
        <v>0</v>
      </c>
      <c r="BK407" s="449">
        <v>0</v>
      </c>
      <c r="BL407" s="449">
        <v>0</v>
      </c>
      <c r="BM407" s="449">
        <v>0</v>
      </c>
      <c r="BN407" s="449">
        <v>0</v>
      </c>
      <c r="BO407" s="449">
        <v>0</v>
      </c>
      <c r="BP407" s="449">
        <v>0</v>
      </c>
      <c r="BQ407" s="449">
        <v>0</v>
      </c>
      <c r="BR407" s="449">
        <v>0</v>
      </c>
      <c r="BS407" s="449">
        <v>0</v>
      </c>
      <c r="BT407" s="449">
        <v>0</v>
      </c>
    </row>
    <row r="408" spans="1:72" ht="15" x14ac:dyDescent="0.25">
      <c r="A408" s="502" t="s">
        <v>681</v>
      </c>
      <c r="B408" s="502" t="s">
        <v>682</v>
      </c>
      <c r="C408" s="630"/>
      <c r="D408" s="500">
        <f t="shared" si="339"/>
        <v>6000</v>
      </c>
      <c r="E408" s="449">
        <v>6000</v>
      </c>
      <c r="F408" s="449">
        <f t="shared" si="340"/>
        <v>0</v>
      </c>
      <c r="G408" s="421">
        <f t="shared" si="341"/>
        <v>0</v>
      </c>
      <c r="H408" s="449">
        <v>6000</v>
      </c>
      <c r="I408" s="449">
        <f t="shared" si="342"/>
        <v>0</v>
      </c>
      <c r="J408" s="426">
        <f t="shared" si="343"/>
        <v>0</v>
      </c>
      <c r="K408" s="421"/>
      <c r="L408" s="449">
        <v>0</v>
      </c>
      <c r="M408" s="449">
        <v>0</v>
      </c>
      <c r="N408" s="449">
        <v>0</v>
      </c>
      <c r="O408" s="449">
        <v>3000</v>
      </c>
      <c r="P408" s="449">
        <v>0</v>
      </c>
      <c r="Q408" s="449">
        <v>0</v>
      </c>
      <c r="R408" s="449">
        <f>($H408-SUM($L408:Q408))/R$694</f>
        <v>500</v>
      </c>
      <c r="S408" s="449">
        <f>($H408-SUM($L408:R408))/S$694</f>
        <v>500</v>
      </c>
      <c r="T408" s="449">
        <f>($H408-SUM($L408:S408))/T$694</f>
        <v>500</v>
      </c>
      <c r="U408" s="449">
        <f>($H408-SUM($L408:T408))/U$694</f>
        <v>500</v>
      </c>
      <c r="V408" s="449">
        <f>($H408-SUM($L408:U408))/V$694</f>
        <v>500</v>
      </c>
      <c r="W408" s="449">
        <f>($H408-SUM($L408:V408))/W$694</f>
        <v>500</v>
      </c>
      <c r="X408" s="449"/>
      <c r="Y408" s="449">
        <f t="shared" si="344"/>
        <v>6000</v>
      </c>
      <c r="Z408" s="531"/>
      <c r="AA408" s="449">
        <f t="shared" si="354"/>
        <v>500</v>
      </c>
      <c r="AB408" s="449">
        <f t="shared" si="354"/>
        <v>500</v>
      </c>
      <c r="AC408" s="449">
        <f t="shared" si="354"/>
        <v>500</v>
      </c>
      <c r="AD408" s="449">
        <f t="shared" si="354"/>
        <v>500</v>
      </c>
      <c r="AE408" s="449">
        <f t="shared" si="354"/>
        <v>500</v>
      </c>
      <c r="AF408" s="449">
        <f t="shared" si="354"/>
        <v>500</v>
      </c>
      <c r="AG408" s="449">
        <f t="shared" si="354"/>
        <v>500</v>
      </c>
      <c r="AH408" s="449">
        <f t="shared" si="354"/>
        <v>500</v>
      </c>
      <c r="AI408" s="449">
        <f t="shared" si="354"/>
        <v>500</v>
      </c>
      <c r="AJ408" s="449">
        <f t="shared" si="354"/>
        <v>500</v>
      </c>
      <c r="AK408" s="449">
        <f t="shared" si="354"/>
        <v>500</v>
      </c>
      <c r="AL408" s="449">
        <f t="shared" si="354"/>
        <v>500</v>
      </c>
      <c r="AN408" s="500">
        <f t="shared" si="346"/>
        <v>6000</v>
      </c>
      <c r="AO408" s="449">
        <f t="shared" si="347"/>
        <v>3000</v>
      </c>
      <c r="AP408" s="449">
        <f t="shared" si="348"/>
        <v>-3000</v>
      </c>
      <c r="AQ408" s="453">
        <f t="shared" si="349"/>
        <v>-0.5</v>
      </c>
      <c r="AR408" s="449">
        <f t="shared" si="350"/>
        <v>3000</v>
      </c>
      <c r="AS408" s="449">
        <f t="shared" si="351"/>
        <v>0</v>
      </c>
      <c r="AT408" s="426">
        <f t="shared" si="352"/>
        <v>0</v>
      </c>
      <c r="AU408" s="421"/>
      <c r="AV408" s="449">
        <f t="shared" ref="AV408:BG440" si="356">BI408</f>
        <v>0</v>
      </c>
      <c r="AW408" s="449">
        <f t="shared" si="356"/>
        <v>0</v>
      </c>
      <c r="AX408" s="449">
        <f t="shared" si="356"/>
        <v>0</v>
      </c>
      <c r="AY408" s="449">
        <f t="shared" si="355"/>
        <v>3000</v>
      </c>
      <c r="AZ408" s="449">
        <f t="shared" si="355"/>
        <v>0</v>
      </c>
      <c r="BA408" s="449">
        <f t="shared" si="355"/>
        <v>0</v>
      </c>
      <c r="BB408" s="449">
        <f t="shared" si="355"/>
        <v>0</v>
      </c>
      <c r="BC408" s="449">
        <f t="shared" si="355"/>
        <v>0</v>
      </c>
      <c r="BD408" s="449">
        <f t="shared" si="355"/>
        <v>0</v>
      </c>
      <c r="BE408" s="449">
        <f t="shared" si="355"/>
        <v>0</v>
      </c>
      <c r="BF408" s="449">
        <f t="shared" si="355"/>
        <v>0</v>
      </c>
      <c r="BG408" s="449">
        <f t="shared" si="355"/>
        <v>0</v>
      </c>
      <c r="BH408" s="400"/>
      <c r="BI408" s="449">
        <v>0</v>
      </c>
      <c r="BJ408" s="449">
        <v>0</v>
      </c>
      <c r="BK408" s="449">
        <v>0</v>
      </c>
      <c r="BL408" s="449">
        <f>SUM('FY19 Staffing V1-1 (3)'!$J$215)</f>
        <v>3000</v>
      </c>
      <c r="BM408" s="449">
        <v>0</v>
      </c>
      <c r="BN408" s="449">
        <v>0</v>
      </c>
      <c r="BO408" s="449">
        <v>0</v>
      </c>
      <c r="BP408" s="449">
        <v>0</v>
      </c>
      <c r="BQ408" s="449">
        <v>0</v>
      </c>
      <c r="BR408" s="449">
        <v>0</v>
      </c>
      <c r="BS408" s="449">
        <v>0</v>
      </c>
      <c r="BT408" s="449">
        <v>0</v>
      </c>
    </row>
    <row r="409" spans="1:72" ht="15" x14ac:dyDescent="0.25">
      <c r="A409" s="537" t="s">
        <v>683</v>
      </c>
      <c r="B409" s="537" t="s">
        <v>684</v>
      </c>
      <c r="C409" s="630"/>
      <c r="D409" s="500">
        <f>SUM(L409:W409)</f>
        <v>0</v>
      </c>
      <c r="E409" s="449">
        <v>0</v>
      </c>
      <c r="F409" s="449">
        <f t="shared" si="340"/>
        <v>0</v>
      </c>
      <c r="G409" s="421">
        <f t="shared" si="341"/>
        <v>0</v>
      </c>
      <c r="H409" s="449">
        <v>0</v>
      </c>
      <c r="I409" s="449">
        <f t="shared" si="342"/>
        <v>0</v>
      </c>
      <c r="J409" s="426">
        <f t="shared" si="343"/>
        <v>0</v>
      </c>
      <c r="K409" s="421"/>
      <c r="L409" s="449">
        <v>0</v>
      </c>
      <c r="M409" s="449">
        <v>0</v>
      </c>
      <c r="N409" s="449">
        <v>0</v>
      </c>
      <c r="O409" s="449">
        <v>0</v>
      </c>
      <c r="P409" s="449">
        <v>0</v>
      </c>
      <c r="Q409" s="449">
        <v>0</v>
      </c>
      <c r="R409" s="449">
        <f>($H409-SUM($L409:Q409))/R$694</f>
        <v>0</v>
      </c>
      <c r="S409" s="449">
        <f>($H409-SUM($L409:R409))/S$694</f>
        <v>0</v>
      </c>
      <c r="T409" s="449">
        <f>($H409-SUM($L409:S409))/T$694</f>
        <v>0</v>
      </c>
      <c r="U409" s="449">
        <f>($H409-SUM($L409:T409))/U$694</f>
        <v>0</v>
      </c>
      <c r="V409" s="449">
        <f>($H409-SUM($L409:U409))/V$694</f>
        <v>0</v>
      </c>
      <c r="W409" s="449">
        <f>($H409-SUM($L409:V409))/W$694</f>
        <v>0</v>
      </c>
      <c r="X409" s="449"/>
      <c r="Y409" s="449">
        <f t="shared" si="344"/>
        <v>0</v>
      </c>
      <c r="Z409" s="531"/>
      <c r="AA409" s="449">
        <f t="shared" si="354"/>
        <v>0</v>
      </c>
      <c r="AB409" s="449">
        <f t="shared" si="354"/>
        <v>0</v>
      </c>
      <c r="AC409" s="449">
        <f t="shared" si="354"/>
        <v>0</v>
      </c>
      <c r="AD409" s="449">
        <f t="shared" si="354"/>
        <v>0</v>
      </c>
      <c r="AE409" s="449">
        <f t="shared" si="354"/>
        <v>0</v>
      </c>
      <c r="AF409" s="449">
        <f t="shared" si="354"/>
        <v>0</v>
      </c>
      <c r="AG409" s="449">
        <f t="shared" si="354"/>
        <v>0</v>
      </c>
      <c r="AH409" s="449">
        <f t="shared" si="354"/>
        <v>0</v>
      </c>
      <c r="AI409" s="449">
        <f t="shared" si="354"/>
        <v>0</v>
      </c>
      <c r="AJ409" s="449">
        <f t="shared" si="354"/>
        <v>0</v>
      </c>
      <c r="AK409" s="449">
        <f t="shared" si="354"/>
        <v>0</v>
      </c>
      <c r="AL409" s="449">
        <f t="shared" si="354"/>
        <v>0</v>
      </c>
      <c r="AN409" s="500">
        <f>SUM(L409:W409)</f>
        <v>0</v>
      </c>
      <c r="AO409" s="449">
        <f>SUM(BI409:BT409)</f>
        <v>3000</v>
      </c>
      <c r="AP409" s="449">
        <f t="shared" si="348"/>
        <v>3000</v>
      </c>
      <c r="AQ409" s="453" t="str">
        <f t="shared" si="349"/>
        <v>-</v>
      </c>
      <c r="AR409" s="449">
        <f t="shared" si="350"/>
        <v>3000</v>
      </c>
      <c r="AS409" s="449">
        <f t="shared" si="351"/>
        <v>0</v>
      </c>
      <c r="AT409" s="426">
        <f t="shared" si="352"/>
        <v>0</v>
      </c>
      <c r="AU409" s="421"/>
      <c r="AV409" s="449">
        <f t="shared" si="356"/>
        <v>0</v>
      </c>
      <c r="AW409" s="449">
        <f t="shared" si="356"/>
        <v>0</v>
      </c>
      <c r="AX409" s="449">
        <f t="shared" si="356"/>
        <v>0</v>
      </c>
      <c r="AY409" s="449">
        <f t="shared" si="355"/>
        <v>3000</v>
      </c>
      <c r="AZ409" s="449">
        <f t="shared" si="355"/>
        <v>0</v>
      </c>
      <c r="BA409" s="449">
        <f t="shared" si="355"/>
        <v>0</v>
      </c>
      <c r="BB409" s="449">
        <f t="shared" si="355"/>
        <v>0</v>
      </c>
      <c r="BC409" s="449">
        <f t="shared" si="355"/>
        <v>0</v>
      </c>
      <c r="BD409" s="449">
        <f t="shared" si="355"/>
        <v>0</v>
      </c>
      <c r="BE409" s="449">
        <f t="shared" si="355"/>
        <v>0</v>
      </c>
      <c r="BF409" s="449">
        <f t="shared" si="355"/>
        <v>0</v>
      </c>
      <c r="BG409" s="449">
        <f t="shared" si="355"/>
        <v>0</v>
      </c>
      <c r="BH409" s="400"/>
      <c r="BI409" s="449">
        <v>0</v>
      </c>
      <c r="BJ409" s="449">
        <v>0</v>
      </c>
      <c r="BK409" s="449">
        <v>0</v>
      </c>
      <c r="BL409" s="449">
        <f>SUM('FY19 Staffing V1-1 (3)'!$J$216)</f>
        <v>3000</v>
      </c>
      <c r="BM409" s="449">
        <v>0</v>
      </c>
      <c r="BN409" s="449">
        <v>0</v>
      </c>
      <c r="BO409" s="449">
        <v>0</v>
      </c>
      <c r="BP409" s="449">
        <v>0</v>
      </c>
      <c r="BQ409" s="449">
        <v>0</v>
      </c>
      <c r="BR409" s="449">
        <v>0</v>
      </c>
      <c r="BS409" s="449">
        <v>0</v>
      </c>
      <c r="BT409" s="449">
        <v>0</v>
      </c>
    </row>
    <row r="410" spans="1:72" ht="15" x14ac:dyDescent="0.25">
      <c r="A410" s="502" t="s">
        <v>685</v>
      </c>
      <c r="B410" s="502" t="s">
        <v>686</v>
      </c>
      <c r="C410" s="630"/>
      <c r="D410" s="500">
        <f t="shared" si="339"/>
        <v>3000</v>
      </c>
      <c r="E410" s="449">
        <v>0</v>
      </c>
      <c r="F410" s="449">
        <f t="shared" si="340"/>
        <v>3000</v>
      </c>
      <c r="G410" s="421">
        <f t="shared" si="341"/>
        <v>0</v>
      </c>
      <c r="H410" s="449">
        <v>0</v>
      </c>
      <c r="I410" s="449">
        <f t="shared" si="342"/>
        <v>3000</v>
      </c>
      <c r="J410" s="426">
        <f t="shared" si="343"/>
        <v>0</v>
      </c>
      <c r="K410" s="421"/>
      <c r="L410" s="449">
        <v>0</v>
      </c>
      <c r="M410" s="449">
        <v>0</v>
      </c>
      <c r="N410" s="449">
        <v>0</v>
      </c>
      <c r="O410" s="449">
        <v>3000</v>
      </c>
      <c r="P410" s="449">
        <v>0</v>
      </c>
      <c r="Q410" s="449">
        <v>0</v>
      </c>
      <c r="R410" s="449">
        <v>0</v>
      </c>
      <c r="S410" s="449">
        <v>0</v>
      </c>
      <c r="T410" s="449">
        <v>0</v>
      </c>
      <c r="U410" s="449">
        <v>0</v>
      </c>
      <c r="V410" s="449">
        <v>0</v>
      </c>
      <c r="W410" s="449">
        <v>0</v>
      </c>
      <c r="X410" s="449"/>
      <c r="Y410" s="449">
        <f t="shared" si="344"/>
        <v>3000</v>
      </c>
      <c r="Z410" s="531"/>
      <c r="AA410" s="449">
        <f t="shared" si="354"/>
        <v>0</v>
      </c>
      <c r="AB410" s="449">
        <f t="shared" si="354"/>
        <v>0</v>
      </c>
      <c r="AC410" s="449">
        <f t="shared" si="354"/>
        <v>0</v>
      </c>
      <c r="AD410" s="449">
        <f t="shared" si="354"/>
        <v>0</v>
      </c>
      <c r="AE410" s="449">
        <f t="shared" si="354"/>
        <v>0</v>
      </c>
      <c r="AF410" s="449">
        <f t="shared" si="354"/>
        <v>0</v>
      </c>
      <c r="AG410" s="449">
        <f t="shared" si="354"/>
        <v>0</v>
      </c>
      <c r="AH410" s="449">
        <f t="shared" si="354"/>
        <v>0</v>
      </c>
      <c r="AI410" s="449">
        <f t="shared" si="354"/>
        <v>0</v>
      </c>
      <c r="AJ410" s="449">
        <f t="shared" si="354"/>
        <v>0</v>
      </c>
      <c r="AK410" s="449">
        <f t="shared" si="354"/>
        <v>0</v>
      </c>
      <c r="AL410" s="449">
        <f t="shared" si="354"/>
        <v>0</v>
      </c>
      <c r="AN410" s="500">
        <f t="shared" si="346"/>
        <v>3000</v>
      </c>
      <c r="AO410" s="449">
        <f t="shared" si="347"/>
        <v>3000</v>
      </c>
      <c r="AP410" s="449">
        <f t="shared" si="348"/>
        <v>0</v>
      </c>
      <c r="AQ410" s="453">
        <f t="shared" si="349"/>
        <v>0</v>
      </c>
      <c r="AR410" s="449">
        <f t="shared" si="350"/>
        <v>3000</v>
      </c>
      <c r="AS410" s="449">
        <f t="shared" si="351"/>
        <v>0</v>
      </c>
      <c r="AT410" s="426">
        <f t="shared" si="352"/>
        <v>0</v>
      </c>
      <c r="AU410" s="421"/>
      <c r="AV410" s="449">
        <f t="shared" si="356"/>
        <v>0</v>
      </c>
      <c r="AW410" s="449">
        <f t="shared" si="356"/>
        <v>0</v>
      </c>
      <c r="AX410" s="449">
        <f t="shared" si="356"/>
        <v>0</v>
      </c>
      <c r="AY410" s="449">
        <f t="shared" si="355"/>
        <v>3000</v>
      </c>
      <c r="AZ410" s="449">
        <f t="shared" si="355"/>
        <v>0</v>
      </c>
      <c r="BA410" s="449">
        <f t="shared" si="355"/>
        <v>0</v>
      </c>
      <c r="BB410" s="449">
        <f t="shared" si="355"/>
        <v>0</v>
      </c>
      <c r="BC410" s="449">
        <f t="shared" si="355"/>
        <v>0</v>
      </c>
      <c r="BD410" s="449">
        <f t="shared" si="355"/>
        <v>0</v>
      </c>
      <c r="BE410" s="449">
        <f t="shared" si="355"/>
        <v>0</v>
      </c>
      <c r="BF410" s="449">
        <f t="shared" si="355"/>
        <v>0</v>
      </c>
      <c r="BG410" s="449">
        <f t="shared" si="355"/>
        <v>0</v>
      </c>
      <c r="BH410" s="400"/>
      <c r="BI410" s="449">
        <v>0</v>
      </c>
      <c r="BJ410" s="449">
        <v>0</v>
      </c>
      <c r="BK410" s="449">
        <v>0</v>
      </c>
      <c r="BL410" s="449">
        <f>SUM('FY19 Staffing V1-1 (3)'!$J$217)</f>
        <v>3000</v>
      </c>
      <c r="BM410" s="449">
        <v>0</v>
      </c>
      <c r="BN410" s="449">
        <v>0</v>
      </c>
      <c r="BO410" s="449">
        <v>0</v>
      </c>
      <c r="BP410" s="449">
        <v>0</v>
      </c>
      <c r="BQ410" s="449">
        <v>0</v>
      </c>
      <c r="BR410" s="449">
        <v>0</v>
      </c>
      <c r="BS410" s="449">
        <v>0</v>
      </c>
      <c r="BT410" s="449">
        <v>0</v>
      </c>
    </row>
    <row r="411" spans="1:72" ht="15" x14ac:dyDescent="0.25">
      <c r="A411" s="537" t="s">
        <v>687</v>
      </c>
      <c r="B411" s="537" t="s">
        <v>688</v>
      </c>
      <c r="C411" s="630"/>
      <c r="D411" s="500">
        <f>SUM(L411:W411)</f>
        <v>0</v>
      </c>
      <c r="E411" s="449">
        <v>0</v>
      </c>
      <c r="F411" s="449">
        <f t="shared" si="340"/>
        <v>0</v>
      </c>
      <c r="G411" s="421">
        <f t="shared" si="341"/>
        <v>0</v>
      </c>
      <c r="H411" s="449">
        <v>0</v>
      </c>
      <c r="I411" s="449">
        <f t="shared" si="342"/>
        <v>0</v>
      </c>
      <c r="J411" s="426">
        <f t="shared" si="343"/>
        <v>0</v>
      </c>
      <c r="K411" s="421"/>
      <c r="L411" s="449">
        <v>0</v>
      </c>
      <c r="M411" s="449">
        <v>0</v>
      </c>
      <c r="N411" s="449">
        <v>0</v>
      </c>
      <c r="O411" s="449">
        <v>0</v>
      </c>
      <c r="P411" s="449">
        <v>0</v>
      </c>
      <c r="Q411" s="449">
        <v>0</v>
      </c>
      <c r="R411" s="449">
        <f>($H411-SUM($L411:Q411))/R$694</f>
        <v>0</v>
      </c>
      <c r="S411" s="449">
        <f>($H411-SUM($L411:R411))/S$694</f>
        <v>0</v>
      </c>
      <c r="T411" s="449">
        <f>($H411-SUM($L411:S411))/T$694</f>
        <v>0</v>
      </c>
      <c r="U411" s="449">
        <f>($H411-SUM($L411:T411))/U$694</f>
        <v>0</v>
      </c>
      <c r="V411" s="449">
        <f>($H411-SUM($L411:U411))/V$694</f>
        <v>0</v>
      </c>
      <c r="W411" s="449">
        <f>($H411-SUM($L411:V411))/W$694</f>
        <v>0</v>
      </c>
      <c r="X411" s="449"/>
      <c r="Y411" s="449">
        <f t="shared" si="344"/>
        <v>0</v>
      </c>
      <c r="Z411" s="531"/>
      <c r="AA411" s="449">
        <f t="shared" si="354"/>
        <v>0</v>
      </c>
      <c r="AB411" s="449">
        <f t="shared" si="354"/>
        <v>0</v>
      </c>
      <c r="AC411" s="449">
        <f t="shared" si="354"/>
        <v>0</v>
      </c>
      <c r="AD411" s="449">
        <f t="shared" si="354"/>
        <v>0</v>
      </c>
      <c r="AE411" s="449">
        <f t="shared" si="354"/>
        <v>0</v>
      </c>
      <c r="AF411" s="449">
        <f t="shared" si="354"/>
        <v>0</v>
      </c>
      <c r="AG411" s="449">
        <f t="shared" si="354"/>
        <v>0</v>
      </c>
      <c r="AH411" s="449">
        <f t="shared" si="354"/>
        <v>0</v>
      </c>
      <c r="AI411" s="449">
        <f t="shared" si="354"/>
        <v>0</v>
      </c>
      <c r="AJ411" s="449">
        <f t="shared" si="354"/>
        <v>0</v>
      </c>
      <c r="AK411" s="449">
        <f t="shared" si="354"/>
        <v>0</v>
      </c>
      <c r="AL411" s="449">
        <f t="shared" si="354"/>
        <v>0</v>
      </c>
      <c r="AN411" s="500">
        <f>SUM(L411:W411)</f>
        <v>0</v>
      </c>
      <c r="AO411" s="449">
        <f>SUM(BI411:BT411)</f>
        <v>3000</v>
      </c>
      <c r="AP411" s="449">
        <f t="shared" si="348"/>
        <v>3000</v>
      </c>
      <c r="AQ411" s="453" t="str">
        <f t="shared" si="349"/>
        <v>-</v>
      </c>
      <c r="AR411" s="449">
        <f t="shared" si="350"/>
        <v>3000</v>
      </c>
      <c r="AS411" s="449">
        <f t="shared" si="351"/>
        <v>0</v>
      </c>
      <c r="AT411" s="426">
        <f t="shared" si="352"/>
        <v>0</v>
      </c>
      <c r="AU411" s="421"/>
      <c r="AV411" s="449">
        <f t="shared" si="356"/>
        <v>0</v>
      </c>
      <c r="AW411" s="449">
        <f t="shared" si="356"/>
        <v>0</v>
      </c>
      <c r="AX411" s="449">
        <f t="shared" si="356"/>
        <v>0</v>
      </c>
      <c r="AY411" s="449">
        <f t="shared" si="355"/>
        <v>3000</v>
      </c>
      <c r="AZ411" s="449">
        <f t="shared" si="355"/>
        <v>0</v>
      </c>
      <c r="BA411" s="449">
        <f t="shared" si="355"/>
        <v>0</v>
      </c>
      <c r="BB411" s="449">
        <f t="shared" si="355"/>
        <v>0</v>
      </c>
      <c r="BC411" s="449">
        <f t="shared" si="355"/>
        <v>0</v>
      </c>
      <c r="BD411" s="449">
        <f t="shared" si="355"/>
        <v>0</v>
      </c>
      <c r="BE411" s="449">
        <f t="shared" si="355"/>
        <v>0</v>
      </c>
      <c r="BF411" s="449">
        <f t="shared" si="355"/>
        <v>0</v>
      </c>
      <c r="BG411" s="449">
        <f t="shared" si="355"/>
        <v>0</v>
      </c>
      <c r="BH411" s="400"/>
      <c r="BI411" s="449">
        <v>0</v>
      </c>
      <c r="BJ411" s="449">
        <v>0</v>
      </c>
      <c r="BK411" s="449">
        <v>0</v>
      </c>
      <c r="BL411" s="449">
        <f>SUM('FY19 Staffing V1-1 (3)'!$J$218:$J$219)</f>
        <v>3000</v>
      </c>
      <c r="BM411" s="449">
        <v>0</v>
      </c>
      <c r="BN411" s="449">
        <v>0</v>
      </c>
      <c r="BO411" s="449">
        <v>0</v>
      </c>
      <c r="BP411" s="449">
        <v>0</v>
      </c>
      <c r="BQ411" s="449">
        <v>0</v>
      </c>
      <c r="BR411" s="449">
        <v>0</v>
      </c>
      <c r="BS411" s="449">
        <v>0</v>
      </c>
      <c r="BT411" s="449">
        <v>0</v>
      </c>
    </row>
    <row r="412" spans="1:72" ht="15" x14ac:dyDescent="0.25">
      <c r="A412" s="537" t="s">
        <v>689</v>
      </c>
      <c r="B412" s="537" t="s">
        <v>690</v>
      </c>
      <c r="C412" s="630"/>
      <c r="D412" s="500">
        <f>SUM(L412:W412)</f>
        <v>0</v>
      </c>
      <c r="E412" s="449">
        <v>0</v>
      </c>
      <c r="F412" s="449">
        <f t="shared" si="340"/>
        <v>0</v>
      </c>
      <c r="G412" s="421">
        <f t="shared" si="341"/>
        <v>0</v>
      </c>
      <c r="H412" s="449">
        <v>0</v>
      </c>
      <c r="I412" s="449">
        <f t="shared" si="342"/>
        <v>0</v>
      </c>
      <c r="J412" s="426">
        <f t="shared" si="343"/>
        <v>0</v>
      </c>
      <c r="K412" s="421"/>
      <c r="L412" s="449">
        <v>0</v>
      </c>
      <c r="M412" s="449">
        <v>0</v>
      </c>
      <c r="N412" s="449">
        <v>0</v>
      </c>
      <c r="O412" s="449">
        <v>0</v>
      </c>
      <c r="P412" s="449">
        <v>0</v>
      </c>
      <c r="Q412" s="449">
        <v>0</v>
      </c>
      <c r="R412" s="449">
        <f>($H412-SUM($L412:Q412))/R$694</f>
        <v>0</v>
      </c>
      <c r="S412" s="449">
        <f>($H412-SUM($L412:R412))/S$694</f>
        <v>0</v>
      </c>
      <c r="T412" s="449">
        <f>($H412-SUM($L412:S412))/T$694</f>
        <v>0</v>
      </c>
      <c r="U412" s="449">
        <f>($H412-SUM($L412:T412))/U$694</f>
        <v>0</v>
      </c>
      <c r="V412" s="449">
        <f>($H412-SUM($L412:U412))/V$694</f>
        <v>0</v>
      </c>
      <c r="W412" s="449">
        <f>($H412-SUM($L412:V412))/W$694</f>
        <v>0</v>
      </c>
      <c r="X412" s="449"/>
      <c r="Y412" s="449">
        <f t="shared" si="344"/>
        <v>0</v>
      </c>
      <c r="Z412" s="531"/>
      <c r="AA412" s="449">
        <f t="shared" si="354"/>
        <v>0</v>
      </c>
      <c r="AB412" s="449">
        <f t="shared" si="354"/>
        <v>0</v>
      </c>
      <c r="AC412" s="449">
        <f t="shared" si="354"/>
        <v>0</v>
      </c>
      <c r="AD412" s="449">
        <f t="shared" si="354"/>
        <v>0</v>
      </c>
      <c r="AE412" s="449">
        <f t="shared" si="354"/>
        <v>0</v>
      </c>
      <c r="AF412" s="449">
        <f t="shared" si="354"/>
        <v>0</v>
      </c>
      <c r="AG412" s="449">
        <f t="shared" si="354"/>
        <v>0</v>
      </c>
      <c r="AH412" s="449">
        <f t="shared" si="354"/>
        <v>0</v>
      </c>
      <c r="AI412" s="449">
        <f t="shared" si="354"/>
        <v>0</v>
      </c>
      <c r="AJ412" s="449">
        <f t="shared" si="354"/>
        <v>0</v>
      </c>
      <c r="AK412" s="449">
        <f t="shared" si="354"/>
        <v>0</v>
      </c>
      <c r="AL412" s="449">
        <f t="shared" si="354"/>
        <v>0</v>
      </c>
      <c r="AN412" s="500">
        <f>SUM(L412:W412)</f>
        <v>0</v>
      </c>
      <c r="AO412" s="449">
        <f>SUM(BI412:BT412)</f>
        <v>0</v>
      </c>
      <c r="AP412" s="449">
        <f t="shared" si="348"/>
        <v>0</v>
      </c>
      <c r="AQ412" s="453" t="str">
        <f t="shared" si="349"/>
        <v>-</v>
      </c>
      <c r="AR412" s="449">
        <f t="shared" si="350"/>
        <v>0</v>
      </c>
      <c r="AS412" s="449">
        <f t="shared" si="351"/>
        <v>0</v>
      </c>
      <c r="AT412" s="426">
        <f t="shared" si="352"/>
        <v>0</v>
      </c>
      <c r="AU412" s="421"/>
      <c r="AV412" s="449">
        <f t="shared" si="356"/>
        <v>0</v>
      </c>
      <c r="AW412" s="449">
        <f t="shared" si="356"/>
        <v>0</v>
      </c>
      <c r="AX412" s="449">
        <f t="shared" si="356"/>
        <v>0</v>
      </c>
      <c r="AY412" s="449">
        <f t="shared" si="355"/>
        <v>0</v>
      </c>
      <c r="AZ412" s="449">
        <f t="shared" si="355"/>
        <v>0</v>
      </c>
      <c r="BA412" s="449">
        <f t="shared" si="355"/>
        <v>0</v>
      </c>
      <c r="BB412" s="449">
        <f t="shared" si="355"/>
        <v>0</v>
      </c>
      <c r="BC412" s="449">
        <f t="shared" si="355"/>
        <v>0</v>
      </c>
      <c r="BD412" s="449">
        <f t="shared" si="355"/>
        <v>0</v>
      </c>
      <c r="BE412" s="449">
        <f t="shared" si="355"/>
        <v>0</v>
      </c>
      <c r="BF412" s="449">
        <f t="shared" si="355"/>
        <v>0</v>
      </c>
      <c r="BG412" s="449">
        <f t="shared" si="355"/>
        <v>0</v>
      </c>
      <c r="BH412" s="400"/>
      <c r="BI412" s="449">
        <v>0</v>
      </c>
      <c r="BJ412" s="449">
        <v>0</v>
      </c>
      <c r="BK412" s="449">
        <v>0</v>
      </c>
      <c r="BL412" s="449">
        <v>0</v>
      </c>
      <c r="BM412" s="449">
        <v>0</v>
      </c>
      <c r="BN412" s="449">
        <v>0</v>
      </c>
      <c r="BO412" s="449">
        <v>0</v>
      </c>
      <c r="BP412" s="449">
        <v>0</v>
      </c>
      <c r="BQ412" s="449">
        <v>0</v>
      </c>
      <c r="BR412" s="449">
        <v>0</v>
      </c>
      <c r="BS412" s="449">
        <v>0</v>
      </c>
      <c r="BT412" s="449">
        <v>0</v>
      </c>
    </row>
    <row r="413" spans="1:72" ht="15" x14ac:dyDescent="0.25">
      <c r="A413" s="502" t="s">
        <v>691</v>
      </c>
      <c r="B413" s="537" t="s">
        <v>692</v>
      </c>
      <c r="C413" s="630"/>
      <c r="D413" s="500">
        <f t="shared" si="339"/>
        <v>3000</v>
      </c>
      <c r="E413" s="449">
        <v>0</v>
      </c>
      <c r="F413" s="449">
        <f t="shared" si="340"/>
        <v>3000</v>
      </c>
      <c r="G413" s="421">
        <f t="shared" si="341"/>
        <v>0</v>
      </c>
      <c r="H413" s="449">
        <v>3000</v>
      </c>
      <c r="I413" s="449">
        <f t="shared" si="342"/>
        <v>0</v>
      </c>
      <c r="J413" s="426">
        <f t="shared" si="343"/>
        <v>0</v>
      </c>
      <c r="K413" s="421"/>
      <c r="L413" s="449">
        <v>0</v>
      </c>
      <c r="M413" s="449">
        <v>0</v>
      </c>
      <c r="N413" s="449">
        <v>0</v>
      </c>
      <c r="O413" s="449">
        <v>0</v>
      </c>
      <c r="P413" s="449">
        <v>0</v>
      </c>
      <c r="Q413" s="449">
        <v>0</v>
      </c>
      <c r="R413" s="449">
        <f>($H413-SUM($L413:Q413))/R$694</f>
        <v>500</v>
      </c>
      <c r="S413" s="449">
        <f>($H413-SUM($L413:R413))/S$694</f>
        <v>500</v>
      </c>
      <c r="T413" s="449">
        <f>($H413-SUM($L413:S413))/T$694</f>
        <v>500</v>
      </c>
      <c r="U413" s="449">
        <f>($H413-SUM($L413:T413))/U$694</f>
        <v>500</v>
      </c>
      <c r="V413" s="449">
        <f>($H413-SUM($L413:U413))/V$694</f>
        <v>500</v>
      </c>
      <c r="W413" s="449">
        <f>($H413-SUM($L413:V413))/W$694</f>
        <v>500</v>
      </c>
      <c r="X413" s="449"/>
      <c r="Y413" s="449">
        <f t="shared" si="344"/>
        <v>3000</v>
      </c>
      <c r="Z413" s="531"/>
      <c r="AA413" s="449">
        <f t="shared" si="354"/>
        <v>250</v>
      </c>
      <c r="AB413" s="449">
        <f t="shared" si="354"/>
        <v>250</v>
      </c>
      <c r="AC413" s="449">
        <f t="shared" si="354"/>
        <v>250</v>
      </c>
      <c r="AD413" s="449">
        <f t="shared" si="354"/>
        <v>250</v>
      </c>
      <c r="AE413" s="449">
        <f t="shared" si="354"/>
        <v>250</v>
      </c>
      <c r="AF413" s="449">
        <f t="shared" si="354"/>
        <v>250</v>
      </c>
      <c r="AG413" s="449">
        <f t="shared" si="354"/>
        <v>250</v>
      </c>
      <c r="AH413" s="449">
        <f t="shared" si="354"/>
        <v>250</v>
      </c>
      <c r="AI413" s="449">
        <f t="shared" si="354"/>
        <v>250</v>
      </c>
      <c r="AJ413" s="449">
        <f t="shared" si="354"/>
        <v>250</v>
      </c>
      <c r="AK413" s="449">
        <f t="shared" si="354"/>
        <v>250</v>
      </c>
      <c r="AL413" s="449">
        <f t="shared" si="354"/>
        <v>250</v>
      </c>
      <c r="AN413" s="500">
        <f t="shared" si="346"/>
        <v>3000</v>
      </c>
      <c r="AO413" s="449">
        <f t="shared" si="347"/>
        <v>3000</v>
      </c>
      <c r="AP413" s="449">
        <f t="shared" si="348"/>
        <v>0</v>
      </c>
      <c r="AQ413" s="453">
        <f t="shared" si="349"/>
        <v>0</v>
      </c>
      <c r="AR413" s="449">
        <f t="shared" si="350"/>
        <v>3000</v>
      </c>
      <c r="AS413" s="449">
        <f t="shared" si="351"/>
        <v>0</v>
      </c>
      <c r="AT413" s="426">
        <f t="shared" si="352"/>
        <v>0</v>
      </c>
      <c r="AU413" s="421"/>
      <c r="AV413" s="449">
        <f t="shared" si="356"/>
        <v>0</v>
      </c>
      <c r="AW413" s="449">
        <f t="shared" si="356"/>
        <v>0</v>
      </c>
      <c r="AX413" s="449">
        <f t="shared" si="356"/>
        <v>0</v>
      </c>
      <c r="AY413" s="449">
        <f t="shared" si="355"/>
        <v>3000</v>
      </c>
      <c r="AZ413" s="449">
        <f t="shared" si="355"/>
        <v>0</v>
      </c>
      <c r="BA413" s="449">
        <f t="shared" si="355"/>
        <v>0</v>
      </c>
      <c r="BB413" s="449">
        <f t="shared" si="355"/>
        <v>0</v>
      </c>
      <c r="BC413" s="449">
        <f t="shared" si="355"/>
        <v>0</v>
      </c>
      <c r="BD413" s="449">
        <f t="shared" si="355"/>
        <v>0</v>
      </c>
      <c r="BE413" s="449">
        <f t="shared" si="355"/>
        <v>0</v>
      </c>
      <c r="BF413" s="449">
        <f t="shared" si="355"/>
        <v>0</v>
      </c>
      <c r="BG413" s="449">
        <f t="shared" si="355"/>
        <v>0</v>
      </c>
      <c r="BH413" s="400"/>
      <c r="BI413" s="449">
        <v>0</v>
      </c>
      <c r="BJ413" s="449">
        <v>0</v>
      </c>
      <c r="BK413" s="449">
        <v>0</v>
      </c>
      <c r="BL413" s="449">
        <f>SUM('FY19 Staffing V1-1 (3)'!$P$282)</f>
        <v>3000</v>
      </c>
      <c r="BM413" s="449">
        <v>0</v>
      </c>
      <c r="BN413" s="449">
        <v>0</v>
      </c>
      <c r="BO413" s="449">
        <v>0</v>
      </c>
      <c r="BP413" s="449">
        <v>0</v>
      </c>
      <c r="BQ413" s="449">
        <v>0</v>
      </c>
      <c r="BR413" s="449">
        <v>0</v>
      </c>
      <c r="BS413" s="449">
        <v>0</v>
      </c>
      <c r="BT413" s="449">
        <v>0</v>
      </c>
    </row>
    <row r="414" spans="1:72" ht="15" hidden="1" x14ac:dyDescent="0.25">
      <c r="A414" s="502" t="s">
        <v>693</v>
      </c>
      <c r="B414" s="502" t="s">
        <v>694</v>
      </c>
      <c r="C414" s="541"/>
      <c r="D414" s="500">
        <f t="shared" si="339"/>
        <v>0</v>
      </c>
      <c r="E414" s="449">
        <v>0</v>
      </c>
      <c r="F414" s="449">
        <f t="shared" si="340"/>
        <v>0</v>
      </c>
      <c r="G414" s="421">
        <f t="shared" si="341"/>
        <v>0</v>
      </c>
      <c r="H414" s="449">
        <v>0</v>
      </c>
      <c r="I414" s="449">
        <f t="shared" si="342"/>
        <v>0</v>
      </c>
      <c r="J414" s="426">
        <f t="shared" si="343"/>
        <v>0</v>
      </c>
      <c r="K414" s="421"/>
      <c r="L414" s="449">
        <v>0</v>
      </c>
      <c r="M414" s="449">
        <v>0</v>
      </c>
      <c r="N414" s="449">
        <v>0</v>
      </c>
      <c r="O414" s="449">
        <v>0</v>
      </c>
      <c r="P414" s="449">
        <v>0</v>
      </c>
      <c r="Q414" s="449">
        <v>0</v>
      </c>
      <c r="R414" s="449">
        <f>($H414-SUM($L414:Q414))/R$694</f>
        <v>0</v>
      </c>
      <c r="S414" s="449">
        <f>($H414-SUM($L414:R414))/S$694</f>
        <v>0</v>
      </c>
      <c r="T414" s="449">
        <f>($H414-SUM($L414:S414))/T$694</f>
        <v>0</v>
      </c>
      <c r="U414" s="449">
        <f>($H414-SUM($L414:T414))/U$694</f>
        <v>0</v>
      </c>
      <c r="V414" s="449">
        <f>($H414-SUM($L414:U414))/V$694</f>
        <v>0</v>
      </c>
      <c r="W414" s="449">
        <f>($H414-SUM($L414:V414))/W$694</f>
        <v>0</v>
      </c>
      <c r="X414" s="449"/>
      <c r="Y414" s="449">
        <f t="shared" si="344"/>
        <v>0</v>
      </c>
      <c r="Z414" s="531"/>
      <c r="AA414" s="449">
        <f t="shared" si="354"/>
        <v>0</v>
      </c>
      <c r="AB414" s="449">
        <f t="shared" si="354"/>
        <v>0</v>
      </c>
      <c r="AC414" s="449">
        <f t="shared" si="354"/>
        <v>0</v>
      </c>
      <c r="AD414" s="449">
        <f t="shared" si="354"/>
        <v>0</v>
      </c>
      <c r="AE414" s="449">
        <f t="shared" si="354"/>
        <v>0</v>
      </c>
      <c r="AF414" s="449">
        <f t="shared" si="354"/>
        <v>0</v>
      </c>
      <c r="AG414" s="449">
        <f t="shared" si="354"/>
        <v>0</v>
      </c>
      <c r="AH414" s="449">
        <f t="shared" si="354"/>
        <v>0</v>
      </c>
      <c r="AI414" s="449">
        <f t="shared" si="354"/>
        <v>0</v>
      </c>
      <c r="AJ414" s="449">
        <f t="shared" si="354"/>
        <v>0</v>
      </c>
      <c r="AK414" s="449">
        <f t="shared" si="354"/>
        <v>0</v>
      </c>
      <c r="AL414" s="449">
        <f t="shared" si="354"/>
        <v>0</v>
      </c>
      <c r="AN414" s="500">
        <f t="shared" si="346"/>
        <v>0</v>
      </c>
      <c r="AO414" s="449">
        <f t="shared" si="347"/>
        <v>0</v>
      </c>
      <c r="AP414" s="449">
        <f t="shared" si="348"/>
        <v>0</v>
      </c>
      <c r="AQ414" s="453" t="str">
        <f t="shared" si="349"/>
        <v>-</v>
      </c>
      <c r="AR414" s="449">
        <f t="shared" si="350"/>
        <v>0</v>
      </c>
      <c r="AS414" s="449">
        <f t="shared" si="351"/>
        <v>0</v>
      </c>
      <c r="AT414" s="426">
        <f t="shared" si="352"/>
        <v>0</v>
      </c>
      <c r="AU414" s="421"/>
      <c r="AV414" s="449">
        <f t="shared" si="356"/>
        <v>0</v>
      </c>
      <c r="AW414" s="449">
        <f t="shared" si="356"/>
        <v>0</v>
      </c>
      <c r="AX414" s="449">
        <f t="shared" si="356"/>
        <v>0</v>
      </c>
      <c r="AY414" s="449">
        <f t="shared" si="355"/>
        <v>0</v>
      </c>
      <c r="AZ414" s="449">
        <f t="shared" si="355"/>
        <v>0</v>
      </c>
      <c r="BA414" s="449">
        <f t="shared" si="355"/>
        <v>0</v>
      </c>
      <c r="BB414" s="449">
        <f t="shared" si="355"/>
        <v>0</v>
      </c>
      <c r="BC414" s="449">
        <f t="shared" si="355"/>
        <v>0</v>
      </c>
      <c r="BD414" s="449">
        <f t="shared" si="355"/>
        <v>0</v>
      </c>
      <c r="BE414" s="449">
        <f t="shared" si="355"/>
        <v>0</v>
      </c>
      <c r="BF414" s="449">
        <f t="shared" si="355"/>
        <v>0</v>
      </c>
      <c r="BG414" s="449">
        <f t="shared" si="355"/>
        <v>0</v>
      </c>
      <c r="BH414" s="400"/>
      <c r="BI414" s="449">
        <v>0</v>
      </c>
      <c r="BJ414" s="449">
        <v>0</v>
      </c>
      <c r="BK414" s="449">
        <v>0</v>
      </c>
      <c r="BL414" s="449">
        <v>0</v>
      </c>
      <c r="BM414" s="449">
        <v>0</v>
      </c>
      <c r="BN414" s="449">
        <v>0</v>
      </c>
      <c r="BO414" s="449">
        <v>0</v>
      </c>
      <c r="BP414" s="449">
        <v>0</v>
      </c>
      <c r="BQ414" s="449">
        <v>0</v>
      </c>
      <c r="BR414" s="449">
        <v>0</v>
      </c>
      <c r="BS414" s="449">
        <v>0</v>
      </c>
      <c r="BT414" s="449">
        <v>0</v>
      </c>
    </row>
    <row r="415" spans="1:72" ht="15" hidden="1" x14ac:dyDescent="0.25">
      <c r="A415" s="502" t="s">
        <v>695</v>
      </c>
      <c r="B415" s="502" t="s">
        <v>696</v>
      </c>
      <c r="C415" s="541"/>
      <c r="D415" s="500">
        <f t="shared" si="339"/>
        <v>0</v>
      </c>
      <c r="E415" s="449">
        <v>0</v>
      </c>
      <c r="F415" s="449">
        <f t="shared" si="340"/>
        <v>0</v>
      </c>
      <c r="G415" s="421">
        <f t="shared" si="341"/>
        <v>0</v>
      </c>
      <c r="H415" s="449">
        <v>0</v>
      </c>
      <c r="I415" s="449">
        <f t="shared" si="342"/>
        <v>0</v>
      </c>
      <c r="J415" s="426">
        <f t="shared" si="343"/>
        <v>0</v>
      </c>
      <c r="K415" s="421"/>
      <c r="L415" s="449">
        <v>0</v>
      </c>
      <c r="M415" s="449">
        <v>0</v>
      </c>
      <c r="N415" s="449">
        <v>0</v>
      </c>
      <c r="O415" s="449">
        <v>0</v>
      </c>
      <c r="P415" s="449">
        <v>0</v>
      </c>
      <c r="Q415" s="449">
        <v>0</v>
      </c>
      <c r="R415" s="449">
        <f>($H415-SUM($L415:Q415))/R$694</f>
        <v>0</v>
      </c>
      <c r="S415" s="449">
        <f>($H415-SUM($L415:R415))/S$694</f>
        <v>0</v>
      </c>
      <c r="T415" s="449">
        <f>($H415-SUM($L415:S415))/T$694</f>
        <v>0</v>
      </c>
      <c r="U415" s="449">
        <f>($H415-SUM($L415:T415))/U$694</f>
        <v>0</v>
      </c>
      <c r="V415" s="449">
        <f>($H415-SUM($L415:U415))/V$694</f>
        <v>0</v>
      </c>
      <c r="W415" s="449">
        <f>($H415-SUM($L415:V415))/W$694</f>
        <v>0</v>
      </c>
      <c r="X415" s="449"/>
      <c r="Y415" s="449">
        <f t="shared" si="344"/>
        <v>0</v>
      </c>
      <c r="Z415" s="531"/>
      <c r="AA415" s="449">
        <f t="shared" si="354"/>
        <v>0</v>
      </c>
      <c r="AB415" s="449">
        <f t="shared" si="354"/>
        <v>0</v>
      </c>
      <c r="AC415" s="449">
        <f t="shared" si="354"/>
        <v>0</v>
      </c>
      <c r="AD415" s="449">
        <f t="shared" si="354"/>
        <v>0</v>
      </c>
      <c r="AE415" s="449">
        <f t="shared" si="354"/>
        <v>0</v>
      </c>
      <c r="AF415" s="449">
        <f t="shared" si="354"/>
        <v>0</v>
      </c>
      <c r="AG415" s="449">
        <f t="shared" si="354"/>
        <v>0</v>
      </c>
      <c r="AH415" s="449">
        <f t="shared" si="354"/>
        <v>0</v>
      </c>
      <c r="AI415" s="449">
        <f t="shared" si="354"/>
        <v>0</v>
      </c>
      <c r="AJ415" s="449">
        <f t="shared" si="354"/>
        <v>0</v>
      </c>
      <c r="AK415" s="449">
        <f t="shared" si="354"/>
        <v>0</v>
      </c>
      <c r="AL415" s="449">
        <f t="shared" si="354"/>
        <v>0</v>
      </c>
      <c r="AN415" s="500">
        <f t="shared" si="346"/>
        <v>0</v>
      </c>
      <c r="AO415" s="449">
        <f t="shared" si="347"/>
        <v>0</v>
      </c>
      <c r="AP415" s="449">
        <f t="shared" si="348"/>
        <v>0</v>
      </c>
      <c r="AQ415" s="453" t="str">
        <f t="shared" si="349"/>
        <v>-</v>
      </c>
      <c r="AR415" s="449">
        <f t="shared" si="350"/>
        <v>0</v>
      </c>
      <c r="AS415" s="449">
        <f t="shared" si="351"/>
        <v>0</v>
      </c>
      <c r="AT415" s="426">
        <f t="shared" si="352"/>
        <v>0</v>
      </c>
      <c r="AU415" s="421"/>
      <c r="AV415" s="449">
        <f t="shared" si="356"/>
        <v>0</v>
      </c>
      <c r="AW415" s="449">
        <f t="shared" si="356"/>
        <v>0</v>
      </c>
      <c r="AX415" s="449">
        <f t="shared" si="356"/>
        <v>0</v>
      </c>
      <c r="AY415" s="449">
        <f t="shared" si="355"/>
        <v>0</v>
      </c>
      <c r="AZ415" s="449">
        <f t="shared" si="355"/>
        <v>0</v>
      </c>
      <c r="BA415" s="449">
        <f t="shared" si="355"/>
        <v>0</v>
      </c>
      <c r="BB415" s="449">
        <f t="shared" si="355"/>
        <v>0</v>
      </c>
      <c r="BC415" s="449">
        <f t="shared" si="355"/>
        <v>0</v>
      </c>
      <c r="BD415" s="449">
        <f t="shared" si="355"/>
        <v>0</v>
      </c>
      <c r="BE415" s="449">
        <f t="shared" si="355"/>
        <v>0</v>
      </c>
      <c r="BF415" s="449">
        <f t="shared" si="355"/>
        <v>0</v>
      </c>
      <c r="BG415" s="449">
        <f t="shared" si="355"/>
        <v>0</v>
      </c>
      <c r="BH415" s="400"/>
      <c r="BI415" s="449">
        <v>0</v>
      </c>
      <c r="BJ415" s="449">
        <v>0</v>
      </c>
      <c r="BK415" s="449">
        <v>0</v>
      </c>
      <c r="BL415" s="449">
        <v>0</v>
      </c>
      <c r="BM415" s="449">
        <v>0</v>
      </c>
      <c r="BN415" s="449">
        <v>0</v>
      </c>
      <c r="BO415" s="449">
        <v>0</v>
      </c>
      <c r="BP415" s="449">
        <v>0</v>
      </c>
      <c r="BQ415" s="449">
        <v>0</v>
      </c>
      <c r="BR415" s="449">
        <v>0</v>
      </c>
      <c r="BS415" s="449">
        <v>0</v>
      </c>
      <c r="BT415" s="449">
        <v>0</v>
      </c>
    </row>
    <row r="416" spans="1:72" ht="15" hidden="1" x14ac:dyDescent="0.25">
      <c r="A416" s="502" t="s">
        <v>697</v>
      </c>
      <c r="B416" s="502" t="s">
        <v>698</v>
      </c>
      <c r="C416" s="541"/>
      <c r="D416" s="500">
        <f t="shared" si="339"/>
        <v>0</v>
      </c>
      <c r="E416" s="449">
        <v>0</v>
      </c>
      <c r="F416" s="449">
        <f t="shared" si="340"/>
        <v>0</v>
      </c>
      <c r="G416" s="421">
        <f t="shared" si="341"/>
        <v>0</v>
      </c>
      <c r="H416" s="449">
        <v>0</v>
      </c>
      <c r="I416" s="449">
        <f t="shared" si="342"/>
        <v>0</v>
      </c>
      <c r="J416" s="426">
        <f t="shared" si="343"/>
        <v>0</v>
      </c>
      <c r="K416" s="421"/>
      <c r="L416" s="449">
        <v>0</v>
      </c>
      <c r="M416" s="449">
        <v>0</v>
      </c>
      <c r="N416" s="449">
        <v>0</v>
      </c>
      <c r="O416" s="449">
        <v>0</v>
      </c>
      <c r="P416" s="449">
        <v>0</v>
      </c>
      <c r="Q416" s="449">
        <v>0</v>
      </c>
      <c r="R416" s="449">
        <f>($H416-SUM($L416:Q416))/R$694</f>
        <v>0</v>
      </c>
      <c r="S416" s="449">
        <f>($H416-SUM($L416:R416))/S$694</f>
        <v>0</v>
      </c>
      <c r="T416" s="449">
        <f>($H416-SUM($L416:S416))/T$694</f>
        <v>0</v>
      </c>
      <c r="U416" s="449">
        <f>($H416-SUM($L416:T416))/U$694</f>
        <v>0</v>
      </c>
      <c r="V416" s="449">
        <f>($H416-SUM($L416:U416))/V$694</f>
        <v>0</v>
      </c>
      <c r="W416" s="449">
        <f>($H416-SUM($L416:V416))/W$694</f>
        <v>0</v>
      </c>
      <c r="X416" s="449"/>
      <c r="Y416" s="449">
        <f t="shared" si="344"/>
        <v>0</v>
      </c>
      <c r="Z416" s="531"/>
      <c r="AA416" s="449">
        <f t="shared" si="354"/>
        <v>0</v>
      </c>
      <c r="AB416" s="449">
        <f t="shared" si="354"/>
        <v>0</v>
      </c>
      <c r="AC416" s="449">
        <f t="shared" si="354"/>
        <v>0</v>
      </c>
      <c r="AD416" s="449">
        <f t="shared" si="354"/>
        <v>0</v>
      </c>
      <c r="AE416" s="449">
        <f t="shared" si="354"/>
        <v>0</v>
      </c>
      <c r="AF416" s="449">
        <f t="shared" si="354"/>
        <v>0</v>
      </c>
      <c r="AG416" s="449">
        <f t="shared" si="354"/>
        <v>0</v>
      </c>
      <c r="AH416" s="449">
        <f t="shared" si="354"/>
        <v>0</v>
      </c>
      <c r="AI416" s="449">
        <f t="shared" si="354"/>
        <v>0</v>
      </c>
      <c r="AJ416" s="449">
        <f t="shared" si="354"/>
        <v>0</v>
      </c>
      <c r="AK416" s="449">
        <f t="shared" si="354"/>
        <v>0</v>
      </c>
      <c r="AL416" s="449">
        <f t="shared" si="354"/>
        <v>0</v>
      </c>
      <c r="AN416" s="500">
        <f t="shared" si="346"/>
        <v>0</v>
      </c>
      <c r="AO416" s="449">
        <f t="shared" si="347"/>
        <v>0</v>
      </c>
      <c r="AP416" s="449">
        <f t="shared" si="348"/>
        <v>0</v>
      </c>
      <c r="AQ416" s="453" t="str">
        <f t="shared" si="349"/>
        <v>-</v>
      </c>
      <c r="AR416" s="449">
        <f t="shared" si="350"/>
        <v>0</v>
      </c>
      <c r="AS416" s="449">
        <f t="shared" si="351"/>
        <v>0</v>
      </c>
      <c r="AT416" s="426">
        <f t="shared" si="352"/>
        <v>0</v>
      </c>
      <c r="AU416" s="421"/>
      <c r="AV416" s="449">
        <f t="shared" si="356"/>
        <v>0</v>
      </c>
      <c r="AW416" s="449">
        <f t="shared" si="356"/>
        <v>0</v>
      </c>
      <c r="AX416" s="449">
        <f t="shared" si="356"/>
        <v>0</v>
      </c>
      <c r="AY416" s="449">
        <f t="shared" si="355"/>
        <v>0</v>
      </c>
      <c r="AZ416" s="449">
        <f t="shared" si="355"/>
        <v>0</v>
      </c>
      <c r="BA416" s="449">
        <f t="shared" si="355"/>
        <v>0</v>
      </c>
      <c r="BB416" s="449">
        <f t="shared" si="355"/>
        <v>0</v>
      </c>
      <c r="BC416" s="449">
        <f t="shared" si="355"/>
        <v>0</v>
      </c>
      <c r="BD416" s="449">
        <f t="shared" si="355"/>
        <v>0</v>
      </c>
      <c r="BE416" s="449">
        <f t="shared" si="355"/>
        <v>0</v>
      </c>
      <c r="BF416" s="449">
        <f t="shared" si="355"/>
        <v>0</v>
      </c>
      <c r="BG416" s="449">
        <f t="shared" si="355"/>
        <v>0</v>
      </c>
      <c r="BH416" s="400"/>
      <c r="BI416" s="449">
        <v>0</v>
      </c>
      <c r="BJ416" s="449">
        <v>0</v>
      </c>
      <c r="BK416" s="449">
        <v>0</v>
      </c>
      <c r="BL416" s="449">
        <v>0</v>
      </c>
      <c r="BM416" s="449">
        <v>0</v>
      </c>
      <c r="BN416" s="449">
        <v>0</v>
      </c>
      <c r="BO416" s="449">
        <v>0</v>
      </c>
      <c r="BP416" s="449">
        <v>0</v>
      </c>
      <c r="BQ416" s="449">
        <v>0</v>
      </c>
      <c r="BR416" s="449">
        <v>0</v>
      </c>
      <c r="BS416" s="449">
        <v>0</v>
      </c>
      <c r="BT416" s="449">
        <v>0</v>
      </c>
    </row>
    <row r="417" spans="1:72" ht="15" x14ac:dyDescent="0.25">
      <c r="A417" s="537" t="s">
        <v>699</v>
      </c>
      <c r="B417" s="537" t="s">
        <v>700</v>
      </c>
      <c r="C417" s="541"/>
      <c r="D417" s="500">
        <f>SUM(L417:W417)</f>
        <v>0</v>
      </c>
      <c r="E417" s="449">
        <v>0</v>
      </c>
      <c r="F417" s="449">
        <f t="shared" si="340"/>
        <v>0</v>
      </c>
      <c r="G417" s="421">
        <f t="shared" si="341"/>
        <v>0</v>
      </c>
      <c r="H417" s="449">
        <v>0</v>
      </c>
      <c r="I417" s="449">
        <f t="shared" si="342"/>
        <v>0</v>
      </c>
      <c r="J417" s="426">
        <f t="shared" si="343"/>
        <v>0</v>
      </c>
      <c r="K417" s="421"/>
      <c r="L417" s="449">
        <v>0</v>
      </c>
      <c r="M417" s="449">
        <v>0</v>
      </c>
      <c r="N417" s="449">
        <v>0</v>
      </c>
      <c r="O417" s="449">
        <v>0</v>
      </c>
      <c r="P417" s="449">
        <v>0</v>
      </c>
      <c r="Q417" s="449">
        <v>0</v>
      </c>
      <c r="R417" s="449">
        <f>($H417-SUM($L417:Q417))/R$694</f>
        <v>0</v>
      </c>
      <c r="S417" s="449">
        <f>($H417-SUM($L417:R417))/S$694</f>
        <v>0</v>
      </c>
      <c r="T417" s="449">
        <f>($H417-SUM($L417:S417))/T$694</f>
        <v>0</v>
      </c>
      <c r="U417" s="449">
        <f>($H417-SUM($L417:T417))/U$694</f>
        <v>0</v>
      </c>
      <c r="V417" s="449">
        <f>($H417-SUM($L417:U417))/V$694</f>
        <v>0</v>
      </c>
      <c r="W417" s="449">
        <f>($H417-SUM($L417:V417))/W$694</f>
        <v>0</v>
      </c>
      <c r="X417" s="449"/>
      <c r="Y417" s="449">
        <f t="shared" si="344"/>
        <v>0</v>
      </c>
      <c r="Z417" s="531"/>
      <c r="AA417" s="449">
        <f t="shared" si="354"/>
        <v>0</v>
      </c>
      <c r="AB417" s="449">
        <f t="shared" si="354"/>
        <v>0</v>
      </c>
      <c r="AC417" s="449">
        <f t="shared" si="354"/>
        <v>0</v>
      </c>
      <c r="AD417" s="449">
        <f t="shared" si="354"/>
        <v>0</v>
      </c>
      <c r="AE417" s="449">
        <f t="shared" si="354"/>
        <v>0</v>
      </c>
      <c r="AF417" s="449">
        <f t="shared" si="354"/>
        <v>0</v>
      </c>
      <c r="AG417" s="449">
        <f t="shared" si="354"/>
        <v>0</v>
      </c>
      <c r="AH417" s="449">
        <f t="shared" si="354"/>
        <v>0</v>
      </c>
      <c r="AI417" s="449">
        <f t="shared" si="354"/>
        <v>0</v>
      </c>
      <c r="AJ417" s="449">
        <f t="shared" si="354"/>
        <v>0</v>
      </c>
      <c r="AK417" s="449">
        <f t="shared" si="354"/>
        <v>0</v>
      </c>
      <c r="AL417" s="449">
        <f t="shared" si="354"/>
        <v>0</v>
      </c>
      <c r="AN417" s="500">
        <f>SUM(L417:W417)</f>
        <v>0</v>
      </c>
      <c r="AO417" s="449">
        <f>SUM(BI417:BT417)</f>
        <v>0</v>
      </c>
      <c r="AP417" s="449">
        <f t="shared" si="348"/>
        <v>0</v>
      </c>
      <c r="AQ417" s="453" t="str">
        <f t="shared" si="349"/>
        <v>-</v>
      </c>
      <c r="AR417" s="449">
        <f t="shared" si="350"/>
        <v>0</v>
      </c>
      <c r="AS417" s="449">
        <f t="shared" si="351"/>
        <v>0</v>
      </c>
      <c r="AT417" s="426">
        <f t="shared" si="352"/>
        <v>0</v>
      </c>
      <c r="AU417" s="421"/>
      <c r="AV417" s="449">
        <f t="shared" si="356"/>
        <v>0</v>
      </c>
      <c r="AW417" s="449">
        <f t="shared" si="356"/>
        <v>0</v>
      </c>
      <c r="AX417" s="449">
        <f t="shared" si="356"/>
        <v>0</v>
      </c>
      <c r="AY417" s="449">
        <f t="shared" si="355"/>
        <v>0</v>
      </c>
      <c r="AZ417" s="449">
        <f t="shared" si="355"/>
        <v>0</v>
      </c>
      <c r="BA417" s="449">
        <f t="shared" si="355"/>
        <v>0</v>
      </c>
      <c r="BB417" s="449">
        <f t="shared" si="355"/>
        <v>0</v>
      </c>
      <c r="BC417" s="449">
        <f t="shared" si="355"/>
        <v>0</v>
      </c>
      <c r="BD417" s="449">
        <f t="shared" si="355"/>
        <v>0</v>
      </c>
      <c r="BE417" s="449">
        <f t="shared" si="355"/>
        <v>0</v>
      </c>
      <c r="BF417" s="449">
        <f t="shared" si="355"/>
        <v>0</v>
      </c>
      <c r="BG417" s="449">
        <f t="shared" si="355"/>
        <v>0</v>
      </c>
      <c r="BH417" s="400"/>
      <c r="BI417" s="449">
        <f t="shared" ref="BI417:BT417" si="357">IFERROR((($H417/$H$5)*BI$5)/12,0)</f>
        <v>0</v>
      </c>
      <c r="BJ417" s="449">
        <f t="shared" si="357"/>
        <v>0</v>
      </c>
      <c r="BK417" s="449">
        <f t="shared" si="357"/>
        <v>0</v>
      </c>
      <c r="BL417" s="449">
        <f t="shared" si="357"/>
        <v>0</v>
      </c>
      <c r="BM417" s="449">
        <f t="shared" si="357"/>
        <v>0</v>
      </c>
      <c r="BN417" s="449">
        <f t="shared" si="357"/>
        <v>0</v>
      </c>
      <c r="BO417" s="449">
        <f t="shared" si="357"/>
        <v>0</v>
      </c>
      <c r="BP417" s="449">
        <f t="shared" si="357"/>
        <v>0</v>
      </c>
      <c r="BQ417" s="449">
        <f t="shared" si="357"/>
        <v>0</v>
      </c>
      <c r="BR417" s="449">
        <f t="shared" si="357"/>
        <v>0</v>
      </c>
      <c r="BS417" s="449">
        <f t="shared" si="357"/>
        <v>0</v>
      </c>
      <c r="BT417" s="449">
        <f t="shared" si="357"/>
        <v>0</v>
      </c>
    </row>
    <row r="418" spans="1:72" ht="15" x14ac:dyDescent="0.25">
      <c r="A418" s="502" t="s">
        <v>701</v>
      </c>
      <c r="B418" s="502" t="s">
        <v>702</v>
      </c>
      <c r="C418" s="541"/>
      <c r="D418" s="500">
        <f t="shared" si="339"/>
        <v>16183</v>
      </c>
      <c r="E418" s="449">
        <v>16183</v>
      </c>
      <c r="F418" s="449">
        <f t="shared" si="340"/>
        <v>0</v>
      </c>
      <c r="G418" s="421">
        <f t="shared" si="341"/>
        <v>0</v>
      </c>
      <c r="H418" s="449">
        <v>16183</v>
      </c>
      <c r="I418" s="449">
        <f t="shared" si="342"/>
        <v>0</v>
      </c>
      <c r="J418" s="426">
        <f t="shared" si="343"/>
        <v>0</v>
      </c>
      <c r="K418" s="421"/>
      <c r="L418" s="449">
        <v>723.81</v>
      </c>
      <c r="M418" s="449">
        <v>1349.3899999999999</v>
      </c>
      <c r="N418" s="449">
        <v>390.40000000000009</v>
      </c>
      <c r="O418" s="449">
        <v>729.68000000000029</v>
      </c>
      <c r="P418" s="449">
        <v>500.17999999999984</v>
      </c>
      <c r="Q418" s="449">
        <v>625.22999999999956</v>
      </c>
      <c r="R418" s="449">
        <f>($H418-SUM($L418:Q418))/R$694</f>
        <v>1977.3850000000002</v>
      </c>
      <c r="S418" s="449">
        <f>($H418-SUM($L418:R418))/S$694</f>
        <v>1977.3849999999998</v>
      </c>
      <c r="T418" s="449">
        <f>($H418-SUM($L418:S418))/T$694</f>
        <v>1977.3850000000002</v>
      </c>
      <c r="U418" s="449">
        <f>($H418-SUM($L418:T418))/U$694</f>
        <v>1977.3850000000002</v>
      </c>
      <c r="V418" s="449">
        <f>($H418-SUM($L418:U418))/V$694</f>
        <v>1977.3850000000002</v>
      </c>
      <c r="W418" s="449">
        <f>($H418-SUM($L418:V418))/W$694</f>
        <v>1977.3850000000002</v>
      </c>
      <c r="X418" s="449"/>
      <c r="Y418" s="449">
        <f t="shared" si="344"/>
        <v>16183</v>
      </c>
      <c r="Z418" s="531"/>
      <c r="AA418" s="449">
        <f t="shared" ref="AA418:AL433" si="358">IFERROR($H418/12,0)</f>
        <v>1348.5833333333333</v>
      </c>
      <c r="AB418" s="449">
        <f t="shared" si="358"/>
        <v>1348.5833333333333</v>
      </c>
      <c r="AC418" s="449">
        <f t="shared" si="358"/>
        <v>1348.5833333333333</v>
      </c>
      <c r="AD418" s="449">
        <f t="shared" si="358"/>
        <v>1348.5833333333333</v>
      </c>
      <c r="AE418" s="449">
        <f t="shared" si="358"/>
        <v>1348.5833333333333</v>
      </c>
      <c r="AF418" s="449">
        <f t="shared" si="358"/>
        <v>1348.5833333333333</v>
      </c>
      <c r="AG418" s="449">
        <f t="shared" si="358"/>
        <v>1348.5833333333333</v>
      </c>
      <c r="AH418" s="449">
        <f t="shared" si="358"/>
        <v>1348.5833333333333</v>
      </c>
      <c r="AI418" s="449">
        <f t="shared" si="358"/>
        <v>1348.5833333333333</v>
      </c>
      <c r="AJ418" s="449">
        <f t="shared" si="358"/>
        <v>1348.5833333333333</v>
      </c>
      <c r="AK418" s="449">
        <f t="shared" si="358"/>
        <v>1348.5833333333333</v>
      </c>
      <c r="AL418" s="449">
        <f t="shared" si="358"/>
        <v>1348.5833333333333</v>
      </c>
      <c r="AN418" s="500">
        <f t="shared" si="346"/>
        <v>16183</v>
      </c>
      <c r="AO418" s="449">
        <f t="shared" si="347"/>
        <v>8383.6</v>
      </c>
      <c r="AP418" s="449">
        <f t="shared" si="348"/>
        <v>-7799.4</v>
      </c>
      <c r="AQ418" s="453">
        <f t="shared" si="349"/>
        <v>-0.48195019464870542</v>
      </c>
      <c r="AR418" s="449">
        <f t="shared" si="350"/>
        <v>8383.6</v>
      </c>
      <c r="AS418" s="449">
        <f t="shared" si="351"/>
        <v>0</v>
      </c>
      <c r="AT418" s="426">
        <f t="shared" si="352"/>
        <v>0</v>
      </c>
      <c r="AU418" s="421"/>
      <c r="AV418" s="449">
        <f t="shared" si="356"/>
        <v>698.63333333333333</v>
      </c>
      <c r="AW418" s="449">
        <f t="shared" si="356"/>
        <v>698.63333333333333</v>
      </c>
      <c r="AX418" s="449">
        <f t="shared" si="356"/>
        <v>698.63333333333333</v>
      </c>
      <c r="AY418" s="449">
        <f t="shared" si="355"/>
        <v>698.63333333333333</v>
      </c>
      <c r="AZ418" s="449">
        <f t="shared" si="355"/>
        <v>698.63333333333333</v>
      </c>
      <c r="BA418" s="449">
        <f t="shared" si="355"/>
        <v>698.63333333333333</v>
      </c>
      <c r="BB418" s="449">
        <f t="shared" si="355"/>
        <v>698.63333333333333</v>
      </c>
      <c r="BC418" s="449">
        <f t="shared" si="355"/>
        <v>698.63333333333333</v>
      </c>
      <c r="BD418" s="449">
        <f t="shared" si="355"/>
        <v>698.63333333333333</v>
      </c>
      <c r="BE418" s="449">
        <f t="shared" si="355"/>
        <v>698.63333333333333</v>
      </c>
      <c r="BF418" s="449">
        <f t="shared" si="355"/>
        <v>698.63333333333333</v>
      </c>
      <c r="BG418" s="449">
        <f t="shared" si="355"/>
        <v>698.63333333333333</v>
      </c>
      <c r="BH418" s="400"/>
      <c r="BI418" s="449">
        <f>SUM('FY19 Staffing V1-1 (3)'!$Q$215:$R$215,'FY19 Staffing V1-1 (3)'!$T$215:$U$215)/12</f>
        <v>698.63333333333333</v>
      </c>
      <c r="BJ418" s="449">
        <f>SUM('FY19 Staffing V1-1 (3)'!$Q$215:$R$215,'FY19 Staffing V1-1 (3)'!$T$215:$U$215)/12</f>
        <v>698.63333333333333</v>
      </c>
      <c r="BK418" s="449">
        <f>SUM('FY19 Staffing V1-1 (3)'!$Q$215:$R$215,'FY19 Staffing V1-1 (3)'!$T$215:$U$215)/12</f>
        <v>698.63333333333333</v>
      </c>
      <c r="BL418" s="449">
        <f>SUM('FY19 Staffing V1-1 (3)'!$Q$215:$R$215,'FY19 Staffing V1-1 (3)'!$T$215:$U$215)/12</f>
        <v>698.63333333333333</v>
      </c>
      <c r="BM418" s="449">
        <f>SUM('FY19 Staffing V1-1 (3)'!$Q$215:$R$215,'FY19 Staffing V1-1 (3)'!$T$215:$U$215)/12</f>
        <v>698.63333333333333</v>
      </c>
      <c r="BN418" s="449">
        <f>SUM('FY19 Staffing V1-1 (3)'!$Q$215:$R$215,'FY19 Staffing V1-1 (3)'!$T$215:$U$215)/12</f>
        <v>698.63333333333333</v>
      </c>
      <c r="BO418" s="449">
        <f>SUM('FY19 Staffing V1-1 (3)'!$Q$215:$R$215,'FY19 Staffing V1-1 (3)'!$T$215:$U$215)/12</f>
        <v>698.63333333333333</v>
      </c>
      <c r="BP418" s="449">
        <f>SUM('FY19 Staffing V1-1 (3)'!$Q$215:$R$215,'FY19 Staffing V1-1 (3)'!$T$215:$U$215)/12</f>
        <v>698.63333333333333</v>
      </c>
      <c r="BQ418" s="449">
        <f>SUM('FY19 Staffing V1-1 (3)'!$Q$215:$R$215,'FY19 Staffing V1-1 (3)'!$T$215:$U$215)/12</f>
        <v>698.63333333333333</v>
      </c>
      <c r="BR418" s="449">
        <f>SUM('FY19 Staffing V1-1 (3)'!$Q$215:$R$215,'FY19 Staffing V1-1 (3)'!$T$215:$U$215)/12</f>
        <v>698.63333333333333</v>
      </c>
      <c r="BS418" s="449">
        <f>SUM('FY19 Staffing V1-1 (3)'!$Q$215:$R$215,'FY19 Staffing V1-1 (3)'!$T$215:$U$215)/12</f>
        <v>698.63333333333333</v>
      </c>
      <c r="BT418" s="449">
        <f>SUM('FY19 Staffing V1-1 (3)'!$Q$215:$R$215,'FY19 Staffing V1-1 (3)'!$T$215:$U$215)/12</f>
        <v>698.63333333333333</v>
      </c>
    </row>
    <row r="419" spans="1:72" ht="15" x14ac:dyDescent="0.25">
      <c r="A419" s="502" t="s">
        <v>703</v>
      </c>
      <c r="B419" s="502" t="s">
        <v>704</v>
      </c>
      <c r="C419" s="541"/>
      <c r="D419" s="500">
        <f t="shared" si="339"/>
        <v>7535</v>
      </c>
      <c r="E419" s="449">
        <v>7535</v>
      </c>
      <c r="F419" s="449">
        <f t="shared" si="340"/>
        <v>0</v>
      </c>
      <c r="G419" s="421">
        <f t="shared" si="341"/>
        <v>0</v>
      </c>
      <c r="H419" s="449">
        <v>7535</v>
      </c>
      <c r="I419" s="449">
        <f t="shared" si="342"/>
        <v>0</v>
      </c>
      <c r="J419" s="426">
        <f t="shared" si="343"/>
        <v>0</v>
      </c>
      <c r="K419" s="421"/>
      <c r="L419" s="449">
        <v>736.44</v>
      </c>
      <c r="M419" s="449">
        <v>1377.46</v>
      </c>
      <c r="N419" s="449">
        <v>385.15999999999985</v>
      </c>
      <c r="O419" s="449">
        <v>512</v>
      </c>
      <c r="P419" s="449">
        <v>512</v>
      </c>
      <c r="Q419" s="449">
        <v>640.00000000000045</v>
      </c>
      <c r="R419" s="449">
        <f>($H419-SUM($L419:Q419))/R$694</f>
        <v>561.9899999999999</v>
      </c>
      <c r="S419" s="449">
        <f>($H419-SUM($L419:R419))/S$694</f>
        <v>561.99</v>
      </c>
      <c r="T419" s="449">
        <f>($H419-SUM($L419:S419))/T$694</f>
        <v>561.99</v>
      </c>
      <c r="U419" s="449">
        <f>($H419-SUM($L419:T419))/U$694</f>
        <v>561.99000000000012</v>
      </c>
      <c r="V419" s="449">
        <f>($H419-SUM($L419:U419))/V$694</f>
        <v>561.99000000000024</v>
      </c>
      <c r="W419" s="449">
        <f>($H419-SUM($L419:V419))/W$694</f>
        <v>561.98999999999978</v>
      </c>
      <c r="X419" s="449"/>
      <c r="Y419" s="449">
        <f t="shared" si="344"/>
        <v>7535</v>
      </c>
      <c r="Z419" s="531"/>
      <c r="AA419" s="449">
        <f t="shared" si="358"/>
        <v>627.91666666666663</v>
      </c>
      <c r="AB419" s="449">
        <f t="shared" si="358"/>
        <v>627.91666666666663</v>
      </c>
      <c r="AC419" s="449">
        <f t="shared" si="358"/>
        <v>627.91666666666663</v>
      </c>
      <c r="AD419" s="449">
        <f t="shared" si="358"/>
        <v>627.91666666666663</v>
      </c>
      <c r="AE419" s="449">
        <f t="shared" si="358"/>
        <v>627.91666666666663</v>
      </c>
      <c r="AF419" s="449">
        <f t="shared" si="358"/>
        <v>627.91666666666663</v>
      </c>
      <c r="AG419" s="449">
        <f t="shared" si="358"/>
        <v>627.91666666666663</v>
      </c>
      <c r="AH419" s="449">
        <f t="shared" si="358"/>
        <v>627.91666666666663</v>
      </c>
      <c r="AI419" s="449">
        <f t="shared" si="358"/>
        <v>627.91666666666663</v>
      </c>
      <c r="AJ419" s="449">
        <f t="shared" si="358"/>
        <v>627.91666666666663</v>
      </c>
      <c r="AK419" s="449">
        <f t="shared" si="358"/>
        <v>627.91666666666663</v>
      </c>
      <c r="AL419" s="449">
        <f t="shared" si="358"/>
        <v>627.91666666666663</v>
      </c>
      <c r="AN419" s="500">
        <f t="shared" si="346"/>
        <v>7535</v>
      </c>
      <c r="AO419" s="449">
        <f t="shared" si="347"/>
        <v>8542.7200000000012</v>
      </c>
      <c r="AP419" s="449">
        <f t="shared" si="348"/>
        <v>1007.7200000000012</v>
      </c>
      <c r="AQ419" s="453">
        <f t="shared" si="349"/>
        <v>0.13373855341738569</v>
      </c>
      <c r="AR419" s="449">
        <f t="shared" si="350"/>
        <v>8542.7200000000012</v>
      </c>
      <c r="AS419" s="449">
        <f t="shared" si="351"/>
        <v>0</v>
      </c>
      <c r="AT419" s="426">
        <f t="shared" si="352"/>
        <v>0</v>
      </c>
      <c r="AU419" s="421"/>
      <c r="AV419" s="449">
        <f t="shared" si="356"/>
        <v>711.89333333333343</v>
      </c>
      <c r="AW419" s="449">
        <f t="shared" si="356"/>
        <v>711.89333333333343</v>
      </c>
      <c r="AX419" s="449">
        <f t="shared" si="356"/>
        <v>711.89333333333343</v>
      </c>
      <c r="AY419" s="449">
        <f t="shared" si="355"/>
        <v>711.89333333333343</v>
      </c>
      <c r="AZ419" s="449">
        <f t="shared" si="355"/>
        <v>711.89333333333343</v>
      </c>
      <c r="BA419" s="449">
        <f t="shared" si="355"/>
        <v>711.89333333333343</v>
      </c>
      <c r="BB419" s="449">
        <f t="shared" si="355"/>
        <v>711.89333333333343</v>
      </c>
      <c r="BC419" s="449">
        <f t="shared" si="355"/>
        <v>711.89333333333343</v>
      </c>
      <c r="BD419" s="449">
        <f t="shared" si="355"/>
        <v>711.89333333333343</v>
      </c>
      <c r="BE419" s="449">
        <f t="shared" si="355"/>
        <v>711.89333333333343</v>
      </c>
      <c r="BF419" s="449">
        <f t="shared" si="355"/>
        <v>711.89333333333343</v>
      </c>
      <c r="BG419" s="449">
        <f t="shared" si="355"/>
        <v>711.89333333333343</v>
      </c>
      <c r="BH419" s="400"/>
      <c r="BI419" s="449">
        <f>SUM('FY19 Staffing V1-1 (3)'!$Q$216:$R$216,'FY19 Staffing V1-1 (3)'!$T$216:$U$216)/12</f>
        <v>711.89333333333343</v>
      </c>
      <c r="BJ419" s="449">
        <f>SUM('FY19 Staffing V1-1 (3)'!$Q$216:$R$216,'FY19 Staffing V1-1 (3)'!$T$216:$U$216)/12</f>
        <v>711.89333333333343</v>
      </c>
      <c r="BK419" s="449">
        <f>SUM('FY19 Staffing V1-1 (3)'!$Q$216:$R$216,'FY19 Staffing V1-1 (3)'!$T$216:$U$216)/12</f>
        <v>711.89333333333343</v>
      </c>
      <c r="BL419" s="449">
        <f>SUM('FY19 Staffing V1-1 (3)'!$Q$216:$R$216,'FY19 Staffing V1-1 (3)'!$T$216:$U$216)/12</f>
        <v>711.89333333333343</v>
      </c>
      <c r="BM419" s="449">
        <f>SUM('FY19 Staffing V1-1 (3)'!$Q$216:$R$216,'FY19 Staffing V1-1 (3)'!$T$216:$U$216)/12</f>
        <v>711.89333333333343</v>
      </c>
      <c r="BN419" s="449">
        <f>SUM('FY19 Staffing V1-1 (3)'!$Q$216:$R$216,'FY19 Staffing V1-1 (3)'!$T$216:$U$216)/12</f>
        <v>711.89333333333343</v>
      </c>
      <c r="BO419" s="449">
        <f>SUM('FY19 Staffing V1-1 (3)'!$Q$216:$R$216,'FY19 Staffing V1-1 (3)'!$T$216:$U$216)/12</f>
        <v>711.89333333333343</v>
      </c>
      <c r="BP419" s="449">
        <f>SUM('FY19 Staffing V1-1 (3)'!$Q$216:$R$216,'FY19 Staffing V1-1 (3)'!$T$216:$U$216)/12</f>
        <v>711.89333333333343</v>
      </c>
      <c r="BQ419" s="449">
        <f>SUM('FY19 Staffing V1-1 (3)'!$Q$216:$R$216,'FY19 Staffing V1-1 (3)'!$T$216:$U$216)/12</f>
        <v>711.89333333333343</v>
      </c>
      <c r="BR419" s="449">
        <f>SUM('FY19 Staffing V1-1 (3)'!$Q$216:$R$216,'FY19 Staffing V1-1 (3)'!$T$216:$U$216)/12</f>
        <v>711.89333333333343</v>
      </c>
      <c r="BS419" s="449">
        <f>SUM('FY19 Staffing V1-1 (3)'!$Q$216:$R$216,'FY19 Staffing V1-1 (3)'!$T$216:$U$216)/12</f>
        <v>711.89333333333343</v>
      </c>
      <c r="BT419" s="449">
        <f>SUM('FY19 Staffing V1-1 (3)'!$Q$216:$R$216,'FY19 Staffing V1-1 (3)'!$T$216:$U$216)/12</f>
        <v>711.89333333333343</v>
      </c>
    </row>
    <row r="420" spans="1:72" ht="15" x14ac:dyDescent="0.25">
      <c r="A420" s="502" t="s">
        <v>705</v>
      </c>
      <c r="B420" s="502" t="s">
        <v>706</v>
      </c>
      <c r="C420" s="541"/>
      <c r="D420" s="500">
        <f t="shared" si="339"/>
        <v>8071</v>
      </c>
      <c r="E420" s="449">
        <v>15070</v>
      </c>
      <c r="F420" s="449">
        <f t="shared" si="340"/>
        <v>-6999</v>
      </c>
      <c r="G420" s="421">
        <f t="shared" si="341"/>
        <v>-0.46443264764432646</v>
      </c>
      <c r="H420" s="449">
        <v>8071</v>
      </c>
      <c r="I420" s="449">
        <f t="shared" si="342"/>
        <v>0</v>
      </c>
      <c r="J420" s="426">
        <f t="shared" si="343"/>
        <v>0</v>
      </c>
      <c r="K420" s="421"/>
      <c r="L420" s="449">
        <v>542.41999999999996</v>
      </c>
      <c r="M420" s="449">
        <v>1033.3499999999999</v>
      </c>
      <c r="N420" s="449">
        <v>445.09999999999991</v>
      </c>
      <c r="O420" s="449">
        <v>594.36000000000013</v>
      </c>
      <c r="P420" s="449">
        <v>364.86000000000013</v>
      </c>
      <c r="Q420" s="449">
        <v>456.06999999999971</v>
      </c>
      <c r="R420" s="449">
        <f>($H420-SUM($L420:Q420))/R$694</f>
        <v>772.47333333333336</v>
      </c>
      <c r="S420" s="449">
        <f>($H420-SUM($L420:R420))/S$694</f>
        <v>772.47333333333336</v>
      </c>
      <c r="T420" s="449">
        <f>($H420-SUM($L420:S420))/T$694</f>
        <v>772.47333333333336</v>
      </c>
      <c r="U420" s="449">
        <f>($H420-SUM($L420:T420))/U$694</f>
        <v>772.47333333333336</v>
      </c>
      <c r="V420" s="449">
        <f>($H420-SUM($L420:U420))/V$694</f>
        <v>772.47333333333336</v>
      </c>
      <c r="W420" s="449">
        <f>($H420-SUM($L420:V420))/W$694</f>
        <v>772.47333333333336</v>
      </c>
      <c r="X420" s="449"/>
      <c r="Y420" s="449">
        <f t="shared" si="344"/>
        <v>8071</v>
      </c>
      <c r="Z420" s="531"/>
      <c r="AA420" s="449">
        <f t="shared" si="358"/>
        <v>672.58333333333337</v>
      </c>
      <c r="AB420" s="449">
        <f t="shared" si="358"/>
        <v>672.58333333333337</v>
      </c>
      <c r="AC420" s="449">
        <f t="shared" si="358"/>
        <v>672.58333333333337</v>
      </c>
      <c r="AD420" s="449">
        <f t="shared" si="358"/>
        <v>672.58333333333337</v>
      </c>
      <c r="AE420" s="449">
        <f t="shared" si="358"/>
        <v>672.58333333333337</v>
      </c>
      <c r="AF420" s="449">
        <f t="shared" si="358"/>
        <v>672.58333333333337</v>
      </c>
      <c r="AG420" s="449">
        <f t="shared" si="358"/>
        <v>672.58333333333337</v>
      </c>
      <c r="AH420" s="449">
        <f t="shared" si="358"/>
        <v>672.58333333333337</v>
      </c>
      <c r="AI420" s="449">
        <f t="shared" si="358"/>
        <v>672.58333333333337</v>
      </c>
      <c r="AJ420" s="449">
        <f t="shared" si="358"/>
        <v>672.58333333333337</v>
      </c>
      <c r="AK420" s="449">
        <f t="shared" si="358"/>
        <v>672.58333333333337</v>
      </c>
      <c r="AL420" s="449">
        <f t="shared" si="358"/>
        <v>672.58333333333337</v>
      </c>
      <c r="AN420" s="500">
        <f t="shared" si="346"/>
        <v>8071</v>
      </c>
      <c r="AO420" s="449">
        <f t="shared" si="347"/>
        <v>6506.2899999999981</v>
      </c>
      <c r="AP420" s="449">
        <f t="shared" si="348"/>
        <v>-1564.7100000000019</v>
      </c>
      <c r="AQ420" s="453">
        <f t="shared" si="349"/>
        <v>-0.19386816999132719</v>
      </c>
      <c r="AR420" s="449">
        <f t="shared" si="350"/>
        <v>6506.2899999999981</v>
      </c>
      <c r="AS420" s="449">
        <f t="shared" si="351"/>
        <v>0</v>
      </c>
      <c r="AT420" s="426">
        <f t="shared" si="352"/>
        <v>0</v>
      </c>
      <c r="AU420" s="421"/>
      <c r="AV420" s="449">
        <f t="shared" si="356"/>
        <v>542.19083333333333</v>
      </c>
      <c r="AW420" s="449">
        <f t="shared" si="356"/>
        <v>542.19083333333333</v>
      </c>
      <c r="AX420" s="449">
        <f t="shared" si="356"/>
        <v>542.19083333333333</v>
      </c>
      <c r="AY420" s="449">
        <f t="shared" si="355"/>
        <v>542.19083333333333</v>
      </c>
      <c r="AZ420" s="449">
        <f t="shared" si="355"/>
        <v>542.19083333333333</v>
      </c>
      <c r="BA420" s="449">
        <f t="shared" si="355"/>
        <v>542.19083333333333</v>
      </c>
      <c r="BB420" s="449">
        <f t="shared" si="355"/>
        <v>542.19083333333333</v>
      </c>
      <c r="BC420" s="449">
        <f t="shared" si="355"/>
        <v>542.19083333333333</v>
      </c>
      <c r="BD420" s="449">
        <f t="shared" si="355"/>
        <v>542.19083333333333</v>
      </c>
      <c r="BE420" s="449">
        <f t="shared" si="355"/>
        <v>542.19083333333333</v>
      </c>
      <c r="BF420" s="449">
        <f t="shared" si="355"/>
        <v>542.19083333333333</v>
      </c>
      <c r="BG420" s="449">
        <f t="shared" si="355"/>
        <v>542.19083333333333</v>
      </c>
      <c r="BH420" s="400"/>
      <c r="BI420" s="449">
        <f>SUM('FY19 Staffing V1-1 (3)'!$Q$217:$R$217,'FY19 Staffing V1-1 (3)'!$T$217:$U$217)/12</f>
        <v>542.19083333333333</v>
      </c>
      <c r="BJ420" s="449">
        <f>SUM('FY19 Staffing V1-1 (3)'!$Q$217:$R$217,'FY19 Staffing V1-1 (3)'!$T$217:$U$217)/12</f>
        <v>542.19083333333333</v>
      </c>
      <c r="BK420" s="449">
        <f>SUM('FY19 Staffing V1-1 (3)'!$Q$217:$R$217,'FY19 Staffing V1-1 (3)'!$T$217:$U$217)/12</f>
        <v>542.19083333333333</v>
      </c>
      <c r="BL420" s="449">
        <f>SUM('FY19 Staffing V1-1 (3)'!$Q$217:$R$217,'FY19 Staffing V1-1 (3)'!$T$217:$U$217)/12</f>
        <v>542.19083333333333</v>
      </c>
      <c r="BM420" s="449">
        <f>SUM('FY19 Staffing V1-1 (3)'!$Q$217:$R$217,'FY19 Staffing V1-1 (3)'!$T$217:$U$217)/12</f>
        <v>542.19083333333333</v>
      </c>
      <c r="BN420" s="449">
        <f>SUM('FY19 Staffing V1-1 (3)'!$Q$217:$R$217,'FY19 Staffing V1-1 (3)'!$T$217:$U$217)/12</f>
        <v>542.19083333333333</v>
      </c>
      <c r="BO420" s="449">
        <f>SUM('FY19 Staffing V1-1 (3)'!$Q$217:$R$217,'FY19 Staffing V1-1 (3)'!$T$217:$U$217)/12</f>
        <v>542.19083333333333</v>
      </c>
      <c r="BP420" s="449">
        <f>SUM('FY19 Staffing V1-1 (3)'!$Q$217:$R$217,'FY19 Staffing V1-1 (3)'!$T$217:$U$217)/12</f>
        <v>542.19083333333333</v>
      </c>
      <c r="BQ420" s="449">
        <f>SUM('FY19 Staffing V1-1 (3)'!$Q$217:$R$217,'FY19 Staffing V1-1 (3)'!$T$217:$U$217)/12</f>
        <v>542.19083333333333</v>
      </c>
      <c r="BR420" s="449">
        <f>SUM('FY19 Staffing V1-1 (3)'!$Q$217:$R$217,'FY19 Staffing V1-1 (3)'!$T$217:$U$217)/12</f>
        <v>542.19083333333333</v>
      </c>
      <c r="BS420" s="449">
        <f>SUM('FY19 Staffing V1-1 (3)'!$Q$217:$R$217,'FY19 Staffing V1-1 (3)'!$T$217:$U$217)/12</f>
        <v>542.19083333333333</v>
      </c>
      <c r="BT420" s="449">
        <f>SUM('FY19 Staffing V1-1 (3)'!$Q$217:$R$217,'FY19 Staffing V1-1 (3)'!$T$217:$U$217)/12</f>
        <v>542.19083333333333</v>
      </c>
    </row>
    <row r="421" spans="1:72" ht="15" x14ac:dyDescent="0.25">
      <c r="A421" s="502" t="s">
        <v>707</v>
      </c>
      <c r="B421" s="502" t="s">
        <v>708</v>
      </c>
      <c r="C421" s="541"/>
      <c r="D421" s="500">
        <f t="shared" si="339"/>
        <v>0</v>
      </c>
      <c r="E421" s="449">
        <v>0</v>
      </c>
      <c r="F421" s="449">
        <f t="shared" si="340"/>
        <v>0</v>
      </c>
      <c r="G421" s="421">
        <f t="shared" si="341"/>
        <v>0</v>
      </c>
      <c r="H421" s="449">
        <v>0</v>
      </c>
      <c r="I421" s="449">
        <f t="shared" si="342"/>
        <v>0</v>
      </c>
      <c r="J421" s="426">
        <f t="shared" si="343"/>
        <v>0</v>
      </c>
      <c r="K421" s="421"/>
      <c r="L421" s="449">
        <v>0</v>
      </c>
      <c r="M421" s="449">
        <v>0</v>
      </c>
      <c r="N421" s="449">
        <v>0</v>
      </c>
      <c r="O421" s="449">
        <v>0</v>
      </c>
      <c r="P421" s="449">
        <v>0</v>
      </c>
      <c r="Q421" s="449">
        <v>0</v>
      </c>
      <c r="R421" s="449">
        <f>($H421-SUM($L421:Q421))/R$694</f>
        <v>0</v>
      </c>
      <c r="S421" s="449">
        <f>($H421-SUM($L421:R421))/S$694</f>
        <v>0</v>
      </c>
      <c r="T421" s="449">
        <f>($H421-SUM($L421:S421))/T$694</f>
        <v>0</v>
      </c>
      <c r="U421" s="449">
        <f>($H421-SUM($L421:T421))/U$694</f>
        <v>0</v>
      </c>
      <c r="V421" s="449">
        <f>($H421-SUM($L421:U421))/V$694</f>
        <v>0</v>
      </c>
      <c r="W421" s="449">
        <f>($H421-SUM($L421:V421))/W$694</f>
        <v>0</v>
      </c>
      <c r="X421" s="449"/>
      <c r="Y421" s="449">
        <f t="shared" si="344"/>
        <v>0</v>
      </c>
      <c r="Z421" s="531"/>
      <c r="AA421" s="449">
        <f t="shared" si="358"/>
        <v>0</v>
      </c>
      <c r="AB421" s="449">
        <f t="shared" si="358"/>
        <v>0</v>
      </c>
      <c r="AC421" s="449">
        <f t="shared" si="358"/>
        <v>0</v>
      </c>
      <c r="AD421" s="449">
        <f t="shared" si="358"/>
        <v>0</v>
      </c>
      <c r="AE421" s="449">
        <f t="shared" si="358"/>
        <v>0</v>
      </c>
      <c r="AF421" s="449">
        <f t="shared" si="358"/>
        <v>0</v>
      </c>
      <c r="AG421" s="449">
        <f t="shared" si="358"/>
        <v>0</v>
      </c>
      <c r="AH421" s="449">
        <f t="shared" si="358"/>
        <v>0</v>
      </c>
      <c r="AI421" s="449">
        <f t="shared" si="358"/>
        <v>0</v>
      </c>
      <c r="AJ421" s="449">
        <f t="shared" si="358"/>
        <v>0</v>
      </c>
      <c r="AK421" s="449">
        <f t="shared" si="358"/>
        <v>0</v>
      </c>
      <c r="AL421" s="449">
        <f t="shared" si="358"/>
        <v>0</v>
      </c>
      <c r="AN421" s="500">
        <f t="shared" si="346"/>
        <v>0</v>
      </c>
      <c r="AO421" s="449">
        <f t="shared" si="347"/>
        <v>0</v>
      </c>
      <c r="AP421" s="449">
        <f t="shared" si="348"/>
        <v>0</v>
      </c>
      <c r="AQ421" s="453" t="str">
        <f t="shared" si="349"/>
        <v>-</v>
      </c>
      <c r="AR421" s="449">
        <f t="shared" si="350"/>
        <v>0</v>
      </c>
      <c r="AS421" s="449">
        <f t="shared" si="351"/>
        <v>0</v>
      </c>
      <c r="AT421" s="426">
        <f t="shared" si="352"/>
        <v>0</v>
      </c>
      <c r="AU421" s="421"/>
      <c r="AV421" s="449">
        <f t="shared" si="356"/>
        <v>0</v>
      </c>
      <c r="AW421" s="449">
        <f t="shared" si="356"/>
        <v>0</v>
      </c>
      <c r="AX421" s="449">
        <f t="shared" si="356"/>
        <v>0</v>
      </c>
      <c r="AY421" s="449">
        <f t="shared" si="355"/>
        <v>0</v>
      </c>
      <c r="AZ421" s="449">
        <f t="shared" si="355"/>
        <v>0</v>
      </c>
      <c r="BA421" s="449">
        <f t="shared" si="355"/>
        <v>0</v>
      </c>
      <c r="BB421" s="449">
        <f t="shared" si="355"/>
        <v>0</v>
      </c>
      <c r="BC421" s="449">
        <f t="shared" si="355"/>
        <v>0</v>
      </c>
      <c r="BD421" s="449">
        <f t="shared" si="355"/>
        <v>0</v>
      </c>
      <c r="BE421" s="449">
        <f t="shared" si="355"/>
        <v>0</v>
      </c>
      <c r="BF421" s="449">
        <f t="shared" si="355"/>
        <v>0</v>
      </c>
      <c r="BG421" s="449">
        <f t="shared" si="355"/>
        <v>0</v>
      </c>
      <c r="BH421" s="400"/>
      <c r="BI421" s="449">
        <v>0</v>
      </c>
      <c r="BJ421" s="449">
        <v>0</v>
      </c>
      <c r="BK421" s="449">
        <v>0</v>
      </c>
      <c r="BL421" s="449">
        <v>0</v>
      </c>
      <c r="BM421" s="449">
        <v>0</v>
      </c>
      <c r="BN421" s="449">
        <v>0</v>
      </c>
      <c r="BO421" s="449">
        <v>0</v>
      </c>
      <c r="BP421" s="449">
        <v>0</v>
      </c>
      <c r="BQ421" s="449">
        <v>0</v>
      </c>
      <c r="BR421" s="449">
        <v>0</v>
      </c>
      <c r="BS421" s="449">
        <v>0</v>
      </c>
      <c r="BT421" s="449">
        <v>0</v>
      </c>
    </row>
    <row r="422" spans="1:72" ht="15" x14ac:dyDescent="0.25">
      <c r="A422" s="502" t="s">
        <v>709</v>
      </c>
      <c r="B422" s="502" t="s">
        <v>710</v>
      </c>
      <c r="C422" s="541"/>
      <c r="D422" s="500">
        <f t="shared" si="339"/>
        <v>3474.09</v>
      </c>
      <c r="E422" s="449">
        <v>0</v>
      </c>
      <c r="F422" s="449">
        <f t="shared" si="340"/>
        <v>3474.09</v>
      </c>
      <c r="G422" s="421">
        <f t="shared" si="341"/>
        <v>0</v>
      </c>
      <c r="H422" s="449">
        <v>0</v>
      </c>
      <c r="I422" s="449">
        <f t="shared" si="342"/>
        <v>3474.09</v>
      </c>
      <c r="J422" s="426">
        <f t="shared" si="343"/>
        <v>0</v>
      </c>
      <c r="K422" s="421"/>
      <c r="L422" s="449">
        <v>596.70000000000005</v>
      </c>
      <c r="M422" s="449">
        <v>1127.52</v>
      </c>
      <c r="N422" s="449">
        <v>430.37999999999988</v>
      </c>
      <c r="O422" s="449">
        <v>405.99000000000024</v>
      </c>
      <c r="P422" s="449">
        <v>405.98999999999978</v>
      </c>
      <c r="Q422" s="449">
        <v>507.51000000000022</v>
      </c>
      <c r="R422" s="449">
        <v>0</v>
      </c>
      <c r="S422" s="449">
        <v>0</v>
      </c>
      <c r="T422" s="449">
        <v>0</v>
      </c>
      <c r="U422" s="449">
        <v>0</v>
      </c>
      <c r="V422" s="449">
        <v>0</v>
      </c>
      <c r="W422" s="449">
        <v>0</v>
      </c>
      <c r="X422" s="449"/>
      <c r="Y422" s="449">
        <f t="shared" si="344"/>
        <v>3474.09</v>
      </c>
      <c r="Z422" s="531"/>
      <c r="AA422" s="449">
        <f t="shared" si="358"/>
        <v>0</v>
      </c>
      <c r="AB422" s="449">
        <f t="shared" si="358"/>
        <v>0</v>
      </c>
      <c r="AC422" s="449">
        <f t="shared" si="358"/>
        <v>0</v>
      </c>
      <c r="AD422" s="449">
        <f t="shared" si="358"/>
        <v>0</v>
      </c>
      <c r="AE422" s="449">
        <f t="shared" si="358"/>
        <v>0</v>
      </c>
      <c r="AF422" s="449">
        <f t="shared" si="358"/>
        <v>0</v>
      </c>
      <c r="AG422" s="449">
        <f t="shared" si="358"/>
        <v>0</v>
      </c>
      <c r="AH422" s="449">
        <f t="shared" si="358"/>
        <v>0</v>
      </c>
      <c r="AI422" s="449">
        <f t="shared" si="358"/>
        <v>0</v>
      </c>
      <c r="AJ422" s="449">
        <f t="shared" si="358"/>
        <v>0</v>
      </c>
      <c r="AK422" s="449">
        <f t="shared" si="358"/>
        <v>0</v>
      </c>
      <c r="AL422" s="449">
        <f t="shared" si="358"/>
        <v>0</v>
      </c>
      <c r="AN422" s="500">
        <f t="shared" si="346"/>
        <v>3474.09</v>
      </c>
      <c r="AO422" s="449">
        <f t="shared" si="347"/>
        <v>15654.86</v>
      </c>
      <c r="AP422" s="449">
        <f t="shared" si="348"/>
        <v>12180.77</v>
      </c>
      <c r="AQ422" s="453">
        <f t="shared" si="349"/>
        <v>3.5061757179577961</v>
      </c>
      <c r="AR422" s="449">
        <f t="shared" si="350"/>
        <v>15654.86</v>
      </c>
      <c r="AS422" s="449">
        <f t="shared" si="351"/>
        <v>0</v>
      </c>
      <c r="AT422" s="426">
        <f t="shared" si="352"/>
        <v>0</v>
      </c>
      <c r="AU422" s="421"/>
      <c r="AV422" s="449">
        <f t="shared" si="356"/>
        <v>1304.5716666666667</v>
      </c>
      <c r="AW422" s="449">
        <f t="shared" si="356"/>
        <v>1304.5716666666667</v>
      </c>
      <c r="AX422" s="449">
        <f t="shared" si="356"/>
        <v>1304.5716666666667</v>
      </c>
      <c r="AY422" s="449">
        <f t="shared" si="355"/>
        <v>1304.5716666666667</v>
      </c>
      <c r="AZ422" s="449">
        <f t="shared" si="355"/>
        <v>1304.5716666666667</v>
      </c>
      <c r="BA422" s="449">
        <f t="shared" si="355"/>
        <v>1304.5716666666667</v>
      </c>
      <c r="BB422" s="449">
        <f t="shared" si="355"/>
        <v>1304.5716666666667</v>
      </c>
      <c r="BC422" s="449">
        <f t="shared" si="355"/>
        <v>1304.5716666666667</v>
      </c>
      <c r="BD422" s="449">
        <f t="shared" si="355"/>
        <v>1304.5716666666667</v>
      </c>
      <c r="BE422" s="449">
        <f t="shared" si="355"/>
        <v>1304.5716666666667</v>
      </c>
      <c r="BF422" s="449">
        <f t="shared" si="355"/>
        <v>1304.5716666666667</v>
      </c>
      <c r="BG422" s="449">
        <f t="shared" si="355"/>
        <v>1304.5716666666667</v>
      </c>
      <c r="BH422" s="400"/>
      <c r="BI422" s="449">
        <f>SUM('FY19 Staffing V1-1 (3)'!$Q$218:$R$219,'FY19 Staffing V1-1 (3)'!$T$218:$U$219)/12</f>
        <v>1304.5716666666667</v>
      </c>
      <c r="BJ422" s="449">
        <f>SUM('FY19 Staffing V1-1 (3)'!$Q$218:$R$219,'FY19 Staffing V1-1 (3)'!$T$218:$U$219)/12</f>
        <v>1304.5716666666667</v>
      </c>
      <c r="BK422" s="449">
        <f>SUM('FY19 Staffing V1-1 (3)'!$Q$218:$R$219,'FY19 Staffing V1-1 (3)'!$T$218:$U$219)/12</f>
        <v>1304.5716666666667</v>
      </c>
      <c r="BL422" s="449">
        <f>SUM('FY19 Staffing V1-1 (3)'!$Q$218:$R$219,'FY19 Staffing V1-1 (3)'!$T$218:$U$219)/12</f>
        <v>1304.5716666666667</v>
      </c>
      <c r="BM422" s="449">
        <f>SUM('FY19 Staffing V1-1 (3)'!$Q$218:$R$219,'FY19 Staffing V1-1 (3)'!$T$218:$U$219)/12</f>
        <v>1304.5716666666667</v>
      </c>
      <c r="BN422" s="449">
        <f>SUM('FY19 Staffing V1-1 (3)'!$Q$218:$R$219,'FY19 Staffing V1-1 (3)'!$T$218:$U$219)/12</f>
        <v>1304.5716666666667</v>
      </c>
      <c r="BO422" s="449">
        <f>SUM('FY19 Staffing V1-1 (3)'!$Q$218:$R$219,'FY19 Staffing V1-1 (3)'!$T$218:$U$219)/12</f>
        <v>1304.5716666666667</v>
      </c>
      <c r="BP422" s="449">
        <f>SUM('FY19 Staffing V1-1 (3)'!$Q$218:$R$219,'FY19 Staffing V1-1 (3)'!$T$218:$U$219)/12</f>
        <v>1304.5716666666667</v>
      </c>
      <c r="BQ422" s="449">
        <f>SUM('FY19 Staffing V1-1 (3)'!$Q$218:$R$219,'FY19 Staffing V1-1 (3)'!$T$218:$U$219)/12</f>
        <v>1304.5716666666667</v>
      </c>
      <c r="BR422" s="449">
        <f>SUM('FY19 Staffing V1-1 (3)'!$Q$218:$R$219,'FY19 Staffing V1-1 (3)'!$T$218:$U$219)/12</f>
        <v>1304.5716666666667</v>
      </c>
      <c r="BS422" s="449">
        <f>SUM('FY19 Staffing V1-1 (3)'!$Q$218:$R$219,'FY19 Staffing V1-1 (3)'!$T$218:$U$219)/12</f>
        <v>1304.5716666666667</v>
      </c>
      <c r="BT422" s="449">
        <f>SUM('FY19 Staffing V1-1 (3)'!$Q$218:$R$219,'FY19 Staffing V1-1 (3)'!$T$218:$U$219)/12</f>
        <v>1304.5716666666667</v>
      </c>
    </row>
    <row r="423" spans="1:72" ht="15" x14ac:dyDescent="0.25">
      <c r="A423" s="502" t="s">
        <v>711</v>
      </c>
      <c r="B423" s="502" t="s">
        <v>712</v>
      </c>
      <c r="C423" s="541"/>
      <c r="D423" s="500">
        <f t="shared" si="339"/>
        <v>14404</v>
      </c>
      <c r="E423" s="449">
        <v>13929</v>
      </c>
      <c r="F423" s="449">
        <f t="shared" si="340"/>
        <v>475</v>
      </c>
      <c r="G423" s="421">
        <f t="shared" si="341"/>
        <v>3.4101514825184864E-2</v>
      </c>
      <c r="H423" s="449">
        <v>14404</v>
      </c>
      <c r="I423" s="449">
        <f t="shared" si="342"/>
        <v>0</v>
      </c>
      <c r="J423" s="426">
        <f t="shared" si="343"/>
        <v>0</v>
      </c>
      <c r="K423" s="421"/>
      <c r="L423" s="449">
        <v>600.99</v>
      </c>
      <c r="M423" s="449">
        <v>1623.9399999999998</v>
      </c>
      <c r="N423" s="449">
        <v>978.51000000000022</v>
      </c>
      <c r="O423" s="449">
        <v>952.79999999999973</v>
      </c>
      <c r="P423" s="449">
        <v>573.14000000000033</v>
      </c>
      <c r="Q423" s="449">
        <v>677.89999999999964</v>
      </c>
      <c r="R423" s="449">
        <f>($H423-SUM($L423:Q423))/R$694</f>
        <v>1499.4533333333336</v>
      </c>
      <c r="S423" s="449">
        <f>($H423-SUM($L423:R423))/S$694</f>
        <v>1499.4533333333334</v>
      </c>
      <c r="T423" s="449">
        <f>($H423-SUM($L423:S423))/T$694</f>
        <v>1499.4533333333334</v>
      </c>
      <c r="U423" s="449">
        <f>($H423-SUM($L423:T423))/U$694</f>
        <v>1499.4533333333336</v>
      </c>
      <c r="V423" s="449">
        <f>($H423-SUM($L423:U423))/V$694</f>
        <v>1499.4533333333338</v>
      </c>
      <c r="W423" s="449">
        <f>($H423-SUM($L423:V423))/W$694</f>
        <v>1499.4533333333347</v>
      </c>
      <c r="X423" s="449"/>
      <c r="Y423" s="449">
        <f t="shared" si="344"/>
        <v>14404</v>
      </c>
      <c r="Z423" s="531"/>
      <c r="AA423" s="449">
        <f t="shared" si="358"/>
        <v>1200.3333333333333</v>
      </c>
      <c r="AB423" s="449">
        <f t="shared" si="358"/>
        <v>1200.3333333333333</v>
      </c>
      <c r="AC423" s="449">
        <f t="shared" si="358"/>
        <v>1200.3333333333333</v>
      </c>
      <c r="AD423" s="449">
        <f t="shared" si="358"/>
        <v>1200.3333333333333</v>
      </c>
      <c r="AE423" s="449">
        <f t="shared" si="358"/>
        <v>1200.3333333333333</v>
      </c>
      <c r="AF423" s="449">
        <f t="shared" si="358"/>
        <v>1200.3333333333333</v>
      </c>
      <c r="AG423" s="449">
        <f t="shared" si="358"/>
        <v>1200.3333333333333</v>
      </c>
      <c r="AH423" s="449">
        <f t="shared" si="358"/>
        <v>1200.3333333333333</v>
      </c>
      <c r="AI423" s="449">
        <f t="shared" si="358"/>
        <v>1200.3333333333333</v>
      </c>
      <c r="AJ423" s="449">
        <f t="shared" si="358"/>
        <v>1200.3333333333333</v>
      </c>
      <c r="AK423" s="449">
        <f t="shared" si="358"/>
        <v>1200.3333333333333</v>
      </c>
      <c r="AL423" s="449">
        <f t="shared" si="358"/>
        <v>1200.3333333333333</v>
      </c>
      <c r="AN423" s="500">
        <f t="shared" si="346"/>
        <v>14404</v>
      </c>
      <c r="AO423" s="449">
        <f t="shared" si="347"/>
        <v>8092.5499999999993</v>
      </c>
      <c r="AP423" s="449">
        <f t="shared" si="348"/>
        <v>-6311.4500000000007</v>
      </c>
      <c r="AQ423" s="453">
        <f t="shared" si="349"/>
        <v>-0.43817342404887538</v>
      </c>
      <c r="AR423" s="449">
        <f t="shared" si="350"/>
        <v>8092.5499999999993</v>
      </c>
      <c r="AS423" s="449">
        <f t="shared" si="351"/>
        <v>0</v>
      </c>
      <c r="AT423" s="426">
        <f t="shared" si="352"/>
        <v>0</v>
      </c>
      <c r="AU423" s="421"/>
      <c r="AV423" s="449">
        <f t="shared" si="356"/>
        <v>674.37916666666661</v>
      </c>
      <c r="AW423" s="449">
        <f t="shared" si="356"/>
        <v>674.37916666666661</v>
      </c>
      <c r="AX423" s="449">
        <f t="shared" si="356"/>
        <v>674.37916666666661</v>
      </c>
      <c r="AY423" s="449">
        <f t="shared" si="356"/>
        <v>674.37916666666661</v>
      </c>
      <c r="AZ423" s="449">
        <f t="shared" si="356"/>
        <v>674.37916666666661</v>
      </c>
      <c r="BA423" s="449">
        <f t="shared" si="356"/>
        <v>674.37916666666661</v>
      </c>
      <c r="BB423" s="449">
        <f t="shared" si="356"/>
        <v>674.37916666666661</v>
      </c>
      <c r="BC423" s="449">
        <f t="shared" si="356"/>
        <v>674.37916666666661</v>
      </c>
      <c r="BD423" s="449">
        <f t="shared" si="356"/>
        <v>674.37916666666661</v>
      </c>
      <c r="BE423" s="449">
        <f t="shared" si="356"/>
        <v>674.37916666666661</v>
      </c>
      <c r="BF423" s="449">
        <f t="shared" si="356"/>
        <v>674.37916666666661</v>
      </c>
      <c r="BG423" s="449">
        <f t="shared" si="356"/>
        <v>674.37916666666661</v>
      </c>
      <c r="BH423" s="400"/>
      <c r="BI423" s="449">
        <f>SUM('FY19 Staffing V1-1 (3)'!$Q$276:$R$278,'FY19 Staffing V1-1 (3)'!$T$276:$U$278)/12</f>
        <v>674.37916666666661</v>
      </c>
      <c r="BJ423" s="449">
        <f>SUM('FY19 Staffing V1-1 (3)'!$Q$276:$R$278,'FY19 Staffing V1-1 (3)'!$T$276:$U$278)/12</f>
        <v>674.37916666666661</v>
      </c>
      <c r="BK423" s="449">
        <f>SUM('FY19 Staffing V1-1 (3)'!$Q$276:$R$278,'FY19 Staffing V1-1 (3)'!$T$276:$U$278)/12</f>
        <v>674.37916666666661</v>
      </c>
      <c r="BL423" s="449">
        <f>SUM('FY19 Staffing V1-1 (3)'!$Q$276:$R$278,'FY19 Staffing V1-1 (3)'!$T$276:$U$278)/12</f>
        <v>674.37916666666661</v>
      </c>
      <c r="BM423" s="449">
        <f>SUM('FY19 Staffing V1-1 (3)'!$Q$276:$R$278,'FY19 Staffing V1-1 (3)'!$T$276:$U$278)/12</f>
        <v>674.37916666666661</v>
      </c>
      <c r="BN423" s="449">
        <f>SUM('FY19 Staffing V1-1 (3)'!$Q$276:$R$278,'FY19 Staffing V1-1 (3)'!$T$276:$U$278)/12</f>
        <v>674.37916666666661</v>
      </c>
      <c r="BO423" s="449">
        <f>SUM('FY19 Staffing V1-1 (3)'!$Q$276:$R$278,'FY19 Staffing V1-1 (3)'!$T$276:$U$278)/12</f>
        <v>674.37916666666661</v>
      </c>
      <c r="BP423" s="449">
        <f>SUM('FY19 Staffing V1-1 (3)'!$Q$276:$R$278,'FY19 Staffing V1-1 (3)'!$T$276:$U$278)/12</f>
        <v>674.37916666666661</v>
      </c>
      <c r="BQ423" s="449">
        <f>SUM('FY19 Staffing V1-1 (3)'!$Q$276:$R$278,'FY19 Staffing V1-1 (3)'!$T$276:$U$278)/12</f>
        <v>674.37916666666661</v>
      </c>
      <c r="BR423" s="449">
        <f>SUM('FY19 Staffing V1-1 (3)'!$Q$276:$R$278,'FY19 Staffing V1-1 (3)'!$T$276:$U$278)/12</f>
        <v>674.37916666666661</v>
      </c>
      <c r="BS423" s="449">
        <f>SUM('FY19 Staffing V1-1 (3)'!$Q$276:$R$278,'FY19 Staffing V1-1 (3)'!$T$276:$U$278)/12</f>
        <v>674.37916666666661</v>
      </c>
      <c r="BT423" s="449">
        <f>SUM('FY19 Staffing V1-1 (3)'!$Q$276:$R$278,'FY19 Staffing V1-1 (3)'!$T$276:$U$278)/12</f>
        <v>674.37916666666661</v>
      </c>
    </row>
    <row r="424" spans="1:72" ht="15" x14ac:dyDescent="0.25">
      <c r="A424" s="537" t="s">
        <v>713</v>
      </c>
      <c r="B424" s="537" t="s">
        <v>714</v>
      </c>
      <c r="C424" s="541"/>
      <c r="D424" s="500">
        <f>SUM(L424:W424)</f>
        <v>0</v>
      </c>
      <c r="E424" s="449">
        <v>0</v>
      </c>
      <c r="F424" s="449">
        <f t="shared" si="340"/>
        <v>0</v>
      </c>
      <c r="G424" s="421">
        <f t="shared" si="341"/>
        <v>0</v>
      </c>
      <c r="H424" s="449">
        <v>0</v>
      </c>
      <c r="I424" s="449">
        <f t="shared" si="342"/>
        <v>0</v>
      </c>
      <c r="J424" s="426">
        <f t="shared" si="343"/>
        <v>0</v>
      </c>
      <c r="K424" s="421"/>
      <c r="L424" s="449">
        <v>0</v>
      </c>
      <c r="M424" s="449">
        <v>0</v>
      </c>
      <c r="N424" s="449">
        <v>0</v>
      </c>
      <c r="O424" s="449">
        <v>0</v>
      </c>
      <c r="P424" s="449">
        <v>0</v>
      </c>
      <c r="Q424" s="449">
        <v>0</v>
      </c>
      <c r="R424" s="449">
        <f>($H424-SUM($L424:Q424))/R$694</f>
        <v>0</v>
      </c>
      <c r="S424" s="449">
        <f>($H424-SUM($L424:R424))/S$694</f>
        <v>0</v>
      </c>
      <c r="T424" s="449">
        <f>($H424-SUM($L424:S424))/T$694</f>
        <v>0</v>
      </c>
      <c r="U424" s="449">
        <f>($H424-SUM($L424:T424))/U$694</f>
        <v>0</v>
      </c>
      <c r="V424" s="449">
        <f>($H424-SUM($L424:U424))/V$694</f>
        <v>0</v>
      </c>
      <c r="W424" s="449">
        <f>($H424-SUM($L424:V424))/W$694</f>
        <v>0</v>
      </c>
      <c r="X424" s="449"/>
      <c r="Y424" s="449">
        <f t="shared" si="344"/>
        <v>0</v>
      </c>
      <c r="Z424" s="531"/>
      <c r="AA424" s="449">
        <f t="shared" si="358"/>
        <v>0</v>
      </c>
      <c r="AB424" s="449">
        <f t="shared" si="358"/>
        <v>0</v>
      </c>
      <c r="AC424" s="449">
        <f t="shared" si="358"/>
        <v>0</v>
      </c>
      <c r="AD424" s="449">
        <f t="shared" si="358"/>
        <v>0</v>
      </c>
      <c r="AE424" s="449">
        <f t="shared" si="358"/>
        <v>0</v>
      </c>
      <c r="AF424" s="449">
        <f t="shared" si="358"/>
        <v>0</v>
      </c>
      <c r="AG424" s="449">
        <f t="shared" si="358"/>
        <v>0</v>
      </c>
      <c r="AH424" s="449">
        <f t="shared" si="358"/>
        <v>0</v>
      </c>
      <c r="AI424" s="449">
        <f t="shared" si="358"/>
        <v>0</v>
      </c>
      <c r="AJ424" s="449">
        <f t="shared" si="358"/>
        <v>0</v>
      </c>
      <c r="AK424" s="449">
        <f t="shared" si="358"/>
        <v>0</v>
      </c>
      <c r="AL424" s="449">
        <f t="shared" si="358"/>
        <v>0</v>
      </c>
      <c r="AN424" s="500">
        <f>SUM(L424:W424)</f>
        <v>0</v>
      </c>
      <c r="AO424" s="449">
        <f>SUM(BI424:BT424)</f>
        <v>229.5</v>
      </c>
      <c r="AP424" s="449">
        <f t="shared" si="348"/>
        <v>229.5</v>
      </c>
      <c r="AQ424" s="453" t="str">
        <f t="shared" si="349"/>
        <v>-</v>
      </c>
      <c r="AR424" s="449">
        <f t="shared" si="350"/>
        <v>229.5</v>
      </c>
      <c r="AS424" s="449">
        <f t="shared" si="351"/>
        <v>0</v>
      </c>
      <c r="AT424" s="426">
        <f t="shared" si="352"/>
        <v>0</v>
      </c>
      <c r="AU424" s="421"/>
      <c r="AV424" s="449">
        <f t="shared" si="356"/>
        <v>19.125</v>
      </c>
      <c r="AW424" s="449">
        <f t="shared" si="356"/>
        <v>19.125</v>
      </c>
      <c r="AX424" s="449">
        <f t="shared" si="356"/>
        <v>19.125</v>
      </c>
      <c r="AY424" s="449">
        <f t="shared" si="356"/>
        <v>19.125</v>
      </c>
      <c r="AZ424" s="449">
        <f t="shared" si="356"/>
        <v>19.125</v>
      </c>
      <c r="BA424" s="449">
        <f t="shared" si="356"/>
        <v>19.125</v>
      </c>
      <c r="BB424" s="449">
        <f t="shared" si="356"/>
        <v>19.125</v>
      </c>
      <c r="BC424" s="449">
        <f t="shared" si="356"/>
        <v>19.125</v>
      </c>
      <c r="BD424" s="449">
        <f t="shared" si="356"/>
        <v>19.125</v>
      </c>
      <c r="BE424" s="449">
        <f t="shared" si="356"/>
        <v>19.125</v>
      </c>
      <c r="BF424" s="449">
        <f t="shared" si="356"/>
        <v>19.125</v>
      </c>
      <c r="BG424" s="449">
        <f t="shared" si="356"/>
        <v>19.125</v>
      </c>
      <c r="BH424" s="400"/>
      <c r="BI424" s="449">
        <f>SUM('FY19 Staffing V1-1 (3)'!$Q$282:$R$282,'FY19 Staffing V1-1 (3)'!$T$282:$U$282)/12</f>
        <v>19.125</v>
      </c>
      <c r="BJ424" s="449">
        <f>SUM('FY19 Staffing V1-1 (3)'!$Q$282:$R$282,'FY19 Staffing V1-1 (3)'!$T$282:$U$282)/12</f>
        <v>19.125</v>
      </c>
      <c r="BK424" s="449">
        <f>SUM('FY19 Staffing V1-1 (3)'!$Q$282:$R$282,'FY19 Staffing V1-1 (3)'!$T$282:$U$282)/12</f>
        <v>19.125</v>
      </c>
      <c r="BL424" s="449">
        <f>SUM('FY19 Staffing V1-1 (3)'!$Q$282:$R$282,'FY19 Staffing V1-1 (3)'!$T$282:$U$282)/12</f>
        <v>19.125</v>
      </c>
      <c r="BM424" s="449">
        <f>SUM('FY19 Staffing V1-1 (3)'!$Q$282:$R$282,'FY19 Staffing V1-1 (3)'!$T$282:$U$282)/12</f>
        <v>19.125</v>
      </c>
      <c r="BN424" s="449">
        <f>SUM('FY19 Staffing V1-1 (3)'!$Q$282:$R$282,'FY19 Staffing V1-1 (3)'!$T$282:$U$282)/12</f>
        <v>19.125</v>
      </c>
      <c r="BO424" s="449">
        <f>SUM('FY19 Staffing V1-1 (3)'!$Q$282:$R$282,'FY19 Staffing V1-1 (3)'!$T$282:$U$282)/12</f>
        <v>19.125</v>
      </c>
      <c r="BP424" s="449">
        <f>SUM('FY19 Staffing V1-1 (3)'!$Q$282:$R$282,'FY19 Staffing V1-1 (3)'!$T$282:$U$282)/12</f>
        <v>19.125</v>
      </c>
      <c r="BQ424" s="449">
        <f>SUM('FY19 Staffing V1-1 (3)'!$Q$282:$R$282,'FY19 Staffing V1-1 (3)'!$T$282:$U$282)/12</f>
        <v>19.125</v>
      </c>
      <c r="BR424" s="449">
        <f>SUM('FY19 Staffing V1-1 (3)'!$Q$282:$R$282,'FY19 Staffing V1-1 (3)'!$T$282:$U$282)/12</f>
        <v>19.125</v>
      </c>
      <c r="BS424" s="449">
        <f>SUM('FY19 Staffing V1-1 (3)'!$Q$282:$R$282,'FY19 Staffing V1-1 (3)'!$T$282:$U$282)/12</f>
        <v>19.125</v>
      </c>
      <c r="BT424" s="449">
        <f>SUM('FY19 Staffing V1-1 (3)'!$Q$282:$R$282,'FY19 Staffing V1-1 (3)'!$T$282:$U$282)/12</f>
        <v>19.125</v>
      </c>
    </row>
    <row r="425" spans="1:72" ht="15" x14ac:dyDescent="0.25">
      <c r="A425" s="502" t="s">
        <v>715</v>
      </c>
      <c r="B425" s="502" t="s">
        <v>716</v>
      </c>
      <c r="C425" s="541"/>
      <c r="D425" s="500">
        <f t="shared" si="339"/>
        <v>15635</v>
      </c>
      <c r="E425" s="449">
        <v>15635</v>
      </c>
      <c r="F425" s="449">
        <f t="shared" si="340"/>
        <v>0</v>
      </c>
      <c r="G425" s="421">
        <f t="shared" si="341"/>
        <v>0</v>
      </c>
      <c r="H425" s="449">
        <v>15635</v>
      </c>
      <c r="I425" s="449">
        <f t="shared" si="342"/>
        <v>0</v>
      </c>
      <c r="J425" s="426">
        <f t="shared" si="343"/>
        <v>0</v>
      </c>
      <c r="K425" s="421"/>
      <c r="L425" s="449">
        <v>982.75</v>
      </c>
      <c r="M425" s="449">
        <v>982.75</v>
      </c>
      <c r="N425" s="449">
        <v>1609.13</v>
      </c>
      <c r="O425" s="449">
        <v>893.01000000000022</v>
      </c>
      <c r="P425" s="449">
        <v>5160.3100000000004</v>
      </c>
      <c r="Q425" s="449">
        <v>1668.1800000000003</v>
      </c>
      <c r="R425" s="449">
        <f>($H425-SUM($L425:Q425))/R$694</f>
        <v>723.14499999999987</v>
      </c>
      <c r="S425" s="449">
        <f>($H425-SUM($L425:R425))/S$694</f>
        <v>723.14499999999975</v>
      </c>
      <c r="T425" s="449">
        <f>($H425-SUM($L425:S425))/T$694</f>
        <v>723.14499999999953</v>
      </c>
      <c r="U425" s="449">
        <f>($H425-SUM($L425:T425))/U$694</f>
        <v>723.14499999999919</v>
      </c>
      <c r="V425" s="449">
        <f>($H425-SUM($L425:U425))/V$694</f>
        <v>723.14499999999953</v>
      </c>
      <c r="W425" s="449">
        <f>($H425-SUM($L425:V425))/W$694</f>
        <v>723.14500000000044</v>
      </c>
      <c r="X425" s="449"/>
      <c r="Y425" s="449">
        <f t="shared" si="344"/>
        <v>15635</v>
      </c>
      <c r="Z425" s="531"/>
      <c r="AA425" s="449">
        <f t="shared" si="358"/>
        <v>1302.9166666666667</v>
      </c>
      <c r="AB425" s="449">
        <f t="shared" si="358"/>
        <v>1302.9166666666667</v>
      </c>
      <c r="AC425" s="449">
        <f t="shared" si="358"/>
        <v>1302.9166666666667</v>
      </c>
      <c r="AD425" s="449">
        <f t="shared" si="358"/>
        <v>1302.9166666666667</v>
      </c>
      <c r="AE425" s="449">
        <f t="shared" si="358"/>
        <v>1302.9166666666667</v>
      </c>
      <c r="AF425" s="449">
        <f t="shared" si="358"/>
        <v>1302.9166666666667</v>
      </c>
      <c r="AG425" s="449">
        <f t="shared" si="358"/>
        <v>1302.9166666666667</v>
      </c>
      <c r="AH425" s="449">
        <f t="shared" si="358"/>
        <v>1302.9166666666667</v>
      </c>
      <c r="AI425" s="449">
        <f t="shared" si="358"/>
        <v>1302.9166666666667</v>
      </c>
      <c r="AJ425" s="449">
        <f t="shared" si="358"/>
        <v>1302.9166666666667</v>
      </c>
      <c r="AK425" s="449">
        <f t="shared" si="358"/>
        <v>1302.9166666666667</v>
      </c>
      <c r="AL425" s="449">
        <f t="shared" si="358"/>
        <v>1302.9166666666667</v>
      </c>
      <c r="AN425" s="500">
        <f t="shared" si="346"/>
        <v>15635</v>
      </c>
      <c r="AO425" s="449">
        <f t="shared" si="347"/>
        <v>13489.840000000002</v>
      </c>
      <c r="AP425" s="449">
        <f t="shared" si="348"/>
        <v>-2145.159999999998</v>
      </c>
      <c r="AQ425" s="453">
        <f t="shared" si="349"/>
        <v>-0.13720243044451538</v>
      </c>
      <c r="AR425" s="449">
        <f t="shared" si="350"/>
        <v>13489.840000000002</v>
      </c>
      <c r="AS425" s="449">
        <f t="shared" si="351"/>
        <v>0</v>
      </c>
      <c r="AT425" s="426">
        <f t="shared" si="352"/>
        <v>0</v>
      </c>
      <c r="AU425" s="421"/>
      <c r="AV425" s="449">
        <f t="shared" si="356"/>
        <v>1124.1533333333334</v>
      </c>
      <c r="AW425" s="449">
        <f t="shared" si="356"/>
        <v>1124.1533333333334</v>
      </c>
      <c r="AX425" s="449">
        <f t="shared" si="356"/>
        <v>1124.1533333333334</v>
      </c>
      <c r="AY425" s="449">
        <f t="shared" si="356"/>
        <v>1124.1533333333334</v>
      </c>
      <c r="AZ425" s="449">
        <f t="shared" si="356"/>
        <v>1124.1533333333334</v>
      </c>
      <c r="BA425" s="449">
        <f t="shared" si="356"/>
        <v>1124.1533333333334</v>
      </c>
      <c r="BB425" s="449">
        <f t="shared" si="356"/>
        <v>1124.1533333333334</v>
      </c>
      <c r="BC425" s="449">
        <f t="shared" si="356"/>
        <v>1124.1533333333334</v>
      </c>
      <c r="BD425" s="449">
        <f t="shared" si="356"/>
        <v>1124.1533333333334</v>
      </c>
      <c r="BE425" s="449">
        <f t="shared" si="356"/>
        <v>1124.1533333333334</v>
      </c>
      <c r="BF425" s="449">
        <f t="shared" si="356"/>
        <v>1124.1533333333334</v>
      </c>
      <c r="BG425" s="449">
        <f t="shared" si="356"/>
        <v>1124.1533333333334</v>
      </c>
      <c r="BH425" s="400"/>
      <c r="BI425" s="449">
        <f>SUM('FY19 Staffing V1-1 (3)'!$W$215)/12</f>
        <v>1124.1533333333334</v>
      </c>
      <c r="BJ425" s="449">
        <f>SUM('FY19 Staffing V1-1 (3)'!$W$215)/12</f>
        <v>1124.1533333333334</v>
      </c>
      <c r="BK425" s="449">
        <f>SUM('FY19 Staffing V1-1 (3)'!$W$215)/12</f>
        <v>1124.1533333333334</v>
      </c>
      <c r="BL425" s="449">
        <f>SUM('FY19 Staffing V1-1 (3)'!$W$215)/12</f>
        <v>1124.1533333333334</v>
      </c>
      <c r="BM425" s="449">
        <f>SUM('FY19 Staffing V1-1 (3)'!$W$215)/12</f>
        <v>1124.1533333333334</v>
      </c>
      <c r="BN425" s="449">
        <f>SUM('FY19 Staffing V1-1 (3)'!$W$215)/12</f>
        <v>1124.1533333333334</v>
      </c>
      <c r="BO425" s="449">
        <f>SUM('FY19 Staffing V1-1 (3)'!$W$215)/12</f>
        <v>1124.1533333333334</v>
      </c>
      <c r="BP425" s="449">
        <f>SUM('FY19 Staffing V1-1 (3)'!$W$215)/12</f>
        <v>1124.1533333333334</v>
      </c>
      <c r="BQ425" s="449">
        <f>SUM('FY19 Staffing V1-1 (3)'!$W$215)/12</f>
        <v>1124.1533333333334</v>
      </c>
      <c r="BR425" s="449">
        <f>SUM('FY19 Staffing V1-1 (3)'!$W$215)/12</f>
        <v>1124.1533333333334</v>
      </c>
      <c r="BS425" s="449">
        <f>SUM('FY19 Staffing V1-1 (3)'!$W$215)/12</f>
        <v>1124.1533333333334</v>
      </c>
      <c r="BT425" s="449">
        <f>SUM('FY19 Staffing V1-1 (3)'!$W$215)/12</f>
        <v>1124.1533333333334</v>
      </c>
    </row>
    <row r="426" spans="1:72" ht="15" x14ac:dyDescent="0.25">
      <c r="A426" s="502" t="s">
        <v>717</v>
      </c>
      <c r="B426" s="502" t="s">
        <v>718</v>
      </c>
      <c r="C426" s="541"/>
      <c r="D426" s="500">
        <f t="shared" si="339"/>
        <v>0</v>
      </c>
      <c r="E426" s="449">
        <v>0</v>
      </c>
      <c r="F426" s="449">
        <f t="shared" si="340"/>
        <v>0</v>
      </c>
      <c r="G426" s="421">
        <f t="shared" si="341"/>
        <v>0</v>
      </c>
      <c r="H426" s="449">
        <v>0</v>
      </c>
      <c r="I426" s="449">
        <f t="shared" si="342"/>
        <v>0</v>
      </c>
      <c r="J426" s="426">
        <f t="shared" si="343"/>
        <v>0</v>
      </c>
      <c r="K426" s="421"/>
      <c r="L426" s="449">
        <v>0</v>
      </c>
      <c r="M426" s="449">
        <v>0</v>
      </c>
      <c r="N426" s="449">
        <v>0</v>
      </c>
      <c r="O426" s="449">
        <v>0</v>
      </c>
      <c r="P426" s="449">
        <v>112.3</v>
      </c>
      <c r="Q426" s="449">
        <v>-112.3</v>
      </c>
      <c r="R426" s="449">
        <f>($H426-SUM($L426:Q426))/R$694</f>
        <v>0</v>
      </c>
      <c r="S426" s="449">
        <f>($H426-SUM($L426:R426))/S$694</f>
        <v>0</v>
      </c>
      <c r="T426" s="449">
        <f>($H426-SUM($L426:S426))/T$694</f>
        <v>0</v>
      </c>
      <c r="U426" s="449">
        <f>($H426-SUM($L426:T426))/U$694</f>
        <v>0</v>
      </c>
      <c r="V426" s="449">
        <f>($H426-SUM($L426:U426))/V$694</f>
        <v>0</v>
      </c>
      <c r="W426" s="449">
        <f>($H426-SUM($L426:V426))/W$694</f>
        <v>0</v>
      </c>
      <c r="X426" s="449"/>
      <c r="Y426" s="449">
        <f t="shared" si="344"/>
        <v>0</v>
      </c>
      <c r="Z426" s="531"/>
      <c r="AA426" s="449">
        <f t="shared" si="358"/>
        <v>0</v>
      </c>
      <c r="AB426" s="449">
        <f t="shared" si="358"/>
        <v>0</v>
      </c>
      <c r="AC426" s="449">
        <f t="shared" si="358"/>
        <v>0</v>
      </c>
      <c r="AD426" s="449">
        <f t="shared" si="358"/>
        <v>0</v>
      </c>
      <c r="AE426" s="449">
        <f t="shared" si="358"/>
        <v>0</v>
      </c>
      <c r="AF426" s="449">
        <f t="shared" si="358"/>
        <v>0</v>
      </c>
      <c r="AG426" s="449">
        <f t="shared" si="358"/>
        <v>0</v>
      </c>
      <c r="AH426" s="449">
        <f t="shared" si="358"/>
        <v>0</v>
      </c>
      <c r="AI426" s="449">
        <f t="shared" si="358"/>
        <v>0</v>
      </c>
      <c r="AJ426" s="449">
        <f t="shared" si="358"/>
        <v>0</v>
      </c>
      <c r="AK426" s="449">
        <f t="shared" si="358"/>
        <v>0</v>
      </c>
      <c r="AL426" s="449">
        <f t="shared" si="358"/>
        <v>0</v>
      </c>
      <c r="AN426" s="500">
        <f t="shared" ref="AN426:AN455" si="359">SUM(L426:W426)</f>
        <v>0</v>
      </c>
      <c r="AO426" s="449">
        <f t="shared" si="347"/>
        <v>13807.247999999998</v>
      </c>
      <c r="AP426" s="449">
        <f t="shared" si="348"/>
        <v>13807.247999999998</v>
      </c>
      <c r="AQ426" s="453" t="str">
        <f t="shared" si="349"/>
        <v>-</v>
      </c>
      <c r="AR426" s="449">
        <f t="shared" si="350"/>
        <v>13807.247999999998</v>
      </c>
      <c r="AS426" s="449">
        <f t="shared" si="351"/>
        <v>0</v>
      </c>
      <c r="AT426" s="426">
        <f t="shared" si="352"/>
        <v>0</v>
      </c>
      <c r="AU426" s="421"/>
      <c r="AV426" s="449">
        <f t="shared" si="356"/>
        <v>1150.604</v>
      </c>
      <c r="AW426" s="449">
        <f t="shared" si="356"/>
        <v>1150.604</v>
      </c>
      <c r="AX426" s="449">
        <f t="shared" si="356"/>
        <v>1150.604</v>
      </c>
      <c r="AY426" s="449">
        <f t="shared" si="356"/>
        <v>1150.604</v>
      </c>
      <c r="AZ426" s="449">
        <f t="shared" si="356"/>
        <v>1150.604</v>
      </c>
      <c r="BA426" s="449">
        <f t="shared" si="356"/>
        <v>1150.604</v>
      </c>
      <c r="BB426" s="449">
        <f t="shared" si="356"/>
        <v>1150.604</v>
      </c>
      <c r="BC426" s="449">
        <f t="shared" si="356"/>
        <v>1150.604</v>
      </c>
      <c r="BD426" s="449">
        <f t="shared" si="356"/>
        <v>1150.604</v>
      </c>
      <c r="BE426" s="449">
        <f t="shared" si="356"/>
        <v>1150.604</v>
      </c>
      <c r="BF426" s="449">
        <f t="shared" si="356"/>
        <v>1150.604</v>
      </c>
      <c r="BG426" s="449">
        <f t="shared" si="356"/>
        <v>1150.604</v>
      </c>
      <c r="BH426" s="400"/>
      <c r="BI426" s="449">
        <f>SUM('FY19 Staffing V1-1 (3)'!$W$216)/12</f>
        <v>1150.604</v>
      </c>
      <c r="BJ426" s="449">
        <f>SUM('FY19 Staffing V1-1 (3)'!$W$216)/12</f>
        <v>1150.604</v>
      </c>
      <c r="BK426" s="449">
        <f>SUM('FY19 Staffing V1-1 (3)'!$W$216)/12</f>
        <v>1150.604</v>
      </c>
      <c r="BL426" s="449">
        <f>SUM('FY19 Staffing V1-1 (3)'!$W$216)/12</f>
        <v>1150.604</v>
      </c>
      <c r="BM426" s="449">
        <f>SUM('FY19 Staffing V1-1 (3)'!$W$216)/12</f>
        <v>1150.604</v>
      </c>
      <c r="BN426" s="449">
        <f>SUM('FY19 Staffing V1-1 (3)'!$W$216)/12</f>
        <v>1150.604</v>
      </c>
      <c r="BO426" s="449">
        <f>SUM('FY19 Staffing V1-1 (3)'!$W$216)/12</f>
        <v>1150.604</v>
      </c>
      <c r="BP426" s="449">
        <f>SUM('FY19 Staffing V1-1 (3)'!$W$216)/12</f>
        <v>1150.604</v>
      </c>
      <c r="BQ426" s="449">
        <f>SUM('FY19 Staffing V1-1 (3)'!$W$216)/12</f>
        <v>1150.604</v>
      </c>
      <c r="BR426" s="449">
        <f>SUM('FY19 Staffing V1-1 (3)'!$W$216)/12</f>
        <v>1150.604</v>
      </c>
      <c r="BS426" s="449">
        <f>SUM('FY19 Staffing V1-1 (3)'!$W$216)/12</f>
        <v>1150.604</v>
      </c>
      <c r="BT426" s="449">
        <f>SUM('FY19 Staffing V1-1 (3)'!$W$216)/12</f>
        <v>1150.604</v>
      </c>
    </row>
    <row r="427" spans="1:72" ht="15" x14ac:dyDescent="0.25">
      <c r="A427" s="502" t="s">
        <v>719</v>
      </c>
      <c r="B427" s="502" t="s">
        <v>720</v>
      </c>
      <c r="C427" s="541"/>
      <c r="D427" s="500">
        <f t="shared" si="339"/>
        <v>6712</v>
      </c>
      <c r="E427" s="449">
        <v>6712</v>
      </c>
      <c r="F427" s="449">
        <f t="shared" si="340"/>
        <v>0</v>
      </c>
      <c r="G427" s="421">
        <f t="shared" si="341"/>
        <v>0</v>
      </c>
      <c r="H427" s="449">
        <v>6712</v>
      </c>
      <c r="I427" s="449">
        <f t="shared" si="342"/>
        <v>0</v>
      </c>
      <c r="J427" s="426">
        <f t="shared" si="343"/>
        <v>0</v>
      </c>
      <c r="K427" s="421"/>
      <c r="L427" s="449">
        <v>28.67</v>
      </c>
      <c r="M427" s="449">
        <v>28.67</v>
      </c>
      <c r="N427" s="449">
        <v>46.95</v>
      </c>
      <c r="O427" s="449">
        <v>-323.45999999999998</v>
      </c>
      <c r="P427" s="449">
        <v>-247.84000000000003</v>
      </c>
      <c r="Q427" s="449">
        <v>-215.76</v>
      </c>
      <c r="R427" s="449">
        <f>($H427-SUM($L427:Q427))/R$694</f>
        <v>1232.4616666666668</v>
      </c>
      <c r="S427" s="449">
        <f>($H427-SUM($L427:R427))/S$694</f>
        <v>1232.4616666666666</v>
      </c>
      <c r="T427" s="449">
        <f>($H427-SUM($L427:S427))/T$694</f>
        <v>1232.4616666666666</v>
      </c>
      <c r="U427" s="449">
        <f>($H427-SUM($L427:T427))/U$694</f>
        <v>1232.4616666666668</v>
      </c>
      <c r="V427" s="449">
        <f>($H427-SUM($L427:U427))/V$694</f>
        <v>1232.4616666666666</v>
      </c>
      <c r="W427" s="449">
        <f>($H427-SUM($L427:V427))/W$694</f>
        <v>1232.4616666666661</v>
      </c>
      <c r="X427" s="449"/>
      <c r="Y427" s="449">
        <f t="shared" si="344"/>
        <v>6712</v>
      </c>
      <c r="Z427" s="531"/>
      <c r="AA427" s="449">
        <f t="shared" si="358"/>
        <v>559.33333333333337</v>
      </c>
      <c r="AB427" s="449">
        <f t="shared" si="358"/>
        <v>559.33333333333337</v>
      </c>
      <c r="AC427" s="449">
        <f t="shared" si="358"/>
        <v>559.33333333333337</v>
      </c>
      <c r="AD427" s="449">
        <f t="shared" si="358"/>
        <v>559.33333333333337</v>
      </c>
      <c r="AE427" s="449">
        <f t="shared" si="358"/>
        <v>559.33333333333337</v>
      </c>
      <c r="AF427" s="449">
        <f t="shared" si="358"/>
        <v>559.33333333333337</v>
      </c>
      <c r="AG427" s="449">
        <f t="shared" si="358"/>
        <v>559.33333333333337</v>
      </c>
      <c r="AH427" s="449">
        <f t="shared" si="358"/>
        <v>559.33333333333337</v>
      </c>
      <c r="AI427" s="449">
        <f t="shared" si="358"/>
        <v>559.33333333333337</v>
      </c>
      <c r="AJ427" s="449">
        <f t="shared" si="358"/>
        <v>559.33333333333337</v>
      </c>
      <c r="AK427" s="449">
        <f t="shared" si="358"/>
        <v>559.33333333333337</v>
      </c>
      <c r="AL427" s="449">
        <f t="shared" si="358"/>
        <v>559.33333333333337</v>
      </c>
      <c r="AN427" s="500">
        <f t="shared" si="359"/>
        <v>6712</v>
      </c>
      <c r="AO427" s="449">
        <f t="shared" si="347"/>
        <v>9745.0360000000001</v>
      </c>
      <c r="AP427" s="449">
        <f t="shared" si="348"/>
        <v>3033.0360000000001</v>
      </c>
      <c r="AQ427" s="453">
        <f t="shared" si="349"/>
        <v>0.45188259833134686</v>
      </c>
      <c r="AR427" s="449">
        <f t="shared" si="350"/>
        <v>9745.0360000000001</v>
      </c>
      <c r="AS427" s="449">
        <f t="shared" si="351"/>
        <v>0</v>
      </c>
      <c r="AT427" s="426">
        <f t="shared" si="352"/>
        <v>0</v>
      </c>
      <c r="AU427" s="421"/>
      <c r="AV427" s="449">
        <f t="shared" si="356"/>
        <v>812.0863333333333</v>
      </c>
      <c r="AW427" s="449">
        <f t="shared" si="356"/>
        <v>812.0863333333333</v>
      </c>
      <c r="AX427" s="449">
        <f t="shared" si="356"/>
        <v>812.0863333333333</v>
      </c>
      <c r="AY427" s="449">
        <f t="shared" si="356"/>
        <v>812.0863333333333</v>
      </c>
      <c r="AZ427" s="449">
        <f t="shared" si="356"/>
        <v>812.0863333333333</v>
      </c>
      <c r="BA427" s="449">
        <f t="shared" si="356"/>
        <v>812.0863333333333</v>
      </c>
      <c r="BB427" s="449">
        <f t="shared" si="356"/>
        <v>812.0863333333333</v>
      </c>
      <c r="BC427" s="449">
        <f t="shared" si="356"/>
        <v>812.0863333333333</v>
      </c>
      <c r="BD427" s="449">
        <f t="shared" si="356"/>
        <v>812.0863333333333</v>
      </c>
      <c r="BE427" s="449">
        <f t="shared" si="356"/>
        <v>812.0863333333333</v>
      </c>
      <c r="BF427" s="449">
        <f t="shared" si="356"/>
        <v>812.0863333333333</v>
      </c>
      <c r="BG427" s="449">
        <f t="shared" si="356"/>
        <v>812.0863333333333</v>
      </c>
      <c r="BH427" s="400"/>
      <c r="BI427" s="449">
        <f>SUM('FY19 Staffing V1-1 (3)'!$W$217)/12</f>
        <v>812.0863333333333</v>
      </c>
      <c r="BJ427" s="449">
        <f>SUM('FY19 Staffing V1-1 (3)'!$W$217)/12</f>
        <v>812.0863333333333</v>
      </c>
      <c r="BK427" s="449">
        <f>SUM('FY19 Staffing V1-1 (3)'!$W$217)/12</f>
        <v>812.0863333333333</v>
      </c>
      <c r="BL427" s="449">
        <f>SUM('FY19 Staffing V1-1 (3)'!$W$217)/12</f>
        <v>812.0863333333333</v>
      </c>
      <c r="BM427" s="449">
        <f>SUM('FY19 Staffing V1-1 (3)'!$W$217)/12</f>
        <v>812.0863333333333</v>
      </c>
      <c r="BN427" s="449">
        <f>SUM('FY19 Staffing V1-1 (3)'!$W$217)/12</f>
        <v>812.0863333333333</v>
      </c>
      <c r="BO427" s="449">
        <f>SUM('FY19 Staffing V1-1 (3)'!$W$217)/12</f>
        <v>812.0863333333333</v>
      </c>
      <c r="BP427" s="449">
        <f>SUM('FY19 Staffing V1-1 (3)'!$W$217)/12</f>
        <v>812.0863333333333</v>
      </c>
      <c r="BQ427" s="449">
        <f>SUM('FY19 Staffing V1-1 (3)'!$W$217)/12</f>
        <v>812.0863333333333</v>
      </c>
      <c r="BR427" s="449">
        <f>SUM('FY19 Staffing V1-1 (3)'!$W$217)/12</f>
        <v>812.0863333333333</v>
      </c>
      <c r="BS427" s="449">
        <f>SUM('FY19 Staffing V1-1 (3)'!$W$217)/12</f>
        <v>812.0863333333333</v>
      </c>
      <c r="BT427" s="449">
        <f>SUM('FY19 Staffing V1-1 (3)'!$W$217)/12</f>
        <v>812.0863333333333</v>
      </c>
    </row>
    <row r="428" spans="1:72" ht="15" x14ac:dyDescent="0.25">
      <c r="A428" s="502" t="s">
        <v>721</v>
      </c>
      <c r="B428" s="502" t="s">
        <v>722</v>
      </c>
      <c r="C428" s="541"/>
      <c r="D428" s="500">
        <f t="shared" si="339"/>
        <v>6712</v>
      </c>
      <c r="E428" s="449">
        <v>13424</v>
      </c>
      <c r="F428" s="449">
        <f t="shared" si="340"/>
        <v>-6712</v>
      </c>
      <c r="G428" s="421">
        <f t="shared" si="341"/>
        <v>-0.5</v>
      </c>
      <c r="H428" s="449">
        <v>6712</v>
      </c>
      <c r="I428" s="449">
        <f t="shared" si="342"/>
        <v>0</v>
      </c>
      <c r="J428" s="426">
        <f t="shared" si="343"/>
        <v>0</v>
      </c>
      <c r="K428" s="421"/>
      <c r="L428" s="449">
        <v>309.89</v>
      </c>
      <c r="M428" s="449">
        <v>309.89</v>
      </c>
      <c r="N428" s="449">
        <v>507.41000000000008</v>
      </c>
      <c r="O428" s="449">
        <v>-705</v>
      </c>
      <c r="P428" s="449">
        <v>112.29999999999995</v>
      </c>
      <c r="Q428" s="449">
        <v>144.36000000000001</v>
      </c>
      <c r="R428" s="449">
        <f>($H428-SUM($L428:Q428))/R$694</f>
        <v>1005.525</v>
      </c>
      <c r="S428" s="449">
        <f>($H428-SUM($L428:R428))/S$694</f>
        <v>1005.525</v>
      </c>
      <c r="T428" s="449">
        <f>($H428-SUM($L428:S428))/T$694</f>
        <v>1005.525</v>
      </c>
      <c r="U428" s="449">
        <f>($H428-SUM($L428:T428))/U$694</f>
        <v>1005.525</v>
      </c>
      <c r="V428" s="449">
        <f>($H428-SUM($L428:U428))/V$694</f>
        <v>1005.5250000000001</v>
      </c>
      <c r="W428" s="449">
        <f>($H428-SUM($L428:V428))/W$694</f>
        <v>1005.5249999999996</v>
      </c>
      <c r="X428" s="449"/>
      <c r="Y428" s="449">
        <f t="shared" si="344"/>
        <v>6712</v>
      </c>
      <c r="Z428" s="531"/>
      <c r="AA428" s="449">
        <f t="shared" si="358"/>
        <v>559.33333333333337</v>
      </c>
      <c r="AB428" s="449">
        <f t="shared" si="358"/>
        <v>559.33333333333337</v>
      </c>
      <c r="AC428" s="449">
        <f t="shared" si="358"/>
        <v>559.33333333333337</v>
      </c>
      <c r="AD428" s="449">
        <f t="shared" si="358"/>
        <v>559.33333333333337</v>
      </c>
      <c r="AE428" s="449">
        <f t="shared" si="358"/>
        <v>559.33333333333337</v>
      </c>
      <c r="AF428" s="449">
        <f t="shared" si="358"/>
        <v>559.33333333333337</v>
      </c>
      <c r="AG428" s="449">
        <f t="shared" si="358"/>
        <v>559.33333333333337</v>
      </c>
      <c r="AH428" s="449">
        <f t="shared" si="358"/>
        <v>559.33333333333337</v>
      </c>
      <c r="AI428" s="449">
        <f t="shared" si="358"/>
        <v>559.33333333333337</v>
      </c>
      <c r="AJ428" s="449">
        <f t="shared" si="358"/>
        <v>559.33333333333337</v>
      </c>
      <c r="AK428" s="449">
        <f t="shared" si="358"/>
        <v>559.33333333333337</v>
      </c>
      <c r="AL428" s="449">
        <f t="shared" si="358"/>
        <v>559.33333333333337</v>
      </c>
      <c r="AN428" s="500">
        <f t="shared" si="359"/>
        <v>6712</v>
      </c>
      <c r="AO428" s="449">
        <f t="shared" si="347"/>
        <v>21527.282000000003</v>
      </c>
      <c r="AP428" s="449">
        <f t="shared" si="348"/>
        <v>14815.282000000003</v>
      </c>
      <c r="AQ428" s="453">
        <f t="shared" si="349"/>
        <v>2.2072827771156143</v>
      </c>
      <c r="AR428" s="449">
        <f t="shared" si="350"/>
        <v>21527.282000000003</v>
      </c>
      <c r="AS428" s="449">
        <f t="shared" si="351"/>
        <v>0</v>
      </c>
      <c r="AT428" s="426">
        <f t="shared" si="352"/>
        <v>0</v>
      </c>
      <c r="AU428" s="421"/>
      <c r="AV428" s="449">
        <f t="shared" si="356"/>
        <v>1793.940166666667</v>
      </c>
      <c r="AW428" s="449">
        <f t="shared" si="356"/>
        <v>1793.940166666667</v>
      </c>
      <c r="AX428" s="449">
        <f t="shared" si="356"/>
        <v>1793.940166666667</v>
      </c>
      <c r="AY428" s="449">
        <f t="shared" si="356"/>
        <v>1793.940166666667</v>
      </c>
      <c r="AZ428" s="449">
        <f t="shared" si="356"/>
        <v>1793.940166666667</v>
      </c>
      <c r="BA428" s="449">
        <f t="shared" si="356"/>
        <v>1793.940166666667</v>
      </c>
      <c r="BB428" s="449">
        <f t="shared" si="356"/>
        <v>1793.940166666667</v>
      </c>
      <c r="BC428" s="449">
        <f t="shared" si="356"/>
        <v>1793.940166666667</v>
      </c>
      <c r="BD428" s="449">
        <f t="shared" si="356"/>
        <v>1793.940166666667</v>
      </c>
      <c r="BE428" s="449">
        <f t="shared" si="356"/>
        <v>1793.940166666667</v>
      </c>
      <c r="BF428" s="449">
        <f t="shared" si="356"/>
        <v>1793.940166666667</v>
      </c>
      <c r="BG428" s="449">
        <f t="shared" si="356"/>
        <v>1793.940166666667</v>
      </c>
      <c r="BH428" s="400"/>
      <c r="BI428" s="449">
        <f>SUM('FY19 Staffing V1-1 (3)'!$W$218:$W$219)/12</f>
        <v>1793.940166666667</v>
      </c>
      <c r="BJ428" s="449">
        <f>SUM('FY19 Staffing V1-1 (3)'!$W$218:$W$219)/12</f>
        <v>1793.940166666667</v>
      </c>
      <c r="BK428" s="449">
        <f>SUM('FY19 Staffing V1-1 (3)'!$W$218:$W$219)/12</f>
        <v>1793.940166666667</v>
      </c>
      <c r="BL428" s="449">
        <f>SUM('FY19 Staffing V1-1 (3)'!$W$218:$W$219)/12</f>
        <v>1793.940166666667</v>
      </c>
      <c r="BM428" s="449">
        <f>SUM('FY19 Staffing V1-1 (3)'!$W$218:$W$219)/12</f>
        <v>1793.940166666667</v>
      </c>
      <c r="BN428" s="449">
        <f>SUM('FY19 Staffing V1-1 (3)'!$W$218:$W$219)/12</f>
        <v>1793.940166666667</v>
      </c>
      <c r="BO428" s="449">
        <f>SUM('FY19 Staffing V1-1 (3)'!$W$218:$W$219)/12</f>
        <v>1793.940166666667</v>
      </c>
      <c r="BP428" s="449">
        <f>SUM('FY19 Staffing V1-1 (3)'!$W$218:$W$219)/12</f>
        <v>1793.940166666667</v>
      </c>
      <c r="BQ428" s="449">
        <f>SUM('FY19 Staffing V1-1 (3)'!$W$218:$W$219)/12</f>
        <v>1793.940166666667</v>
      </c>
      <c r="BR428" s="449">
        <f>SUM('FY19 Staffing V1-1 (3)'!$W$218:$W$219)/12</f>
        <v>1793.940166666667</v>
      </c>
      <c r="BS428" s="449">
        <f>SUM('FY19 Staffing V1-1 (3)'!$W$218:$W$219)/12</f>
        <v>1793.940166666667</v>
      </c>
      <c r="BT428" s="449">
        <f>SUM('FY19 Staffing V1-1 (3)'!$W$218:$W$219)/12</f>
        <v>1793.940166666667</v>
      </c>
    </row>
    <row r="429" spans="1:72" ht="15" x14ac:dyDescent="0.25">
      <c r="A429" s="537" t="s">
        <v>723</v>
      </c>
      <c r="B429" s="537" t="s">
        <v>724</v>
      </c>
      <c r="C429" s="541"/>
      <c r="D429" s="500">
        <f>SUM(L429:W429)</f>
        <v>0</v>
      </c>
      <c r="E429" s="449">
        <v>0</v>
      </c>
      <c r="F429" s="449">
        <f t="shared" si="340"/>
        <v>0</v>
      </c>
      <c r="G429" s="421">
        <f t="shared" si="341"/>
        <v>0</v>
      </c>
      <c r="H429" s="449">
        <v>0</v>
      </c>
      <c r="I429" s="449">
        <f t="shared" si="342"/>
        <v>0</v>
      </c>
      <c r="J429" s="426">
        <f t="shared" si="343"/>
        <v>0</v>
      </c>
      <c r="K429" s="421"/>
      <c r="L429" s="449">
        <v>0</v>
      </c>
      <c r="M429" s="449">
        <v>0</v>
      </c>
      <c r="N429" s="449">
        <v>0</v>
      </c>
      <c r="O429" s="449">
        <v>0</v>
      </c>
      <c r="P429" s="449">
        <v>0</v>
      </c>
      <c r="Q429" s="449">
        <v>0</v>
      </c>
      <c r="R429" s="449">
        <f>($H429-SUM($L429:Q429))/R$694</f>
        <v>0</v>
      </c>
      <c r="S429" s="449">
        <f>($H429-SUM($L429:R429))/S$694</f>
        <v>0</v>
      </c>
      <c r="T429" s="449">
        <f>($H429-SUM($L429:S429))/T$694</f>
        <v>0</v>
      </c>
      <c r="U429" s="449">
        <f>($H429-SUM($L429:T429))/U$694</f>
        <v>0</v>
      </c>
      <c r="V429" s="449">
        <f>($H429-SUM($L429:U429))/V$694</f>
        <v>0</v>
      </c>
      <c r="W429" s="449">
        <f>($H429-SUM($L429:V429))/W$694</f>
        <v>0</v>
      </c>
      <c r="X429" s="449"/>
      <c r="Y429" s="449">
        <f t="shared" si="344"/>
        <v>0</v>
      </c>
      <c r="Z429" s="531"/>
      <c r="AA429" s="449">
        <f t="shared" si="358"/>
        <v>0</v>
      </c>
      <c r="AB429" s="449">
        <f t="shared" si="358"/>
        <v>0</v>
      </c>
      <c r="AC429" s="449">
        <f t="shared" si="358"/>
        <v>0</v>
      </c>
      <c r="AD429" s="449">
        <f t="shared" si="358"/>
        <v>0</v>
      </c>
      <c r="AE429" s="449">
        <f t="shared" si="358"/>
        <v>0</v>
      </c>
      <c r="AF429" s="449">
        <f t="shared" si="358"/>
        <v>0</v>
      </c>
      <c r="AG429" s="449">
        <f t="shared" si="358"/>
        <v>0</v>
      </c>
      <c r="AH429" s="449">
        <f t="shared" si="358"/>
        <v>0</v>
      </c>
      <c r="AI429" s="449">
        <f t="shared" si="358"/>
        <v>0</v>
      </c>
      <c r="AJ429" s="449">
        <f t="shared" si="358"/>
        <v>0</v>
      </c>
      <c r="AK429" s="449">
        <f t="shared" si="358"/>
        <v>0</v>
      </c>
      <c r="AL429" s="449">
        <f t="shared" si="358"/>
        <v>0</v>
      </c>
      <c r="AN429" s="500">
        <f>SUM(L429:W429)</f>
        <v>0</v>
      </c>
      <c r="AO429" s="449">
        <f>SUM(BI429:BT429)</f>
        <v>0</v>
      </c>
      <c r="AP429" s="449">
        <f t="shared" si="348"/>
        <v>0</v>
      </c>
      <c r="AQ429" s="453" t="str">
        <f t="shared" si="349"/>
        <v>-</v>
      </c>
      <c r="AR429" s="449">
        <f t="shared" si="350"/>
        <v>0</v>
      </c>
      <c r="AS429" s="449">
        <f t="shared" si="351"/>
        <v>0</v>
      </c>
      <c r="AT429" s="426">
        <f t="shared" si="352"/>
        <v>0</v>
      </c>
      <c r="AU429" s="421"/>
      <c r="AV429" s="449">
        <f t="shared" si="356"/>
        <v>0</v>
      </c>
      <c r="AW429" s="449">
        <f t="shared" si="356"/>
        <v>0</v>
      </c>
      <c r="AX429" s="449">
        <f t="shared" si="356"/>
        <v>0</v>
      </c>
      <c r="AY429" s="449">
        <f t="shared" si="356"/>
        <v>0</v>
      </c>
      <c r="AZ429" s="449">
        <f t="shared" si="356"/>
        <v>0</v>
      </c>
      <c r="BA429" s="449">
        <f t="shared" si="356"/>
        <v>0</v>
      </c>
      <c r="BB429" s="449">
        <f t="shared" si="356"/>
        <v>0</v>
      </c>
      <c r="BC429" s="449">
        <f t="shared" si="356"/>
        <v>0</v>
      </c>
      <c r="BD429" s="449">
        <f t="shared" si="356"/>
        <v>0</v>
      </c>
      <c r="BE429" s="449">
        <f t="shared" si="356"/>
        <v>0</v>
      </c>
      <c r="BF429" s="449">
        <f t="shared" si="356"/>
        <v>0</v>
      </c>
      <c r="BG429" s="449">
        <f t="shared" si="356"/>
        <v>0</v>
      </c>
      <c r="BH429" s="400"/>
      <c r="BI429" s="449">
        <v>0</v>
      </c>
      <c r="BJ429" s="449">
        <v>0</v>
      </c>
      <c r="BK429" s="449">
        <v>0</v>
      </c>
      <c r="BL429" s="449">
        <v>0</v>
      </c>
      <c r="BM429" s="449">
        <v>0</v>
      </c>
      <c r="BN429" s="449">
        <v>0</v>
      </c>
      <c r="BO429" s="449">
        <v>0</v>
      </c>
      <c r="BP429" s="449">
        <v>0</v>
      </c>
      <c r="BQ429" s="449">
        <v>0</v>
      </c>
      <c r="BR429" s="449">
        <v>0</v>
      </c>
      <c r="BS429" s="449">
        <v>0</v>
      </c>
      <c r="BT429" s="449">
        <v>0</v>
      </c>
    </row>
    <row r="430" spans="1:72" ht="15" x14ac:dyDescent="0.25">
      <c r="A430" s="502" t="s">
        <v>725</v>
      </c>
      <c r="B430" s="502" t="s">
        <v>726</v>
      </c>
      <c r="C430" s="541"/>
      <c r="D430" s="500">
        <f t="shared" si="339"/>
        <v>17089</v>
      </c>
      <c r="E430" s="449">
        <v>17089</v>
      </c>
      <c r="F430" s="449">
        <f t="shared" si="340"/>
        <v>0</v>
      </c>
      <c r="G430" s="421">
        <f t="shared" si="341"/>
        <v>0</v>
      </c>
      <c r="H430" s="449">
        <v>17089</v>
      </c>
      <c r="I430" s="449">
        <f t="shared" si="342"/>
        <v>0</v>
      </c>
      <c r="J430" s="426">
        <f t="shared" si="343"/>
        <v>0</v>
      </c>
      <c r="K430" s="421"/>
      <c r="L430" s="449">
        <v>542.32000000000005</v>
      </c>
      <c r="M430" s="449">
        <v>542.32000000000005</v>
      </c>
      <c r="N430" s="449">
        <v>887.97999999999979</v>
      </c>
      <c r="O430" s="449">
        <v>5979.11</v>
      </c>
      <c r="P430" s="449">
        <v>2231.5200000000004</v>
      </c>
      <c r="Q430" s="449">
        <v>1988.7399999999998</v>
      </c>
      <c r="R430" s="449">
        <f>($H430-SUM($L430:Q430))/R$694</f>
        <v>819.50166666666667</v>
      </c>
      <c r="S430" s="449">
        <f>($H430-SUM($L430:R430))/S$694</f>
        <v>819.50166666666667</v>
      </c>
      <c r="T430" s="449">
        <f>($H430-SUM($L430:S430))/T$694</f>
        <v>819.50166666666655</v>
      </c>
      <c r="U430" s="449">
        <f>($H430-SUM($L430:T430))/U$694</f>
        <v>819.50166666666644</v>
      </c>
      <c r="V430" s="449">
        <f>($H430-SUM($L430:U430))/V$694</f>
        <v>819.5016666666661</v>
      </c>
      <c r="W430" s="449">
        <f>($H430-SUM($L430:V430))/W$694</f>
        <v>819.50166666666701</v>
      </c>
      <c r="X430" s="449"/>
      <c r="Y430" s="449">
        <f t="shared" si="344"/>
        <v>17089</v>
      </c>
      <c r="Z430" s="531"/>
      <c r="AA430" s="449">
        <f t="shared" si="358"/>
        <v>1424.0833333333333</v>
      </c>
      <c r="AB430" s="449">
        <f t="shared" si="358"/>
        <v>1424.0833333333333</v>
      </c>
      <c r="AC430" s="449">
        <f t="shared" si="358"/>
        <v>1424.0833333333333</v>
      </c>
      <c r="AD430" s="449">
        <f t="shared" si="358"/>
        <v>1424.0833333333333</v>
      </c>
      <c r="AE430" s="449">
        <f t="shared" si="358"/>
        <v>1424.0833333333333</v>
      </c>
      <c r="AF430" s="449">
        <f t="shared" si="358"/>
        <v>1424.0833333333333</v>
      </c>
      <c r="AG430" s="449">
        <f t="shared" si="358"/>
        <v>1424.0833333333333</v>
      </c>
      <c r="AH430" s="449">
        <f t="shared" si="358"/>
        <v>1424.0833333333333</v>
      </c>
      <c r="AI430" s="449">
        <f t="shared" si="358"/>
        <v>1424.0833333333333</v>
      </c>
      <c r="AJ430" s="449">
        <f t="shared" si="358"/>
        <v>1424.0833333333333</v>
      </c>
      <c r="AK430" s="449">
        <f t="shared" si="358"/>
        <v>1424.0833333333333</v>
      </c>
      <c r="AL430" s="449">
        <f t="shared" si="358"/>
        <v>1424.0833333333333</v>
      </c>
      <c r="AN430" s="500">
        <f t="shared" si="359"/>
        <v>17089</v>
      </c>
      <c r="AO430" s="449">
        <f t="shared" si="347"/>
        <v>6946.9532440000012</v>
      </c>
      <c r="AP430" s="449">
        <f t="shared" si="348"/>
        <v>-10142.046756</v>
      </c>
      <c r="AQ430" s="453">
        <f t="shared" si="349"/>
        <v>-0.59348392275732931</v>
      </c>
      <c r="AR430" s="449">
        <f t="shared" si="350"/>
        <v>6946.9532440000012</v>
      </c>
      <c r="AS430" s="449">
        <f t="shared" si="351"/>
        <v>0</v>
      </c>
      <c r="AT430" s="426">
        <f t="shared" si="352"/>
        <v>0</v>
      </c>
      <c r="AU430" s="421"/>
      <c r="AV430" s="449">
        <f t="shared" si="356"/>
        <v>578.91277033333347</v>
      </c>
      <c r="AW430" s="449">
        <f t="shared" si="356"/>
        <v>578.91277033333347</v>
      </c>
      <c r="AX430" s="449">
        <f t="shared" si="356"/>
        <v>578.91277033333347</v>
      </c>
      <c r="AY430" s="449">
        <f t="shared" si="356"/>
        <v>578.91277033333347</v>
      </c>
      <c r="AZ430" s="449">
        <f t="shared" si="356"/>
        <v>578.91277033333347</v>
      </c>
      <c r="BA430" s="449">
        <f t="shared" si="356"/>
        <v>578.91277033333347</v>
      </c>
      <c r="BB430" s="449">
        <f t="shared" si="356"/>
        <v>578.91277033333347</v>
      </c>
      <c r="BC430" s="449">
        <f t="shared" si="356"/>
        <v>578.91277033333347</v>
      </c>
      <c r="BD430" s="449">
        <f t="shared" si="356"/>
        <v>578.91277033333347</v>
      </c>
      <c r="BE430" s="449">
        <f t="shared" si="356"/>
        <v>578.91277033333347</v>
      </c>
      <c r="BF430" s="449">
        <f t="shared" si="356"/>
        <v>578.91277033333347</v>
      </c>
      <c r="BG430" s="449">
        <f t="shared" si="356"/>
        <v>578.91277033333347</v>
      </c>
      <c r="BH430" s="400"/>
      <c r="BI430" s="449">
        <f>SUM('FY19 Staffing V1-1 (3)'!$W$276:$W$278)/12</f>
        <v>578.91277033333347</v>
      </c>
      <c r="BJ430" s="449">
        <f>SUM('FY19 Staffing V1-1 (3)'!$W$276:$W$278)/12</f>
        <v>578.91277033333347</v>
      </c>
      <c r="BK430" s="449">
        <f>SUM('FY19 Staffing V1-1 (3)'!$W$276:$W$278)/12</f>
        <v>578.91277033333347</v>
      </c>
      <c r="BL430" s="449">
        <f>SUM('FY19 Staffing V1-1 (3)'!$W$276:$W$278)/12</f>
        <v>578.91277033333347</v>
      </c>
      <c r="BM430" s="449">
        <f>SUM('FY19 Staffing V1-1 (3)'!$W$276:$W$278)/12</f>
        <v>578.91277033333347</v>
      </c>
      <c r="BN430" s="449">
        <f>SUM('FY19 Staffing V1-1 (3)'!$W$276:$W$278)/12</f>
        <v>578.91277033333347</v>
      </c>
      <c r="BO430" s="449">
        <f>SUM('FY19 Staffing V1-1 (3)'!$W$276:$W$278)/12</f>
        <v>578.91277033333347</v>
      </c>
      <c r="BP430" s="449">
        <f>SUM('FY19 Staffing V1-1 (3)'!$W$276:$W$278)/12</f>
        <v>578.91277033333347</v>
      </c>
      <c r="BQ430" s="449">
        <f>SUM('FY19 Staffing V1-1 (3)'!$W$276:$W$278)/12</f>
        <v>578.91277033333347</v>
      </c>
      <c r="BR430" s="449">
        <f>SUM('FY19 Staffing V1-1 (3)'!$W$276:$W$278)/12</f>
        <v>578.91277033333347</v>
      </c>
      <c r="BS430" s="449">
        <f>SUM('FY19 Staffing V1-1 (3)'!$W$276:$W$278)/12</f>
        <v>578.91277033333347</v>
      </c>
      <c r="BT430" s="449">
        <f>SUM('FY19 Staffing V1-1 (3)'!$W$276:$W$278)/12</f>
        <v>578.91277033333347</v>
      </c>
    </row>
    <row r="431" spans="1:72" ht="15" x14ac:dyDescent="0.25">
      <c r="A431" s="537" t="s">
        <v>727</v>
      </c>
      <c r="B431" s="537" t="s">
        <v>728</v>
      </c>
      <c r="C431" s="541"/>
      <c r="D431" s="500">
        <f t="shared" si="339"/>
        <v>0</v>
      </c>
      <c r="E431" s="449">
        <v>0</v>
      </c>
      <c r="F431" s="449">
        <f t="shared" si="340"/>
        <v>0</v>
      </c>
      <c r="G431" s="421">
        <f t="shared" si="341"/>
        <v>0</v>
      </c>
      <c r="H431" s="449">
        <v>0</v>
      </c>
      <c r="I431" s="449">
        <f t="shared" si="342"/>
        <v>0</v>
      </c>
      <c r="J431" s="426">
        <f t="shared" si="343"/>
        <v>0</v>
      </c>
      <c r="K431" s="421"/>
      <c r="L431" s="449">
        <v>0</v>
      </c>
      <c r="M431" s="449">
        <v>0</v>
      </c>
      <c r="N431" s="449">
        <v>0</v>
      </c>
      <c r="O431" s="449">
        <v>0</v>
      </c>
      <c r="P431" s="449">
        <v>0</v>
      </c>
      <c r="Q431" s="449">
        <v>0</v>
      </c>
      <c r="R431" s="449">
        <f>($H431-SUM($L431:Q431))/R$694</f>
        <v>0</v>
      </c>
      <c r="S431" s="449">
        <f>($H431-SUM($L431:R431))/S$694</f>
        <v>0</v>
      </c>
      <c r="T431" s="449">
        <f>($H431-SUM($L431:S431))/T$694</f>
        <v>0</v>
      </c>
      <c r="U431" s="449">
        <f>($H431-SUM($L431:T431))/U$694</f>
        <v>0</v>
      </c>
      <c r="V431" s="449">
        <f>($H431-SUM($L431:U431))/V$694</f>
        <v>0</v>
      </c>
      <c r="W431" s="449">
        <f>($H431-SUM($L431:V431))/W$694</f>
        <v>0</v>
      </c>
      <c r="X431" s="449"/>
      <c r="Y431" s="449">
        <f t="shared" si="344"/>
        <v>0</v>
      </c>
      <c r="Z431" s="531"/>
      <c r="AA431" s="449">
        <f t="shared" si="358"/>
        <v>0</v>
      </c>
      <c r="AB431" s="449">
        <f t="shared" si="358"/>
        <v>0</v>
      </c>
      <c r="AC431" s="449">
        <f t="shared" si="358"/>
        <v>0</v>
      </c>
      <c r="AD431" s="449">
        <f t="shared" si="358"/>
        <v>0</v>
      </c>
      <c r="AE431" s="449">
        <f t="shared" si="358"/>
        <v>0</v>
      </c>
      <c r="AF431" s="449">
        <f t="shared" si="358"/>
        <v>0</v>
      </c>
      <c r="AG431" s="449">
        <f t="shared" si="358"/>
        <v>0</v>
      </c>
      <c r="AH431" s="449">
        <f t="shared" si="358"/>
        <v>0</v>
      </c>
      <c r="AI431" s="449">
        <f t="shared" si="358"/>
        <v>0</v>
      </c>
      <c r="AJ431" s="449">
        <f t="shared" si="358"/>
        <v>0</v>
      </c>
      <c r="AK431" s="449">
        <f t="shared" si="358"/>
        <v>0</v>
      </c>
      <c r="AL431" s="449">
        <f t="shared" si="358"/>
        <v>0</v>
      </c>
      <c r="AN431" s="500">
        <f t="shared" si="359"/>
        <v>0</v>
      </c>
      <c r="AO431" s="449">
        <f t="shared" si="347"/>
        <v>0</v>
      </c>
      <c r="AP431" s="449">
        <f t="shared" si="348"/>
        <v>0</v>
      </c>
      <c r="AQ431" s="453" t="str">
        <f t="shared" si="349"/>
        <v>-</v>
      </c>
      <c r="AR431" s="449">
        <f t="shared" si="350"/>
        <v>0</v>
      </c>
      <c r="AS431" s="449">
        <f t="shared" si="351"/>
        <v>0</v>
      </c>
      <c r="AT431" s="426">
        <f t="shared" si="352"/>
        <v>0</v>
      </c>
      <c r="AU431" s="421"/>
      <c r="AV431" s="449">
        <f t="shared" si="356"/>
        <v>0</v>
      </c>
      <c r="AW431" s="449">
        <f t="shared" si="356"/>
        <v>0</v>
      </c>
      <c r="AX431" s="449">
        <f t="shared" si="356"/>
        <v>0</v>
      </c>
      <c r="AY431" s="449">
        <f t="shared" si="356"/>
        <v>0</v>
      </c>
      <c r="AZ431" s="449">
        <f t="shared" si="356"/>
        <v>0</v>
      </c>
      <c r="BA431" s="449">
        <f t="shared" si="356"/>
        <v>0</v>
      </c>
      <c r="BB431" s="449">
        <f t="shared" si="356"/>
        <v>0</v>
      </c>
      <c r="BC431" s="449">
        <f t="shared" si="356"/>
        <v>0</v>
      </c>
      <c r="BD431" s="449">
        <f t="shared" si="356"/>
        <v>0</v>
      </c>
      <c r="BE431" s="449">
        <f t="shared" si="356"/>
        <v>0</v>
      </c>
      <c r="BF431" s="449">
        <f t="shared" si="356"/>
        <v>0</v>
      </c>
      <c r="BG431" s="449">
        <f t="shared" si="356"/>
        <v>0</v>
      </c>
      <c r="BH431" s="400"/>
      <c r="BI431" s="449">
        <v>0</v>
      </c>
      <c r="BJ431" s="449">
        <v>0</v>
      </c>
      <c r="BK431" s="449">
        <v>0</v>
      </c>
      <c r="BL431" s="449">
        <v>0</v>
      </c>
      <c r="BM431" s="449">
        <v>0</v>
      </c>
      <c r="BN431" s="449">
        <v>0</v>
      </c>
      <c r="BO431" s="449">
        <v>0</v>
      </c>
      <c r="BP431" s="449">
        <v>0</v>
      </c>
      <c r="BQ431" s="449">
        <v>0</v>
      </c>
      <c r="BR431" s="449">
        <v>0</v>
      </c>
      <c r="BS431" s="449">
        <v>0</v>
      </c>
      <c r="BT431" s="449">
        <v>0</v>
      </c>
    </row>
    <row r="432" spans="1:72" ht="15" hidden="1" x14ac:dyDescent="0.25">
      <c r="A432" s="502" t="s">
        <v>729</v>
      </c>
      <c r="B432" s="502" t="s">
        <v>730</v>
      </c>
      <c r="C432" s="541"/>
      <c r="D432" s="500">
        <f t="shared" si="339"/>
        <v>0</v>
      </c>
      <c r="E432" s="449">
        <v>0</v>
      </c>
      <c r="F432" s="449">
        <f t="shared" si="340"/>
        <v>0</v>
      </c>
      <c r="G432" s="421">
        <f t="shared" si="341"/>
        <v>0</v>
      </c>
      <c r="H432" s="449">
        <v>0</v>
      </c>
      <c r="I432" s="449">
        <f t="shared" si="342"/>
        <v>0</v>
      </c>
      <c r="J432" s="426">
        <f t="shared" si="343"/>
        <v>0</v>
      </c>
      <c r="K432" s="421"/>
      <c r="L432" s="449">
        <v>0</v>
      </c>
      <c r="M432" s="449">
        <v>0</v>
      </c>
      <c r="N432" s="449">
        <v>0</v>
      </c>
      <c r="O432" s="449">
        <v>0</v>
      </c>
      <c r="P432" s="449">
        <v>0</v>
      </c>
      <c r="Q432" s="449">
        <v>0</v>
      </c>
      <c r="R432" s="449">
        <f>($H432-SUM($L432:Q432))/R$694</f>
        <v>0</v>
      </c>
      <c r="S432" s="449">
        <f>($H432-SUM($L432:R432))/S$694</f>
        <v>0</v>
      </c>
      <c r="T432" s="449">
        <f>($H432-SUM($L432:S432))/T$694</f>
        <v>0</v>
      </c>
      <c r="U432" s="449">
        <f>($H432-SUM($L432:T432))/U$694</f>
        <v>0</v>
      </c>
      <c r="V432" s="449">
        <f>($H432-SUM($L432:U432))/V$694</f>
        <v>0</v>
      </c>
      <c r="W432" s="449">
        <f>($H432-SUM($L432:V432))/W$694</f>
        <v>0</v>
      </c>
      <c r="X432" s="449"/>
      <c r="Y432" s="449">
        <f t="shared" si="344"/>
        <v>0</v>
      </c>
      <c r="Z432" s="531"/>
      <c r="AA432" s="449">
        <f t="shared" si="358"/>
        <v>0</v>
      </c>
      <c r="AB432" s="449">
        <f t="shared" si="358"/>
        <v>0</v>
      </c>
      <c r="AC432" s="449">
        <f t="shared" si="358"/>
        <v>0</v>
      </c>
      <c r="AD432" s="449">
        <f t="shared" si="358"/>
        <v>0</v>
      </c>
      <c r="AE432" s="449">
        <f t="shared" si="358"/>
        <v>0</v>
      </c>
      <c r="AF432" s="449">
        <f t="shared" si="358"/>
        <v>0</v>
      </c>
      <c r="AG432" s="449">
        <f t="shared" si="358"/>
        <v>0</v>
      </c>
      <c r="AH432" s="449">
        <f t="shared" si="358"/>
        <v>0</v>
      </c>
      <c r="AI432" s="449">
        <f t="shared" si="358"/>
        <v>0</v>
      </c>
      <c r="AJ432" s="449">
        <f t="shared" si="358"/>
        <v>0</v>
      </c>
      <c r="AK432" s="449">
        <f t="shared" si="358"/>
        <v>0</v>
      </c>
      <c r="AL432" s="449">
        <f t="shared" si="358"/>
        <v>0</v>
      </c>
      <c r="AN432" s="500">
        <f t="shared" si="359"/>
        <v>0</v>
      </c>
      <c r="AO432" s="449">
        <f t="shared" si="347"/>
        <v>0</v>
      </c>
      <c r="AP432" s="449">
        <f t="shared" si="348"/>
        <v>0</v>
      </c>
      <c r="AQ432" s="453" t="str">
        <f t="shared" si="349"/>
        <v>-</v>
      </c>
      <c r="AR432" s="449">
        <f t="shared" si="350"/>
        <v>0</v>
      </c>
      <c r="AS432" s="449">
        <f t="shared" si="351"/>
        <v>0</v>
      </c>
      <c r="AT432" s="426">
        <f t="shared" si="352"/>
        <v>0</v>
      </c>
      <c r="AU432" s="421"/>
      <c r="AV432" s="449">
        <f t="shared" si="356"/>
        <v>0</v>
      </c>
      <c r="AW432" s="449">
        <f t="shared" si="356"/>
        <v>0</v>
      </c>
      <c r="AX432" s="449">
        <f t="shared" si="356"/>
        <v>0</v>
      </c>
      <c r="AY432" s="449">
        <f t="shared" si="356"/>
        <v>0</v>
      </c>
      <c r="AZ432" s="449">
        <f t="shared" si="356"/>
        <v>0</v>
      </c>
      <c r="BA432" s="449">
        <f t="shared" si="356"/>
        <v>0</v>
      </c>
      <c r="BB432" s="449">
        <f t="shared" si="356"/>
        <v>0</v>
      </c>
      <c r="BC432" s="449">
        <f t="shared" si="356"/>
        <v>0</v>
      </c>
      <c r="BD432" s="449">
        <f t="shared" si="356"/>
        <v>0</v>
      </c>
      <c r="BE432" s="449">
        <f t="shared" si="356"/>
        <v>0</v>
      </c>
      <c r="BF432" s="449">
        <f t="shared" si="356"/>
        <v>0</v>
      </c>
      <c r="BG432" s="449">
        <f t="shared" si="356"/>
        <v>0</v>
      </c>
      <c r="BH432" s="400"/>
      <c r="BI432" s="449">
        <v>0</v>
      </c>
      <c r="BJ432" s="449">
        <v>0</v>
      </c>
      <c r="BK432" s="449">
        <v>0</v>
      </c>
      <c r="BL432" s="449">
        <v>0</v>
      </c>
      <c r="BM432" s="449">
        <v>0</v>
      </c>
      <c r="BN432" s="449">
        <v>0</v>
      </c>
      <c r="BO432" s="449">
        <v>0</v>
      </c>
      <c r="BP432" s="449">
        <v>0</v>
      </c>
      <c r="BQ432" s="449">
        <v>0</v>
      </c>
      <c r="BR432" s="449">
        <v>0</v>
      </c>
      <c r="BS432" s="449">
        <v>0</v>
      </c>
      <c r="BT432" s="449">
        <v>0</v>
      </c>
    </row>
    <row r="433" spans="1:72" ht="15" hidden="1" x14ac:dyDescent="0.25">
      <c r="A433" s="502" t="s">
        <v>731</v>
      </c>
      <c r="B433" s="502" t="s">
        <v>732</v>
      </c>
      <c r="C433" s="541"/>
      <c r="D433" s="500">
        <f t="shared" si="339"/>
        <v>0</v>
      </c>
      <c r="E433" s="449">
        <v>0</v>
      </c>
      <c r="F433" s="449">
        <f t="shared" si="340"/>
        <v>0</v>
      </c>
      <c r="G433" s="421">
        <f t="shared" si="341"/>
        <v>0</v>
      </c>
      <c r="H433" s="449">
        <v>0</v>
      </c>
      <c r="I433" s="449">
        <f t="shared" si="342"/>
        <v>0</v>
      </c>
      <c r="J433" s="426">
        <f t="shared" si="343"/>
        <v>0</v>
      </c>
      <c r="K433" s="421"/>
      <c r="L433" s="449">
        <v>0</v>
      </c>
      <c r="M433" s="449">
        <v>0</v>
      </c>
      <c r="N433" s="449">
        <v>0</v>
      </c>
      <c r="O433" s="449">
        <v>0</v>
      </c>
      <c r="P433" s="449">
        <v>0</v>
      </c>
      <c r="Q433" s="449">
        <v>0</v>
      </c>
      <c r="R433" s="449">
        <f>($H433-SUM($L433:Q433))/R$694</f>
        <v>0</v>
      </c>
      <c r="S433" s="449">
        <f>($H433-SUM($L433:R433))/S$694</f>
        <v>0</v>
      </c>
      <c r="T433" s="449">
        <f>($H433-SUM($L433:S433))/T$694</f>
        <v>0</v>
      </c>
      <c r="U433" s="449">
        <f>($H433-SUM($L433:T433))/U$694</f>
        <v>0</v>
      </c>
      <c r="V433" s="449">
        <f>($H433-SUM($L433:U433))/V$694</f>
        <v>0</v>
      </c>
      <c r="W433" s="449">
        <f>($H433-SUM($L433:V433))/W$694</f>
        <v>0</v>
      </c>
      <c r="X433" s="449"/>
      <c r="Y433" s="449">
        <f t="shared" si="344"/>
        <v>0</v>
      </c>
      <c r="Z433" s="531"/>
      <c r="AA433" s="449">
        <f t="shared" si="358"/>
        <v>0</v>
      </c>
      <c r="AB433" s="449">
        <f t="shared" si="358"/>
        <v>0</v>
      </c>
      <c r="AC433" s="449">
        <f t="shared" si="358"/>
        <v>0</v>
      </c>
      <c r="AD433" s="449">
        <f t="shared" si="358"/>
        <v>0</v>
      </c>
      <c r="AE433" s="449">
        <f t="shared" si="358"/>
        <v>0</v>
      </c>
      <c r="AF433" s="449">
        <f t="shared" si="358"/>
        <v>0</v>
      </c>
      <c r="AG433" s="449">
        <f t="shared" si="358"/>
        <v>0</v>
      </c>
      <c r="AH433" s="449">
        <f t="shared" si="358"/>
        <v>0</v>
      </c>
      <c r="AI433" s="449">
        <f t="shared" si="358"/>
        <v>0</v>
      </c>
      <c r="AJ433" s="449">
        <f t="shared" si="358"/>
        <v>0</v>
      </c>
      <c r="AK433" s="449">
        <f t="shared" si="358"/>
        <v>0</v>
      </c>
      <c r="AL433" s="449">
        <f t="shared" si="358"/>
        <v>0</v>
      </c>
      <c r="AN433" s="500">
        <f t="shared" si="359"/>
        <v>0</v>
      </c>
      <c r="AO433" s="449">
        <f t="shared" si="347"/>
        <v>0</v>
      </c>
      <c r="AP433" s="449">
        <f t="shared" si="348"/>
        <v>0</v>
      </c>
      <c r="AQ433" s="453" t="str">
        <f t="shared" si="349"/>
        <v>-</v>
      </c>
      <c r="AR433" s="449">
        <f t="shared" si="350"/>
        <v>0</v>
      </c>
      <c r="AS433" s="449">
        <f t="shared" si="351"/>
        <v>0</v>
      </c>
      <c r="AT433" s="426">
        <f t="shared" si="352"/>
        <v>0</v>
      </c>
      <c r="AU433" s="421"/>
      <c r="AV433" s="449">
        <f t="shared" si="356"/>
        <v>0</v>
      </c>
      <c r="AW433" s="449">
        <f t="shared" si="356"/>
        <v>0</v>
      </c>
      <c r="AX433" s="449">
        <f t="shared" si="356"/>
        <v>0</v>
      </c>
      <c r="AY433" s="449">
        <f t="shared" si="356"/>
        <v>0</v>
      </c>
      <c r="AZ433" s="449">
        <f t="shared" si="356"/>
        <v>0</v>
      </c>
      <c r="BA433" s="449">
        <f t="shared" si="356"/>
        <v>0</v>
      </c>
      <c r="BB433" s="449">
        <f t="shared" si="356"/>
        <v>0</v>
      </c>
      <c r="BC433" s="449">
        <f t="shared" si="356"/>
        <v>0</v>
      </c>
      <c r="BD433" s="449">
        <f t="shared" si="356"/>
        <v>0</v>
      </c>
      <c r="BE433" s="449">
        <f t="shared" si="356"/>
        <v>0</v>
      </c>
      <c r="BF433" s="449">
        <f t="shared" si="356"/>
        <v>0</v>
      </c>
      <c r="BG433" s="449">
        <f t="shared" si="356"/>
        <v>0</v>
      </c>
      <c r="BH433" s="400"/>
      <c r="BI433" s="449">
        <v>0</v>
      </c>
      <c r="BJ433" s="449">
        <v>0</v>
      </c>
      <c r="BK433" s="449">
        <v>0</v>
      </c>
      <c r="BL433" s="449">
        <v>0</v>
      </c>
      <c r="BM433" s="449">
        <v>0</v>
      </c>
      <c r="BN433" s="449">
        <v>0</v>
      </c>
      <c r="BO433" s="449">
        <v>0</v>
      </c>
      <c r="BP433" s="449">
        <v>0</v>
      </c>
      <c r="BQ433" s="449">
        <v>0</v>
      </c>
      <c r="BR433" s="449">
        <v>0</v>
      </c>
      <c r="BS433" s="449">
        <v>0</v>
      </c>
      <c r="BT433" s="449">
        <v>0</v>
      </c>
    </row>
    <row r="434" spans="1:72" ht="15" hidden="1" x14ac:dyDescent="0.25">
      <c r="A434" s="502" t="s">
        <v>733</v>
      </c>
      <c r="B434" s="502" t="s">
        <v>734</v>
      </c>
      <c r="C434" s="541"/>
      <c r="D434" s="500">
        <f t="shared" si="339"/>
        <v>0</v>
      </c>
      <c r="E434" s="449">
        <v>0</v>
      </c>
      <c r="F434" s="449">
        <f t="shared" si="340"/>
        <v>0</v>
      </c>
      <c r="G434" s="421">
        <f t="shared" si="341"/>
        <v>0</v>
      </c>
      <c r="H434" s="449">
        <v>0</v>
      </c>
      <c r="I434" s="449">
        <f t="shared" si="342"/>
        <v>0</v>
      </c>
      <c r="J434" s="426">
        <f t="shared" si="343"/>
        <v>0</v>
      </c>
      <c r="K434" s="421"/>
      <c r="L434" s="449">
        <v>0</v>
      </c>
      <c r="M434" s="449">
        <v>0</v>
      </c>
      <c r="N434" s="449">
        <v>0</v>
      </c>
      <c r="O434" s="449">
        <v>0</v>
      </c>
      <c r="P434" s="449">
        <v>0</v>
      </c>
      <c r="Q434" s="449">
        <v>0</v>
      </c>
      <c r="R434" s="449">
        <f>($H434-SUM($L434:Q434))/R$694</f>
        <v>0</v>
      </c>
      <c r="S434" s="449">
        <f>($H434-SUM($L434:R434))/S$694</f>
        <v>0</v>
      </c>
      <c r="T434" s="449">
        <f>($H434-SUM($L434:S434))/T$694</f>
        <v>0</v>
      </c>
      <c r="U434" s="449">
        <f>($H434-SUM($L434:T434))/U$694</f>
        <v>0</v>
      </c>
      <c r="V434" s="449">
        <f>($H434-SUM($L434:U434))/V$694</f>
        <v>0</v>
      </c>
      <c r="W434" s="449">
        <f>($H434-SUM($L434:V434))/W$694</f>
        <v>0</v>
      </c>
      <c r="X434" s="449"/>
      <c r="Y434" s="449">
        <f t="shared" si="344"/>
        <v>0</v>
      </c>
      <c r="Z434" s="531"/>
      <c r="AA434" s="449">
        <f t="shared" ref="AA434:AL449" si="360">IFERROR($H434/12,0)</f>
        <v>0</v>
      </c>
      <c r="AB434" s="449">
        <f t="shared" si="360"/>
        <v>0</v>
      </c>
      <c r="AC434" s="449">
        <f t="shared" si="360"/>
        <v>0</v>
      </c>
      <c r="AD434" s="449">
        <f t="shared" si="360"/>
        <v>0</v>
      </c>
      <c r="AE434" s="449">
        <f t="shared" si="360"/>
        <v>0</v>
      </c>
      <c r="AF434" s="449">
        <f t="shared" si="360"/>
        <v>0</v>
      </c>
      <c r="AG434" s="449">
        <f t="shared" si="360"/>
        <v>0</v>
      </c>
      <c r="AH434" s="449">
        <f t="shared" si="360"/>
        <v>0</v>
      </c>
      <c r="AI434" s="449">
        <f t="shared" si="360"/>
        <v>0</v>
      </c>
      <c r="AJ434" s="449">
        <f t="shared" si="360"/>
        <v>0</v>
      </c>
      <c r="AK434" s="449">
        <f t="shared" si="360"/>
        <v>0</v>
      </c>
      <c r="AL434" s="449">
        <f t="shared" si="360"/>
        <v>0</v>
      </c>
      <c r="AN434" s="500">
        <f t="shared" si="359"/>
        <v>0</v>
      </c>
      <c r="AO434" s="449">
        <f t="shared" si="347"/>
        <v>0</v>
      </c>
      <c r="AP434" s="449">
        <f t="shared" si="348"/>
        <v>0</v>
      </c>
      <c r="AQ434" s="453" t="str">
        <f t="shared" si="349"/>
        <v>-</v>
      </c>
      <c r="AR434" s="449">
        <f t="shared" si="350"/>
        <v>0</v>
      </c>
      <c r="AS434" s="449">
        <f t="shared" si="351"/>
        <v>0</v>
      </c>
      <c r="AT434" s="426">
        <f t="shared" si="352"/>
        <v>0</v>
      </c>
      <c r="AU434" s="421"/>
      <c r="AV434" s="449">
        <f t="shared" si="356"/>
        <v>0</v>
      </c>
      <c r="AW434" s="449">
        <f t="shared" si="356"/>
        <v>0</v>
      </c>
      <c r="AX434" s="449">
        <f t="shared" si="356"/>
        <v>0</v>
      </c>
      <c r="AY434" s="449">
        <f t="shared" si="356"/>
        <v>0</v>
      </c>
      <c r="AZ434" s="449">
        <f t="shared" si="356"/>
        <v>0</v>
      </c>
      <c r="BA434" s="449">
        <f t="shared" si="356"/>
        <v>0</v>
      </c>
      <c r="BB434" s="449">
        <f t="shared" si="356"/>
        <v>0</v>
      </c>
      <c r="BC434" s="449">
        <f t="shared" si="356"/>
        <v>0</v>
      </c>
      <c r="BD434" s="449">
        <f t="shared" si="356"/>
        <v>0</v>
      </c>
      <c r="BE434" s="449">
        <f t="shared" si="356"/>
        <v>0</v>
      </c>
      <c r="BF434" s="449">
        <f t="shared" si="356"/>
        <v>0</v>
      </c>
      <c r="BG434" s="449">
        <f t="shared" si="356"/>
        <v>0</v>
      </c>
      <c r="BH434" s="400"/>
      <c r="BI434" s="449">
        <v>0</v>
      </c>
      <c r="BJ434" s="449">
        <v>0</v>
      </c>
      <c r="BK434" s="449">
        <v>0</v>
      </c>
      <c r="BL434" s="449">
        <v>0</v>
      </c>
      <c r="BM434" s="449">
        <v>0</v>
      </c>
      <c r="BN434" s="449">
        <v>0</v>
      </c>
      <c r="BO434" s="449">
        <v>0</v>
      </c>
      <c r="BP434" s="449">
        <v>0</v>
      </c>
      <c r="BQ434" s="449">
        <v>0</v>
      </c>
      <c r="BR434" s="449">
        <v>0</v>
      </c>
      <c r="BS434" s="449">
        <v>0</v>
      </c>
      <c r="BT434" s="449">
        <v>0</v>
      </c>
    </row>
    <row r="435" spans="1:72" ht="15" hidden="1" x14ac:dyDescent="0.25">
      <c r="A435" s="502" t="s">
        <v>735</v>
      </c>
      <c r="B435" s="502" t="s">
        <v>736</v>
      </c>
      <c r="C435" s="541"/>
      <c r="D435" s="500">
        <f t="shared" si="339"/>
        <v>0</v>
      </c>
      <c r="E435" s="449">
        <v>0</v>
      </c>
      <c r="F435" s="449">
        <f t="shared" si="340"/>
        <v>0</v>
      </c>
      <c r="G435" s="421">
        <f t="shared" si="341"/>
        <v>0</v>
      </c>
      <c r="H435" s="449">
        <v>0</v>
      </c>
      <c r="I435" s="449">
        <f t="shared" si="342"/>
        <v>0</v>
      </c>
      <c r="J435" s="426">
        <f t="shared" si="343"/>
        <v>0</v>
      </c>
      <c r="K435" s="421"/>
      <c r="L435" s="449">
        <v>0</v>
      </c>
      <c r="M435" s="449">
        <v>0</v>
      </c>
      <c r="N435" s="449">
        <v>0</v>
      </c>
      <c r="O435" s="449">
        <v>0</v>
      </c>
      <c r="P435" s="449">
        <v>0</v>
      </c>
      <c r="Q435" s="449">
        <v>0</v>
      </c>
      <c r="R435" s="449">
        <f>($H435-SUM($L435:Q435))/R$694</f>
        <v>0</v>
      </c>
      <c r="S435" s="449">
        <f>($H435-SUM($L435:R435))/S$694</f>
        <v>0</v>
      </c>
      <c r="T435" s="449">
        <f>($H435-SUM($L435:S435))/T$694</f>
        <v>0</v>
      </c>
      <c r="U435" s="449">
        <f>($H435-SUM($L435:T435))/U$694</f>
        <v>0</v>
      </c>
      <c r="V435" s="449">
        <f>($H435-SUM($L435:U435))/V$694</f>
        <v>0</v>
      </c>
      <c r="W435" s="449">
        <f>($H435-SUM($L435:V435))/W$694</f>
        <v>0</v>
      </c>
      <c r="X435" s="449"/>
      <c r="Y435" s="449">
        <f t="shared" si="344"/>
        <v>0</v>
      </c>
      <c r="Z435" s="531"/>
      <c r="AA435" s="449">
        <f t="shared" si="360"/>
        <v>0</v>
      </c>
      <c r="AB435" s="449">
        <f t="shared" si="360"/>
        <v>0</v>
      </c>
      <c r="AC435" s="449">
        <f t="shared" si="360"/>
        <v>0</v>
      </c>
      <c r="AD435" s="449">
        <f t="shared" si="360"/>
        <v>0</v>
      </c>
      <c r="AE435" s="449">
        <f t="shared" si="360"/>
        <v>0</v>
      </c>
      <c r="AF435" s="449">
        <f t="shared" si="360"/>
        <v>0</v>
      </c>
      <c r="AG435" s="449">
        <f t="shared" si="360"/>
        <v>0</v>
      </c>
      <c r="AH435" s="449">
        <f t="shared" si="360"/>
        <v>0</v>
      </c>
      <c r="AI435" s="449">
        <f t="shared" si="360"/>
        <v>0</v>
      </c>
      <c r="AJ435" s="449">
        <f t="shared" si="360"/>
        <v>0</v>
      </c>
      <c r="AK435" s="449">
        <f t="shared" si="360"/>
        <v>0</v>
      </c>
      <c r="AL435" s="449">
        <f t="shared" si="360"/>
        <v>0</v>
      </c>
      <c r="AN435" s="500">
        <f t="shared" si="359"/>
        <v>0</v>
      </c>
      <c r="AO435" s="449">
        <f t="shared" si="347"/>
        <v>0</v>
      </c>
      <c r="AP435" s="449">
        <f t="shared" si="348"/>
        <v>0</v>
      </c>
      <c r="AQ435" s="453" t="str">
        <f t="shared" si="349"/>
        <v>-</v>
      </c>
      <c r="AR435" s="449">
        <f t="shared" si="350"/>
        <v>0</v>
      </c>
      <c r="AS435" s="449">
        <f t="shared" si="351"/>
        <v>0</v>
      </c>
      <c r="AT435" s="426">
        <f t="shared" si="352"/>
        <v>0</v>
      </c>
      <c r="AU435" s="421"/>
      <c r="AV435" s="449">
        <f t="shared" si="356"/>
        <v>0</v>
      </c>
      <c r="AW435" s="449">
        <f t="shared" si="356"/>
        <v>0</v>
      </c>
      <c r="AX435" s="449">
        <f t="shared" si="356"/>
        <v>0</v>
      </c>
      <c r="AY435" s="449">
        <f t="shared" si="356"/>
        <v>0</v>
      </c>
      <c r="AZ435" s="449">
        <f t="shared" si="356"/>
        <v>0</v>
      </c>
      <c r="BA435" s="449">
        <f t="shared" si="356"/>
        <v>0</v>
      </c>
      <c r="BB435" s="449">
        <f t="shared" si="356"/>
        <v>0</v>
      </c>
      <c r="BC435" s="449">
        <f t="shared" si="356"/>
        <v>0</v>
      </c>
      <c r="BD435" s="449">
        <f t="shared" si="356"/>
        <v>0</v>
      </c>
      <c r="BE435" s="449">
        <f t="shared" si="356"/>
        <v>0</v>
      </c>
      <c r="BF435" s="449">
        <f t="shared" si="356"/>
        <v>0</v>
      </c>
      <c r="BG435" s="449">
        <f t="shared" si="356"/>
        <v>0</v>
      </c>
      <c r="BH435" s="400"/>
      <c r="BI435" s="449">
        <v>0</v>
      </c>
      <c r="BJ435" s="449">
        <v>0</v>
      </c>
      <c r="BK435" s="449">
        <v>0</v>
      </c>
      <c r="BL435" s="449">
        <v>0</v>
      </c>
      <c r="BM435" s="449">
        <v>0</v>
      </c>
      <c r="BN435" s="449">
        <v>0</v>
      </c>
      <c r="BO435" s="449">
        <v>0</v>
      </c>
      <c r="BP435" s="449">
        <v>0</v>
      </c>
      <c r="BQ435" s="449">
        <v>0</v>
      </c>
      <c r="BR435" s="449">
        <v>0</v>
      </c>
      <c r="BS435" s="449">
        <v>0</v>
      </c>
      <c r="BT435" s="449">
        <v>0</v>
      </c>
    </row>
    <row r="436" spans="1:72" ht="15" hidden="1" x14ac:dyDescent="0.25">
      <c r="A436" s="502" t="s">
        <v>737</v>
      </c>
      <c r="B436" s="502" t="s">
        <v>738</v>
      </c>
      <c r="C436" s="541"/>
      <c r="D436" s="500">
        <f t="shared" si="339"/>
        <v>0</v>
      </c>
      <c r="E436" s="449">
        <v>0</v>
      </c>
      <c r="F436" s="449">
        <f t="shared" si="340"/>
        <v>0</v>
      </c>
      <c r="G436" s="421">
        <f t="shared" si="341"/>
        <v>0</v>
      </c>
      <c r="H436" s="449">
        <v>0</v>
      </c>
      <c r="I436" s="449">
        <f t="shared" si="342"/>
        <v>0</v>
      </c>
      <c r="J436" s="426">
        <f t="shared" si="343"/>
        <v>0</v>
      </c>
      <c r="K436" s="421"/>
      <c r="L436" s="449">
        <v>0</v>
      </c>
      <c r="M436" s="449">
        <v>0</v>
      </c>
      <c r="N436" s="449">
        <v>0</v>
      </c>
      <c r="O436" s="449">
        <v>0</v>
      </c>
      <c r="P436" s="449">
        <v>0</v>
      </c>
      <c r="Q436" s="449">
        <v>0</v>
      </c>
      <c r="R436" s="449">
        <f>($H436-SUM($L436:Q436))/R$694</f>
        <v>0</v>
      </c>
      <c r="S436" s="449">
        <f>($H436-SUM($L436:R436))/S$694</f>
        <v>0</v>
      </c>
      <c r="T436" s="449">
        <f>($H436-SUM($L436:S436))/T$694</f>
        <v>0</v>
      </c>
      <c r="U436" s="449">
        <f>($H436-SUM($L436:T436))/U$694</f>
        <v>0</v>
      </c>
      <c r="V436" s="449">
        <f>($H436-SUM($L436:U436))/V$694</f>
        <v>0</v>
      </c>
      <c r="W436" s="449">
        <f>($H436-SUM($L436:V436))/W$694</f>
        <v>0</v>
      </c>
      <c r="X436" s="449"/>
      <c r="Y436" s="449">
        <f t="shared" si="344"/>
        <v>0</v>
      </c>
      <c r="Z436" s="531"/>
      <c r="AA436" s="449">
        <f t="shared" si="360"/>
        <v>0</v>
      </c>
      <c r="AB436" s="449">
        <f t="shared" si="360"/>
        <v>0</v>
      </c>
      <c r="AC436" s="449">
        <f t="shared" si="360"/>
        <v>0</v>
      </c>
      <c r="AD436" s="449">
        <f t="shared" si="360"/>
        <v>0</v>
      </c>
      <c r="AE436" s="449">
        <f t="shared" si="360"/>
        <v>0</v>
      </c>
      <c r="AF436" s="449">
        <f t="shared" si="360"/>
        <v>0</v>
      </c>
      <c r="AG436" s="449">
        <f t="shared" si="360"/>
        <v>0</v>
      </c>
      <c r="AH436" s="449">
        <f t="shared" si="360"/>
        <v>0</v>
      </c>
      <c r="AI436" s="449">
        <f t="shared" si="360"/>
        <v>0</v>
      </c>
      <c r="AJ436" s="449">
        <f t="shared" si="360"/>
        <v>0</v>
      </c>
      <c r="AK436" s="449">
        <f t="shared" si="360"/>
        <v>0</v>
      </c>
      <c r="AL436" s="449">
        <f t="shared" si="360"/>
        <v>0</v>
      </c>
      <c r="AN436" s="500">
        <f t="shared" si="359"/>
        <v>0</v>
      </c>
      <c r="AO436" s="449">
        <f t="shared" si="347"/>
        <v>0</v>
      </c>
      <c r="AP436" s="449">
        <f t="shared" si="348"/>
        <v>0</v>
      </c>
      <c r="AQ436" s="453" t="str">
        <f t="shared" si="349"/>
        <v>-</v>
      </c>
      <c r="AR436" s="449">
        <f t="shared" si="350"/>
        <v>0</v>
      </c>
      <c r="AS436" s="449">
        <f t="shared" si="351"/>
        <v>0</v>
      </c>
      <c r="AT436" s="426">
        <f t="shared" si="352"/>
        <v>0</v>
      </c>
      <c r="AU436" s="421"/>
      <c r="AV436" s="449">
        <f t="shared" si="356"/>
        <v>0</v>
      </c>
      <c r="AW436" s="449">
        <f t="shared" si="356"/>
        <v>0</v>
      </c>
      <c r="AX436" s="449">
        <f t="shared" si="356"/>
        <v>0</v>
      </c>
      <c r="AY436" s="449">
        <f t="shared" si="356"/>
        <v>0</v>
      </c>
      <c r="AZ436" s="449">
        <f t="shared" si="356"/>
        <v>0</v>
      </c>
      <c r="BA436" s="449">
        <f t="shared" si="356"/>
        <v>0</v>
      </c>
      <c r="BB436" s="449">
        <f t="shared" si="356"/>
        <v>0</v>
      </c>
      <c r="BC436" s="449">
        <f t="shared" si="356"/>
        <v>0</v>
      </c>
      <c r="BD436" s="449">
        <f t="shared" si="356"/>
        <v>0</v>
      </c>
      <c r="BE436" s="449">
        <f t="shared" si="356"/>
        <v>0</v>
      </c>
      <c r="BF436" s="449">
        <f t="shared" si="356"/>
        <v>0</v>
      </c>
      <c r="BG436" s="449">
        <f t="shared" si="356"/>
        <v>0</v>
      </c>
      <c r="BH436" s="400"/>
      <c r="BI436" s="449">
        <v>0</v>
      </c>
      <c r="BJ436" s="449">
        <v>0</v>
      </c>
      <c r="BK436" s="449">
        <v>0</v>
      </c>
      <c r="BL436" s="449">
        <v>0</v>
      </c>
      <c r="BM436" s="449">
        <v>0</v>
      </c>
      <c r="BN436" s="449">
        <v>0</v>
      </c>
      <c r="BO436" s="449">
        <v>0</v>
      </c>
      <c r="BP436" s="449">
        <v>0</v>
      </c>
      <c r="BQ436" s="449">
        <v>0</v>
      </c>
      <c r="BR436" s="449">
        <v>0</v>
      </c>
      <c r="BS436" s="449">
        <v>0</v>
      </c>
      <c r="BT436" s="449">
        <v>0</v>
      </c>
    </row>
    <row r="437" spans="1:72" ht="15" hidden="1" x14ac:dyDescent="0.25">
      <c r="A437" s="502" t="s">
        <v>739</v>
      </c>
      <c r="B437" s="502" t="s">
        <v>740</v>
      </c>
      <c r="C437" s="541"/>
      <c r="D437" s="500">
        <f t="shared" si="339"/>
        <v>0</v>
      </c>
      <c r="E437" s="449">
        <v>0</v>
      </c>
      <c r="F437" s="449">
        <f t="shared" si="340"/>
        <v>0</v>
      </c>
      <c r="G437" s="421">
        <f t="shared" si="341"/>
        <v>0</v>
      </c>
      <c r="H437" s="449">
        <v>0</v>
      </c>
      <c r="I437" s="449">
        <f t="shared" si="342"/>
        <v>0</v>
      </c>
      <c r="J437" s="426">
        <f t="shared" si="343"/>
        <v>0</v>
      </c>
      <c r="K437" s="421"/>
      <c r="L437" s="449">
        <v>0</v>
      </c>
      <c r="M437" s="449">
        <v>0</v>
      </c>
      <c r="N437" s="449">
        <v>0</v>
      </c>
      <c r="O437" s="449">
        <v>0</v>
      </c>
      <c r="P437" s="449">
        <v>0</v>
      </c>
      <c r="Q437" s="449">
        <v>0</v>
      </c>
      <c r="R437" s="449">
        <f>($H437-SUM($L437:Q437))/R$694</f>
        <v>0</v>
      </c>
      <c r="S437" s="449">
        <f>($H437-SUM($L437:R437))/S$694</f>
        <v>0</v>
      </c>
      <c r="T437" s="449">
        <f>($H437-SUM($L437:S437))/T$694</f>
        <v>0</v>
      </c>
      <c r="U437" s="449">
        <f>($H437-SUM($L437:T437))/U$694</f>
        <v>0</v>
      </c>
      <c r="V437" s="449">
        <f>($H437-SUM($L437:U437))/V$694</f>
        <v>0</v>
      </c>
      <c r="W437" s="449">
        <f>($H437-SUM($L437:V437))/W$694</f>
        <v>0</v>
      </c>
      <c r="X437" s="449"/>
      <c r="Y437" s="449">
        <f t="shared" si="344"/>
        <v>0</v>
      </c>
      <c r="Z437" s="531"/>
      <c r="AA437" s="449">
        <f t="shared" si="360"/>
        <v>0</v>
      </c>
      <c r="AB437" s="449">
        <f t="shared" si="360"/>
        <v>0</v>
      </c>
      <c r="AC437" s="449">
        <f t="shared" si="360"/>
        <v>0</v>
      </c>
      <c r="AD437" s="449">
        <f t="shared" si="360"/>
        <v>0</v>
      </c>
      <c r="AE437" s="449">
        <f t="shared" si="360"/>
        <v>0</v>
      </c>
      <c r="AF437" s="449">
        <f t="shared" si="360"/>
        <v>0</v>
      </c>
      <c r="AG437" s="449">
        <f t="shared" si="360"/>
        <v>0</v>
      </c>
      <c r="AH437" s="449">
        <f t="shared" si="360"/>
        <v>0</v>
      </c>
      <c r="AI437" s="449">
        <f t="shared" si="360"/>
        <v>0</v>
      </c>
      <c r="AJ437" s="449">
        <f t="shared" si="360"/>
        <v>0</v>
      </c>
      <c r="AK437" s="449">
        <f t="shared" si="360"/>
        <v>0</v>
      </c>
      <c r="AL437" s="449">
        <f t="shared" si="360"/>
        <v>0</v>
      </c>
      <c r="AN437" s="500">
        <f t="shared" si="359"/>
        <v>0</v>
      </c>
      <c r="AO437" s="449">
        <f t="shared" si="347"/>
        <v>0</v>
      </c>
      <c r="AP437" s="449">
        <f t="shared" si="348"/>
        <v>0</v>
      </c>
      <c r="AQ437" s="453" t="str">
        <f t="shared" si="349"/>
        <v>-</v>
      </c>
      <c r="AR437" s="449">
        <f t="shared" si="350"/>
        <v>0</v>
      </c>
      <c r="AS437" s="449">
        <f t="shared" si="351"/>
        <v>0</v>
      </c>
      <c r="AT437" s="426">
        <f t="shared" si="352"/>
        <v>0</v>
      </c>
      <c r="AU437" s="421"/>
      <c r="AV437" s="449">
        <f t="shared" si="356"/>
        <v>0</v>
      </c>
      <c r="AW437" s="449">
        <f t="shared" si="356"/>
        <v>0</v>
      </c>
      <c r="AX437" s="449">
        <f t="shared" si="356"/>
        <v>0</v>
      </c>
      <c r="AY437" s="449">
        <f t="shared" si="356"/>
        <v>0</v>
      </c>
      <c r="AZ437" s="449">
        <f t="shared" si="356"/>
        <v>0</v>
      </c>
      <c r="BA437" s="449">
        <f t="shared" si="356"/>
        <v>0</v>
      </c>
      <c r="BB437" s="449">
        <f t="shared" si="356"/>
        <v>0</v>
      </c>
      <c r="BC437" s="449">
        <f t="shared" si="356"/>
        <v>0</v>
      </c>
      <c r="BD437" s="449">
        <f t="shared" si="356"/>
        <v>0</v>
      </c>
      <c r="BE437" s="449">
        <f t="shared" si="356"/>
        <v>0</v>
      </c>
      <c r="BF437" s="449">
        <f t="shared" si="356"/>
        <v>0</v>
      </c>
      <c r="BG437" s="449">
        <f t="shared" si="356"/>
        <v>0</v>
      </c>
      <c r="BH437" s="400"/>
      <c r="BI437" s="449">
        <v>0</v>
      </c>
      <c r="BJ437" s="449">
        <v>0</v>
      </c>
      <c r="BK437" s="449">
        <v>0</v>
      </c>
      <c r="BL437" s="449">
        <v>0</v>
      </c>
      <c r="BM437" s="449">
        <v>0</v>
      </c>
      <c r="BN437" s="449">
        <v>0</v>
      </c>
      <c r="BO437" s="449">
        <v>0</v>
      </c>
      <c r="BP437" s="449">
        <v>0</v>
      </c>
      <c r="BQ437" s="449">
        <v>0</v>
      </c>
      <c r="BR437" s="449">
        <v>0</v>
      </c>
      <c r="BS437" s="449">
        <v>0</v>
      </c>
      <c r="BT437" s="449">
        <v>0</v>
      </c>
    </row>
    <row r="438" spans="1:72" ht="15" x14ac:dyDescent="0.25">
      <c r="A438" s="502" t="s">
        <v>741</v>
      </c>
      <c r="B438" s="502" t="s">
        <v>742</v>
      </c>
      <c r="C438" s="541"/>
      <c r="D438" s="500">
        <f t="shared" si="339"/>
        <v>6762</v>
      </c>
      <c r="E438" s="449">
        <v>6762</v>
      </c>
      <c r="F438" s="449">
        <f t="shared" si="340"/>
        <v>0</v>
      </c>
      <c r="G438" s="421">
        <f t="shared" si="341"/>
        <v>0</v>
      </c>
      <c r="H438" s="449">
        <v>6762</v>
      </c>
      <c r="I438" s="449">
        <f t="shared" si="342"/>
        <v>0</v>
      </c>
      <c r="J438" s="426">
        <f t="shared" si="343"/>
        <v>0</v>
      </c>
      <c r="K438" s="421"/>
      <c r="L438" s="449">
        <v>196.15</v>
      </c>
      <c r="M438" s="449">
        <v>379.23</v>
      </c>
      <c r="N438" s="449">
        <v>274.62</v>
      </c>
      <c r="O438" s="449">
        <v>381.53999999999996</v>
      </c>
      <c r="P438" s="449">
        <v>261.53999999999996</v>
      </c>
      <c r="Q438" s="449">
        <v>326.92000000000007</v>
      </c>
      <c r="R438" s="449">
        <f>($H438-SUM($L438:Q438))/R$694</f>
        <v>823.66666666666663</v>
      </c>
      <c r="S438" s="449">
        <f>($H438-SUM($L438:R438))/S$694</f>
        <v>823.66666666666674</v>
      </c>
      <c r="T438" s="449">
        <f>($H438-SUM($L438:S438))/T$694</f>
        <v>823.66666666666674</v>
      </c>
      <c r="U438" s="449">
        <f>($H438-SUM($L438:T438))/U$694</f>
        <v>823.66666666666663</v>
      </c>
      <c r="V438" s="449">
        <f>($H438-SUM($L438:U438))/V$694</f>
        <v>823.66666666666652</v>
      </c>
      <c r="W438" s="449">
        <f>($H438-SUM($L438:V438))/W$694</f>
        <v>823.66666666666606</v>
      </c>
      <c r="X438" s="449"/>
      <c r="Y438" s="449">
        <f t="shared" si="344"/>
        <v>6762</v>
      </c>
      <c r="Z438" s="531"/>
      <c r="AA438" s="449">
        <f t="shared" si="360"/>
        <v>563.5</v>
      </c>
      <c r="AB438" s="449">
        <f t="shared" si="360"/>
        <v>563.5</v>
      </c>
      <c r="AC438" s="449">
        <f t="shared" si="360"/>
        <v>563.5</v>
      </c>
      <c r="AD438" s="449">
        <f t="shared" si="360"/>
        <v>563.5</v>
      </c>
      <c r="AE438" s="449">
        <f t="shared" si="360"/>
        <v>563.5</v>
      </c>
      <c r="AF438" s="449">
        <f t="shared" si="360"/>
        <v>563.5</v>
      </c>
      <c r="AG438" s="449">
        <f t="shared" si="360"/>
        <v>563.5</v>
      </c>
      <c r="AH438" s="449">
        <f t="shared" si="360"/>
        <v>563.5</v>
      </c>
      <c r="AI438" s="449">
        <f t="shared" si="360"/>
        <v>563.5</v>
      </c>
      <c r="AJ438" s="449">
        <f t="shared" si="360"/>
        <v>563.5</v>
      </c>
      <c r="AK438" s="449">
        <f t="shared" si="360"/>
        <v>563.5</v>
      </c>
      <c r="AL438" s="449">
        <f t="shared" si="360"/>
        <v>563.5</v>
      </c>
      <c r="AN438" s="500">
        <f t="shared" si="359"/>
        <v>6762</v>
      </c>
      <c r="AO438" s="449">
        <f t="shared" si="347"/>
        <v>3535.9999999999995</v>
      </c>
      <c r="AP438" s="449">
        <f t="shared" si="348"/>
        <v>-3226.0000000000005</v>
      </c>
      <c r="AQ438" s="453">
        <f t="shared" si="349"/>
        <v>-0.47707778763679393</v>
      </c>
      <c r="AR438" s="449">
        <f t="shared" si="350"/>
        <v>3535.9999999999995</v>
      </c>
      <c r="AS438" s="449">
        <f t="shared" si="351"/>
        <v>0</v>
      </c>
      <c r="AT438" s="426">
        <f t="shared" si="352"/>
        <v>0</v>
      </c>
      <c r="AU438" s="421"/>
      <c r="AV438" s="449">
        <f t="shared" si="356"/>
        <v>294.66666666666669</v>
      </c>
      <c r="AW438" s="449">
        <f t="shared" si="356"/>
        <v>294.66666666666669</v>
      </c>
      <c r="AX438" s="449">
        <f t="shared" si="356"/>
        <v>294.66666666666669</v>
      </c>
      <c r="AY438" s="449">
        <f t="shared" si="356"/>
        <v>294.66666666666669</v>
      </c>
      <c r="AZ438" s="449">
        <f t="shared" si="356"/>
        <v>294.66666666666669</v>
      </c>
      <c r="BA438" s="449">
        <f t="shared" si="356"/>
        <v>294.66666666666669</v>
      </c>
      <c r="BB438" s="449">
        <f t="shared" si="356"/>
        <v>294.66666666666669</v>
      </c>
      <c r="BC438" s="449">
        <f t="shared" si="356"/>
        <v>294.66666666666669</v>
      </c>
      <c r="BD438" s="449">
        <f t="shared" si="356"/>
        <v>294.66666666666669</v>
      </c>
      <c r="BE438" s="449">
        <f t="shared" si="356"/>
        <v>294.66666666666669</v>
      </c>
      <c r="BF438" s="449">
        <f t="shared" si="356"/>
        <v>294.66666666666669</v>
      </c>
      <c r="BG438" s="449">
        <f t="shared" si="356"/>
        <v>294.66666666666669</v>
      </c>
      <c r="BH438" s="400"/>
      <c r="BI438" s="449">
        <f>SUM('FY19 Staffing V1-1 (3)'!$S$215)/12</f>
        <v>294.66666666666669</v>
      </c>
      <c r="BJ438" s="449">
        <f>SUM('FY19 Staffing V1-1 (3)'!$S$215)/12</f>
        <v>294.66666666666669</v>
      </c>
      <c r="BK438" s="449">
        <f>SUM('FY19 Staffing V1-1 (3)'!$S$215)/12</f>
        <v>294.66666666666669</v>
      </c>
      <c r="BL438" s="449">
        <f>SUM('FY19 Staffing V1-1 (3)'!$S$215)/12</f>
        <v>294.66666666666669</v>
      </c>
      <c r="BM438" s="449">
        <f>SUM('FY19 Staffing V1-1 (3)'!$S$215)/12</f>
        <v>294.66666666666669</v>
      </c>
      <c r="BN438" s="449">
        <f>SUM('FY19 Staffing V1-1 (3)'!$S$215)/12</f>
        <v>294.66666666666669</v>
      </c>
      <c r="BO438" s="449">
        <f>SUM('FY19 Staffing V1-1 (3)'!$S$215)/12</f>
        <v>294.66666666666669</v>
      </c>
      <c r="BP438" s="449">
        <f>SUM('FY19 Staffing V1-1 (3)'!$S$215)/12</f>
        <v>294.66666666666669</v>
      </c>
      <c r="BQ438" s="449">
        <f>SUM('FY19 Staffing V1-1 (3)'!$S$215)/12</f>
        <v>294.66666666666669</v>
      </c>
      <c r="BR438" s="449">
        <f>SUM('FY19 Staffing V1-1 (3)'!$S$215)/12</f>
        <v>294.66666666666669</v>
      </c>
      <c r="BS438" s="449">
        <f>SUM('FY19 Staffing V1-1 (3)'!$S$215)/12</f>
        <v>294.66666666666669</v>
      </c>
      <c r="BT438" s="449">
        <f>SUM('FY19 Staffing V1-1 (3)'!$S$215)/12</f>
        <v>294.66666666666669</v>
      </c>
    </row>
    <row r="439" spans="1:72" ht="15" x14ac:dyDescent="0.25">
      <c r="A439" s="502" t="s">
        <v>743</v>
      </c>
      <c r="B439" s="502" t="s">
        <v>744</v>
      </c>
      <c r="C439" s="541"/>
      <c r="D439" s="500">
        <f t="shared" si="339"/>
        <v>0</v>
      </c>
      <c r="E439" s="449">
        <v>0</v>
      </c>
      <c r="F439" s="449">
        <f t="shared" si="340"/>
        <v>0</v>
      </c>
      <c r="G439" s="421">
        <f t="shared" si="341"/>
        <v>0</v>
      </c>
      <c r="H439" s="449">
        <v>0</v>
      </c>
      <c r="I439" s="449">
        <f t="shared" si="342"/>
        <v>0</v>
      </c>
      <c r="J439" s="426">
        <f t="shared" si="343"/>
        <v>0</v>
      </c>
      <c r="K439" s="421"/>
      <c r="L439" s="449">
        <v>0</v>
      </c>
      <c r="M439" s="449">
        <v>0</v>
      </c>
      <c r="N439" s="449">
        <v>0</v>
      </c>
      <c r="O439" s="449">
        <v>0</v>
      </c>
      <c r="P439" s="449">
        <v>0</v>
      </c>
      <c r="Q439" s="449">
        <v>0</v>
      </c>
      <c r="R439" s="449">
        <f>($H439-SUM($L439:Q439))/R$694</f>
        <v>0</v>
      </c>
      <c r="S439" s="449">
        <f>($H439-SUM($L439:R439))/S$694</f>
        <v>0</v>
      </c>
      <c r="T439" s="449">
        <f>($H439-SUM($L439:S439))/T$694</f>
        <v>0</v>
      </c>
      <c r="U439" s="449">
        <f>($H439-SUM($L439:T439))/U$694</f>
        <v>0</v>
      </c>
      <c r="V439" s="449">
        <f>($H439-SUM($L439:U439))/V$694</f>
        <v>0</v>
      </c>
      <c r="W439" s="449">
        <f>($H439-SUM($L439:V439))/W$694</f>
        <v>0</v>
      </c>
      <c r="X439" s="449"/>
      <c r="Y439" s="449">
        <f t="shared" si="344"/>
        <v>0</v>
      </c>
      <c r="Z439" s="531"/>
      <c r="AA439" s="449">
        <f t="shared" si="360"/>
        <v>0</v>
      </c>
      <c r="AB439" s="449">
        <f t="shared" si="360"/>
        <v>0</v>
      </c>
      <c r="AC439" s="449">
        <f t="shared" si="360"/>
        <v>0</v>
      </c>
      <c r="AD439" s="449">
        <f t="shared" si="360"/>
        <v>0</v>
      </c>
      <c r="AE439" s="449">
        <f t="shared" si="360"/>
        <v>0</v>
      </c>
      <c r="AF439" s="449">
        <f t="shared" si="360"/>
        <v>0</v>
      </c>
      <c r="AG439" s="449">
        <f t="shared" si="360"/>
        <v>0</v>
      </c>
      <c r="AH439" s="449">
        <f t="shared" si="360"/>
        <v>0</v>
      </c>
      <c r="AI439" s="449">
        <f t="shared" si="360"/>
        <v>0</v>
      </c>
      <c r="AJ439" s="449">
        <f t="shared" si="360"/>
        <v>0</v>
      </c>
      <c r="AK439" s="449">
        <f t="shared" si="360"/>
        <v>0</v>
      </c>
      <c r="AL439" s="449">
        <f t="shared" si="360"/>
        <v>0</v>
      </c>
      <c r="AN439" s="500">
        <f t="shared" si="359"/>
        <v>0</v>
      </c>
      <c r="AO439" s="449">
        <f t="shared" si="347"/>
        <v>3619.1999999999994</v>
      </c>
      <c r="AP439" s="449">
        <f t="shared" si="348"/>
        <v>3619.1999999999994</v>
      </c>
      <c r="AQ439" s="453" t="str">
        <f t="shared" si="349"/>
        <v>-</v>
      </c>
      <c r="AR439" s="449">
        <f t="shared" si="350"/>
        <v>3619.1999999999994</v>
      </c>
      <c r="AS439" s="449">
        <f t="shared" si="351"/>
        <v>0</v>
      </c>
      <c r="AT439" s="426">
        <f t="shared" si="352"/>
        <v>0</v>
      </c>
      <c r="AU439" s="421"/>
      <c r="AV439" s="449">
        <f t="shared" si="356"/>
        <v>301.59999999999997</v>
      </c>
      <c r="AW439" s="449">
        <f t="shared" si="356"/>
        <v>301.59999999999997</v>
      </c>
      <c r="AX439" s="449">
        <f t="shared" si="356"/>
        <v>301.59999999999997</v>
      </c>
      <c r="AY439" s="449">
        <f t="shared" si="356"/>
        <v>301.59999999999997</v>
      </c>
      <c r="AZ439" s="449">
        <f t="shared" si="356"/>
        <v>301.59999999999997</v>
      </c>
      <c r="BA439" s="449">
        <f t="shared" si="356"/>
        <v>301.59999999999997</v>
      </c>
      <c r="BB439" s="449">
        <f t="shared" si="356"/>
        <v>301.59999999999997</v>
      </c>
      <c r="BC439" s="449">
        <f t="shared" si="356"/>
        <v>301.59999999999997</v>
      </c>
      <c r="BD439" s="449">
        <f t="shared" si="356"/>
        <v>301.59999999999997</v>
      </c>
      <c r="BE439" s="449">
        <f t="shared" si="356"/>
        <v>301.59999999999997</v>
      </c>
      <c r="BF439" s="449">
        <f t="shared" si="356"/>
        <v>301.59999999999997</v>
      </c>
      <c r="BG439" s="449">
        <f t="shared" si="356"/>
        <v>301.59999999999997</v>
      </c>
      <c r="BH439" s="400"/>
      <c r="BI439" s="449">
        <f>SUM('FY19 Staffing V1-1 (3)'!$S$216)/12</f>
        <v>301.59999999999997</v>
      </c>
      <c r="BJ439" s="449">
        <f>SUM('FY19 Staffing V1-1 (3)'!$S$216)/12</f>
        <v>301.59999999999997</v>
      </c>
      <c r="BK439" s="449">
        <f>SUM('FY19 Staffing V1-1 (3)'!$S$216)/12</f>
        <v>301.59999999999997</v>
      </c>
      <c r="BL439" s="449">
        <f>SUM('FY19 Staffing V1-1 (3)'!$S$216)/12</f>
        <v>301.59999999999997</v>
      </c>
      <c r="BM439" s="449">
        <f>SUM('FY19 Staffing V1-1 (3)'!$S$216)/12</f>
        <v>301.59999999999997</v>
      </c>
      <c r="BN439" s="449">
        <f>SUM('FY19 Staffing V1-1 (3)'!$S$216)/12</f>
        <v>301.59999999999997</v>
      </c>
      <c r="BO439" s="449">
        <f>SUM('FY19 Staffing V1-1 (3)'!$S$216)/12</f>
        <v>301.59999999999997</v>
      </c>
      <c r="BP439" s="449">
        <f>SUM('FY19 Staffing V1-1 (3)'!$S$216)/12</f>
        <v>301.59999999999997</v>
      </c>
      <c r="BQ439" s="449">
        <f>SUM('FY19 Staffing V1-1 (3)'!$S$216)/12</f>
        <v>301.59999999999997</v>
      </c>
      <c r="BR439" s="449">
        <f>SUM('FY19 Staffing V1-1 (3)'!$S$216)/12</f>
        <v>301.59999999999997</v>
      </c>
      <c r="BS439" s="449">
        <f>SUM('FY19 Staffing V1-1 (3)'!$S$216)/12</f>
        <v>301.59999999999997</v>
      </c>
      <c r="BT439" s="449">
        <f>SUM('FY19 Staffing V1-1 (3)'!$S$216)/12</f>
        <v>301.59999999999997</v>
      </c>
    </row>
    <row r="440" spans="1:72" ht="15" x14ac:dyDescent="0.25">
      <c r="A440" s="502" t="s">
        <v>745</v>
      </c>
      <c r="B440" s="502" t="s">
        <v>746</v>
      </c>
      <c r="C440" s="541"/>
      <c r="D440" s="500">
        <f t="shared" si="339"/>
        <v>2480</v>
      </c>
      <c r="E440" s="449">
        <v>2480</v>
      </c>
      <c r="F440" s="449">
        <f t="shared" si="340"/>
        <v>0</v>
      </c>
      <c r="G440" s="421">
        <f t="shared" si="341"/>
        <v>0</v>
      </c>
      <c r="H440" s="449">
        <v>2480</v>
      </c>
      <c r="I440" s="449">
        <f t="shared" si="342"/>
        <v>0</v>
      </c>
      <c r="J440" s="426">
        <f t="shared" si="343"/>
        <v>0</v>
      </c>
      <c r="K440" s="421"/>
      <c r="L440" s="449">
        <v>143.06</v>
      </c>
      <c r="M440" s="449">
        <v>276.60000000000002</v>
      </c>
      <c r="N440" s="449">
        <v>200.3</v>
      </c>
      <c r="O440" s="449">
        <v>310.76</v>
      </c>
      <c r="P440" s="449">
        <v>190.76</v>
      </c>
      <c r="Q440" s="449">
        <v>238.45000000000005</v>
      </c>
      <c r="R440" s="449">
        <f>($H440-SUM($L440:Q440))/R$694</f>
        <v>186.67833333333331</v>
      </c>
      <c r="S440" s="449">
        <f>($H440-SUM($L440:R440))/S$694</f>
        <v>186.67833333333334</v>
      </c>
      <c r="T440" s="449">
        <f>($H440-SUM($L440:S440))/T$694</f>
        <v>186.67833333333334</v>
      </c>
      <c r="U440" s="449">
        <f>($H440-SUM($L440:T440))/U$694</f>
        <v>186.67833333333337</v>
      </c>
      <c r="V440" s="449">
        <f>($H440-SUM($L440:U440))/V$694</f>
        <v>186.67833333333328</v>
      </c>
      <c r="W440" s="449">
        <f>($H440-SUM($L440:V440))/W$694</f>
        <v>186.67833333333328</v>
      </c>
      <c r="X440" s="449"/>
      <c r="Y440" s="449">
        <f t="shared" si="344"/>
        <v>2480</v>
      </c>
      <c r="Z440" s="531"/>
      <c r="AA440" s="449">
        <f t="shared" si="360"/>
        <v>206.66666666666666</v>
      </c>
      <c r="AB440" s="449">
        <f t="shared" si="360"/>
        <v>206.66666666666666</v>
      </c>
      <c r="AC440" s="449">
        <f t="shared" si="360"/>
        <v>206.66666666666666</v>
      </c>
      <c r="AD440" s="449">
        <f t="shared" si="360"/>
        <v>206.66666666666666</v>
      </c>
      <c r="AE440" s="449">
        <f t="shared" si="360"/>
        <v>206.66666666666666</v>
      </c>
      <c r="AF440" s="449">
        <f t="shared" si="360"/>
        <v>206.66666666666666</v>
      </c>
      <c r="AG440" s="449">
        <f t="shared" si="360"/>
        <v>206.66666666666666</v>
      </c>
      <c r="AH440" s="449">
        <f t="shared" si="360"/>
        <v>206.66666666666666</v>
      </c>
      <c r="AI440" s="449">
        <f t="shared" si="360"/>
        <v>206.66666666666666</v>
      </c>
      <c r="AJ440" s="449">
        <f t="shared" si="360"/>
        <v>206.66666666666666</v>
      </c>
      <c r="AK440" s="449">
        <f t="shared" si="360"/>
        <v>206.66666666666666</v>
      </c>
      <c r="AL440" s="449">
        <f t="shared" si="360"/>
        <v>206.66666666666666</v>
      </c>
      <c r="AN440" s="500">
        <f t="shared" si="359"/>
        <v>2480</v>
      </c>
      <c r="AO440" s="449">
        <f t="shared" si="347"/>
        <v>2554.400000000001</v>
      </c>
      <c r="AP440" s="449">
        <f t="shared" si="348"/>
        <v>74.400000000001</v>
      </c>
      <c r="AQ440" s="453">
        <f t="shared" si="349"/>
        <v>3.0000000000000405E-2</v>
      </c>
      <c r="AR440" s="449">
        <f t="shared" si="350"/>
        <v>2554.400000000001</v>
      </c>
      <c r="AS440" s="449">
        <f t="shared" si="351"/>
        <v>0</v>
      </c>
      <c r="AT440" s="426">
        <f t="shared" si="352"/>
        <v>0</v>
      </c>
      <c r="AU440" s="421"/>
      <c r="AV440" s="449">
        <f t="shared" si="356"/>
        <v>212.86666666666667</v>
      </c>
      <c r="AW440" s="449">
        <f t="shared" si="356"/>
        <v>212.86666666666667</v>
      </c>
      <c r="AX440" s="449">
        <f t="shared" si="356"/>
        <v>212.86666666666667</v>
      </c>
      <c r="AY440" s="449">
        <f t="shared" si="356"/>
        <v>212.86666666666667</v>
      </c>
      <c r="AZ440" s="449">
        <f t="shared" si="356"/>
        <v>212.86666666666667</v>
      </c>
      <c r="BA440" s="449">
        <f t="shared" si="356"/>
        <v>212.86666666666667</v>
      </c>
      <c r="BB440" s="449">
        <f t="shared" ref="BB440:BG455" si="361">BO440</f>
        <v>212.86666666666667</v>
      </c>
      <c r="BC440" s="449">
        <f t="shared" si="361"/>
        <v>212.86666666666667</v>
      </c>
      <c r="BD440" s="449">
        <f t="shared" si="361"/>
        <v>212.86666666666667</v>
      </c>
      <c r="BE440" s="449">
        <f t="shared" si="361"/>
        <v>212.86666666666667</v>
      </c>
      <c r="BF440" s="449">
        <f t="shared" si="361"/>
        <v>212.86666666666667</v>
      </c>
      <c r="BG440" s="449">
        <f t="shared" si="361"/>
        <v>212.86666666666667</v>
      </c>
      <c r="BH440" s="400"/>
      <c r="BI440" s="449">
        <f>SUM('FY19 Staffing V1-1 (3)'!$S$217)/12</f>
        <v>212.86666666666667</v>
      </c>
      <c r="BJ440" s="449">
        <f>SUM('FY19 Staffing V1-1 (3)'!$S$217)/12</f>
        <v>212.86666666666667</v>
      </c>
      <c r="BK440" s="449">
        <f>SUM('FY19 Staffing V1-1 (3)'!$S$217)/12</f>
        <v>212.86666666666667</v>
      </c>
      <c r="BL440" s="449">
        <f>SUM('FY19 Staffing V1-1 (3)'!$S$217)/12</f>
        <v>212.86666666666667</v>
      </c>
      <c r="BM440" s="449">
        <f>SUM('FY19 Staffing V1-1 (3)'!$S$217)/12</f>
        <v>212.86666666666667</v>
      </c>
      <c r="BN440" s="449">
        <f>SUM('FY19 Staffing V1-1 (3)'!$S$217)/12</f>
        <v>212.86666666666667</v>
      </c>
      <c r="BO440" s="449">
        <f>SUM('FY19 Staffing V1-1 (3)'!$S$217)/12</f>
        <v>212.86666666666667</v>
      </c>
      <c r="BP440" s="449">
        <f>SUM('FY19 Staffing V1-1 (3)'!$S$217)/12</f>
        <v>212.86666666666667</v>
      </c>
      <c r="BQ440" s="449">
        <f>SUM('FY19 Staffing V1-1 (3)'!$S$217)/12</f>
        <v>212.86666666666667</v>
      </c>
      <c r="BR440" s="449">
        <f>SUM('FY19 Staffing V1-1 (3)'!$S$217)/12</f>
        <v>212.86666666666667</v>
      </c>
      <c r="BS440" s="449">
        <f>SUM('FY19 Staffing V1-1 (3)'!$S$217)/12</f>
        <v>212.86666666666667</v>
      </c>
      <c r="BT440" s="449">
        <f>SUM('FY19 Staffing V1-1 (3)'!$S$217)/12</f>
        <v>212.86666666666667</v>
      </c>
    </row>
    <row r="441" spans="1:72" ht="15" x14ac:dyDescent="0.25">
      <c r="A441" s="502" t="s">
        <v>747</v>
      </c>
      <c r="B441" s="502" t="s">
        <v>748</v>
      </c>
      <c r="C441" s="541"/>
      <c r="D441" s="500">
        <f t="shared" si="339"/>
        <v>2760</v>
      </c>
      <c r="E441" s="449">
        <v>4960</v>
      </c>
      <c r="F441" s="449">
        <f t="shared" si="340"/>
        <v>-2200</v>
      </c>
      <c r="G441" s="421">
        <f t="shared" si="341"/>
        <v>-0.44354838709677419</v>
      </c>
      <c r="H441" s="449">
        <v>2760</v>
      </c>
      <c r="I441" s="449">
        <f t="shared" si="342"/>
        <v>0</v>
      </c>
      <c r="J441" s="426">
        <f t="shared" si="343"/>
        <v>0</v>
      </c>
      <c r="K441" s="421"/>
      <c r="L441" s="449">
        <v>0</v>
      </c>
      <c r="M441" s="449">
        <v>307.83999999999997</v>
      </c>
      <c r="N441" s="449">
        <v>222.91000000000003</v>
      </c>
      <c r="O441" s="449">
        <v>212.27999999999997</v>
      </c>
      <c r="P441" s="449">
        <v>212.26999999999998</v>
      </c>
      <c r="Q441" s="449">
        <v>265.37000000000012</v>
      </c>
      <c r="R441" s="449">
        <f>($H441-SUM($L441:Q441))/R$694</f>
        <v>256.55500000000001</v>
      </c>
      <c r="S441" s="449">
        <f>($H441-SUM($L441:R441))/S$694</f>
        <v>256.55499999999995</v>
      </c>
      <c r="T441" s="449">
        <f>($H441-SUM($L441:S441))/T$694</f>
        <v>256.55499999999995</v>
      </c>
      <c r="U441" s="449">
        <f>($H441-SUM($L441:T441))/U$694</f>
        <v>256.55500000000001</v>
      </c>
      <c r="V441" s="449">
        <f>($H441-SUM($L441:U441))/V$694</f>
        <v>256.55500000000006</v>
      </c>
      <c r="W441" s="449">
        <f>($H441-SUM($L441:V441))/W$694</f>
        <v>256.55500000000029</v>
      </c>
      <c r="X441" s="449"/>
      <c r="Y441" s="449">
        <f t="shared" si="344"/>
        <v>2760</v>
      </c>
      <c r="Z441" s="531"/>
      <c r="AA441" s="449">
        <f t="shared" si="360"/>
        <v>230</v>
      </c>
      <c r="AB441" s="449">
        <f t="shared" si="360"/>
        <v>230</v>
      </c>
      <c r="AC441" s="449">
        <f t="shared" si="360"/>
        <v>230</v>
      </c>
      <c r="AD441" s="449">
        <f t="shared" si="360"/>
        <v>230</v>
      </c>
      <c r="AE441" s="449">
        <f t="shared" si="360"/>
        <v>230</v>
      </c>
      <c r="AF441" s="449">
        <f t="shared" si="360"/>
        <v>230</v>
      </c>
      <c r="AG441" s="449">
        <f t="shared" si="360"/>
        <v>230</v>
      </c>
      <c r="AH441" s="449">
        <f t="shared" si="360"/>
        <v>230</v>
      </c>
      <c r="AI441" s="449">
        <f t="shared" si="360"/>
        <v>230</v>
      </c>
      <c r="AJ441" s="449">
        <f t="shared" si="360"/>
        <v>230</v>
      </c>
      <c r="AK441" s="449">
        <f t="shared" si="360"/>
        <v>230</v>
      </c>
      <c r="AL441" s="449">
        <f t="shared" si="360"/>
        <v>230</v>
      </c>
      <c r="AN441" s="500">
        <f t="shared" si="359"/>
        <v>2760</v>
      </c>
      <c r="AO441" s="449">
        <f t="shared" si="347"/>
        <v>5642.800000000002</v>
      </c>
      <c r="AP441" s="449">
        <f t="shared" si="348"/>
        <v>2882.800000000002</v>
      </c>
      <c r="AQ441" s="453">
        <f t="shared" si="349"/>
        <v>1.0444927536231892</v>
      </c>
      <c r="AR441" s="449">
        <f t="shared" si="350"/>
        <v>5642.800000000002</v>
      </c>
      <c r="AS441" s="449">
        <f t="shared" si="351"/>
        <v>0</v>
      </c>
      <c r="AT441" s="426">
        <f t="shared" si="352"/>
        <v>0</v>
      </c>
      <c r="AU441" s="421"/>
      <c r="AV441" s="449">
        <f t="shared" ref="AV441:BA455" si="362">BI441</f>
        <v>470.23333333333335</v>
      </c>
      <c r="AW441" s="449">
        <f t="shared" si="362"/>
        <v>470.23333333333335</v>
      </c>
      <c r="AX441" s="449">
        <f t="shared" si="362"/>
        <v>470.23333333333335</v>
      </c>
      <c r="AY441" s="449">
        <f t="shared" si="362"/>
        <v>470.23333333333335</v>
      </c>
      <c r="AZ441" s="449">
        <f t="shared" si="362"/>
        <v>470.23333333333335</v>
      </c>
      <c r="BA441" s="449">
        <f t="shared" si="362"/>
        <v>470.23333333333335</v>
      </c>
      <c r="BB441" s="449">
        <f t="shared" si="361"/>
        <v>470.23333333333335</v>
      </c>
      <c r="BC441" s="449">
        <f t="shared" si="361"/>
        <v>470.23333333333335</v>
      </c>
      <c r="BD441" s="449">
        <f t="shared" si="361"/>
        <v>470.23333333333335</v>
      </c>
      <c r="BE441" s="449">
        <f t="shared" si="361"/>
        <v>470.23333333333335</v>
      </c>
      <c r="BF441" s="449">
        <f t="shared" si="361"/>
        <v>470.23333333333335</v>
      </c>
      <c r="BG441" s="449">
        <f t="shared" si="361"/>
        <v>470.23333333333335</v>
      </c>
      <c r="BH441" s="400"/>
      <c r="BI441" s="449">
        <f>SUM('FY19 Staffing V1-1 (3)'!$S$218:$S$219)/12</f>
        <v>470.23333333333335</v>
      </c>
      <c r="BJ441" s="449">
        <f>SUM('FY19 Staffing V1-1 (3)'!$S$218:$S$219)/12</f>
        <v>470.23333333333335</v>
      </c>
      <c r="BK441" s="449">
        <f>SUM('FY19 Staffing V1-1 (3)'!$S$218:$S$219)/12</f>
        <v>470.23333333333335</v>
      </c>
      <c r="BL441" s="449">
        <f>SUM('FY19 Staffing V1-1 (3)'!$S$218:$S$219)/12</f>
        <v>470.23333333333335</v>
      </c>
      <c r="BM441" s="449">
        <f>SUM('FY19 Staffing V1-1 (3)'!$S$218:$S$219)/12</f>
        <v>470.23333333333335</v>
      </c>
      <c r="BN441" s="449">
        <f>SUM('FY19 Staffing V1-1 (3)'!$S$218:$S$219)/12</f>
        <v>470.23333333333335</v>
      </c>
      <c r="BO441" s="449">
        <f>SUM('FY19 Staffing V1-1 (3)'!$S$218:$S$219)/12</f>
        <v>470.23333333333335</v>
      </c>
      <c r="BP441" s="449">
        <f>SUM('FY19 Staffing V1-1 (3)'!$S$218:$S$219)/12</f>
        <v>470.23333333333335</v>
      </c>
      <c r="BQ441" s="449">
        <f>SUM('FY19 Staffing V1-1 (3)'!$S$218:$S$219)/12</f>
        <v>470.23333333333335</v>
      </c>
      <c r="BR441" s="449">
        <f>SUM('FY19 Staffing V1-1 (3)'!$S$218:$S$219)/12</f>
        <v>470.23333333333335</v>
      </c>
      <c r="BS441" s="449">
        <f>SUM('FY19 Staffing V1-1 (3)'!$S$218:$S$219)/12</f>
        <v>470.23333333333335</v>
      </c>
      <c r="BT441" s="449">
        <f>SUM('FY19 Staffing V1-1 (3)'!$S$218:$S$219)/12</f>
        <v>470.23333333333335</v>
      </c>
    </row>
    <row r="442" spans="1:72" ht="15" x14ac:dyDescent="0.25">
      <c r="A442" s="537" t="s">
        <v>749</v>
      </c>
      <c r="B442" s="537" t="s">
        <v>750</v>
      </c>
      <c r="C442" s="541"/>
      <c r="D442" s="500">
        <f>SUM(L442:W442)</f>
        <v>0</v>
      </c>
      <c r="E442" s="449">
        <v>0</v>
      </c>
      <c r="F442" s="449">
        <f t="shared" si="340"/>
        <v>0</v>
      </c>
      <c r="G442" s="421">
        <f t="shared" si="341"/>
        <v>0</v>
      </c>
      <c r="H442" s="449">
        <v>0</v>
      </c>
      <c r="I442" s="449">
        <f t="shared" si="342"/>
        <v>0</v>
      </c>
      <c r="J442" s="426">
        <f t="shared" si="343"/>
        <v>0</v>
      </c>
      <c r="K442" s="421"/>
      <c r="L442" s="449">
        <v>0</v>
      </c>
      <c r="M442" s="449">
        <v>0</v>
      </c>
      <c r="N442" s="449">
        <v>0</v>
      </c>
      <c r="O442" s="449">
        <v>0</v>
      </c>
      <c r="P442" s="449">
        <v>0</v>
      </c>
      <c r="Q442" s="449">
        <v>0</v>
      </c>
      <c r="R442" s="449">
        <f>($H442-SUM($L442:Q442))/R$694</f>
        <v>0</v>
      </c>
      <c r="S442" s="449">
        <f>($H442-SUM($L442:R442))/S$694</f>
        <v>0</v>
      </c>
      <c r="T442" s="449">
        <f>($H442-SUM($L442:S442))/T$694</f>
        <v>0</v>
      </c>
      <c r="U442" s="449">
        <f>($H442-SUM($L442:T442))/U$694</f>
        <v>0</v>
      </c>
      <c r="V442" s="449">
        <f>($H442-SUM($L442:U442))/V$694</f>
        <v>0</v>
      </c>
      <c r="W442" s="449">
        <f>($H442-SUM($L442:V442))/W$694</f>
        <v>0</v>
      </c>
      <c r="X442" s="449"/>
      <c r="Y442" s="449">
        <f t="shared" si="344"/>
        <v>0</v>
      </c>
      <c r="Z442" s="531"/>
      <c r="AA442" s="449">
        <f t="shared" si="360"/>
        <v>0</v>
      </c>
      <c r="AB442" s="449">
        <f t="shared" si="360"/>
        <v>0</v>
      </c>
      <c r="AC442" s="449">
        <f t="shared" si="360"/>
        <v>0</v>
      </c>
      <c r="AD442" s="449">
        <f t="shared" si="360"/>
        <v>0</v>
      </c>
      <c r="AE442" s="449">
        <f t="shared" si="360"/>
        <v>0</v>
      </c>
      <c r="AF442" s="449">
        <f t="shared" si="360"/>
        <v>0</v>
      </c>
      <c r="AG442" s="449">
        <f t="shared" si="360"/>
        <v>0</v>
      </c>
      <c r="AH442" s="449">
        <f t="shared" si="360"/>
        <v>0</v>
      </c>
      <c r="AI442" s="449">
        <f t="shared" si="360"/>
        <v>0</v>
      </c>
      <c r="AJ442" s="449">
        <f t="shared" si="360"/>
        <v>0</v>
      </c>
      <c r="AK442" s="449">
        <f t="shared" si="360"/>
        <v>0</v>
      </c>
      <c r="AL442" s="449">
        <f t="shared" si="360"/>
        <v>0</v>
      </c>
      <c r="AN442" s="500">
        <f>SUM(L442:W442)</f>
        <v>0</v>
      </c>
      <c r="AO442" s="449">
        <f>SUM(BI442:BT442)</f>
        <v>0</v>
      </c>
      <c r="AP442" s="449">
        <f t="shared" si="348"/>
        <v>0</v>
      </c>
      <c r="AQ442" s="453" t="str">
        <f t="shared" si="349"/>
        <v>-</v>
      </c>
      <c r="AR442" s="449">
        <f t="shared" si="350"/>
        <v>0</v>
      </c>
      <c r="AS442" s="449">
        <f t="shared" si="351"/>
        <v>0</v>
      </c>
      <c r="AT442" s="426">
        <f t="shared" si="352"/>
        <v>0</v>
      </c>
      <c r="AU442" s="421"/>
      <c r="AV442" s="449">
        <f t="shared" si="362"/>
        <v>0</v>
      </c>
      <c r="AW442" s="449">
        <f t="shared" si="362"/>
        <v>0</v>
      </c>
      <c r="AX442" s="449">
        <f t="shared" si="362"/>
        <v>0</v>
      </c>
      <c r="AY442" s="449">
        <f t="shared" si="362"/>
        <v>0</v>
      </c>
      <c r="AZ442" s="449">
        <f t="shared" si="362"/>
        <v>0</v>
      </c>
      <c r="BA442" s="449">
        <f t="shared" si="362"/>
        <v>0</v>
      </c>
      <c r="BB442" s="449">
        <f t="shared" si="361"/>
        <v>0</v>
      </c>
      <c r="BC442" s="449">
        <f t="shared" si="361"/>
        <v>0</v>
      </c>
      <c r="BD442" s="449">
        <f t="shared" si="361"/>
        <v>0</v>
      </c>
      <c r="BE442" s="449">
        <f t="shared" si="361"/>
        <v>0</v>
      </c>
      <c r="BF442" s="449">
        <f t="shared" si="361"/>
        <v>0</v>
      </c>
      <c r="BG442" s="449">
        <f t="shared" si="361"/>
        <v>0</v>
      </c>
      <c r="BH442" s="400"/>
      <c r="BI442" s="449">
        <v>0</v>
      </c>
      <c r="BJ442" s="449">
        <v>0</v>
      </c>
      <c r="BK442" s="449">
        <v>0</v>
      </c>
      <c r="BL442" s="449">
        <v>0</v>
      </c>
      <c r="BM442" s="449">
        <v>0</v>
      </c>
      <c r="BN442" s="449">
        <v>0</v>
      </c>
      <c r="BO442" s="449">
        <v>0</v>
      </c>
      <c r="BP442" s="449">
        <v>0</v>
      </c>
      <c r="BQ442" s="449">
        <v>0</v>
      </c>
      <c r="BR442" s="449">
        <v>0</v>
      </c>
      <c r="BS442" s="449">
        <v>0</v>
      </c>
      <c r="BT442" s="449">
        <v>0</v>
      </c>
    </row>
    <row r="443" spans="1:72" ht="15" x14ac:dyDescent="0.25">
      <c r="A443" s="502" t="s">
        <v>751</v>
      </c>
      <c r="B443" s="502" t="s">
        <v>752</v>
      </c>
      <c r="C443" s="541"/>
      <c r="D443" s="500">
        <f t="shared" si="339"/>
        <v>4492</v>
      </c>
      <c r="E443" s="449">
        <v>4492</v>
      </c>
      <c r="F443" s="449">
        <f t="shared" si="340"/>
        <v>0</v>
      </c>
      <c r="G443" s="421">
        <f t="shared" si="341"/>
        <v>0</v>
      </c>
      <c r="H443" s="449">
        <v>4492</v>
      </c>
      <c r="I443" s="449">
        <f t="shared" si="342"/>
        <v>0</v>
      </c>
      <c r="J443" s="426">
        <f t="shared" si="343"/>
        <v>0</v>
      </c>
      <c r="K443" s="421"/>
      <c r="L443" s="449">
        <v>140.54</v>
      </c>
      <c r="M443" s="449">
        <v>264.10000000000002</v>
      </c>
      <c r="N443" s="449">
        <v>242.83000000000004</v>
      </c>
      <c r="O443" s="449">
        <v>222.63</v>
      </c>
      <c r="P443" s="449">
        <v>112</v>
      </c>
      <c r="Q443" s="449">
        <v>65.739999999999895</v>
      </c>
      <c r="R443" s="449">
        <f>($H443-SUM($L443:Q443))/R$694</f>
        <v>574.02666666666664</v>
      </c>
      <c r="S443" s="449">
        <f>($H443-SUM($L443:R443))/S$694</f>
        <v>574.02666666666664</v>
      </c>
      <c r="T443" s="449">
        <f>($H443-SUM($L443:S443))/T$694</f>
        <v>574.02666666666664</v>
      </c>
      <c r="U443" s="449">
        <f>($H443-SUM($L443:T443))/U$694</f>
        <v>574.02666666666664</v>
      </c>
      <c r="V443" s="449">
        <f>($H443-SUM($L443:U443))/V$694</f>
        <v>574.02666666666664</v>
      </c>
      <c r="W443" s="449">
        <f>($H443-SUM($L443:V443))/W$694</f>
        <v>574.02666666666664</v>
      </c>
      <c r="X443" s="449"/>
      <c r="Y443" s="449">
        <f t="shared" si="344"/>
        <v>4492</v>
      </c>
      <c r="Z443" s="531"/>
      <c r="AA443" s="449">
        <f t="shared" si="360"/>
        <v>374.33333333333331</v>
      </c>
      <c r="AB443" s="449">
        <f t="shared" si="360"/>
        <v>374.33333333333331</v>
      </c>
      <c r="AC443" s="449">
        <f t="shared" si="360"/>
        <v>374.33333333333331</v>
      </c>
      <c r="AD443" s="449">
        <f t="shared" si="360"/>
        <v>374.33333333333331</v>
      </c>
      <c r="AE443" s="449">
        <f t="shared" si="360"/>
        <v>374.33333333333331</v>
      </c>
      <c r="AF443" s="449">
        <f t="shared" si="360"/>
        <v>374.33333333333331</v>
      </c>
      <c r="AG443" s="449">
        <f t="shared" si="360"/>
        <v>374.33333333333331</v>
      </c>
      <c r="AH443" s="449">
        <f t="shared" si="360"/>
        <v>374.33333333333331</v>
      </c>
      <c r="AI443" s="449">
        <f t="shared" si="360"/>
        <v>374.33333333333331</v>
      </c>
      <c r="AJ443" s="449">
        <f t="shared" si="360"/>
        <v>374.33333333333331</v>
      </c>
      <c r="AK443" s="449">
        <f t="shared" si="360"/>
        <v>374.33333333333331</v>
      </c>
      <c r="AL443" s="449">
        <f t="shared" si="360"/>
        <v>374.33333333333331</v>
      </c>
      <c r="AN443" s="500">
        <f t="shared" si="359"/>
        <v>4492</v>
      </c>
      <c r="AO443" s="449">
        <f t="shared" si="347"/>
        <v>1820.96</v>
      </c>
      <c r="AP443" s="449">
        <f t="shared" si="348"/>
        <v>-2671.04</v>
      </c>
      <c r="AQ443" s="453">
        <f t="shared" si="349"/>
        <v>-0.59462154942119327</v>
      </c>
      <c r="AR443" s="449">
        <f t="shared" si="350"/>
        <v>1820.96</v>
      </c>
      <c r="AS443" s="449">
        <f t="shared" si="351"/>
        <v>0</v>
      </c>
      <c r="AT443" s="426">
        <f t="shared" si="352"/>
        <v>0</v>
      </c>
      <c r="AU443" s="421"/>
      <c r="AV443" s="449">
        <f t="shared" si="362"/>
        <v>151.74666666666667</v>
      </c>
      <c r="AW443" s="449">
        <f t="shared" si="362"/>
        <v>151.74666666666667</v>
      </c>
      <c r="AX443" s="449">
        <f t="shared" si="362"/>
        <v>151.74666666666667</v>
      </c>
      <c r="AY443" s="449">
        <f t="shared" si="362"/>
        <v>151.74666666666667</v>
      </c>
      <c r="AZ443" s="449">
        <f t="shared" si="362"/>
        <v>151.74666666666667</v>
      </c>
      <c r="BA443" s="449">
        <f t="shared" si="362"/>
        <v>151.74666666666667</v>
      </c>
      <c r="BB443" s="449">
        <f t="shared" si="361"/>
        <v>151.74666666666667</v>
      </c>
      <c r="BC443" s="449">
        <f t="shared" si="361"/>
        <v>151.74666666666667</v>
      </c>
      <c r="BD443" s="449">
        <f t="shared" si="361"/>
        <v>151.74666666666667</v>
      </c>
      <c r="BE443" s="449">
        <f t="shared" si="361"/>
        <v>151.74666666666667</v>
      </c>
      <c r="BF443" s="449">
        <f t="shared" si="361"/>
        <v>151.74666666666667</v>
      </c>
      <c r="BG443" s="449">
        <f t="shared" si="361"/>
        <v>151.74666666666667</v>
      </c>
      <c r="BH443" s="400"/>
      <c r="BI443" s="449">
        <f>SUM('FY19 Staffing V1-1 (3)'!$S$276:$S$278)/12</f>
        <v>151.74666666666667</v>
      </c>
      <c r="BJ443" s="449">
        <f>SUM('FY19 Staffing V1-1 (3)'!$S$276:$S$278)/12</f>
        <v>151.74666666666667</v>
      </c>
      <c r="BK443" s="449">
        <f>SUM('FY19 Staffing V1-1 (3)'!$S$276:$S$278)/12</f>
        <v>151.74666666666667</v>
      </c>
      <c r="BL443" s="449">
        <f>SUM('FY19 Staffing V1-1 (3)'!$S$276:$S$278)/12</f>
        <v>151.74666666666667</v>
      </c>
      <c r="BM443" s="449">
        <f>SUM('FY19 Staffing V1-1 (3)'!$S$276:$S$278)/12</f>
        <v>151.74666666666667</v>
      </c>
      <c r="BN443" s="449">
        <f>SUM('FY19 Staffing V1-1 (3)'!$S$276:$S$278)/12</f>
        <v>151.74666666666667</v>
      </c>
      <c r="BO443" s="449">
        <f>SUM('FY19 Staffing V1-1 (3)'!$S$276:$S$278)/12</f>
        <v>151.74666666666667</v>
      </c>
      <c r="BP443" s="449">
        <f>SUM('FY19 Staffing V1-1 (3)'!$S$276:$S$278)/12</f>
        <v>151.74666666666667</v>
      </c>
      <c r="BQ443" s="449">
        <f>SUM('FY19 Staffing V1-1 (3)'!$S$276:$S$278)/12</f>
        <v>151.74666666666667</v>
      </c>
      <c r="BR443" s="449">
        <f>SUM('FY19 Staffing V1-1 (3)'!$S$276:$S$278)/12</f>
        <v>151.74666666666667</v>
      </c>
      <c r="BS443" s="449">
        <f>SUM('FY19 Staffing V1-1 (3)'!$S$276:$S$278)/12</f>
        <v>151.74666666666667</v>
      </c>
      <c r="BT443" s="449">
        <f>SUM('FY19 Staffing V1-1 (3)'!$S$276:$S$278)/12</f>
        <v>151.74666666666667</v>
      </c>
    </row>
    <row r="444" spans="1:72" ht="15" x14ac:dyDescent="0.25">
      <c r="A444" s="537" t="s">
        <v>753</v>
      </c>
      <c r="B444" s="537" t="s">
        <v>754</v>
      </c>
      <c r="C444" s="541"/>
      <c r="D444" s="500">
        <f t="shared" si="339"/>
        <v>0</v>
      </c>
      <c r="E444" s="449">
        <v>0</v>
      </c>
      <c r="F444" s="449">
        <f t="shared" si="340"/>
        <v>0</v>
      </c>
      <c r="G444" s="421">
        <f t="shared" si="341"/>
        <v>0</v>
      </c>
      <c r="H444" s="449">
        <v>0</v>
      </c>
      <c r="I444" s="449">
        <f t="shared" si="342"/>
        <v>0</v>
      </c>
      <c r="J444" s="426">
        <f t="shared" si="343"/>
        <v>0</v>
      </c>
      <c r="K444" s="421"/>
      <c r="L444" s="449">
        <v>0</v>
      </c>
      <c r="M444" s="449">
        <v>0</v>
      </c>
      <c r="N444" s="449">
        <v>0</v>
      </c>
      <c r="O444" s="449">
        <v>0</v>
      </c>
      <c r="P444" s="449">
        <v>0</v>
      </c>
      <c r="Q444" s="449">
        <v>0</v>
      </c>
      <c r="R444" s="449">
        <f>($H444-SUM($L444:Q444))/R$694</f>
        <v>0</v>
      </c>
      <c r="S444" s="449">
        <f>($H444-SUM($L444:R444))/S$694</f>
        <v>0</v>
      </c>
      <c r="T444" s="449">
        <f>($H444-SUM($L444:S444))/T$694</f>
        <v>0</v>
      </c>
      <c r="U444" s="449">
        <f>($H444-SUM($L444:T444))/U$694</f>
        <v>0</v>
      </c>
      <c r="V444" s="449">
        <f>($H444-SUM($L444:U444))/V$694</f>
        <v>0</v>
      </c>
      <c r="W444" s="449">
        <f>($H444-SUM($L444:V444))/W$694</f>
        <v>0</v>
      </c>
      <c r="X444" s="449"/>
      <c r="Y444" s="449">
        <f t="shared" si="344"/>
        <v>0</v>
      </c>
      <c r="Z444" s="531"/>
      <c r="AA444" s="449">
        <f t="shared" si="360"/>
        <v>0</v>
      </c>
      <c r="AB444" s="449">
        <f t="shared" si="360"/>
        <v>0</v>
      </c>
      <c r="AC444" s="449">
        <f t="shared" si="360"/>
        <v>0</v>
      </c>
      <c r="AD444" s="449">
        <f t="shared" si="360"/>
        <v>0</v>
      </c>
      <c r="AE444" s="449">
        <f t="shared" si="360"/>
        <v>0</v>
      </c>
      <c r="AF444" s="449">
        <f t="shared" si="360"/>
        <v>0</v>
      </c>
      <c r="AG444" s="449">
        <f t="shared" si="360"/>
        <v>0</v>
      </c>
      <c r="AH444" s="449">
        <f t="shared" si="360"/>
        <v>0</v>
      </c>
      <c r="AI444" s="449">
        <f t="shared" si="360"/>
        <v>0</v>
      </c>
      <c r="AJ444" s="449">
        <f t="shared" si="360"/>
        <v>0</v>
      </c>
      <c r="AK444" s="449">
        <f t="shared" si="360"/>
        <v>0</v>
      </c>
      <c r="AL444" s="449">
        <f t="shared" si="360"/>
        <v>0</v>
      </c>
      <c r="AN444" s="500">
        <f t="shared" si="359"/>
        <v>0</v>
      </c>
      <c r="AO444" s="449">
        <f t="shared" si="347"/>
        <v>0</v>
      </c>
      <c r="AP444" s="449">
        <f t="shared" si="348"/>
        <v>0</v>
      </c>
      <c r="AQ444" s="453" t="str">
        <f t="shared" si="349"/>
        <v>-</v>
      </c>
      <c r="AR444" s="449">
        <f t="shared" si="350"/>
        <v>0</v>
      </c>
      <c r="AS444" s="449">
        <f t="shared" si="351"/>
        <v>0</v>
      </c>
      <c r="AT444" s="426">
        <f t="shared" si="352"/>
        <v>0</v>
      </c>
      <c r="AU444" s="421"/>
      <c r="AV444" s="449">
        <f t="shared" si="362"/>
        <v>0</v>
      </c>
      <c r="AW444" s="449">
        <f t="shared" si="362"/>
        <v>0</v>
      </c>
      <c r="AX444" s="449">
        <f t="shared" si="362"/>
        <v>0</v>
      </c>
      <c r="AY444" s="449">
        <f t="shared" si="362"/>
        <v>0</v>
      </c>
      <c r="AZ444" s="449">
        <f t="shared" si="362"/>
        <v>0</v>
      </c>
      <c r="BA444" s="449">
        <f t="shared" si="362"/>
        <v>0</v>
      </c>
      <c r="BB444" s="449">
        <f t="shared" si="361"/>
        <v>0</v>
      </c>
      <c r="BC444" s="449">
        <f t="shared" si="361"/>
        <v>0</v>
      </c>
      <c r="BD444" s="449">
        <f t="shared" si="361"/>
        <v>0</v>
      </c>
      <c r="BE444" s="449">
        <f t="shared" si="361"/>
        <v>0</v>
      </c>
      <c r="BF444" s="449">
        <f t="shared" si="361"/>
        <v>0</v>
      </c>
      <c r="BG444" s="449">
        <f t="shared" si="361"/>
        <v>0</v>
      </c>
      <c r="BH444" s="400"/>
      <c r="BI444" s="449">
        <v>0</v>
      </c>
      <c r="BJ444" s="449">
        <v>0</v>
      </c>
      <c r="BK444" s="449">
        <v>0</v>
      </c>
      <c r="BL444" s="449">
        <v>0</v>
      </c>
      <c r="BM444" s="449">
        <v>0</v>
      </c>
      <c r="BN444" s="449">
        <v>0</v>
      </c>
      <c r="BO444" s="449">
        <v>0</v>
      </c>
      <c r="BP444" s="449">
        <v>0</v>
      </c>
      <c r="BQ444" s="449">
        <v>0</v>
      </c>
      <c r="BR444" s="449">
        <v>0</v>
      </c>
      <c r="BS444" s="449">
        <v>0</v>
      </c>
      <c r="BT444" s="449">
        <v>0</v>
      </c>
    </row>
    <row r="445" spans="1:72" ht="15" x14ac:dyDescent="0.25">
      <c r="A445" s="502" t="s">
        <v>755</v>
      </c>
      <c r="B445" s="502" t="s">
        <v>756</v>
      </c>
      <c r="C445" s="543"/>
      <c r="D445" s="500">
        <f t="shared" si="339"/>
        <v>6430</v>
      </c>
      <c r="E445" s="449">
        <v>6430</v>
      </c>
      <c r="F445" s="449">
        <f t="shared" si="340"/>
        <v>0</v>
      </c>
      <c r="G445" s="421">
        <f t="shared" si="341"/>
        <v>0</v>
      </c>
      <c r="H445" s="449">
        <v>6430</v>
      </c>
      <c r="I445" s="449">
        <f t="shared" si="342"/>
        <v>0</v>
      </c>
      <c r="J445" s="426">
        <f t="shared" si="343"/>
        <v>0</v>
      </c>
      <c r="K445" s="421"/>
      <c r="L445" s="449">
        <v>0</v>
      </c>
      <c r="M445" s="449">
        <v>0</v>
      </c>
      <c r="N445" s="449">
        <v>0</v>
      </c>
      <c r="O445" s="449">
        <v>0</v>
      </c>
      <c r="P445" s="449">
        <v>0</v>
      </c>
      <c r="Q445" s="449">
        <v>0</v>
      </c>
      <c r="R445" s="449">
        <f>($H445-SUM($L445:Q445))/R$694</f>
        <v>1071.6666666666667</v>
      </c>
      <c r="S445" s="449">
        <f>($H445-SUM($L445:R445))/S$694</f>
        <v>1071.6666666666665</v>
      </c>
      <c r="T445" s="449">
        <f>($H445-SUM($L445:S445))/T$694</f>
        <v>1071.6666666666667</v>
      </c>
      <c r="U445" s="449">
        <f>($H445-SUM($L445:T445))/U$694</f>
        <v>1071.6666666666667</v>
      </c>
      <c r="V445" s="449">
        <f>($H445-SUM($L445:U445))/V$694</f>
        <v>1071.6666666666665</v>
      </c>
      <c r="W445" s="449">
        <f>($H445-SUM($L445:V445))/W$694</f>
        <v>1071.6666666666661</v>
      </c>
      <c r="X445" s="449"/>
      <c r="Y445" s="449">
        <f t="shared" si="344"/>
        <v>6430</v>
      </c>
      <c r="Z445" s="531"/>
      <c r="AA445" s="449">
        <f t="shared" si="360"/>
        <v>535.83333333333337</v>
      </c>
      <c r="AB445" s="449">
        <f t="shared" si="360"/>
        <v>535.83333333333337</v>
      </c>
      <c r="AC445" s="449">
        <f t="shared" si="360"/>
        <v>535.83333333333337</v>
      </c>
      <c r="AD445" s="449">
        <f t="shared" si="360"/>
        <v>535.83333333333337</v>
      </c>
      <c r="AE445" s="449">
        <f t="shared" si="360"/>
        <v>535.83333333333337</v>
      </c>
      <c r="AF445" s="449">
        <f t="shared" si="360"/>
        <v>535.83333333333337</v>
      </c>
      <c r="AG445" s="449">
        <f t="shared" si="360"/>
        <v>535.83333333333337</v>
      </c>
      <c r="AH445" s="449">
        <f t="shared" si="360"/>
        <v>535.83333333333337</v>
      </c>
      <c r="AI445" s="449">
        <f t="shared" si="360"/>
        <v>535.83333333333337</v>
      </c>
      <c r="AJ445" s="449">
        <f t="shared" si="360"/>
        <v>535.83333333333337</v>
      </c>
      <c r="AK445" s="449">
        <f t="shared" si="360"/>
        <v>535.83333333333337</v>
      </c>
      <c r="AL445" s="449">
        <f t="shared" si="360"/>
        <v>535.83333333333337</v>
      </c>
      <c r="AN445" s="500">
        <f t="shared" si="359"/>
        <v>6430</v>
      </c>
      <c r="AO445" s="449">
        <f t="shared" si="347"/>
        <v>7070.4176706827311</v>
      </c>
      <c r="AP445" s="449">
        <f t="shared" si="348"/>
        <v>640.41767068273111</v>
      </c>
      <c r="AQ445" s="453">
        <f t="shared" si="349"/>
        <v>9.9598393574297214E-2</v>
      </c>
      <c r="AR445" s="449">
        <f t="shared" si="350"/>
        <v>7070.4176706827311</v>
      </c>
      <c r="AS445" s="449">
        <f t="shared" si="351"/>
        <v>0</v>
      </c>
      <c r="AT445" s="426">
        <f t="shared" si="352"/>
        <v>0</v>
      </c>
      <c r="AU445" s="421"/>
      <c r="AV445" s="449">
        <f t="shared" si="362"/>
        <v>589.20147255689426</v>
      </c>
      <c r="AW445" s="449">
        <f t="shared" si="362"/>
        <v>589.20147255689426</v>
      </c>
      <c r="AX445" s="449">
        <f t="shared" si="362"/>
        <v>589.20147255689426</v>
      </c>
      <c r="AY445" s="449">
        <f t="shared" si="362"/>
        <v>589.20147255689426</v>
      </c>
      <c r="AZ445" s="449">
        <f t="shared" si="362"/>
        <v>589.20147255689426</v>
      </c>
      <c r="BA445" s="449">
        <f t="shared" si="362"/>
        <v>589.20147255689426</v>
      </c>
      <c r="BB445" s="449">
        <f t="shared" si="361"/>
        <v>589.20147255689426</v>
      </c>
      <c r="BC445" s="449">
        <f t="shared" si="361"/>
        <v>589.20147255689426</v>
      </c>
      <c r="BD445" s="449">
        <f t="shared" si="361"/>
        <v>589.20147255689426</v>
      </c>
      <c r="BE445" s="449">
        <f t="shared" si="361"/>
        <v>589.20147255689426</v>
      </c>
      <c r="BF445" s="449">
        <f t="shared" si="361"/>
        <v>589.20147255689426</v>
      </c>
      <c r="BG445" s="449">
        <f t="shared" si="361"/>
        <v>589.20147255689426</v>
      </c>
      <c r="BH445" s="400"/>
      <c r="BI445" s="449">
        <f t="shared" ref="BI445:BT448" si="363">IFERROR((($H445/$H$5)*BI$5)/12,0)</f>
        <v>589.20147255689426</v>
      </c>
      <c r="BJ445" s="449">
        <f t="shared" si="363"/>
        <v>589.20147255689426</v>
      </c>
      <c r="BK445" s="449">
        <f t="shared" si="363"/>
        <v>589.20147255689426</v>
      </c>
      <c r="BL445" s="449">
        <f t="shared" si="363"/>
        <v>589.20147255689426</v>
      </c>
      <c r="BM445" s="449">
        <f t="shared" si="363"/>
        <v>589.20147255689426</v>
      </c>
      <c r="BN445" s="449">
        <f t="shared" si="363"/>
        <v>589.20147255689426</v>
      </c>
      <c r="BO445" s="449">
        <f t="shared" si="363"/>
        <v>589.20147255689426</v>
      </c>
      <c r="BP445" s="449">
        <f t="shared" si="363"/>
        <v>589.20147255689426</v>
      </c>
      <c r="BQ445" s="449">
        <f t="shared" si="363"/>
        <v>589.20147255689426</v>
      </c>
      <c r="BR445" s="449">
        <f t="shared" si="363"/>
        <v>589.20147255689426</v>
      </c>
      <c r="BS445" s="449">
        <f t="shared" si="363"/>
        <v>589.20147255689426</v>
      </c>
      <c r="BT445" s="449">
        <f t="shared" si="363"/>
        <v>589.20147255689426</v>
      </c>
    </row>
    <row r="446" spans="1:72" ht="15" x14ac:dyDescent="0.25">
      <c r="A446" s="502" t="s">
        <v>757</v>
      </c>
      <c r="B446" s="502" t="s">
        <v>758</v>
      </c>
      <c r="C446" s="543"/>
      <c r="D446" s="500">
        <f t="shared" si="339"/>
        <v>4000</v>
      </c>
      <c r="E446" s="449">
        <v>6430</v>
      </c>
      <c r="F446" s="449">
        <f t="shared" si="340"/>
        <v>-2430</v>
      </c>
      <c r="G446" s="421">
        <f t="shared" si="341"/>
        <v>-0.37791601866251945</v>
      </c>
      <c r="H446" s="449">
        <v>4000</v>
      </c>
      <c r="I446" s="449">
        <f t="shared" si="342"/>
        <v>0</v>
      </c>
      <c r="J446" s="426">
        <f t="shared" si="343"/>
        <v>0</v>
      </c>
      <c r="K446" s="421"/>
      <c r="L446" s="449">
        <v>175</v>
      </c>
      <c r="M446" s="449">
        <v>93.730000000000018</v>
      </c>
      <c r="N446" s="449">
        <v>100</v>
      </c>
      <c r="O446" s="449">
        <v>0</v>
      </c>
      <c r="P446" s="449">
        <v>269.73</v>
      </c>
      <c r="Q446" s="449">
        <v>104.14999999999998</v>
      </c>
      <c r="R446" s="449">
        <f>($H446-SUM($L446:Q446))/R$694</f>
        <v>542.89833333333331</v>
      </c>
      <c r="S446" s="449">
        <f>($H446-SUM($L446:R446))/S$694</f>
        <v>542.89833333333331</v>
      </c>
      <c r="T446" s="449">
        <f>($H446-SUM($L446:S446))/T$694</f>
        <v>542.89833333333331</v>
      </c>
      <c r="U446" s="449">
        <f>($H446-SUM($L446:T446))/U$694</f>
        <v>542.89833333333343</v>
      </c>
      <c r="V446" s="449">
        <f>($H446-SUM($L446:U446))/V$694</f>
        <v>542.89833333333331</v>
      </c>
      <c r="W446" s="449">
        <f>($H446-SUM($L446:V446))/W$694</f>
        <v>542.89833333333354</v>
      </c>
      <c r="X446" s="449"/>
      <c r="Y446" s="449">
        <f t="shared" si="344"/>
        <v>4000</v>
      </c>
      <c r="Z446" s="531"/>
      <c r="AA446" s="449">
        <f t="shared" si="360"/>
        <v>333.33333333333331</v>
      </c>
      <c r="AB446" s="449">
        <f t="shared" si="360"/>
        <v>333.33333333333331</v>
      </c>
      <c r="AC446" s="449">
        <f t="shared" si="360"/>
        <v>333.33333333333331</v>
      </c>
      <c r="AD446" s="449">
        <f t="shared" si="360"/>
        <v>333.33333333333331</v>
      </c>
      <c r="AE446" s="449">
        <f t="shared" si="360"/>
        <v>333.33333333333331</v>
      </c>
      <c r="AF446" s="449">
        <f t="shared" si="360"/>
        <v>333.33333333333331</v>
      </c>
      <c r="AG446" s="449">
        <f t="shared" si="360"/>
        <v>333.33333333333331</v>
      </c>
      <c r="AH446" s="449">
        <f t="shared" si="360"/>
        <v>333.33333333333331</v>
      </c>
      <c r="AI446" s="449">
        <f t="shared" si="360"/>
        <v>333.33333333333331</v>
      </c>
      <c r="AJ446" s="449">
        <f t="shared" si="360"/>
        <v>333.33333333333331</v>
      </c>
      <c r="AK446" s="449">
        <f t="shared" si="360"/>
        <v>333.33333333333331</v>
      </c>
      <c r="AL446" s="449">
        <f t="shared" si="360"/>
        <v>333.33333333333331</v>
      </c>
      <c r="AN446" s="500">
        <f t="shared" si="359"/>
        <v>4000</v>
      </c>
      <c r="AO446" s="449">
        <f t="shared" si="347"/>
        <v>4398.3935742971889</v>
      </c>
      <c r="AP446" s="449">
        <f t="shared" si="348"/>
        <v>398.39357429718893</v>
      </c>
      <c r="AQ446" s="453">
        <f t="shared" si="349"/>
        <v>9.9598393574297228E-2</v>
      </c>
      <c r="AR446" s="449">
        <f t="shared" si="350"/>
        <v>4398.3935742971889</v>
      </c>
      <c r="AS446" s="449">
        <f t="shared" si="351"/>
        <v>0</v>
      </c>
      <c r="AT446" s="426">
        <f t="shared" si="352"/>
        <v>0</v>
      </c>
      <c r="AU446" s="421"/>
      <c r="AV446" s="449">
        <f t="shared" si="362"/>
        <v>366.53279785809906</v>
      </c>
      <c r="AW446" s="449">
        <f t="shared" si="362"/>
        <v>366.53279785809906</v>
      </c>
      <c r="AX446" s="449">
        <f t="shared" si="362"/>
        <v>366.53279785809906</v>
      </c>
      <c r="AY446" s="449">
        <f t="shared" si="362"/>
        <v>366.53279785809906</v>
      </c>
      <c r="AZ446" s="449">
        <f t="shared" si="362"/>
        <v>366.53279785809906</v>
      </c>
      <c r="BA446" s="449">
        <f t="shared" si="362"/>
        <v>366.53279785809906</v>
      </c>
      <c r="BB446" s="449">
        <f t="shared" si="361"/>
        <v>366.53279785809906</v>
      </c>
      <c r="BC446" s="449">
        <f t="shared" si="361"/>
        <v>366.53279785809906</v>
      </c>
      <c r="BD446" s="449">
        <f t="shared" si="361"/>
        <v>366.53279785809906</v>
      </c>
      <c r="BE446" s="449">
        <f t="shared" si="361"/>
        <v>366.53279785809906</v>
      </c>
      <c r="BF446" s="449">
        <f t="shared" si="361"/>
        <v>366.53279785809906</v>
      </c>
      <c r="BG446" s="449">
        <f t="shared" si="361"/>
        <v>366.53279785809906</v>
      </c>
      <c r="BH446" s="400"/>
      <c r="BI446" s="449">
        <f t="shared" si="363"/>
        <v>366.53279785809906</v>
      </c>
      <c r="BJ446" s="449">
        <f t="shared" si="363"/>
        <v>366.53279785809906</v>
      </c>
      <c r="BK446" s="449">
        <f t="shared" si="363"/>
        <v>366.53279785809906</v>
      </c>
      <c r="BL446" s="449">
        <f t="shared" si="363"/>
        <v>366.53279785809906</v>
      </c>
      <c r="BM446" s="449">
        <f t="shared" si="363"/>
        <v>366.53279785809906</v>
      </c>
      <c r="BN446" s="449">
        <f t="shared" si="363"/>
        <v>366.53279785809906</v>
      </c>
      <c r="BO446" s="449">
        <f t="shared" si="363"/>
        <v>366.53279785809906</v>
      </c>
      <c r="BP446" s="449">
        <f t="shared" si="363"/>
        <v>366.53279785809906</v>
      </c>
      <c r="BQ446" s="449">
        <f t="shared" si="363"/>
        <v>366.53279785809906</v>
      </c>
      <c r="BR446" s="449">
        <f t="shared" si="363"/>
        <v>366.53279785809906</v>
      </c>
      <c r="BS446" s="449">
        <f t="shared" si="363"/>
        <v>366.53279785809906</v>
      </c>
      <c r="BT446" s="449">
        <f t="shared" si="363"/>
        <v>366.53279785809906</v>
      </c>
    </row>
    <row r="447" spans="1:72" ht="15" x14ac:dyDescent="0.25">
      <c r="A447" s="502" t="s">
        <v>759</v>
      </c>
      <c r="B447" s="502" t="s">
        <v>760</v>
      </c>
      <c r="C447" s="543"/>
      <c r="D447" s="500">
        <f t="shared" si="339"/>
        <v>965</v>
      </c>
      <c r="E447" s="449">
        <v>965</v>
      </c>
      <c r="F447" s="449">
        <f t="shared" si="340"/>
        <v>0</v>
      </c>
      <c r="G447" s="421">
        <f t="shared" si="341"/>
        <v>0</v>
      </c>
      <c r="H447" s="449">
        <v>965</v>
      </c>
      <c r="I447" s="449">
        <f t="shared" si="342"/>
        <v>0</v>
      </c>
      <c r="J447" s="426">
        <f t="shared" si="343"/>
        <v>0</v>
      </c>
      <c r="K447" s="421"/>
      <c r="L447" s="449">
        <v>178.33</v>
      </c>
      <c r="M447" s="449">
        <v>72.789999999999992</v>
      </c>
      <c r="N447" s="449">
        <v>0</v>
      </c>
      <c r="O447" s="449">
        <v>0</v>
      </c>
      <c r="P447" s="449">
        <v>136.02999999999997</v>
      </c>
      <c r="Q447" s="449">
        <v>0</v>
      </c>
      <c r="R447" s="449">
        <f>($H447-SUM($L447:Q447))/R$694</f>
        <v>96.308333333333337</v>
      </c>
      <c r="S447" s="449">
        <f>($H447-SUM($L447:R447))/S$694</f>
        <v>96.308333333333337</v>
      </c>
      <c r="T447" s="449">
        <f>($H447-SUM($L447:S447))/T$694</f>
        <v>96.308333333333337</v>
      </c>
      <c r="U447" s="449">
        <f>($H447-SUM($L447:T447))/U$694</f>
        <v>96.308333333333323</v>
      </c>
      <c r="V447" s="449">
        <f>($H447-SUM($L447:U447))/V$694</f>
        <v>96.308333333333337</v>
      </c>
      <c r="W447" s="449">
        <f>($H447-SUM($L447:V447))/W$694</f>
        <v>96.308333333333394</v>
      </c>
      <c r="X447" s="449"/>
      <c r="Y447" s="449">
        <f t="shared" si="344"/>
        <v>965</v>
      </c>
      <c r="Z447" s="531"/>
      <c r="AA447" s="449">
        <f t="shared" si="360"/>
        <v>80.416666666666671</v>
      </c>
      <c r="AB447" s="449">
        <f t="shared" si="360"/>
        <v>80.416666666666671</v>
      </c>
      <c r="AC447" s="449">
        <f t="shared" si="360"/>
        <v>80.416666666666671</v>
      </c>
      <c r="AD447" s="449">
        <f t="shared" si="360"/>
        <v>80.416666666666671</v>
      </c>
      <c r="AE447" s="449">
        <f t="shared" si="360"/>
        <v>80.416666666666671</v>
      </c>
      <c r="AF447" s="449">
        <f t="shared" si="360"/>
        <v>80.416666666666671</v>
      </c>
      <c r="AG447" s="449">
        <f t="shared" si="360"/>
        <v>80.416666666666671</v>
      </c>
      <c r="AH447" s="449">
        <f t="shared" si="360"/>
        <v>80.416666666666671</v>
      </c>
      <c r="AI447" s="449">
        <f t="shared" si="360"/>
        <v>80.416666666666671</v>
      </c>
      <c r="AJ447" s="449">
        <f t="shared" si="360"/>
        <v>80.416666666666671</v>
      </c>
      <c r="AK447" s="449">
        <f t="shared" si="360"/>
        <v>80.416666666666671</v>
      </c>
      <c r="AL447" s="449">
        <f t="shared" si="360"/>
        <v>80.416666666666671</v>
      </c>
      <c r="AN447" s="500">
        <f t="shared" si="359"/>
        <v>965</v>
      </c>
      <c r="AO447" s="449">
        <f t="shared" si="347"/>
        <v>1061.1124497991971</v>
      </c>
      <c r="AP447" s="449">
        <f t="shared" si="348"/>
        <v>96.112449799197066</v>
      </c>
      <c r="AQ447" s="453">
        <f t="shared" si="349"/>
        <v>9.9598393574297478E-2</v>
      </c>
      <c r="AR447" s="449">
        <f t="shared" si="350"/>
        <v>1061.1124497991971</v>
      </c>
      <c r="AS447" s="449">
        <f t="shared" si="351"/>
        <v>0</v>
      </c>
      <c r="AT447" s="426">
        <f t="shared" si="352"/>
        <v>0</v>
      </c>
      <c r="AU447" s="421"/>
      <c r="AV447" s="449">
        <f t="shared" si="362"/>
        <v>88.426037483266398</v>
      </c>
      <c r="AW447" s="449">
        <f t="shared" si="362"/>
        <v>88.426037483266398</v>
      </c>
      <c r="AX447" s="449">
        <f t="shared" si="362"/>
        <v>88.426037483266398</v>
      </c>
      <c r="AY447" s="449">
        <f t="shared" si="362"/>
        <v>88.426037483266398</v>
      </c>
      <c r="AZ447" s="449">
        <f t="shared" si="362"/>
        <v>88.426037483266398</v>
      </c>
      <c r="BA447" s="449">
        <f t="shared" si="362"/>
        <v>88.426037483266398</v>
      </c>
      <c r="BB447" s="449">
        <f t="shared" si="361"/>
        <v>88.426037483266398</v>
      </c>
      <c r="BC447" s="449">
        <f t="shared" si="361"/>
        <v>88.426037483266398</v>
      </c>
      <c r="BD447" s="449">
        <f t="shared" si="361"/>
        <v>88.426037483266398</v>
      </c>
      <c r="BE447" s="449">
        <f t="shared" si="361"/>
        <v>88.426037483266398</v>
      </c>
      <c r="BF447" s="449">
        <f t="shared" si="361"/>
        <v>88.426037483266398</v>
      </c>
      <c r="BG447" s="449">
        <f t="shared" si="361"/>
        <v>88.426037483266398</v>
      </c>
      <c r="BH447" s="400"/>
      <c r="BI447" s="449">
        <f t="shared" si="363"/>
        <v>88.426037483266398</v>
      </c>
      <c r="BJ447" s="449">
        <f t="shared" si="363"/>
        <v>88.426037483266398</v>
      </c>
      <c r="BK447" s="449">
        <f t="shared" si="363"/>
        <v>88.426037483266398</v>
      </c>
      <c r="BL447" s="449">
        <f t="shared" si="363"/>
        <v>88.426037483266398</v>
      </c>
      <c r="BM447" s="449">
        <f t="shared" si="363"/>
        <v>88.426037483266398</v>
      </c>
      <c r="BN447" s="449">
        <f t="shared" si="363"/>
        <v>88.426037483266398</v>
      </c>
      <c r="BO447" s="449">
        <f t="shared" si="363"/>
        <v>88.426037483266398</v>
      </c>
      <c r="BP447" s="449">
        <f t="shared" si="363"/>
        <v>88.426037483266398</v>
      </c>
      <c r="BQ447" s="449">
        <f t="shared" si="363"/>
        <v>88.426037483266398</v>
      </c>
      <c r="BR447" s="449">
        <f t="shared" si="363"/>
        <v>88.426037483266398</v>
      </c>
      <c r="BS447" s="449">
        <f t="shared" si="363"/>
        <v>88.426037483266398</v>
      </c>
      <c r="BT447" s="449">
        <f t="shared" si="363"/>
        <v>88.426037483266398</v>
      </c>
    </row>
    <row r="448" spans="1:72" ht="15" x14ac:dyDescent="0.25">
      <c r="A448" s="502" t="s">
        <v>761</v>
      </c>
      <c r="B448" s="502" t="s">
        <v>762</v>
      </c>
      <c r="C448" s="543"/>
      <c r="D448" s="500">
        <f t="shared" si="339"/>
        <v>4823</v>
      </c>
      <c r="E448" s="449">
        <v>4823</v>
      </c>
      <c r="F448" s="449">
        <f t="shared" si="340"/>
        <v>0</v>
      </c>
      <c r="G448" s="421">
        <f t="shared" si="341"/>
        <v>0</v>
      </c>
      <c r="H448" s="449">
        <v>4823</v>
      </c>
      <c r="I448" s="449">
        <f t="shared" si="342"/>
        <v>0</v>
      </c>
      <c r="J448" s="426">
        <f t="shared" si="343"/>
        <v>0</v>
      </c>
      <c r="K448" s="421"/>
      <c r="L448" s="449">
        <v>0</v>
      </c>
      <c r="M448" s="449">
        <v>777.06</v>
      </c>
      <c r="N448" s="449">
        <v>0</v>
      </c>
      <c r="O448" s="449">
        <v>44.940000000000055</v>
      </c>
      <c r="P448" s="449">
        <v>255.21000000000004</v>
      </c>
      <c r="Q448" s="449">
        <v>0</v>
      </c>
      <c r="R448" s="449">
        <f>($H448-SUM($L448:Q448))/R$694</f>
        <v>624.29833333333329</v>
      </c>
      <c r="S448" s="449">
        <f>($H448-SUM($L448:R448))/S$694</f>
        <v>624.2983333333334</v>
      </c>
      <c r="T448" s="449">
        <f>($H448-SUM($L448:S448))/T$694</f>
        <v>624.2983333333334</v>
      </c>
      <c r="U448" s="449">
        <f>($H448-SUM($L448:T448))/U$694</f>
        <v>624.29833333333352</v>
      </c>
      <c r="V448" s="449">
        <f>($H448-SUM($L448:U448))/V$694</f>
        <v>624.2983333333334</v>
      </c>
      <c r="W448" s="449">
        <f>($H448-SUM($L448:V448))/W$694</f>
        <v>624.29833333333318</v>
      </c>
      <c r="X448" s="449"/>
      <c r="Y448" s="449">
        <f t="shared" si="344"/>
        <v>4823</v>
      </c>
      <c r="Z448" s="531"/>
      <c r="AA448" s="449">
        <f t="shared" si="360"/>
        <v>401.91666666666669</v>
      </c>
      <c r="AB448" s="449">
        <f t="shared" si="360"/>
        <v>401.91666666666669</v>
      </c>
      <c r="AC448" s="449">
        <f t="shared" si="360"/>
        <v>401.91666666666669</v>
      </c>
      <c r="AD448" s="449">
        <f t="shared" si="360"/>
        <v>401.91666666666669</v>
      </c>
      <c r="AE448" s="449">
        <f t="shared" si="360"/>
        <v>401.91666666666669</v>
      </c>
      <c r="AF448" s="449">
        <f t="shared" si="360"/>
        <v>401.91666666666669</v>
      </c>
      <c r="AG448" s="449">
        <f t="shared" si="360"/>
        <v>401.91666666666669</v>
      </c>
      <c r="AH448" s="449">
        <f t="shared" si="360"/>
        <v>401.91666666666669</v>
      </c>
      <c r="AI448" s="449">
        <f t="shared" si="360"/>
        <v>401.91666666666669</v>
      </c>
      <c r="AJ448" s="449">
        <f t="shared" si="360"/>
        <v>401.91666666666669</v>
      </c>
      <c r="AK448" s="449">
        <f t="shared" si="360"/>
        <v>401.91666666666669</v>
      </c>
      <c r="AL448" s="449">
        <f t="shared" si="360"/>
        <v>401.91666666666669</v>
      </c>
      <c r="AN448" s="500">
        <f t="shared" si="359"/>
        <v>4823</v>
      </c>
      <c r="AO448" s="449">
        <f t="shared" si="347"/>
        <v>5303.3630522088351</v>
      </c>
      <c r="AP448" s="449">
        <f t="shared" si="348"/>
        <v>480.36305220883514</v>
      </c>
      <c r="AQ448" s="453">
        <f t="shared" si="349"/>
        <v>9.9598393574297145E-2</v>
      </c>
      <c r="AR448" s="449">
        <f t="shared" si="350"/>
        <v>5303.3630522088351</v>
      </c>
      <c r="AS448" s="449">
        <f t="shared" si="351"/>
        <v>0</v>
      </c>
      <c r="AT448" s="426">
        <f t="shared" si="352"/>
        <v>0</v>
      </c>
      <c r="AU448" s="421"/>
      <c r="AV448" s="449">
        <f t="shared" si="362"/>
        <v>441.94692101740293</v>
      </c>
      <c r="AW448" s="449">
        <f t="shared" si="362"/>
        <v>441.94692101740293</v>
      </c>
      <c r="AX448" s="449">
        <f t="shared" si="362"/>
        <v>441.94692101740293</v>
      </c>
      <c r="AY448" s="449">
        <f t="shared" si="362"/>
        <v>441.94692101740293</v>
      </c>
      <c r="AZ448" s="449">
        <f t="shared" si="362"/>
        <v>441.94692101740293</v>
      </c>
      <c r="BA448" s="449">
        <f t="shared" si="362"/>
        <v>441.94692101740293</v>
      </c>
      <c r="BB448" s="449">
        <f t="shared" si="361"/>
        <v>441.94692101740293</v>
      </c>
      <c r="BC448" s="449">
        <f t="shared" si="361"/>
        <v>441.94692101740293</v>
      </c>
      <c r="BD448" s="449">
        <f t="shared" si="361"/>
        <v>441.94692101740293</v>
      </c>
      <c r="BE448" s="449">
        <f t="shared" si="361"/>
        <v>441.94692101740293</v>
      </c>
      <c r="BF448" s="449">
        <f t="shared" si="361"/>
        <v>441.94692101740293</v>
      </c>
      <c r="BG448" s="449">
        <f t="shared" si="361"/>
        <v>441.94692101740293</v>
      </c>
      <c r="BH448" s="400"/>
      <c r="BI448" s="449">
        <f t="shared" si="363"/>
        <v>441.94692101740293</v>
      </c>
      <c r="BJ448" s="449">
        <f t="shared" si="363"/>
        <v>441.94692101740293</v>
      </c>
      <c r="BK448" s="449">
        <f t="shared" si="363"/>
        <v>441.94692101740293</v>
      </c>
      <c r="BL448" s="449">
        <f t="shared" si="363"/>
        <v>441.94692101740293</v>
      </c>
      <c r="BM448" s="449">
        <f t="shared" si="363"/>
        <v>441.94692101740293</v>
      </c>
      <c r="BN448" s="449">
        <f t="shared" si="363"/>
        <v>441.94692101740293</v>
      </c>
      <c r="BO448" s="449">
        <f t="shared" si="363"/>
        <v>441.94692101740293</v>
      </c>
      <c r="BP448" s="449">
        <f t="shared" si="363"/>
        <v>441.94692101740293</v>
      </c>
      <c r="BQ448" s="449">
        <f t="shared" si="363"/>
        <v>441.94692101740293</v>
      </c>
      <c r="BR448" s="449">
        <f t="shared" si="363"/>
        <v>441.94692101740293</v>
      </c>
      <c r="BS448" s="449">
        <f t="shared" si="363"/>
        <v>441.94692101740293</v>
      </c>
      <c r="BT448" s="449">
        <f t="shared" si="363"/>
        <v>441.94692101740293</v>
      </c>
    </row>
    <row r="449" spans="1:74" ht="15" x14ac:dyDescent="0.25">
      <c r="A449" s="502" t="s">
        <v>763</v>
      </c>
      <c r="B449" s="502" t="s">
        <v>764</v>
      </c>
      <c r="C449" s="597"/>
      <c r="D449" s="500">
        <f t="shared" si="339"/>
        <v>28000</v>
      </c>
      <c r="E449" s="449">
        <v>32150</v>
      </c>
      <c r="F449" s="449">
        <f t="shared" si="340"/>
        <v>-4150</v>
      </c>
      <c r="G449" s="421">
        <f t="shared" si="341"/>
        <v>-0.12908242612752721</v>
      </c>
      <c r="H449" s="449">
        <v>28000</v>
      </c>
      <c r="I449" s="449">
        <f t="shared" si="342"/>
        <v>0</v>
      </c>
      <c r="J449" s="426">
        <f t="shared" si="343"/>
        <v>0</v>
      </c>
      <c r="K449" s="421"/>
      <c r="L449" s="449">
        <v>258.68</v>
      </c>
      <c r="M449" s="449">
        <v>2493.98</v>
      </c>
      <c r="N449" s="449">
        <v>642.91000000000031</v>
      </c>
      <c r="O449" s="449">
        <v>255.21000000000004</v>
      </c>
      <c r="P449" s="449">
        <v>2901.77</v>
      </c>
      <c r="Q449" s="449">
        <v>18.729999999999563</v>
      </c>
      <c r="R449" s="449">
        <f>($H449-SUM($L449:Q449))/R$694</f>
        <v>3571.4533333333334</v>
      </c>
      <c r="S449" s="449">
        <f>($H449-SUM($L449:R449))/S$694</f>
        <v>3571.4533333333334</v>
      </c>
      <c r="T449" s="449">
        <f>($H449-SUM($L449:S449))/T$694</f>
        <v>3571.4533333333334</v>
      </c>
      <c r="U449" s="449">
        <f>($H449-SUM($L449:T449))/U$694</f>
        <v>3571.4533333333334</v>
      </c>
      <c r="V449" s="449">
        <f>($H449-SUM($L449:U449))/V$694</f>
        <v>3571.4533333333329</v>
      </c>
      <c r="W449" s="449">
        <f>($H449-SUM($L449:V449))/W$694</f>
        <v>3571.4533333333311</v>
      </c>
      <c r="X449" s="449"/>
      <c r="Y449" s="449">
        <f t="shared" si="344"/>
        <v>28000</v>
      </c>
      <c r="Z449" s="531"/>
      <c r="AA449" s="449">
        <f t="shared" si="360"/>
        <v>2333.3333333333335</v>
      </c>
      <c r="AB449" s="449">
        <f t="shared" si="360"/>
        <v>2333.3333333333335</v>
      </c>
      <c r="AC449" s="449">
        <f t="shared" si="360"/>
        <v>2333.3333333333335</v>
      </c>
      <c r="AD449" s="449">
        <f t="shared" si="360"/>
        <v>2333.3333333333335</v>
      </c>
      <c r="AE449" s="449">
        <f t="shared" si="360"/>
        <v>2333.3333333333335</v>
      </c>
      <c r="AF449" s="449">
        <f t="shared" si="360"/>
        <v>2333.3333333333335</v>
      </c>
      <c r="AG449" s="449">
        <f t="shared" si="360"/>
        <v>2333.3333333333335</v>
      </c>
      <c r="AH449" s="449">
        <f t="shared" si="360"/>
        <v>2333.3333333333335</v>
      </c>
      <c r="AI449" s="449">
        <f t="shared" si="360"/>
        <v>2333.3333333333335</v>
      </c>
      <c r="AJ449" s="449">
        <f t="shared" si="360"/>
        <v>2333.3333333333335</v>
      </c>
      <c r="AK449" s="449">
        <f t="shared" si="360"/>
        <v>2333.3333333333335</v>
      </c>
      <c r="AL449" s="449">
        <f t="shared" si="360"/>
        <v>2333.3333333333335</v>
      </c>
      <c r="AN449" s="500">
        <f t="shared" si="359"/>
        <v>28000</v>
      </c>
      <c r="AO449" s="449">
        <f t="shared" si="347"/>
        <v>30788.755020080316</v>
      </c>
      <c r="AP449" s="449">
        <f t="shared" si="348"/>
        <v>2788.7550200803162</v>
      </c>
      <c r="AQ449" s="453">
        <f t="shared" si="349"/>
        <v>9.9598393574297006E-2</v>
      </c>
      <c r="AR449" s="449">
        <f t="shared" si="350"/>
        <v>30788.755020080316</v>
      </c>
      <c r="AS449" s="449">
        <f t="shared" si="351"/>
        <v>0</v>
      </c>
      <c r="AT449" s="426">
        <f t="shared" si="352"/>
        <v>0</v>
      </c>
      <c r="AU449" s="421"/>
      <c r="AV449" s="449">
        <f t="shared" si="362"/>
        <v>6157.7510040160641</v>
      </c>
      <c r="AW449" s="449">
        <f t="shared" si="362"/>
        <v>6157.7510040160641</v>
      </c>
      <c r="AX449" s="449">
        <f t="shared" si="362"/>
        <v>4105.1673360107088</v>
      </c>
      <c r="AY449" s="449">
        <f t="shared" si="362"/>
        <v>4105.1673360107088</v>
      </c>
      <c r="AZ449" s="449">
        <f t="shared" si="362"/>
        <v>4105.1673360107088</v>
      </c>
      <c r="BA449" s="449">
        <f t="shared" si="362"/>
        <v>879.67871485943772</v>
      </c>
      <c r="BB449" s="449">
        <f t="shared" si="361"/>
        <v>879.67871485943772</v>
      </c>
      <c r="BC449" s="449">
        <f t="shared" si="361"/>
        <v>879.67871485943772</v>
      </c>
      <c r="BD449" s="449">
        <f t="shared" si="361"/>
        <v>879.67871485943772</v>
      </c>
      <c r="BE449" s="449">
        <f t="shared" si="361"/>
        <v>879.67871485943772</v>
      </c>
      <c r="BF449" s="449">
        <f t="shared" si="361"/>
        <v>879.67871485943772</v>
      </c>
      <c r="BG449" s="449">
        <f t="shared" si="361"/>
        <v>879.67871485943772</v>
      </c>
      <c r="BH449" s="400"/>
      <c r="BI449" s="449">
        <f t="shared" ref="BI449:BT449" si="364">(IFERROR((($H449/$H$5)*BI$5),0))*BI$696</f>
        <v>6157.7510040160641</v>
      </c>
      <c r="BJ449" s="449">
        <f t="shared" si="364"/>
        <v>6157.7510040160641</v>
      </c>
      <c r="BK449" s="449">
        <f t="shared" si="364"/>
        <v>4105.1673360107088</v>
      </c>
      <c r="BL449" s="449">
        <f t="shared" si="364"/>
        <v>4105.1673360107088</v>
      </c>
      <c r="BM449" s="449">
        <f t="shared" si="364"/>
        <v>4105.1673360107088</v>
      </c>
      <c r="BN449" s="449">
        <f t="shared" si="364"/>
        <v>879.67871485943772</v>
      </c>
      <c r="BO449" s="449">
        <f t="shared" si="364"/>
        <v>879.67871485943772</v>
      </c>
      <c r="BP449" s="449">
        <f t="shared" si="364"/>
        <v>879.67871485943772</v>
      </c>
      <c r="BQ449" s="449">
        <f t="shared" si="364"/>
        <v>879.67871485943772</v>
      </c>
      <c r="BR449" s="449">
        <f t="shared" si="364"/>
        <v>879.67871485943772</v>
      </c>
      <c r="BS449" s="449">
        <f t="shared" si="364"/>
        <v>879.67871485943772</v>
      </c>
      <c r="BT449" s="449">
        <f t="shared" si="364"/>
        <v>879.67871485943772</v>
      </c>
    </row>
    <row r="450" spans="1:74" ht="15" x14ac:dyDescent="0.25">
      <c r="A450" s="537" t="s">
        <v>765</v>
      </c>
      <c r="B450" s="537" t="s">
        <v>766</v>
      </c>
      <c r="C450" s="597"/>
      <c r="D450" s="500">
        <f t="shared" si="339"/>
        <v>5362.33</v>
      </c>
      <c r="E450" s="449">
        <v>0</v>
      </c>
      <c r="F450" s="449">
        <f t="shared" ref="F450:F455" si="365">IFERROR(D450-E450,0)</f>
        <v>5362.33</v>
      </c>
      <c r="G450" s="421">
        <f t="shared" si="341"/>
        <v>0</v>
      </c>
      <c r="H450" s="449">
        <v>0</v>
      </c>
      <c r="I450" s="449">
        <f t="shared" si="342"/>
        <v>5362.33</v>
      </c>
      <c r="J450" s="426">
        <f t="shared" si="343"/>
        <v>0</v>
      </c>
      <c r="K450" s="421"/>
      <c r="L450" s="449">
        <v>0</v>
      </c>
      <c r="M450" s="449">
        <v>2934.32</v>
      </c>
      <c r="N450" s="449">
        <v>0</v>
      </c>
      <c r="O450" s="449">
        <v>10.389999999999873</v>
      </c>
      <c r="P450" s="449">
        <v>2417.62</v>
      </c>
      <c r="Q450" s="449">
        <v>0</v>
      </c>
      <c r="R450" s="449">
        <v>0</v>
      </c>
      <c r="S450" s="449">
        <v>0</v>
      </c>
      <c r="T450" s="449">
        <v>0</v>
      </c>
      <c r="U450" s="449">
        <v>0</v>
      </c>
      <c r="V450" s="449">
        <v>0</v>
      </c>
      <c r="W450" s="449">
        <v>0</v>
      </c>
      <c r="X450" s="449"/>
      <c r="Y450" s="449">
        <f t="shared" si="344"/>
        <v>5362.33</v>
      </c>
      <c r="Z450" s="531"/>
      <c r="AA450" s="449">
        <f t="shared" ref="AA450:AL455" si="366">IFERROR($H450/12,0)</f>
        <v>0</v>
      </c>
      <c r="AB450" s="449">
        <f t="shared" si="366"/>
        <v>0</v>
      </c>
      <c r="AC450" s="449">
        <f t="shared" si="366"/>
        <v>0</v>
      </c>
      <c r="AD450" s="449">
        <f t="shared" si="366"/>
        <v>0</v>
      </c>
      <c r="AE450" s="449">
        <f t="shared" si="366"/>
        <v>0</v>
      </c>
      <c r="AF450" s="449">
        <f t="shared" si="366"/>
        <v>0</v>
      </c>
      <c r="AG450" s="449">
        <f t="shared" si="366"/>
        <v>0</v>
      </c>
      <c r="AH450" s="449">
        <f t="shared" si="366"/>
        <v>0</v>
      </c>
      <c r="AI450" s="449">
        <f t="shared" si="366"/>
        <v>0</v>
      </c>
      <c r="AJ450" s="449">
        <f t="shared" si="366"/>
        <v>0</v>
      </c>
      <c r="AK450" s="449">
        <f t="shared" si="366"/>
        <v>0</v>
      </c>
      <c r="AL450" s="449">
        <f t="shared" si="366"/>
        <v>0</v>
      </c>
      <c r="AN450" s="500">
        <f t="shared" si="359"/>
        <v>5362.33</v>
      </c>
      <c r="AO450" s="449">
        <f t="shared" si="347"/>
        <v>5896.4094538152576</v>
      </c>
      <c r="AP450" s="449">
        <f t="shared" ref="AP450:AP455" si="367">IFERROR(AO450-AN450,0)</f>
        <v>534.07945381525769</v>
      </c>
      <c r="AQ450" s="453">
        <f t="shared" ref="AQ450:AQ455" si="368">IFERROR(AP450/ABS(AN450),"-")</f>
        <v>9.9598393574296562E-2</v>
      </c>
      <c r="AR450" s="449">
        <f t="shared" si="350"/>
        <v>5896.4094538152576</v>
      </c>
      <c r="AS450" s="449">
        <f t="shared" ref="AS450:AS455" si="369">IFERROR(AO450-AR450,0)</f>
        <v>0</v>
      </c>
      <c r="AT450" s="426">
        <f t="shared" si="352"/>
        <v>0</v>
      </c>
      <c r="AU450" s="421"/>
      <c r="AV450" s="449">
        <f t="shared" si="362"/>
        <v>1179.2818907630522</v>
      </c>
      <c r="AW450" s="449">
        <f t="shared" si="362"/>
        <v>1179.2818907630522</v>
      </c>
      <c r="AX450" s="449">
        <f t="shared" si="362"/>
        <v>786.18792717536803</v>
      </c>
      <c r="AY450" s="449">
        <f t="shared" si="362"/>
        <v>786.18792717536803</v>
      </c>
      <c r="AZ450" s="449">
        <f t="shared" si="362"/>
        <v>786.18792717536803</v>
      </c>
      <c r="BA450" s="449">
        <f t="shared" si="362"/>
        <v>168.46884153757887</v>
      </c>
      <c r="BB450" s="449">
        <f t="shared" si="361"/>
        <v>168.46884153757887</v>
      </c>
      <c r="BC450" s="449">
        <f t="shared" si="361"/>
        <v>168.46884153757887</v>
      </c>
      <c r="BD450" s="449">
        <f t="shared" si="361"/>
        <v>168.46884153757887</v>
      </c>
      <c r="BE450" s="449">
        <f t="shared" si="361"/>
        <v>168.46884153757887</v>
      </c>
      <c r="BF450" s="449">
        <f t="shared" si="361"/>
        <v>168.46884153757887</v>
      </c>
      <c r="BG450" s="449">
        <f t="shared" si="361"/>
        <v>168.46884153757887</v>
      </c>
      <c r="BH450" s="400"/>
      <c r="BI450" s="449">
        <f t="shared" ref="BI450:BT450" si="370">(IFERROR((($D450/$H$5)*BI$5),0))*BI$696</f>
        <v>1179.2818907630522</v>
      </c>
      <c r="BJ450" s="449">
        <f t="shared" si="370"/>
        <v>1179.2818907630522</v>
      </c>
      <c r="BK450" s="449">
        <f t="shared" si="370"/>
        <v>786.18792717536803</v>
      </c>
      <c r="BL450" s="449">
        <f t="shared" si="370"/>
        <v>786.18792717536803</v>
      </c>
      <c r="BM450" s="449">
        <f t="shared" si="370"/>
        <v>786.18792717536803</v>
      </c>
      <c r="BN450" s="449">
        <f t="shared" si="370"/>
        <v>168.46884153757887</v>
      </c>
      <c r="BO450" s="449">
        <f t="shared" si="370"/>
        <v>168.46884153757887</v>
      </c>
      <c r="BP450" s="449">
        <f t="shared" si="370"/>
        <v>168.46884153757887</v>
      </c>
      <c r="BQ450" s="449">
        <f t="shared" si="370"/>
        <v>168.46884153757887</v>
      </c>
      <c r="BR450" s="449">
        <f t="shared" si="370"/>
        <v>168.46884153757887</v>
      </c>
      <c r="BS450" s="449">
        <f t="shared" si="370"/>
        <v>168.46884153757887</v>
      </c>
      <c r="BT450" s="449">
        <f t="shared" si="370"/>
        <v>168.46884153757887</v>
      </c>
    </row>
    <row r="451" spans="1:74" ht="15" x14ac:dyDescent="0.25">
      <c r="A451" s="502" t="s">
        <v>767</v>
      </c>
      <c r="B451" s="502" t="s">
        <v>768</v>
      </c>
      <c r="C451" s="597"/>
      <c r="D451" s="500">
        <f t="shared" si="339"/>
        <v>5000</v>
      </c>
      <c r="E451" s="449">
        <v>8038</v>
      </c>
      <c r="F451" s="449">
        <f t="shared" si="365"/>
        <v>-3038</v>
      </c>
      <c r="G451" s="421">
        <f t="shared" si="341"/>
        <v>-0.37795471510325951</v>
      </c>
      <c r="H451" s="449">
        <v>5000</v>
      </c>
      <c r="I451" s="449">
        <f t="shared" si="342"/>
        <v>0</v>
      </c>
      <c r="J451" s="426">
        <f t="shared" si="343"/>
        <v>0</v>
      </c>
      <c r="K451" s="421"/>
      <c r="L451" s="449">
        <v>0</v>
      </c>
      <c r="M451" s="449">
        <v>273</v>
      </c>
      <c r="N451" s="449">
        <v>0</v>
      </c>
      <c r="O451" s="449">
        <v>0</v>
      </c>
      <c r="P451" s="449">
        <v>-30</v>
      </c>
      <c r="Q451" s="449">
        <v>30</v>
      </c>
      <c r="R451" s="449">
        <f>($H451-SUM($L451:Q451))/R$694</f>
        <v>787.83333333333337</v>
      </c>
      <c r="S451" s="449">
        <f>($H451-SUM($L451:R451))/S$694</f>
        <v>787.83333333333326</v>
      </c>
      <c r="T451" s="449">
        <f>($H451-SUM($L451:S451))/T$694</f>
        <v>787.83333333333326</v>
      </c>
      <c r="U451" s="449">
        <f>($H451-SUM($L451:T451))/U$694</f>
        <v>787.83333333333337</v>
      </c>
      <c r="V451" s="449">
        <f>($H451-SUM($L451:U451))/V$694</f>
        <v>787.83333333333326</v>
      </c>
      <c r="W451" s="449">
        <f>($H451-SUM($L451:V451))/W$694</f>
        <v>787.83333333333303</v>
      </c>
      <c r="X451" s="449"/>
      <c r="Y451" s="449">
        <f t="shared" si="344"/>
        <v>5000</v>
      </c>
      <c r="Z451" s="531"/>
      <c r="AA451" s="449">
        <f t="shared" si="366"/>
        <v>416.66666666666669</v>
      </c>
      <c r="AB451" s="449">
        <f t="shared" si="366"/>
        <v>416.66666666666669</v>
      </c>
      <c r="AC451" s="449">
        <f t="shared" si="366"/>
        <v>416.66666666666669</v>
      </c>
      <c r="AD451" s="449">
        <f t="shared" si="366"/>
        <v>416.66666666666669</v>
      </c>
      <c r="AE451" s="449">
        <f t="shared" si="366"/>
        <v>416.66666666666669</v>
      </c>
      <c r="AF451" s="449">
        <f t="shared" si="366"/>
        <v>416.66666666666669</v>
      </c>
      <c r="AG451" s="449">
        <f t="shared" si="366"/>
        <v>416.66666666666669</v>
      </c>
      <c r="AH451" s="449">
        <f t="shared" si="366"/>
        <v>416.66666666666669</v>
      </c>
      <c r="AI451" s="449">
        <f t="shared" si="366"/>
        <v>416.66666666666669</v>
      </c>
      <c r="AJ451" s="449">
        <f t="shared" si="366"/>
        <v>416.66666666666669</v>
      </c>
      <c r="AK451" s="449">
        <f t="shared" si="366"/>
        <v>416.66666666666669</v>
      </c>
      <c r="AL451" s="449">
        <f t="shared" si="366"/>
        <v>416.66666666666669</v>
      </c>
      <c r="AN451" s="500">
        <f t="shared" si="359"/>
        <v>5000</v>
      </c>
      <c r="AO451" s="449">
        <f t="shared" si="347"/>
        <v>5497.9919678714868</v>
      </c>
      <c r="AP451" s="449">
        <f t="shared" si="367"/>
        <v>497.99196787148685</v>
      </c>
      <c r="AQ451" s="453">
        <f t="shared" si="368"/>
        <v>9.9598393574297367E-2</v>
      </c>
      <c r="AR451" s="449">
        <f t="shared" si="350"/>
        <v>5497.9919678714868</v>
      </c>
      <c r="AS451" s="449">
        <f t="shared" si="369"/>
        <v>0</v>
      </c>
      <c r="AT451" s="426">
        <f t="shared" si="352"/>
        <v>0</v>
      </c>
      <c r="AU451" s="421"/>
      <c r="AV451" s="449">
        <f t="shared" si="362"/>
        <v>1099.5983935742972</v>
      </c>
      <c r="AW451" s="449">
        <f t="shared" si="362"/>
        <v>1099.5983935742972</v>
      </c>
      <c r="AX451" s="449">
        <f t="shared" si="362"/>
        <v>733.06559571619812</v>
      </c>
      <c r="AY451" s="449">
        <f t="shared" si="362"/>
        <v>733.06559571619812</v>
      </c>
      <c r="AZ451" s="449">
        <f t="shared" si="362"/>
        <v>733.06559571619812</v>
      </c>
      <c r="BA451" s="449">
        <f t="shared" si="362"/>
        <v>157.08548479632816</v>
      </c>
      <c r="BB451" s="449">
        <f t="shared" si="361"/>
        <v>157.08548479632816</v>
      </c>
      <c r="BC451" s="449">
        <f t="shared" si="361"/>
        <v>157.08548479632816</v>
      </c>
      <c r="BD451" s="449">
        <f t="shared" si="361"/>
        <v>157.08548479632816</v>
      </c>
      <c r="BE451" s="449">
        <f t="shared" si="361"/>
        <v>157.08548479632816</v>
      </c>
      <c r="BF451" s="449">
        <f t="shared" si="361"/>
        <v>157.08548479632816</v>
      </c>
      <c r="BG451" s="449">
        <f t="shared" si="361"/>
        <v>157.08548479632816</v>
      </c>
      <c r="BH451" s="400"/>
      <c r="BI451" s="449">
        <f t="shared" ref="BI451:BT452" si="371">(IFERROR((($H451/$H$5)*BI$5),0))*BI$696</f>
        <v>1099.5983935742972</v>
      </c>
      <c r="BJ451" s="449">
        <f t="shared" si="371"/>
        <v>1099.5983935742972</v>
      </c>
      <c r="BK451" s="449">
        <f t="shared" si="371"/>
        <v>733.06559571619812</v>
      </c>
      <c r="BL451" s="449">
        <f t="shared" si="371"/>
        <v>733.06559571619812</v>
      </c>
      <c r="BM451" s="449">
        <f t="shared" si="371"/>
        <v>733.06559571619812</v>
      </c>
      <c r="BN451" s="449">
        <f t="shared" si="371"/>
        <v>157.08548479632816</v>
      </c>
      <c r="BO451" s="449">
        <f t="shared" si="371"/>
        <v>157.08548479632816</v>
      </c>
      <c r="BP451" s="449">
        <f t="shared" si="371"/>
        <v>157.08548479632816</v>
      </c>
      <c r="BQ451" s="449">
        <f t="shared" si="371"/>
        <v>157.08548479632816</v>
      </c>
      <c r="BR451" s="449">
        <f t="shared" si="371"/>
        <v>157.08548479632816</v>
      </c>
      <c r="BS451" s="449">
        <f t="shared" si="371"/>
        <v>157.08548479632816</v>
      </c>
      <c r="BT451" s="449">
        <f t="shared" si="371"/>
        <v>157.08548479632816</v>
      </c>
    </row>
    <row r="452" spans="1:74" ht="15" x14ac:dyDescent="0.25">
      <c r="A452" s="502" t="s">
        <v>769</v>
      </c>
      <c r="B452" s="502" t="s">
        <v>770</v>
      </c>
      <c r="C452" s="596"/>
      <c r="D452" s="500">
        <f t="shared" si="339"/>
        <v>19290</v>
      </c>
      <c r="E452" s="449">
        <v>19290</v>
      </c>
      <c r="F452" s="449">
        <f t="shared" si="365"/>
        <v>0</v>
      </c>
      <c r="G452" s="421">
        <f t="shared" si="341"/>
        <v>0</v>
      </c>
      <c r="H452" s="449">
        <v>19290</v>
      </c>
      <c r="I452" s="449">
        <f t="shared" si="342"/>
        <v>0</v>
      </c>
      <c r="J452" s="426">
        <f t="shared" si="343"/>
        <v>0</v>
      </c>
      <c r="K452" s="421"/>
      <c r="L452" s="449">
        <v>0</v>
      </c>
      <c r="M452" s="449">
        <v>0</v>
      </c>
      <c r="N452" s="449">
        <v>2662.2</v>
      </c>
      <c r="O452" s="449">
        <v>0</v>
      </c>
      <c r="P452" s="449">
        <v>0</v>
      </c>
      <c r="Q452" s="449">
        <v>1523.3400000000001</v>
      </c>
      <c r="R452" s="449">
        <f>($H452-SUM($L452:Q452))/R$694</f>
        <v>2517.41</v>
      </c>
      <c r="S452" s="449">
        <f>($H452-SUM($L452:R452))/S$694</f>
        <v>2517.41</v>
      </c>
      <c r="T452" s="449">
        <f>($H452-SUM($L452:S452))/T$694</f>
        <v>2517.41</v>
      </c>
      <c r="U452" s="449">
        <f>($H452-SUM($L452:T452))/U$694</f>
        <v>2517.41</v>
      </c>
      <c r="V452" s="449">
        <f>($H452-SUM($L452:U452))/V$694</f>
        <v>2517.41</v>
      </c>
      <c r="W452" s="449">
        <f>($H452-SUM($L452:V452))/W$694</f>
        <v>2517.41</v>
      </c>
      <c r="X452" s="449"/>
      <c r="Y452" s="449">
        <f t="shared" si="344"/>
        <v>19290</v>
      </c>
      <c r="Z452" s="531"/>
      <c r="AA452" s="449">
        <f t="shared" si="366"/>
        <v>1607.5</v>
      </c>
      <c r="AB452" s="449">
        <f t="shared" si="366"/>
        <v>1607.5</v>
      </c>
      <c r="AC452" s="449">
        <f t="shared" si="366"/>
        <v>1607.5</v>
      </c>
      <c r="AD452" s="449">
        <f t="shared" si="366"/>
        <v>1607.5</v>
      </c>
      <c r="AE452" s="449">
        <f t="shared" si="366"/>
        <v>1607.5</v>
      </c>
      <c r="AF452" s="449">
        <f t="shared" si="366"/>
        <v>1607.5</v>
      </c>
      <c r="AG452" s="449">
        <f t="shared" si="366"/>
        <v>1607.5</v>
      </c>
      <c r="AH452" s="449">
        <f t="shared" si="366"/>
        <v>1607.5</v>
      </c>
      <c r="AI452" s="449">
        <f t="shared" si="366"/>
        <v>1607.5</v>
      </c>
      <c r="AJ452" s="449">
        <f t="shared" si="366"/>
        <v>1607.5</v>
      </c>
      <c r="AK452" s="449">
        <f t="shared" si="366"/>
        <v>1607.5</v>
      </c>
      <c r="AL452" s="449">
        <f t="shared" si="366"/>
        <v>1607.5</v>
      </c>
      <c r="AN452" s="500">
        <f t="shared" si="359"/>
        <v>19290</v>
      </c>
      <c r="AO452" s="449">
        <f t="shared" si="347"/>
        <v>21211.253012048197</v>
      </c>
      <c r="AP452" s="449">
        <f t="shared" si="367"/>
        <v>1921.253012048197</v>
      </c>
      <c r="AQ452" s="453">
        <f t="shared" si="368"/>
        <v>9.9598393574297409E-2</v>
      </c>
      <c r="AR452" s="449">
        <f t="shared" si="350"/>
        <v>21211.253012048197</v>
      </c>
      <c r="AS452" s="449">
        <f t="shared" si="369"/>
        <v>0</v>
      </c>
      <c r="AT452" s="426">
        <f t="shared" si="352"/>
        <v>0</v>
      </c>
      <c r="AU452" s="421"/>
      <c r="AV452" s="449">
        <f t="shared" si="362"/>
        <v>4242.2506024096392</v>
      </c>
      <c r="AW452" s="449">
        <f t="shared" si="362"/>
        <v>4242.2506024096392</v>
      </c>
      <c r="AX452" s="449">
        <f t="shared" si="362"/>
        <v>2828.1670682730924</v>
      </c>
      <c r="AY452" s="449">
        <f t="shared" si="362"/>
        <v>2828.1670682730924</v>
      </c>
      <c r="AZ452" s="449">
        <f t="shared" si="362"/>
        <v>2828.1670682730924</v>
      </c>
      <c r="BA452" s="449">
        <f t="shared" si="362"/>
        <v>606.03580034423408</v>
      </c>
      <c r="BB452" s="449">
        <f t="shared" si="361"/>
        <v>606.03580034423408</v>
      </c>
      <c r="BC452" s="449">
        <f t="shared" si="361"/>
        <v>606.03580034423408</v>
      </c>
      <c r="BD452" s="449">
        <f t="shared" si="361"/>
        <v>606.03580034423408</v>
      </c>
      <c r="BE452" s="449">
        <f t="shared" si="361"/>
        <v>606.03580034423408</v>
      </c>
      <c r="BF452" s="449">
        <f t="shared" si="361"/>
        <v>606.03580034423408</v>
      </c>
      <c r="BG452" s="449">
        <f t="shared" si="361"/>
        <v>606.03580034423408</v>
      </c>
      <c r="BH452" s="400"/>
      <c r="BI452" s="449">
        <f t="shared" si="371"/>
        <v>4242.2506024096392</v>
      </c>
      <c r="BJ452" s="449">
        <f t="shared" si="371"/>
        <v>4242.2506024096392</v>
      </c>
      <c r="BK452" s="449">
        <f t="shared" si="371"/>
        <v>2828.1670682730924</v>
      </c>
      <c r="BL452" s="449">
        <f t="shared" si="371"/>
        <v>2828.1670682730924</v>
      </c>
      <c r="BM452" s="449">
        <f t="shared" si="371"/>
        <v>2828.1670682730924</v>
      </c>
      <c r="BN452" s="449">
        <f t="shared" si="371"/>
        <v>606.03580034423408</v>
      </c>
      <c r="BO452" s="449">
        <f t="shared" si="371"/>
        <v>606.03580034423408</v>
      </c>
      <c r="BP452" s="449">
        <f t="shared" si="371"/>
        <v>606.03580034423408</v>
      </c>
      <c r="BQ452" s="449">
        <f t="shared" si="371"/>
        <v>606.03580034423408</v>
      </c>
      <c r="BR452" s="449">
        <f t="shared" si="371"/>
        <v>606.03580034423408</v>
      </c>
      <c r="BS452" s="449">
        <f t="shared" si="371"/>
        <v>606.03580034423408</v>
      </c>
      <c r="BT452" s="449">
        <f t="shared" si="371"/>
        <v>606.03580034423408</v>
      </c>
    </row>
    <row r="453" spans="1:74" ht="15" x14ac:dyDescent="0.25">
      <c r="A453" s="502" t="s">
        <v>771</v>
      </c>
      <c r="B453" s="502" t="s">
        <v>772</v>
      </c>
      <c r="C453" s="596"/>
      <c r="D453" s="500">
        <f t="shared" si="339"/>
        <v>3376</v>
      </c>
      <c r="E453" s="449">
        <v>3376</v>
      </c>
      <c r="F453" s="449">
        <f t="shared" si="365"/>
        <v>0</v>
      </c>
      <c r="G453" s="421">
        <f t="shared" si="341"/>
        <v>0</v>
      </c>
      <c r="H453" s="449">
        <v>3376</v>
      </c>
      <c r="I453" s="449">
        <f t="shared" si="342"/>
        <v>0</v>
      </c>
      <c r="J453" s="426">
        <f t="shared" si="343"/>
        <v>0</v>
      </c>
      <c r="K453" s="421"/>
      <c r="L453" s="449">
        <v>668.04</v>
      </c>
      <c r="M453" s="449">
        <v>0</v>
      </c>
      <c r="N453" s="449">
        <v>498.85000000000014</v>
      </c>
      <c r="O453" s="449">
        <v>0</v>
      </c>
      <c r="P453" s="449">
        <v>0</v>
      </c>
      <c r="Q453" s="449">
        <v>0</v>
      </c>
      <c r="R453" s="449">
        <f>($H453-SUM($L453:Q453))/R$694</f>
        <v>368.18499999999995</v>
      </c>
      <c r="S453" s="449">
        <f>($H453-SUM($L453:R453))/S$694</f>
        <v>368.185</v>
      </c>
      <c r="T453" s="449">
        <f>($H453-SUM($L453:S453))/T$694</f>
        <v>368.185</v>
      </c>
      <c r="U453" s="449">
        <f>($H453-SUM($L453:T453))/U$694</f>
        <v>368.18499999999995</v>
      </c>
      <c r="V453" s="449">
        <f>($H453-SUM($L453:U453))/V$694</f>
        <v>368.18499999999995</v>
      </c>
      <c r="W453" s="449">
        <f>($H453-SUM($L453:V453))/W$694</f>
        <v>368.18499999999995</v>
      </c>
      <c r="X453" s="449"/>
      <c r="Y453" s="449">
        <f t="shared" si="344"/>
        <v>3376</v>
      </c>
      <c r="Z453" s="531"/>
      <c r="AA453" s="449">
        <f t="shared" si="366"/>
        <v>281.33333333333331</v>
      </c>
      <c r="AB453" s="449">
        <f t="shared" si="366"/>
        <v>281.33333333333331</v>
      </c>
      <c r="AC453" s="449">
        <f t="shared" si="366"/>
        <v>281.33333333333331</v>
      </c>
      <c r="AD453" s="449">
        <f t="shared" si="366"/>
        <v>281.33333333333331</v>
      </c>
      <c r="AE453" s="449">
        <f t="shared" si="366"/>
        <v>281.33333333333331</v>
      </c>
      <c r="AF453" s="449">
        <f t="shared" si="366"/>
        <v>281.33333333333331</v>
      </c>
      <c r="AG453" s="449">
        <f t="shared" si="366"/>
        <v>281.33333333333331</v>
      </c>
      <c r="AH453" s="449">
        <f t="shared" si="366"/>
        <v>281.33333333333331</v>
      </c>
      <c r="AI453" s="449">
        <f t="shared" si="366"/>
        <v>281.33333333333331</v>
      </c>
      <c r="AJ453" s="449">
        <f t="shared" si="366"/>
        <v>281.33333333333331</v>
      </c>
      <c r="AK453" s="449">
        <f t="shared" si="366"/>
        <v>281.33333333333331</v>
      </c>
      <c r="AL453" s="449">
        <f t="shared" si="366"/>
        <v>281.33333333333331</v>
      </c>
      <c r="AN453" s="500">
        <f t="shared" si="359"/>
        <v>3376</v>
      </c>
      <c r="AO453" s="449">
        <f t="shared" si="347"/>
        <v>3712.2441767068271</v>
      </c>
      <c r="AP453" s="449">
        <f t="shared" si="367"/>
        <v>336.24417670682715</v>
      </c>
      <c r="AQ453" s="453">
        <f t="shared" si="368"/>
        <v>9.9598393574297145E-2</v>
      </c>
      <c r="AR453" s="449">
        <f t="shared" si="350"/>
        <v>3712.2441767068271</v>
      </c>
      <c r="AS453" s="449">
        <f t="shared" si="369"/>
        <v>0</v>
      </c>
      <c r="AT453" s="426">
        <f t="shared" si="352"/>
        <v>0</v>
      </c>
      <c r="AU453" s="421"/>
      <c r="AV453" s="449">
        <f t="shared" si="362"/>
        <v>309.35368139223561</v>
      </c>
      <c r="AW453" s="449">
        <f t="shared" si="362"/>
        <v>309.35368139223561</v>
      </c>
      <c r="AX453" s="449">
        <f t="shared" si="362"/>
        <v>309.35368139223561</v>
      </c>
      <c r="AY453" s="449">
        <f t="shared" si="362"/>
        <v>309.35368139223561</v>
      </c>
      <c r="AZ453" s="449">
        <f t="shared" si="362"/>
        <v>309.35368139223561</v>
      </c>
      <c r="BA453" s="449">
        <f t="shared" si="362"/>
        <v>309.35368139223561</v>
      </c>
      <c r="BB453" s="449">
        <f t="shared" si="361"/>
        <v>309.35368139223561</v>
      </c>
      <c r="BC453" s="449">
        <f t="shared" si="361"/>
        <v>309.35368139223561</v>
      </c>
      <c r="BD453" s="449">
        <f t="shared" si="361"/>
        <v>309.35368139223561</v>
      </c>
      <c r="BE453" s="449">
        <f t="shared" si="361"/>
        <v>309.35368139223561</v>
      </c>
      <c r="BF453" s="449">
        <f t="shared" si="361"/>
        <v>309.35368139223561</v>
      </c>
      <c r="BG453" s="449">
        <f t="shared" si="361"/>
        <v>309.35368139223561</v>
      </c>
      <c r="BH453" s="400"/>
      <c r="BI453" s="449">
        <f t="shared" ref="BI453:BT455" si="372">IFERROR((($H453/$H$5)*BI$5)/12,0)</f>
        <v>309.35368139223561</v>
      </c>
      <c r="BJ453" s="449">
        <f t="shared" si="372"/>
        <v>309.35368139223561</v>
      </c>
      <c r="BK453" s="449">
        <f t="shared" si="372"/>
        <v>309.35368139223561</v>
      </c>
      <c r="BL453" s="449">
        <f t="shared" si="372"/>
        <v>309.35368139223561</v>
      </c>
      <c r="BM453" s="449">
        <f t="shared" si="372"/>
        <v>309.35368139223561</v>
      </c>
      <c r="BN453" s="449">
        <f t="shared" si="372"/>
        <v>309.35368139223561</v>
      </c>
      <c r="BO453" s="449">
        <f t="shared" si="372"/>
        <v>309.35368139223561</v>
      </c>
      <c r="BP453" s="449">
        <f t="shared" si="372"/>
        <v>309.35368139223561</v>
      </c>
      <c r="BQ453" s="449">
        <f t="shared" si="372"/>
        <v>309.35368139223561</v>
      </c>
      <c r="BR453" s="449">
        <f t="shared" si="372"/>
        <v>309.35368139223561</v>
      </c>
      <c r="BS453" s="449">
        <f t="shared" si="372"/>
        <v>309.35368139223561</v>
      </c>
      <c r="BT453" s="449">
        <f t="shared" si="372"/>
        <v>309.35368139223561</v>
      </c>
    </row>
    <row r="454" spans="1:74" ht="15" x14ac:dyDescent="0.25">
      <c r="A454" s="502" t="s">
        <v>773</v>
      </c>
      <c r="B454" s="502" t="s">
        <v>774</v>
      </c>
      <c r="C454" s="538"/>
      <c r="D454" s="500">
        <f t="shared" si="339"/>
        <v>10931</v>
      </c>
      <c r="E454" s="449">
        <v>10931</v>
      </c>
      <c r="F454" s="449">
        <f t="shared" si="365"/>
        <v>0</v>
      </c>
      <c r="G454" s="421">
        <f t="shared" si="341"/>
        <v>0</v>
      </c>
      <c r="H454" s="449">
        <v>10931</v>
      </c>
      <c r="I454" s="449">
        <f t="shared" si="342"/>
        <v>0</v>
      </c>
      <c r="J454" s="426">
        <f t="shared" si="343"/>
        <v>0</v>
      </c>
      <c r="K454" s="421"/>
      <c r="L454" s="449">
        <v>0</v>
      </c>
      <c r="M454" s="449">
        <v>0</v>
      </c>
      <c r="N454" s="449">
        <v>0</v>
      </c>
      <c r="O454" s="449">
        <v>0</v>
      </c>
      <c r="P454" s="449">
        <v>150</v>
      </c>
      <c r="Q454" s="449">
        <v>0</v>
      </c>
      <c r="R454" s="449">
        <f>($H454-SUM($L454:Q454))/R$694</f>
        <v>1796.8333333333333</v>
      </c>
      <c r="S454" s="449">
        <f>($H454-SUM($L454:R454))/S$694</f>
        <v>1796.8333333333333</v>
      </c>
      <c r="T454" s="449">
        <f>($H454-SUM($L454:S454))/T$694</f>
        <v>1796.8333333333335</v>
      </c>
      <c r="U454" s="449">
        <f>($H454-SUM($L454:T454))/U$694</f>
        <v>1796.8333333333333</v>
      </c>
      <c r="V454" s="449">
        <f>($H454-SUM($L454:U454))/V$694</f>
        <v>1796.8333333333335</v>
      </c>
      <c r="W454" s="449">
        <f>($H454-SUM($L454:V454))/W$694</f>
        <v>1796.8333333333339</v>
      </c>
      <c r="X454" s="449"/>
      <c r="Y454" s="449">
        <f t="shared" si="344"/>
        <v>10931</v>
      </c>
      <c r="Z454" s="531"/>
      <c r="AA454" s="449">
        <f t="shared" si="366"/>
        <v>910.91666666666663</v>
      </c>
      <c r="AB454" s="449">
        <f t="shared" si="366"/>
        <v>910.91666666666663</v>
      </c>
      <c r="AC454" s="449">
        <f t="shared" si="366"/>
        <v>910.91666666666663</v>
      </c>
      <c r="AD454" s="449">
        <f t="shared" si="366"/>
        <v>910.91666666666663</v>
      </c>
      <c r="AE454" s="449">
        <f t="shared" si="366"/>
        <v>910.91666666666663</v>
      </c>
      <c r="AF454" s="449">
        <f t="shared" si="366"/>
        <v>910.91666666666663</v>
      </c>
      <c r="AG454" s="449">
        <f t="shared" si="366"/>
        <v>910.91666666666663</v>
      </c>
      <c r="AH454" s="449">
        <f t="shared" si="366"/>
        <v>910.91666666666663</v>
      </c>
      <c r="AI454" s="449">
        <f t="shared" si="366"/>
        <v>910.91666666666663</v>
      </c>
      <c r="AJ454" s="449">
        <f t="shared" si="366"/>
        <v>910.91666666666663</v>
      </c>
      <c r="AK454" s="449">
        <f t="shared" si="366"/>
        <v>910.91666666666663</v>
      </c>
      <c r="AL454" s="449">
        <f t="shared" si="366"/>
        <v>910.91666666666663</v>
      </c>
      <c r="AN454" s="500">
        <f t="shared" si="359"/>
        <v>10931</v>
      </c>
      <c r="AO454" s="449">
        <f t="shared" si="347"/>
        <v>12019.710040160644</v>
      </c>
      <c r="AP454" s="449">
        <f t="shared" si="367"/>
        <v>1088.710040160644</v>
      </c>
      <c r="AQ454" s="453">
        <f t="shared" si="368"/>
        <v>9.9598393574297311E-2</v>
      </c>
      <c r="AR454" s="449">
        <f t="shared" si="350"/>
        <v>12019.710040160644</v>
      </c>
      <c r="AS454" s="449">
        <f t="shared" si="369"/>
        <v>0</v>
      </c>
      <c r="AT454" s="426">
        <f t="shared" si="352"/>
        <v>0</v>
      </c>
      <c r="AU454" s="421"/>
      <c r="AV454" s="449">
        <f t="shared" si="362"/>
        <v>1001.6425033467203</v>
      </c>
      <c r="AW454" s="449">
        <f t="shared" si="362"/>
        <v>1001.6425033467203</v>
      </c>
      <c r="AX454" s="449">
        <f t="shared" si="362"/>
        <v>1001.6425033467203</v>
      </c>
      <c r="AY454" s="449">
        <f t="shared" si="362"/>
        <v>1001.6425033467203</v>
      </c>
      <c r="AZ454" s="449">
        <f t="shared" si="362"/>
        <v>1001.6425033467203</v>
      </c>
      <c r="BA454" s="449">
        <f t="shared" si="362"/>
        <v>1001.6425033467203</v>
      </c>
      <c r="BB454" s="449">
        <f t="shared" si="361"/>
        <v>1001.6425033467203</v>
      </c>
      <c r="BC454" s="449">
        <f t="shared" si="361"/>
        <v>1001.6425033467203</v>
      </c>
      <c r="BD454" s="449">
        <f t="shared" si="361"/>
        <v>1001.6425033467203</v>
      </c>
      <c r="BE454" s="449">
        <f t="shared" si="361"/>
        <v>1001.6425033467203</v>
      </c>
      <c r="BF454" s="449">
        <f t="shared" si="361"/>
        <v>1001.6425033467203</v>
      </c>
      <c r="BG454" s="449">
        <f t="shared" si="361"/>
        <v>1001.6425033467203</v>
      </c>
      <c r="BH454" s="400"/>
      <c r="BI454" s="449">
        <f t="shared" si="372"/>
        <v>1001.6425033467203</v>
      </c>
      <c r="BJ454" s="449">
        <f t="shared" si="372"/>
        <v>1001.6425033467203</v>
      </c>
      <c r="BK454" s="449">
        <f t="shared" si="372"/>
        <v>1001.6425033467203</v>
      </c>
      <c r="BL454" s="449">
        <f t="shared" si="372"/>
        <v>1001.6425033467203</v>
      </c>
      <c r="BM454" s="449">
        <f t="shared" si="372"/>
        <v>1001.6425033467203</v>
      </c>
      <c r="BN454" s="449">
        <f t="shared" si="372"/>
        <v>1001.6425033467203</v>
      </c>
      <c r="BO454" s="449">
        <f t="shared" si="372"/>
        <v>1001.6425033467203</v>
      </c>
      <c r="BP454" s="449">
        <f t="shared" si="372"/>
        <v>1001.6425033467203</v>
      </c>
      <c r="BQ454" s="449">
        <f t="shared" si="372"/>
        <v>1001.6425033467203</v>
      </c>
      <c r="BR454" s="449">
        <f t="shared" si="372"/>
        <v>1001.6425033467203</v>
      </c>
      <c r="BS454" s="449">
        <f t="shared" si="372"/>
        <v>1001.6425033467203</v>
      </c>
      <c r="BT454" s="449">
        <f t="shared" si="372"/>
        <v>1001.6425033467203</v>
      </c>
    </row>
    <row r="455" spans="1:74" ht="15" x14ac:dyDescent="0.25">
      <c r="A455" s="502" t="s">
        <v>775</v>
      </c>
      <c r="B455" s="502" t="s">
        <v>776</v>
      </c>
      <c r="C455" s="596"/>
      <c r="D455" s="500">
        <f t="shared" si="339"/>
        <v>11684</v>
      </c>
      <c r="E455" s="449">
        <v>15683</v>
      </c>
      <c r="F455" s="449">
        <f t="shared" si="365"/>
        <v>-3999</v>
      </c>
      <c r="G455" s="421">
        <f t="shared" si="341"/>
        <v>-0.25498947905375247</v>
      </c>
      <c r="H455" s="449">
        <v>11684</v>
      </c>
      <c r="I455" s="449">
        <f t="shared" si="342"/>
        <v>0</v>
      </c>
      <c r="J455" s="426">
        <f t="shared" si="343"/>
        <v>0</v>
      </c>
      <c r="K455" s="421"/>
      <c r="L455" s="449">
        <v>0</v>
      </c>
      <c r="M455" s="449">
        <v>208.97</v>
      </c>
      <c r="N455" s="449">
        <v>98.940000000000026</v>
      </c>
      <c r="O455" s="449">
        <v>86.94</v>
      </c>
      <c r="P455" s="449">
        <v>287.79999999999995</v>
      </c>
      <c r="Q455" s="449">
        <v>-294</v>
      </c>
      <c r="R455" s="449">
        <f>($H455-SUM($L455:Q455))/R$694</f>
        <v>1882.5583333333334</v>
      </c>
      <c r="S455" s="449">
        <f>($H455-SUM($L455:R455))/S$694</f>
        <v>1882.5583333333332</v>
      </c>
      <c r="T455" s="449">
        <f>($H455-SUM($L455:S455))/T$694</f>
        <v>1882.5583333333334</v>
      </c>
      <c r="U455" s="449">
        <f>($H455-SUM($L455:T455))/U$694</f>
        <v>1882.5583333333334</v>
      </c>
      <c r="V455" s="449">
        <f>($H455-SUM($L455:U455))/V$694</f>
        <v>1882.5583333333334</v>
      </c>
      <c r="W455" s="449">
        <f>($H455-SUM($L455:V455))/W$694</f>
        <v>1882.5583333333343</v>
      </c>
      <c r="X455" s="449"/>
      <c r="Y455" s="449">
        <f t="shared" si="344"/>
        <v>11684</v>
      </c>
      <c r="Z455" s="531"/>
      <c r="AA455" s="449">
        <f t="shared" si="366"/>
        <v>973.66666666666663</v>
      </c>
      <c r="AB455" s="449">
        <f t="shared" si="366"/>
        <v>973.66666666666663</v>
      </c>
      <c r="AC455" s="449">
        <f t="shared" si="366"/>
        <v>973.66666666666663</v>
      </c>
      <c r="AD455" s="449">
        <f t="shared" si="366"/>
        <v>973.66666666666663</v>
      </c>
      <c r="AE455" s="449">
        <f t="shared" si="366"/>
        <v>973.66666666666663</v>
      </c>
      <c r="AF455" s="449">
        <f t="shared" si="366"/>
        <v>973.66666666666663</v>
      </c>
      <c r="AG455" s="449">
        <f t="shared" si="366"/>
        <v>973.66666666666663</v>
      </c>
      <c r="AH455" s="449">
        <f t="shared" si="366"/>
        <v>973.66666666666663</v>
      </c>
      <c r="AI455" s="449">
        <f t="shared" si="366"/>
        <v>973.66666666666663</v>
      </c>
      <c r="AJ455" s="449">
        <f t="shared" si="366"/>
        <v>973.66666666666663</v>
      </c>
      <c r="AK455" s="449">
        <f t="shared" si="366"/>
        <v>973.66666666666663</v>
      </c>
      <c r="AL455" s="449">
        <f t="shared" si="366"/>
        <v>973.66666666666663</v>
      </c>
      <c r="AN455" s="500">
        <f t="shared" si="359"/>
        <v>11684</v>
      </c>
      <c r="AO455" s="449">
        <f t="shared" si="347"/>
        <v>12847.707630522085</v>
      </c>
      <c r="AP455" s="449">
        <f t="shared" si="367"/>
        <v>1163.7076305220853</v>
      </c>
      <c r="AQ455" s="453">
        <f t="shared" si="368"/>
        <v>9.9598393574296923E-2</v>
      </c>
      <c r="AR455" s="449">
        <f t="shared" si="350"/>
        <v>12847.707630522085</v>
      </c>
      <c r="AS455" s="449">
        <f t="shared" si="369"/>
        <v>0</v>
      </c>
      <c r="AT455" s="426">
        <f t="shared" si="352"/>
        <v>0</v>
      </c>
      <c r="AU455" s="421"/>
      <c r="AV455" s="449">
        <f t="shared" si="362"/>
        <v>1070.6423025435074</v>
      </c>
      <c r="AW455" s="449">
        <f t="shared" si="362"/>
        <v>1070.6423025435074</v>
      </c>
      <c r="AX455" s="449">
        <f t="shared" si="362"/>
        <v>1070.6423025435074</v>
      </c>
      <c r="AY455" s="449">
        <f t="shared" si="362"/>
        <v>1070.6423025435074</v>
      </c>
      <c r="AZ455" s="449">
        <f t="shared" si="362"/>
        <v>1070.6423025435074</v>
      </c>
      <c r="BA455" s="449">
        <f t="shared" si="362"/>
        <v>1070.6423025435074</v>
      </c>
      <c r="BB455" s="449">
        <f t="shared" si="361"/>
        <v>1070.6423025435074</v>
      </c>
      <c r="BC455" s="449">
        <f t="shared" si="361"/>
        <v>1070.6423025435074</v>
      </c>
      <c r="BD455" s="449">
        <f t="shared" si="361"/>
        <v>1070.6423025435074</v>
      </c>
      <c r="BE455" s="449">
        <f t="shared" si="361"/>
        <v>1070.6423025435074</v>
      </c>
      <c r="BF455" s="449">
        <f t="shared" si="361"/>
        <v>1070.6423025435074</v>
      </c>
      <c r="BG455" s="449">
        <f t="shared" si="361"/>
        <v>1070.6423025435074</v>
      </c>
      <c r="BH455" s="400"/>
      <c r="BI455" s="449">
        <f t="shared" si="372"/>
        <v>1070.6423025435074</v>
      </c>
      <c r="BJ455" s="449">
        <f t="shared" si="372"/>
        <v>1070.6423025435074</v>
      </c>
      <c r="BK455" s="449">
        <f t="shared" si="372"/>
        <v>1070.6423025435074</v>
      </c>
      <c r="BL455" s="449">
        <f t="shared" si="372"/>
        <v>1070.6423025435074</v>
      </c>
      <c r="BM455" s="449">
        <f t="shared" si="372"/>
        <v>1070.6423025435074</v>
      </c>
      <c r="BN455" s="449">
        <f t="shared" si="372"/>
        <v>1070.6423025435074</v>
      </c>
      <c r="BO455" s="449">
        <f t="shared" si="372"/>
        <v>1070.6423025435074</v>
      </c>
      <c r="BP455" s="449">
        <f t="shared" si="372"/>
        <v>1070.6423025435074</v>
      </c>
      <c r="BQ455" s="449">
        <f t="shared" si="372"/>
        <v>1070.6423025435074</v>
      </c>
      <c r="BR455" s="449">
        <f t="shared" si="372"/>
        <v>1070.6423025435074</v>
      </c>
      <c r="BS455" s="449">
        <f t="shared" si="372"/>
        <v>1070.6423025435074</v>
      </c>
      <c r="BT455" s="449">
        <f t="shared" si="372"/>
        <v>1070.6423025435074</v>
      </c>
    </row>
    <row r="456" spans="1:74" ht="15" x14ac:dyDescent="0.25">
      <c r="A456" s="502"/>
      <c r="B456" s="502"/>
      <c r="C456" s="596"/>
      <c r="D456" s="500"/>
      <c r="E456" s="449"/>
      <c r="F456" s="449"/>
      <c r="G456" s="421"/>
      <c r="H456" s="449"/>
      <c r="I456" s="449"/>
      <c r="J456" s="426"/>
      <c r="K456" s="421"/>
      <c r="L456" s="449"/>
      <c r="M456" s="449"/>
      <c r="N456" s="449"/>
      <c r="O456" s="449"/>
      <c r="P456" s="449"/>
      <c r="Q456" s="449"/>
      <c r="R456" s="449"/>
      <c r="S456" s="449"/>
      <c r="T456" s="449"/>
      <c r="U456" s="449"/>
      <c r="V456" s="449"/>
      <c r="W456" s="449"/>
      <c r="X456" s="449"/>
      <c r="Y456" s="449"/>
      <c r="Z456" s="531"/>
      <c r="AA456" s="449"/>
      <c r="AB456" s="449"/>
      <c r="AC456" s="449"/>
      <c r="AD456" s="449"/>
      <c r="AE456" s="449"/>
      <c r="AF456" s="449"/>
      <c r="AG456" s="449"/>
      <c r="AH456" s="449"/>
      <c r="AI456" s="449"/>
      <c r="AJ456" s="449"/>
      <c r="AK456" s="449"/>
      <c r="AL456" s="449"/>
      <c r="AN456" s="500"/>
      <c r="AO456" s="449"/>
      <c r="AP456" s="449"/>
      <c r="AQ456" s="453"/>
      <c r="AR456" s="449"/>
      <c r="AS456" s="449"/>
      <c r="AT456" s="426"/>
      <c r="AU456" s="421"/>
      <c r="AV456" s="449"/>
      <c r="AW456" s="449"/>
      <c r="AX456" s="449"/>
      <c r="AY456" s="449"/>
      <c r="AZ456" s="449"/>
      <c r="BA456" s="449"/>
      <c r="BB456" s="449"/>
      <c r="BC456" s="449"/>
      <c r="BD456" s="449"/>
      <c r="BE456" s="449"/>
      <c r="BF456" s="449"/>
      <c r="BG456" s="449"/>
      <c r="BH456" s="531"/>
      <c r="BI456" s="449"/>
      <c r="BJ456" s="449"/>
      <c r="BK456" s="449"/>
      <c r="BL456" s="449"/>
      <c r="BM456" s="449"/>
      <c r="BN456" s="449"/>
      <c r="BO456" s="449"/>
      <c r="BP456" s="449"/>
      <c r="BQ456" s="449"/>
      <c r="BR456" s="449"/>
      <c r="BS456" s="449"/>
      <c r="BT456" s="449"/>
    </row>
    <row r="457" spans="1:74" s="536" customFormat="1" ht="15.75" thickBot="1" x14ac:dyDescent="0.3">
      <c r="A457" s="524"/>
      <c r="B457" s="524" t="s">
        <v>777</v>
      </c>
      <c r="C457" s="598"/>
      <c r="D457" s="532">
        <f>SUM(D386:D456)</f>
        <v>900847.50999999989</v>
      </c>
      <c r="E457" s="533">
        <f>SUM(E386:E456)</f>
        <v>933999</v>
      </c>
      <c r="F457" s="533">
        <f>IFERROR(D457-E457,0)</f>
        <v>-33151.490000000107</v>
      </c>
      <c r="G457" s="520">
        <f>IFERROR(F457/ABS(E457),0)</f>
        <v>-3.5494138644688172E-2</v>
      </c>
      <c r="H457" s="533">
        <f>SUM(H386:H456)</f>
        <v>845508</v>
      </c>
      <c r="I457" s="533">
        <f>IFERROR(D457-H457,0)</f>
        <v>55339.509999999893</v>
      </c>
      <c r="J457" s="521">
        <f>IFERROR(I457/ABS(H457),0)</f>
        <v>6.5451196203938813E-2</v>
      </c>
      <c r="K457" s="507"/>
      <c r="L457" s="533">
        <f t="shared" ref="L457:W457" si="373">SUM(L386:L456)</f>
        <v>44064.579999999987</v>
      </c>
      <c r="M457" s="533">
        <f t="shared" si="373"/>
        <v>84380.150000000009</v>
      </c>
      <c r="N457" s="533">
        <f t="shared" si="373"/>
        <v>60318.180000000015</v>
      </c>
      <c r="O457" s="533">
        <f t="shared" si="373"/>
        <v>82503.19</v>
      </c>
      <c r="P457" s="533">
        <f t="shared" si="373"/>
        <v>78112.930000000008</v>
      </c>
      <c r="Q457" s="533">
        <f t="shared" si="373"/>
        <v>69796.699999999983</v>
      </c>
      <c r="R457" s="533">
        <f t="shared" si="373"/>
        <v>80278.63</v>
      </c>
      <c r="S457" s="533">
        <f t="shared" si="373"/>
        <v>80278.63</v>
      </c>
      <c r="T457" s="533">
        <f t="shared" si="373"/>
        <v>80278.63</v>
      </c>
      <c r="U457" s="533">
        <f t="shared" si="373"/>
        <v>80278.63</v>
      </c>
      <c r="V457" s="533">
        <f t="shared" si="373"/>
        <v>80278.629999999976</v>
      </c>
      <c r="W457" s="533">
        <f t="shared" si="373"/>
        <v>80278.62999999999</v>
      </c>
      <c r="X457" s="533"/>
      <c r="Y457" s="533">
        <f>SUM(L457:W457)</f>
        <v>900847.51</v>
      </c>
      <c r="Z457" s="508"/>
      <c r="AA457" s="533">
        <f t="shared" ref="AA457:AL457" si="374">SUM(AA386:AA456)</f>
        <v>70459.000000000015</v>
      </c>
      <c r="AB457" s="533">
        <f t="shared" si="374"/>
        <v>70459.000000000015</v>
      </c>
      <c r="AC457" s="533">
        <f t="shared" si="374"/>
        <v>70459.000000000015</v>
      </c>
      <c r="AD457" s="533">
        <f t="shared" si="374"/>
        <v>70459.000000000015</v>
      </c>
      <c r="AE457" s="533">
        <f t="shared" si="374"/>
        <v>70459.000000000015</v>
      </c>
      <c r="AF457" s="533">
        <f t="shared" si="374"/>
        <v>70459.000000000015</v>
      </c>
      <c r="AG457" s="533">
        <f t="shared" si="374"/>
        <v>70459.000000000015</v>
      </c>
      <c r="AH457" s="533">
        <f t="shared" si="374"/>
        <v>70459.000000000015</v>
      </c>
      <c r="AI457" s="533">
        <f t="shared" si="374"/>
        <v>70459.000000000015</v>
      </c>
      <c r="AJ457" s="533">
        <f t="shared" si="374"/>
        <v>70459.000000000015</v>
      </c>
      <c r="AK457" s="533">
        <f t="shared" si="374"/>
        <v>70459.000000000015</v>
      </c>
      <c r="AL457" s="533">
        <f t="shared" si="374"/>
        <v>70459.000000000015</v>
      </c>
      <c r="AN457" s="532">
        <f>SUM(AN386:AN456)</f>
        <v>900847.50999999989</v>
      </c>
      <c r="AO457" s="533">
        <f>SUM(AO386:AO456)</f>
        <v>932598.59729219286</v>
      </c>
      <c r="AP457" s="533">
        <f>IFERROR(AO457-AN457,0)</f>
        <v>31751.087292192969</v>
      </c>
      <c r="AQ457" s="523">
        <f>IFERROR(AP457/ABS(AN457),"-")</f>
        <v>3.5245795697645847E-2</v>
      </c>
      <c r="AR457" s="533">
        <f>SUM(AR386:AR456)</f>
        <v>932598.59729219286</v>
      </c>
      <c r="AS457" s="533">
        <f>IFERROR(AO457-AR457,0)</f>
        <v>0</v>
      </c>
      <c r="AT457" s="521">
        <f>IFERROR(AS457/ABS(AR457),0)</f>
        <v>0</v>
      </c>
      <c r="AU457" s="507"/>
      <c r="AV457" s="533">
        <f t="shared" ref="AV457:BG457" si="375">SUM(AV386:AV456)</f>
        <v>83112.564210627868</v>
      </c>
      <c r="AW457" s="533">
        <f t="shared" si="375"/>
        <v>83112.564210627868</v>
      </c>
      <c r="AX457" s="533">
        <f t="shared" si="375"/>
        <v>78886.270247040171</v>
      </c>
      <c r="AY457" s="533">
        <f t="shared" si="375"/>
        <v>102886.27024704019</v>
      </c>
      <c r="AZ457" s="533">
        <f t="shared" si="375"/>
        <v>78886.270247040171</v>
      </c>
      <c r="BA457" s="533">
        <f t="shared" si="375"/>
        <v>72244.951161402409</v>
      </c>
      <c r="BB457" s="533">
        <f t="shared" si="375"/>
        <v>72244.951161402409</v>
      </c>
      <c r="BC457" s="533">
        <f t="shared" si="375"/>
        <v>72244.951161402409</v>
      </c>
      <c r="BD457" s="533">
        <f t="shared" si="375"/>
        <v>72244.951161402409</v>
      </c>
      <c r="BE457" s="533">
        <f t="shared" si="375"/>
        <v>72244.951161402409</v>
      </c>
      <c r="BF457" s="533">
        <f t="shared" si="375"/>
        <v>72244.951161402409</v>
      </c>
      <c r="BG457" s="533">
        <f t="shared" si="375"/>
        <v>72244.951161402409</v>
      </c>
      <c r="BH457" s="508"/>
      <c r="BI457" s="533">
        <f t="shared" ref="BI457:BT457" si="376">SUM(BI386:BI456)</f>
        <v>83112.564210627868</v>
      </c>
      <c r="BJ457" s="533">
        <f t="shared" si="376"/>
        <v>83112.564210627868</v>
      </c>
      <c r="BK457" s="533">
        <f t="shared" si="376"/>
        <v>78886.270247040171</v>
      </c>
      <c r="BL457" s="533">
        <f t="shared" si="376"/>
        <v>102886.27024704019</v>
      </c>
      <c r="BM457" s="533">
        <f t="shared" si="376"/>
        <v>78886.270247040171</v>
      </c>
      <c r="BN457" s="533">
        <f t="shared" si="376"/>
        <v>72244.951161402409</v>
      </c>
      <c r="BO457" s="533">
        <f t="shared" si="376"/>
        <v>72244.951161402409</v>
      </c>
      <c r="BP457" s="533">
        <f t="shared" si="376"/>
        <v>72244.951161402409</v>
      </c>
      <c r="BQ457" s="533">
        <f t="shared" si="376"/>
        <v>72244.951161402409</v>
      </c>
      <c r="BR457" s="533">
        <f t="shared" si="376"/>
        <v>72244.951161402409</v>
      </c>
      <c r="BS457" s="533">
        <f t="shared" si="376"/>
        <v>72244.951161402409</v>
      </c>
      <c r="BT457" s="533">
        <f t="shared" si="376"/>
        <v>72244.951161402409</v>
      </c>
      <c r="BV457" s="400"/>
    </row>
    <row r="458" spans="1:74" ht="15.75" thickTop="1" x14ac:dyDescent="0.25">
      <c r="A458" s="502"/>
      <c r="B458" s="502"/>
      <c r="C458" s="596"/>
      <c r="D458" s="500"/>
      <c r="E458" s="449"/>
      <c r="F458" s="449"/>
      <c r="G458" s="421"/>
      <c r="H458" s="449"/>
      <c r="I458" s="449"/>
      <c r="J458" s="426"/>
      <c r="K458" s="421"/>
      <c r="L458" s="449"/>
      <c r="M458" s="449"/>
      <c r="N458" s="449"/>
      <c r="O458" s="449"/>
      <c r="P458" s="449"/>
      <c r="Q458" s="449"/>
      <c r="R458" s="449"/>
      <c r="S458" s="449"/>
      <c r="T458" s="449"/>
      <c r="U458" s="449"/>
      <c r="V458" s="449"/>
      <c r="W458" s="449"/>
      <c r="X458" s="449"/>
      <c r="Y458" s="449"/>
      <c r="Z458" s="531"/>
      <c r="AA458" s="449"/>
      <c r="AB458" s="449"/>
      <c r="AC458" s="449"/>
      <c r="AD458" s="449"/>
      <c r="AE458" s="449"/>
      <c r="AF458" s="449"/>
      <c r="AG458" s="449"/>
      <c r="AH458" s="449"/>
      <c r="AI458" s="449"/>
      <c r="AJ458" s="449"/>
      <c r="AK458" s="449"/>
      <c r="AL458" s="449"/>
      <c r="AN458" s="500"/>
      <c r="AO458" s="449"/>
      <c r="AP458" s="449"/>
      <c r="AQ458" s="453"/>
      <c r="AR458" s="449"/>
      <c r="AS458" s="449"/>
      <c r="AT458" s="426"/>
      <c r="AU458" s="421"/>
      <c r="AV458" s="449"/>
      <c r="AW458" s="449"/>
      <c r="AX458" s="449"/>
      <c r="AY458" s="449"/>
      <c r="AZ458" s="449"/>
      <c r="BA458" s="449"/>
      <c r="BB458" s="449"/>
      <c r="BC458" s="449"/>
      <c r="BD458" s="449"/>
      <c r="BE458" s="449"/>
      <c r="BF458" s="449"/>
      <c r="BG458" s="449"/>
      <c r="BH458" s="531"/>
      <c r="BI458" s="449"/>
      <c r="BJ458" s="449"/>
      <c r="BK458" s="449"/>
      <c r="BL458" s="449"/>
      <c r="BM458" s="449"/>
      <c r="BN458" s="449"/>
      <c r="BO458" s="449"/>
      <c r="BP458" s="449"/>
      <c r="BQ458" s="449"/>
      <c r="BR458" s="449"/>
      <c r="BS458" s="449"/>
      <c r="BT458" s="449"/>
    </row>
    <row r="459" spans="1:74" ht="15.75" x14ac:dyDescent="0.25">
      <c r="A459" s="502"/>
      <c r="B459" s="525" t="s">
        <v>778</v>
      </c>
      <c r="C459" s="596"/>
      <c r="D459" s="500"/>
      <c r="E459" s="449"/>
      <c r="F459" s="449"/>
      <c r="G459" s="421"/>
      <c r="H459" s="449"/>
      <c r="I459" s="449"/>
      <c r="J459" s="426"/>
      <c r="K459" s="421"/>
      <c r="L459" s="449"/>
      <c r="M459" s="449"/>
      <c r="N459" s="449"/>
      <c r="O459" s="449"/>
      <c r="P459" s="449"/>
      <c r="Q459" s="449"/>
      <c r="R459" s="449"/>
      <c r="S459" s="449"/>
      <c r="T459" s="449"/>
      <c r="U459" s="449"/>
      <c r="V459" s="449"/>
      <c r="W459" s="449"/>
      <c r="X459" s="449"/>
      <c r="Y459" s="449"/>
      <c r="Z459" s="531"/>
      <c r="AA459" s="449"/>
      <c r="AB459" s="449"/>
      <c r="AC459" s="449"/>
      <c r="AD459" s="449"/>
      <c r="AE459" s="449"/>
      <c r="AF459" s="449"/>
      <c r="AG459" s="449"/>
      <c r="AH459" s="449"/>
      <c r="AI459" s="449"/>
      <c r="AJ459" s="449"/>
      <c r="AK459" s="449"/>
      <c r="AL459" s="449"/>
      <c r="AN459" s="500"/>
      <c r="AO459" s="449"/>
      <c r="AP459" s="449"/>
      <c r="AQ459" s="453"/>
      <c r="AR459" s="449"/>
      <c r="AS459" s="449"/>
      <c r="AT459" s="426"/>
      <c r="AU459" s="421"/>
      <c r="AV459" s="449"/>
      <c r="AW459" s="449"/>
      <c r="AX459" s="449"/>
      <c r="AY459" s="449"/>
      <c r="AZ459" s="449"/>
      <c r="BA459" s="449"/>
      <c r="BB459" s="449"/>
      <c r="BC459" s="449"/>
      <c r="BD459" s="449"/>
      <c r="BE459" s="449"/>
      <c r="BF459" s="449"/>
      <c r="BG459" s="449"/>
      <c r="BH459" s="531"/>
      <c r="BI459" s="449"/>
      <c r="BJ459" s="449"/>
      <c r="BK459" s="449"/>
      <c r="BL459" s="449"/>
      <c r="BM459" s="449"/>
      <c r="BN459" s="449"/>
      <c r="BO459" s="449"/>
      <c r="BP459" s="449"/>
      <c r="BQ459" s="449"/>
      <c r="BR459" s="449"/>
      <c r="BS459" s="449"/>
      <c r="BT459" s="449"/>
    </row>
    <row r="460" spans="1:74" ht="9" customHeight="1" x14ac:dyDescent="0.25">
      <c r="A460" s="502"/>
      <c r="B460" s="502"/>
      <c r="C460" s="596"/>
      <c r="D460" s="500"/>
      <c r="E460" s="449"/>
      <c r="F460" s="449"/>
      <c r="G460" s="421"/>
      <c r="H460" s="449"/>
      <c r="I460" s="449"/>
      <c r="J460" s="426"/>
      <c r="K460" s="421"/>
      <c r="L460" s="449"/>
      <c r="M460" s="449"/>
      <c r="N460" s="449"/>
      <c r="O460" s="449"/>
      <c r="P460" s="449"/>
      <c r="Q460" s="449"/>
      <c r="R460" s="449"/>
      <c r="S460" s="449"/>
      <c r="T460" s="449"/>
      <c r="U460" s="449"/>
      <c r="V460" s="449"/>
      <c r="W460" s="449"/>
      <c r="X460" s="449"/>
      <c r="Y460" s="449"/>
      <c r="Z460" s="531"/>
      <c r="AA460" s="449"/>
      <c r="AB460" s="449"/>
      <c r="AC460" s="449"/>
      <c r="AD460" s="449"/>
      <c r="AE460" s="449"/>
      <c r="AF460" s="449"/>
      <c r="AG460" s="449"/>
      <c r="AH460" s="449"/>
      <c r="AI460" s="449"/>
      <c r="AJ460" s="449"/>
      <c r="AK460" s="449"/>
      <c r="AL460" s="449"/>
      <c r="AN460" s="500"/>
      <c r="AO460" s="449"/>
      <c r="AP460" s="449"/>
      <c r="AQ460" s="453"/>
      <c r="AR460" s="449"/>
      <c r="AS460" s="449"/>
      <c r="AT460" s="426"/>
      <c r="AU460" s="421"/>
      <c r="AV460" s="449"/>
      <c r="AW460" s="449"/>
      <c r="AX460" s="449"/>
      <c r="AY460" s="449"/>
      <c r="AZ460" s="449"/>
      <c r="BA460" s="449"/>
      <c r="BB460" s="449"/>
      <c r="BC460" s="449"/>
      <c r="BD460" s="449"/>
      <c r="BE460" s="449"/>
      <c r="BF460" s="449"/>
      <c r="BG460" s="449"/>
      <c r="BH460" s="531"/>
      <c r="BI460" s="449"/>
      <c r="BJ460" s="449"/>
      <c r="BK460" s="449"/>
      <c r="BL460" s="449"/>
      <c r="BM460" s="449"/>
      <c r="BN460" s="449"/>
      <c r="BO460" s="449"/>
      <c r="BP460" s="449"/>
      <c r="BQ460" s="449"/>
      <c r="BR460" s="449"/>
      <c r="BS460" s="449"/>
      <c r="BT460" s="449"/>
    </row>
    <row r="461" spans="1:74" ht="15" x14ac:dyDescent="0.25">
      <c r="A461" s="615" t="s">
        <v>779</v>
      </c>
      <c r="B461" s="502" t="s">
        <v>780</v>
      </c>
      <c r="C461" s="600" t="s">
        <v>781</v>
      </c>
      <c r="D461" s="500">
        <f t="shared" ref="D461:D471" si="377">SUM(L461:W461)</f>
        <v>196100</v>
      </c>
      <c r="E461" s="449">
        <v>173164.42543399998</v>
      </c>
      <c r="F461" s="449">
        <f t="shared" ref="F461:F471" si="378">IFERROR(D461-E461,0)</f>
        <v>22935.574566000025</v>
      </c>
      <c r="G461" s="421">
        <f t="shared" ref="G461:G471" si="379">IFERROR(F461/ABS(E461),0)</f>
        <v>0.13244969056731407</v>
      </c>
      <c r="H461" s="449">
        <v>196100</v>
      </c>
      <c r="I461" s="449">
        <f t="shared" ref="I461:I471" si="380">IFERROR(D461-H461,0)</f>
        <v>0</v>
      </c>
      <c r="J461" s="426">
        <f t="shared" ref="J461:J471" si="381">IFERROR(I461/ABS(H461),0)</f>
        <v>0</v>
      </c>
      <c r="K461" s="421"/>
      <c r="L461" s="449">
        <v>14205.61</v>
      </c>
      <c r="M461" s="449">
        <v>13955.599999999999</v>
      </c>
      <c r="N461" s="449">
        <v>20862.700000000004</v>
      </c>
      <c r="O461" s="449">
        <v>16257.96</v>
      </c>
      <c r="P461" s="449">
        <v>16257.980000000003</v>
      </c>
      <c r="Q461" s="449">
        <v>16641.64</v>
      </c>
      <c r="R461" s="449">
        <f>($H461-SUM($L461:Q461))/R$694</f>
        <v>16319.751666666665</v>
      </c>
      <c r="S461" s="449">
        <f>($H461-SUM($L461:R461))/S$694</f>
        <v>16319.751666666667</v>
      </c>
      <c r="T461" s="449">
        <f>($H461-SUM($L461:S461))/T$694</f>
        <v>16319.751666666667</v>
      </c>
      <c r="U461" s="449">
        <f>($H461-SUM($L461:T461))/U$694</f>
        <v>16319.751666666669</v>
      </c>
      <c r="V461" s="449">
        <f>($H461-SUM($L461:U461))/V$694</f>
        <v>16319.751666666663</v>
      </c>
      <c r="W461" s="449">
        <f>($H461-SUM($L461:V461))/W$694</f>
        <v>16319.751666666649</v>
      </c>
      <c r="X461" s="449"/>
      <c r="Y461" s="449">
        <f t="shared" ref="Y461:Y471" si="382">SUM(L461:W461)</f>
        <v>196100</v>
      </c>
      <c r="Z461" s="531"/>
      <c r="AA461" s="449">
        <f t="shared" ref="AA461:AL471" si="383">IFERROR($H461/12,0)</f>
        <v>16341.666666666666</v>
      </c>
      <c r="AB461" s="449">
        <f t="shared" si="383"/>
        <v>16341.666666666666</v>
      </c>
      <c r="AC461" s="449">
        <f t="shared" si="383"/>
        <v>16341.666666666666</v>
      </c>
      <c r="AD461" s="449">
        <f t="shared" si="383"/>
        <v>16341.666666666666</v>
      </c>
      <c r="AE461" s="449">
        <f t="shared" si="383"/>
        <v>16341.666666666666</v>
      </c>
      <c r="AF461" s="449">
        <f t="shared" si="383"/>
        <v>16341.666666666666</v>
      </c>
      <c r="AG461" s="449">
        <f t="shared" si="383"/>
        <v>16341.666666666666</v>
      </c>
      <c r="AH461" s="449">
        <f t="shared" si="383"/>
        <v>16341.666666666666</v>
      </c>
      <c r="AI461" s="449">
        <f t="shared" si="383"/>
        <v>16341.666666666666</v>
      </c>
      <c r="AJ461" s="449">
        <f t="shared" si="383"/>
        <v>16341.666666666666</v>
      </c>
      <c r="AK461" s="449">
        <f t="shared" si="383"/>
        <v>16341.666666666666</v>
      </c>
      <c r="AL461" s="449">
        <f t="shared" si="383"/>
        <v>16341.666666666666</v>
      </c>
      <c r="AN461" s="500">
        <f t="shared" ref="AN461:AN471" si="384">SUM(L461:W461)</f>
        <v>196100</v>
      </c>
      <c r="AO461" s="449">
        <f t="shared" ref="AO461:AO471" si="385">SUM(BI461:BT461)</f>
        <v>215631.24497991972</v>
      </c>
      <c r="AP461" s="449">
        <f t="shared" ref="AP461:AP471" si="386">IFERROR(AO461-AN461,0)</f>
        <v>19531.24497991972</v>
      </c>
      <c r="AQ461" s="453">
        <f t="shared" ref="AQ461:AQ471" si="387">IFERROR(AP461/ABS(AN461),"-")</f>
        <v>9.9598393574297395E-2</v>
      </c>
      <c r="AR461" s="449">
        <f t="shared" ref="AR461:AR471" si="388">SUM(BI461:BT461)</f>
        <v>215631.24497991972</v>
      </c>
      <c r="AS461" s="449">
        <f t="shared" ref="AS461:AS471" si="389">IFERROR(AO461-AR461,0)</f>
        <v>0</v>
      </c>
      <c r="AT461" s="426">
        <f t="shared" ref="AT461:AT471" si="390">IFERROR(AS461/ABS(AR461),0)</f>
        <v>0</v>
      </c>
      <c r="AU461" s="421"/>
      <c r="AV461" s="449">
        <f t="shared" ref="AV461:BG471" si="391">BI461</f>
        <v>17969.270414993309</v>
      </c>
      <c r="AW461" s="449">
        <f t="shared" si="391"/>
        <v>17969.270414993309</v>
      </c>
      <c r="AX461" s="449">
        <f t="shared" si="391"/>
        <v>17969.270414993309</v>
      </c>
      <c r="AY461" s="449">
        <f t="shared" si="391"/>
        <v>17969.270414993309</v>
      </c>
      <c r="AZ461" s="449">
        <f t="shared" si="391"/>
        <v>17969.270414993309</v>
      </c>
      <c r="BA461" s="449">
        <f t="shared" si="391"/>
        <v>17969.270414993309</v>
      </c>
      <c r="BB461" s="449">
        <f t="shared" si="391"/>
        <v>17969.270414993309</v>
      </c>
      <c r="BC461" s="449">
        <f t="shared" si="391"/>
        <v>17969.270414993309</v>
      </c>
      <c r="BD461" s="449">
        <f t="shared" si="391"/>
        <v>17969.270414993309</v>
      </c>
      <c r="BE461" s="449">
        <f t="shared" si="391"/>
        <v>17969.270414993309</v>
      </c>
      <c r="BF461" s="449">
        <f t="shared" si="391"/>
        <v>17969.270414993309</v>
      </c>
      <c r="BG461" s="449">
        <f t="shared" si="391"/>
        <v>17969.270414993309</v>
      </c>
      <c r="BH461" s="400"/>
      <c r="BI461" s="449">
        <f t="shared" ref="BI461:BT461" si="392">IFERROR((($H461/$H$5)*BI$5)/12,0)</f>
        <v>17969.270414993309</v>
      </c>
      <c r="BJ461" s="449">
        <f t="shared" si="392"/>
        <v>17969.270414993309</v>
      </c>
      <c r="BK461" s="449">
        <f t="shared" si="392"/>
        <v>17969.270414993309</v>
      </c>
      <c r="BL461" s="449">
        <f t="shared" si="392"/>
        <v>17969.270414993309</v>
      </c>
      <c r="BM461" s="449">
        <f t="shared" si="392"/>
        <v>17969.270414993309</v>
      </c>
      <c r="BN461" s="449">
        <f t="shared" si="392"/>
        <v>17969.270414993309</v>
      </c>
      <c r="BO461" s="449">
        <f t="shared" si="392"/>
        <v>17969.270414993309</v>
      </c>
      <c r="BP461" s="449">
        <f t="shared" si="392"/>
        <v>17969.270414993309</v>
      </c>
      <c r="BQ461" s="449">
        <f t="shared" si="392"/>
        <v>17969.270414993309</v>
      </c>
      <c r="BR461" s="449">
        <f t="shared" si="392"/>
        <v>17969.270414993309</v>
      </c>
      <c r="BS461" s="449">
        <f t="shared" si="392"/>
        <v>17969.270414993309</v>
      </c>
      <c r="BT461" s="449">
        <f t="shared" si="392"/>
        <v>17969.270414993309</v>
      </c>
    </row>
    <row r="462" spans="1:74" ht="15" x14ac:dyDescent="0.25">
      <c r="A462" s="502" t="s">
        <v>782</v>
      </c>
      <c r="B462" s="502" t="s">
        <v>783</v>
      </c>
      <c r="C462" s="630"/>
      <c r="D462" s="500">
        <f t="shared" si="377"/>
        <v>51500</v>
      </c>
      <c r="E462" s="449">
        <v>51500</v>
      </c>
      <c r="F462" s="449">
        <f t="shared" si="378"/>
        <v>0</v>
      </c>
      <c r="G462" s="421">
        <f t="shared" si="379"/>
        <v>0</v>
      </c>
      <c r="H462" s="449">
        <v>51500</v>
      </c>
      <c r="I462" s="449">
        <f t="shared" si="380"/>
        <v>0</v>
      </c>
      <c r="J462" s="426">
        <f t="shared" si="381"/>
        <v>0</v>
      </c>
      <c r="K462" s="421"/>
      <c r="L462" s="449">
        <v>2971.16</v>
      </c>
      <c r="M462" s="449">
        <v>5744.23</v>
      </c>
      <c r="N462" s="449">
        <v>4159.6200000000008</v>
      </c>
      <c r="O462" s="449">
        <v>3961.5399999999991</v>
      </c>
      <c r="P462" s="449">
        <v>3961.5400000000009</v>
      </c>
      <c r="Q462" s="449">
        <v>4951.93</v>
      </c>
      <c r="R462" s="449">
        <f>($H462-SUM($L462:Q462))/R$694</f>
        <v>4291.663333333333</v>
      </c>
      <c r="S462" s="449">
        <f>($H462-SUM($L462:R462))/S$694</f>
        <v>4291.663333333333</v>
      </c>
      <c r="T462" s="449">
        <f>($H462-SUM($L462:S462))/T$694</f>
        <v>4291.6633333333339</v>
      </c>
      <c r="U462" s="449">
        <f>($H462-SUM($L462:T462))/U$694</f>
        <v>4291.6633333333348</v>
      </c>
      <c r="V462" s="449">
        <f>($H462-SUM($L462:U462))/V$694</f>
        <v>4291.6633333333339</v>
      </c>
      <c r="W462" s="449">
        <f>($H462-SUM($L462:V462))/W$694</f>
        <v>4291.6633333333302</v>
      </c>
      <c r="X462" s="449"/>
      <c r="Y462" s="449">
        <f t="shared" si="382"/>
        <v>51500</v>
      </c>
      <c r="Z462" s="531"/>
      <c r="AA462" s="449">
        <f t="shared" si="383"/>
        <v>4291.666666666667</v>
      </c>
      <c r="AB462" s="449">
        <f t="shared" si="383"/>
        <v>4291.666666666667</v>
      </c>
      <c r="AC462" s="449">
        <f t="shared" si="383"/>
        <v>4291.666666666667</v>
      </c>
      <c r="AD462" s="449">
        <f t="shared" si="383"/>
        <v>4291.666666666667</v>
      </c>
      <c r="AE462" s="449">
        <f t="shared" si="383"/>
        <v>4291.666666666667</v>
      </c>
      <c r="AF462" s="449">
        <f t="shared" si="383"/>
        <v>4291.666666666667</v>
      </c>
      <c r="AG462" s="449">
        <f t="shared" si="383"/>
        <v>4291.666666666667</v>
      </c>
      <c r="AH462" s="449">
        <f t="shared" si="383"/>
        <v>4291.666666666667</v>
      </c>
      <c r="AI462" s="449">
        <f t="shared" si="383"/>
        <v>4291.666666666667</v>
      </c>
      <c r="AJ462" s="449">
        <f t="shared" si="383"/>
        <v>4291.666666666667</v>
      </c>
      <c r="AK462" s="449">
        <f t="shared" si="383"/>
        <v>4291.666666666667</v>
      </c>
      <c r="AL462" s="449">
        <f t="shared" si="383"/>
        <v>4291.666666666667</v>
      </c>
      <c r="AN462" s="500">
        <f t="shared" si="384"/>
        <v>51500</v>
      </c>
      <c r="AO462" s="449">
        <f t="shared" si="385"/>
        <v>53044.999999999993</v>
      </c>
      <c r="AP462" s="449">
        <f t="shared" si="386"/>
        <v>1544.9999999999927</v>
      </c>
      <c r="AQ462" s="453">
        <f t="shared" si="387"/>
        <v>2.999999999999986E-2</v>
      </c>
      <c r="AR462" s="449">
        <f t="shared" si="388"/>
        <v>53044.999999999993</v>
      </c>
      <c r="AS462" s="449">
        <f t="shared" si="389"/>
        <v>0</v>
      </c>
      <c r="AT462" s="426">
        <f t="shared" si="390"/>
        <v>0</v>
      </c>
      <c r="AU462" s="421"/>
      <c r="AV462" s="449">
        <f t="shared" si="391"/>
        <v>4420.416666666667</v>
      </c>
      <c r="AW462" s="449">
        <f t="shared" si="391"/>
        <v>4420.416666666667</v>
      </c>
      <c r="AX462" s="449">
        <f t="shared" si="391"/>
        <v>4420.416666666667</v>
      </c>
      <c r="AY462" s="449">
        <f t="shared" si="391"/>
        <v>4420.416666666667</v>
      </c>
      <c r="AZ462" s="449">
        <f t="shared" si="391"/>
        <v>4420.416666666667</v>
      </c>
      <c r="BA462" s="449">
        <f t="shared" si="391"/>
        <v>4420.416666666667</v>
      </c>
      <c r="BB462" s="449">
        <f t="shared" si="391"/>
        <v>4420.416666666667</v>
      </c>
      <c r="BC462" s="449">
        <f t="shared" si="391"/>
        <v>4420.416666666667</v>
      </c>
      <c r="BD462" s="449">
        <f t="shared" si="391"/>
        <v>4420.416666666667</v>
      </c>
      <c r="BE462" s="449">
        <f t="shared" si="391"/>
        <v>4420.416666666667</v>
      </c>
      <c r="BF462" s="449">
        <f t="shared" si="391"/>
        <v>4420.416666666667</v>
      </c>
      <c r="BG462" s="449">
        <f t="shared" si="391"/>
        <v>4420.416666666667</v>
      </c>
      <c r="BH462" s="400"/>
      <c r="BI462" s="449">
        <f>SUM('FY19 Staffing V1-1 (3)'!$P$263)/12</f>
        <v>4420.416666666667</v>
      </c>
      <c r="BJ462" s="449">
        <f>SUM('FY19 Staffing V1-1 (3)'!$P$263)/12</f>
        <v>4420.416666666667</v>
      </c>
      <c r="BK462" s="449">
        <f>SUM('FY19 Staffing V1-1 (3)'!$P$263)/12</f>
        <v>4420.416666666667</v>
      </c>
      <c r="BL462" s="449">
        <f>SUM('FY19 Staffing V1-1 (3)'!$P$263)/12</f>
        <v>4420.416666666667</v>
      </c>
      <c r="BM462" s="449">
        <f>SUM('FY19 Staffing V1-1 (3)'!$P$263)/12</f>
        <v>4420.416666666667</v>
      </c>
      <c r="BN462" s="449">
        <f>SUM('FY19 Staffing V1-1 (3)'!$P$263)/12</f>
        <v>4420.416666666667</v>
      </c>
      <c r="BO462" s="449">
        <f>SUM('FY19 Staffing V1-1 (3)'!$P$263)/12</f>
        <v>4420.416666666667</v>
      </c>
      <c r="BP462" s="449">
        <f>SUM('FY19 Staffing V1-1 (3)'!$P$263)/12</f>
        <v>4420.416666666667</v>
      </c>
      <c r="BQ462" s="449">
        <f>SUM('FY19 Staffing V1-1 (3)'!$P$263)/12</f>
        <v>4420.416666666667</v>
      </c>
      <c r="BR462" s="449">
        <f>SUM('FY19 Staffing V1-1 (3)'!$P$263)/12</f>
        <v>4420.416666666667</v>
      </c>
      <c r="BS462" s="449">
        <f>SUM('FY19 Staffing V1-1 (3)'!$P$263)/12</f>
        <v>4420.416666666667</v>
      </c>
      <c r="BT462" s="449">
        <f>SUM('FY19 Staffing V1-1 (3)'!$P$263)/12</f>
        <v>4420.416666666667</v>
      </c>
    </row>
    <row r="463" spans="1:74" ht="15" x14ac:dyDescent="0.25">
      <c r="A463" s="502" t="s">
        <v>784</v>
      </c>
      <c r="B463" s="502" t="s">
        <v>785</v>
      </c>
      <c r="C463" s="630"/>
      <c r="D463" s="500">
        <f t="shared" si="377"/>
        <v>3000</v>
      </c>
      <c r="E463" s="449">
        <v>3000</v>
      </c>
      <c r="F463" s="449">
        <f t="shared" si="378"/>
        <v>0</v>
      </c>
      <c r="G463" s="421">
        <f t="shared" si="379"/>
        <v>0</v>
      </c>
      <c r="H463" s="449">
        <v>3000</v>
      </c>
      <c r="I463" s="449">
        <f t="shared" si="380"/>
        <v>0</v>
      </c>
      <c r="J463" s="426">
        <f t="shared" si="381"/>
        <v>0</v>
      </c>
      <c r="K463" s="421"/>
      <c r="L463" s="449">
        <v>0</v>
      </c>
      <c r="M463" s="449">
        <v>0</v>
      </c>
      <c r="N463" s="449">
        <v>0</v>
      </c>
      <c r="O463" s="449">
        <v>3000</v>
      </c>
      <c r="P463" s="449">
        <v>0</v>
      </c>
      <c r="Q463" s="449">
        <v>0</v>
      </c>
      <c r="R463" s="449">
        <f>($H463-SUM($L463:Q463))/R$694</f>
        <v>0</v>
      </c>
      <c r="S463" s="449">
        <f>($H463-SUM($L463:R463))/S$694</f>
        <v>0</v>
      </c>
      <c r="T463" s="449">
        <f>($H463-SUM($L463:S463))/T$694</f>
        <v>0</v>
      </c>
      <c r="U463" s="449">
        <f>($H463-SUM($L463:T463))/U$694</f>
        <v>0</v>
      </c>
      <c r="V463" s="449">
        <f>($H463-SUM($L463:U463))/V$694</f>
        <v>0</v>
      </c>
      <c r="W463" s="449">
        <f>($H463-SUM($L463:V463))/W$694</f>
        <v>0</v>
      </c>
      <c r="X463" s="449"/>
      <c r="Y463" s="449">
        <f t="shared" si="382"/>
        <v>3000</v>
      </c>
      <c r="Z463" s="531"/>
      <c r="AA463" s="449">
        <f t="shared" si="383"/>
        <v>250</v>
      </c>
      <c r="AB463" s="449">
        <f t="shared" si="383"/>
        <v>250</v>
      </c>
      <c r="AC463" s="449">
        <f t="shared" si="383"/>
        <v>250</v>
      </c>
      <c r="AD463" s="449">
        <f t="shared" si="383"/>
        <v>250</v>
      </c>
      <c r="AE463" s="449">
        <f t="shared" si="383"/>
        <v>250</v>
      </c>
      <c r="AF463" s="449">
        <f t="shared" si="383"/>
        <v>250</v>
      </c>
      <c r="AG463" s="449">
        <f t="shared" si="383"/>
        <v>250</v>
      </c>
      <c r="AH463" s="449">
        <f t="shared" si="383"/>
        <v>250</v>
      </c>
      <c r="AI463" s="449">
        <f t="shared" si="383"/>
        <v>250</v>
      </c>
      <c r="AJ463" s="449">
        <f t="shared" si="383"/>
        <v>250</v>
      </c>
      <c r="AK463" s="449">
        <f t="shared" si="383"/>
        <v>250</v>
      </c>
      <c r="AL463" s="449">
        <f t="shared" si="383"/>
        <v>250</v>
      </c>
      <c r="AN463" s="500">
        <f t="shared" si="384"/>
        <v>3000</v>
      </c>
      <c r="AO463" s="449">
        <f t="shared" si="385"/>
        <v>3000</v>
      </c>
      <c r="AP463" s="449">
        <f t="shared" si="386"/>
        <v>0</v>
      </c>
      <c r="AQ463" s="453">
        <f t="shared" si="387"/>
        <v>0</v>
      </c>
      <c r="AR463" s="449">
        <f t="shared" si="388"/>
        <v>3000</v>
      </c>
      <c r="AS463" s="449">
        <f t="shared" si="389"/>
        <v>0</v>
      </c>
      <c r="AT463" s="426">
        <f t="shared" si="390"/>
        <v>0</v>
      </c>
      <c r="AU463" s="421"/>
      <c r="AV463" s="449">
        <f t="shared" si="391"/>
        <v>0</v>
      </c>
      <c r="AW463" s="449">
        <f t="shared" si="391"/>
        <v>0</v>
      </c>
      <c r="AX463" s="449">
        <f t="shared" si="391"/>
        <v>0</v>
      </c>
      <c r="AY463" s="449">
        <f t="shared" si="391"/>
        <v>3000</v>
      </c>
      <c r="AZ463" s="449">
        <f t="shared" si="391"/>
        <v>0</v>
      </c>
      <c r="BA463" s="449">
        <f t="shared" si="391"/>
        <v>0</v>
      </c>
      <c r="BB463" s="449">
        <f t="shared" si="391"/>
        <v>0</v>
      </c>
      <c r="BC463" s="449">
        <f t="shared" si="391"/>
        <v>0</v>
      </c>
      <c r="BD463" s="449">
        <f t="shared" si="391"/>
        <v>0</v>
      </c>
      <c r="BE463" s="449">
        <f t="shared" si="391"/>
        <v>0</v>
      </c>
      <c r="BF463" s="449">
        <f t="shared" si="391"/>
        <v>0</v>
      </c>
      <c r="BG463" s="449">
        <f t="shared" si="391"/>
        <v>0</v>
      </c>
      <c r="BH463" s="400"/>
      <c r="BI463" s="449">
        <v>0</v>
      </c>
      <c r="BJ463" s="449">
        <v>0</v>
      </c>
      <c r="BK463" s="449">
        <v>0</v>
      </c>
      <c r="BL463" s="449">
        <f>SUM('FY19 Staffing V1-1 (3)'!$J$263)</f>
        <v>3000</v>
      </c>
      <c r="BM463" s="449">
        <v>0</v>
      </c>
      <c r="BN463" s="449">
        <v>0</v>
      </c>
      <c r="BO463" s="449">
        <v>0</v>
      </c>
      <c r="BP463" s="449">
        <v>0</v>
      </c>
      <c r="BQ463" s="449">
        <v>0</v>
      </c>
      <c r="BR463" s="449">
        <v>0</v>
      </c>
      <c r="BS463" s="449">
        <v>0</v>
      </c>
      <c r="BT463" s="449">
        <v>0</v>
      </c>
    </row>
    <row r="464" spans="1:74" ht="15" x14ac:dyDescent="0.25">
      <c r="A464" s="612" t="s">
        <v>786</v>
      </c>
      <c r="B464" s="502" t="s">
        <v>787</v>
      </c>
      <c r="C464" s="541"/>
      <c r="D464" s="500">
        <f t="shared" si="377"/>
        <v>5565</v>
      </c>
      <c r="E464" s="449">
        <v>5565.25</v>
      </c>
      <c r="F464" s="449">
        <f t="shared" si="378"/>
        <v>-0.25</v>
      </c>
      <c r="G464" s="421">
        <f t="shared" si="379"/>
        <v>-4.4921611787430936E-5</v>
      </c>
      <c r="H464" s="449">
        <v>5565</v>
      </c>
      <c r="I464" s="449">
        <f t="shared" si="380"/>
        <v>0</v>
      </c>
      <c r="J464" s="426">
        <f t="shared" si="381"/>
        <v>0</v>
      </c>
      <c r="K464" s="421"/>
      <c r="L464" s="449">
        <v>463.85</v>
      </c>
      <c r="M464" s="449">
        <v>891.14</v>
      </c>
      <c r="N464" s="449">
        <v>467.93000000000006</v>
      </c>
      <c r="O464" s="449">
        <v>532.55999999999995</v>
      </c>
      <c r="P464" s="449">
        <v>303.05999999999995</v>
      </c>
      <c r="Q464" s="449">
        <v>378.82000000000016</v>
      </c>
      <c r="R464" s="449">
        <f>($H464-SUM($L464:Q464))/R$694</f>
        <v>421.27333333333331</v>
      </c>
      <c r="S464" s="449">
        <f>($H464-SUM($L464:R464))/S$694</f>
        <v>421.27333333333337</v>
      </c>
      <c r="T464" s="449">
        <f>($H464-SUM($L464:S464))/T$694</f>
        <v>421.27333333333331</v>
      </c>
      <c r="U464" s="449">
        <f>($H464-SUM($L464:T464))/U$694</f>
        <v>421.27333333333326</v>
      </c>
      <c r="V464" s="449">
        <f>($H464-SUM($L464:U464))/V$694</f>
        <v>421.27333333333308</v>
      </c>
      <c r="W464" s="449">
        <f>($H464-SUM($L464:V464))/W$694</f>
        <v>421.27333333333263</v>
      </c>
      <c r="X464" s="449"/>
      <c r="Y464" s="449">
        <f t="shared" si="382"/>
        <v>5565</v>
      </c>
      <c r="Z464" s="531"/>
      <c r="AA464" s="449">
        <f t="shared" si="383"/>
        <v>463.75</v>
      </c>
      <c r="AB464" s="449">
        <f t="shared" si="383"/>
        <v>463.75</v>
      </c>
      <c r="AC464" s="449">
        <f t="shared" si="383"/>
        <v>463.75</v>
      </c>
      <c r="AD464" s="449">
        <f t="shared" si="383"/>
        <v>463.75</v>
      </c>
      <c r="AE464" s="449">
        <f t="shared" si="383"/>
        <v>463.75</v>
      </c>
      <c r="AF464" s="449">
        <f t="shared" si="383"/>
        <v>463.75</v>
      </c>
      <c r="AG464" s="449">
        <f t="shared" si="383"/>
        <v>463.75</v>
      </c>
      <c r="AH464" s="449">
        <f t="shared" si="383"/>
        <v>463.75</v>
      </c>
      <c r="AI464" s="449">
        <f t="shared" si="383"/>
        <v>463.75</v>
      </c>
      <c r="AJ464" s="449">
        <f t="shared" si="383"/>
        <v>463.75</v>
      </c>
      <c r="AK464" s="449">
        <f t="shared" si="383"/>
        <v>463.75</v>
      </c>
      <c r="AL464" s="449">
        <f t="shared" si="383"/>
        <v>463.75</v>
      </c>
      <c r="AN464" s="500">
        <f t="shared" si="384"/>
        <v>5565</v>
      </c>
      <c r="AO464" s="449">
        <f t="shared" si="385"/>
        <v>5678.94</v>
      </c>
      <c r="AP464" s="449">
        <f t="shared" si="386"/>
        <v>113.9399999999996</v>
      </c>
      <c r="AQ464" s="453">
        <f t="shared" si="387"/>
        <v>2.0474393530997233E-2</v>
      </c>
      <c r="AR464" s="449">
        <f t="shared" si="388"/>
        <v>5678.94</v>
      </c>
      <c r="AS464" s="449">
        <f t="shared" si="389"/>
        <v>0</v>
      </c>
      <c r="AT464" s="426">
        <f t="shared" si="390"/>
        <v>0</v>
      </c>
      <c r="AU464" s="421"/>
      <c r="AV464" s="449">
        <f t="shared" si="391"/>
        <v>473.24500000000006</v>
      </c>
      <c r="AW464" s="449">
        <f t="shared" si="391"/>
        <v>473.24500000000006</v>
      </c>
      <c r="AX464" s="449">
        <f t="shared" si="391"/>
        <v>473.24500000000006</v>
      </c>
      <c r="AY464" s="449">
        <f t="shared" si="391"/>
        <v>473.24500000000006</v>
      </c>
      <c r="AZ464" s="449">
        <f t="shared" si="391"/>
        <v>473.24500000000006</v>
      </c>
      <c r="BA464" s="449">
        <f t="shared" si="391"/>
        <v>473.24500000000006</v>
      </c>
      <c r="BB464" s="449">
        <f t="shared" si="391"/>
        <v>473.24500000000006</v>
      </c>
      <c r="BC464" s="449">
        <f t="shared" si="391"/>
        <v>473.24500000000006</v>
      </c>
      <c r="BD464" s="449">
        <f t="shared" si="391"/>
        <v>473.24500000000006</v>
      </c>
      <c r="BE464" s="449">
        <f t="shared" si="391"/>
        <v>473.24500000000006</v>
      </c>
      <c r="BF464" s="449">
        <f t="shared" si="391"/>
        <v>473.24500000000006</v>
      </c>
      <c r="BG464" s="449">
        <f t="shared" si="391"/>
        <v>473.24500000000006</v>
      </c>
      <c r="BH464" s="400"/>
      <c r="BI464" s="449">
        <f>SUM('FY19 Staffing V1-1 (3)'!$Q$263:$R$263,'FY19 Staffing V1-1 (3)'!$T$263:$U$263)/12</f>
        <v>473.24500000000006</v>
      </c>
      <c r="BJ464" s="449">
        <f>SUM('FY19 Staffing V1-1 (3)'!$Q$263:$R$263,'FY19 Staffing V1-1 (3)'!$T$263:$U$263)/12</f>
        <v>473.24500000000006</v>
      </c>
      <c r="BK464" s="449">
        <f>SUM('FY19 Staffing V1-1 (3)'!$Q$263:$R$263,'FY19 Staffing V1-1 (3)'!$T$263:$U$263)/12</f>
        <v>473.24500000000006</v>
      </c>
      <c r="BL464" s="449">
        <f>SUM('FY19 Staffing V1-1 (3)'!$Q$263:$R$263,'FY19 Staffing V1-1 (3)'!$T$263:$U$263)/12</f>
        <v>473.24500000000006</v>
      </c>
      <c r="BM464" s="449">
        <f>SUM('FY19 Staffing V1-1 (3)'!$Q$263:$R$263,'FY19 Staffing V1-1 (3)'!$T$263:$U$263)/12</f>
        <v>473.24500000000006</v>
      </c>
      <c r="BN464" s="449">
        <f>SUM('FY19 Staffing V1-1 (3)'!$Q$263:$R$263,'FY19 Staffing V1-1 (3)'!$T$263:$U$263)/12</f>
        <v>473.24500000000006</v>
      </c>
      <c r="BO464" s="449">
        <f>SUM('FY19 Staffing V1-1 (3)'!$Q$263:$R$263,'FY19 Staffing V1-1 (3)'!$T$263:$U$263)/12</f>
        <v>473.24500000000006</v>
      </c>
      <c r="BP464" s="449">
        <f>SUM('FY19 Staffing V1-1 (3)'!$Q$263:$R$263,'FY19 Staffing V1-1 (3)'!$T$263:$U$263)/12</f>
        <v>473.24500000000006</v>
      </c>
      <c r="BQ464" s="449">
        <f>SUM('FY19 Staffing V1-1 (3)'!$Q$263:$R$263,'FY19 Staffing V1-1 (3)'!$T$263:$U$263)/12</f>
        <v>473.24500000000006</v>
      </c>
      <c r="BR464" s="449">
        <f>SUM('FY19 Staffing V1-1 (3)'!$Q$263:$R$263,'FY19 Staffing V1-1 (3)'!$T$263:$U$263)/12</f>
        <v>473.24500000000006</v>
      </c>
      <c r="BS464" s="449">
        <f>SUM('FY19 Staffing V1-1 (3)'!$Q$263:$R$263,'FY19 Staffing V1-1 (3)'!$T$263:$U$263)/12</f>
        <v>473.24500000000006</v>
      </c>
      <c r="BT464" s="449">
        <f>SUM('FY19 Staffing V1-1 (3)'!$Q$263:$R$263,'FY19 Staffing V1-1 (3)'!$T$263:$U$263)/12</f>
        <v>473.24500000000006</v>
      </c>
    </row>
    <row r="465" spans="1:74" ht="15" x14ac:dyDescent="0.25">
      <c r="A465" s="502" t="s">
        <v>788</v>
      </c>
      <c r="B465" s="502" t="s">
        <v>789</v>
      </c>
      <c r="C465" s="541"/>
      <c r="D465" s="500">
        <f t="shared" si="377"/>
        <v>8702</v>
      </c>
      <c r="E465" s="449">
        <v>8702.1999999999989</v>
      </c>
      <c r="F465" s="449">
        <f t="shared" si="378"/>
        <v>-0.19999999999890861</v>
      </c>
      <c r="G465" s="421">
        <f t="shared" si="379"/>
        <v>-2.2982694031268946E-5</v>
      </c>
      <c r="H465" s="449">
        <v>8702</v>
      </c>
      <c r="I465" s="449">
        <f t="shared" si="380"/>
        <v>0</v>
      </c>
      <c r="J465" s="426">
        <f t="shared" si="381"/>
        <v>0</v>
      </c>
      <c r="K465" s="421"/>
      <c r="L465" s="449">
        <v>525.74</v>
      </c>
      <c r="M465" s="449">
        <v>525.74</v>
      </c>
      <c r="N465" s="449">
        <v>860.81999999999994</v>
      </c>
      <c r="O465" s="449">
        <v>1914.3300000000002</v>
      </c>
      <c r="P465" s="449">
        <v>859.21</v>
      </c>
      <c r="Q465" s="449">
        <v>616.85999999999967</v>
      </c>
      <c r="R465" s="449">
        <f>($H465-SUM($L465:Q465))/R$694</f>
        <v>566.55000000000007</v>
      </c>
      <c r="S465" s="449">
        <f>($H465-SUM($L465:R465))/S$694</f>
        <v>566.54999999999995</v>
      </c>
      <c r="T465" s="449">
        <f>($H465-SUM($L465:S465))/T$694</f>
        <v>566.54999999999995</v>
      </c>
      <c r="U465" s="449">
        <f>($H465-SUM($L465:T465))/U$694</f>
        <v>566.54999999999984</v>
      </c>
      <c r="V465" s="449">
        <f>($H465-SUM($L465:U465))/V$694</f>
        <v>566.54999999999973</v>
      </c>
      <c r="W465" s="449">
        <f>($H465-SUM($L465:V465))/W$694</f>
        <v>566.54999999999927</v>
      </c>
      <c r="X465" s="449"/>
      <c r="Y465" s="449">
        <f t="shared" si="382"/>
        <v>8702</v>
      </c>
      <c r="Z465" s="531"/>
      <c r="AA465" s="449">
        <f t="shared" si="383"/>
        <v>725.16666666666663</v>
      </c>
      <c r="AB465" s="449">
        <f t="shared" si="383"/>
        <v>725.16666666666663</v>
      </c>
      <c r="AC465" s="449">
        <f t="shared" si="383"/>
        <v>725.16666666666663</v>
      </c>
      <c r="AD465" s="449">
        <f t="shared" si="383"/>
        <v>725.16666666666663</v>
      </c>
      <c r="AE465" s="449">
        <f t="shared" si="383"/>
        <v>725.16666666666663</v>
      </c>
      <c r="AF465" s="449">
        <f t="shared" si="383"/>
        <v>725.16666666666663</v>
      </c>
      <c r="AG465" s="449">
        <f t="shared" si="383"/>
        <v>725.16666666666663</v>
      </c>
      <c r="AH465" s="449">
        <f t="shared" si="383"/>
        <v>725.16666666666663</v>
      </c>
      <c r="AI465" s="449">
        <f t="shared" si="383"/>
        <v>725.16666666666663</v>
      </c>
      <c r="AJ465" s="449">
        <f t="shared" si="383"/>
        <v>725.16666666666663</v>
      </c>
      <c r="AK465" s="449">
        <f t="shared" si="383"/>
        <v>725.16666666666663</v>
      </c>
      <c r="AL465" s="449">
        <f t="shared" si="383"/>
        <v>725.16666666666663</v>
      </c>
      <c r="AN465" s="500">
        <f t="shared" si="384"/>
        <v>8702</v>
      </c>
      <c r="AO465" s="449">
        <f t="shared" si="385"/>
        <v>8094.6670000000022</v>
      </c>
      <c r="AP465" s="449">
        <f t="shared" si="386"/>
        <v>-607.33299999999781</v>
      </c>
      <c r="AQ465" s="453">
        <f t="shared" si="387"/>
        <v>-6.9792346586991238E-2</v>
      </c>
      <c r="AR465" s="449">
        <f t="shared" si="388"/>
        <v>8094.6670000000022</v>
      </c>
      <c r="AS465" s="449">
        <f t="shared" si="389"/>
        <v>0</v>
      </c>
      <c r="AT465" s="426">
        <f t="shared" si="390"/>
        <v>0</v>
      </c>
      <c r="AU465" s="421"/>
      <c r="AV465" s="449">
        <f t="shared" si="391"/>
        <v>674.5555833333334</v>
      </c>
      <c r="AW465" s="449">
        <f t="shared" si="391"/>
        <v>674.5555833333334</v>
      </c>
      <c r="AX465" s="449">
        <f t="shared" si="391"/>
        <v>674.5555833333334</v>
      </c>
      <c r="AY465" s="449">
        <f t="shared" si="391"/>
        <v>674.5555833333334</v>
      </c>
      <c r="AZ465" s="449">
        <f t="shared" si="391"/>
        <v>674.5555833333334</v>
      </c>
      <c r="BA465" s="449">
        <f t="shared" si="391"/>
        <v>674.5555833333334</v>
      </c>
      <c r="BB465" s="449">
        <f t="shared" si="391"/>
        <v>674.5555833333334</v>
      </c>
      <c r="BC465" s="449">
        <f t="shared" si="391"/>
        <v>674.5555833333334</v>
      </c>
      <c r="BD465" s="449">
        <f t="shared" si="391"/>
        <v>674.5555833333334</v>
      </c>
      <c r="BE465" s="449">
        <f t="shared" si="391"/>
        <v>674.5555833333334</v>
      </c>
      <c r="BF465" s="449">
        <f t="shared" si="391"/>
        <v>674.5555833333334</v>
      </c>
      <c r="BG465" s="449">
        <f t="shared" si="391"/>
        <v>674.5555833333334</v>
      </c>
      <c r="BH465" s="400"/>
      <c r="BI465" s="449">
        <f>SUM('FY19 Staffing V1-1 (3)'!$W$263)/12</f>
        <v>674.5555833333334</v>
      </c>
      <c r="BJ465" s="449">
        <f>SUM('FY19 Staffing V1-1 (3)'!$W$263)/12</f>
        <v>674.5555833333334</v>
      </c>
      <c r="BK465" s="449">
        <f>SUM('FY19 Staffing V1-1 (3)'!$W$263)/12</f>
        <v>674.5555833333334</v>
      </c>
      <c r="BL465" s="449">
        <f>SUM('FY19 Staffing V1-1 (3)'!$W$263)/12</f>
        <v>674.5555833333334</v>
      </c>
      <c r="BM465" s="449">
        <f>SUM('FY19 Staffing V1-1 (3)'!$W$263)/12</f>
        <v>674.5555833333334</v>
      </c>
      <c r="BN465" s="449">
        <f>SUM('FY19 Staffing V1-1 (3)'!$W$263)/12</f>
        <v>674.5555833333334</v>
      </c>
      <c r="BO465" s="449">
        <f>SUM('FY19 Staffing V1-1 (3)'!$W$263)/12</f>
        <v>674.5555833333334</v>
      </c>
      <c r="BP465" s="449">
        <f>SUM('FY19 Staffing V1-1 (3)'!$W$263)/12</f>
        <v>674.5555833333334</v>
      </c>
      <c r="BQ465" s="449">
        <f>SUM('FY19 Staffing V1-1 (3)'!$W$263)/12</f>
        <v>674.5555833333334</v>
      </c>
      <c r="BR465" s="449">
        <f>SUM('FY19 Staffing V1-1 (3)'!$W$263)/12</f>
        <v>674.5555833333334</v>
      </c>
      <c r="BS465" s="449">
        <f>SUM('FY19 Staffing V1-1 (3)'!$W$263)/12</f>
        <v>674.5555833333334</v>
      </c>
      <c r="BT465" s="449">
        <f>SUM('FY19 Staffing V1-1 (3)'!$W$263)/12</f>
        <v>674.5555833333334</v>
      </c>
    </row>
    <row r="466" spans="1:74" ht="15" hidden="1" x14ac:dyDescent="0.25">
      <c r="A466" s="502" t="s">
        <v>790</v>
      </c>
      <c r="B466" s="502" t="s">
        <v>791</v>
      </c>
      <c r="C466" s="541"/>
      <c r="D466" s="500">
        <f t="shared" si="377"/>
        <v>0</v>
      </c>
      <c r="E466" s="449">
        <v>0</v>
      </c>
      <c r="F466" s="449">
        <f t="shared" si="378"/>
        <v>0</v>
      </c>
      <c r="G466" s="421">
        <f t="shared" si="379"/>
        <v>0</v>
      </c>
      <c r="H466" s="449">
        <v>0</v>
      </c>
      <c r="I466" s="449">
        <f t="shared" si="380"/>
        <v>0</v>
      </c>
      <c r="J466" s="426">
        <f t="shared" si="381"/>
        <v>0</v>
      </c>
      <c r="K466" s="421"/>
      <c r="L466" s="449">
        <v>0</v>
      </c>
      <c r="M466" s="449">
        <v>0</v>
      </c>
      <c r="N466" s="449">
        <v>0</v>
      </c>
      <c r="O466" s="449">
        <v>0</v>
      </c>
      <c r="P466" s="449">
        <v>0</v>
      </c>
      <c r="Q466" s="449">
        <v>0</v>
      </c>
      <c r="R466" s="449">
        <f>($H466-SUM($L466:Q466))/R$694</f>
        <v>0</v>
      </c>
      <c r="S466" s="449">
        <f>($H466-SUM($L466:R466))/S$694</f>
        <v>0</v>
      </c>
      <c r="T466" s="449">
        <f>($H466-SUM($L466:S466))/T$694</f>
        <v>0</v>
      </c>
      <c r="U466" s="449">
        <f>($H466-SUM($L466:T466))/U$694</f>
        <v>0</v>
      </c>
      <c r="V466" s="449">
        <f>($H466-SUM($L466:U466))/V$694</f>
        <v>0</v>
      </c>
      <c r="W466" s="449">
        <f>($H466-SUM($L466:V466))/W$694</f>
        <v>0</v>
      </c>
      <c r="X466" s="449"/>
      <c r="Y466" s="449">
        <f t="shared" si="382"/>
        <v>0</v>
      </c>
      <c r="Z466" s="531"/>
      <c r="AA466" s="449">
        <f t="shared" si="383"/>
        <v>0</v>
      </c>
      <c r="AB466" s="449">
        <f t="shared" si="383"/>
        <v>0</v>
      </c>
      <c r="AC466" s="449">
        <f t="shared" si="383"/>
        <v>0</v>
      </c>
      <c r="AD466" s="449">
        <f t="shared" si="383"/>
        <v>0</v>
      </c>
      <c r="AE466" s="449">
        <f t="shared" si="383"/>
        <v>0</v>
      </c>
      <c r="AF466" s="449">
        <f t="shared" si="383"/>
        <v>0</v>
      </c>
      <c r="AG466" s="449">
        <f t="shared" si="383"/>
        <v>0</v>
      </c>
      <c r="AH466" s="449">
        <f t="shared" si="383"/>
        <v>0</v>
      </c>
      <c r="AI466" s="449">
        <f t="shared" si="383"/>
        <v>0</v>
      </c>
      <c r="AJ466" s="449">
        <f t="shared" si="383"/>
        <v>0</v>
      </c>
      <c r="AK466" s="449">
        <f t="shared" si="383"/>
        <v>0</v>
      </c>
      <c r="AL466" s="449">
        <f t="shared" si="383"/>
        <v>0</v>
      </c>
      <c r="AN466" s="500">
        <f t="shared" si="384"/>
        <v>0</v>
      </c>
      <c r="AO466" s="449">
        <f t="shared" si="385"/>
        <v>0</v>
      </c>
      <c r="AP466" s="449">
        <f t="shared" si="386"/>
        <v>0</v>
      </c>
      <c r="AQ466" s="453" t="str">
        <f t="shared" si="387"/>
        <v>-</v>
      </c>
      <c r="AR466" s="449">
        <f t="shared" si="388"/>
        <v>0</v>
      </c>
      <c r="AS466" s="449">
        <f t="shared" si="389"/>
        <v>0</v>
      </c>
      <c r="AT466" s="426">
        <f t="shared" si="390"/>
        <v>0</v>
      </c>
      <c r="AU466" s="421"/>
      <c r="AV466" s="449">
        <f t="shared" si="391"/>
        <v>0</v>
      </c>
      <c r="AW466" s="449">
        <f t="shared" si="391"/>
        <v>0</v>
      </c>
      <c r="AX466" s="449">
        <f t="shared" si="391"/>
        <v>0</v>
      </c>
      <c r="AY466" s="449">
        <f t="shared" si="391"/>
        <v>0</v>
      </c>
      <c r="AZ466" s="449">
        <f t="shared" si="391"/>
        <v>0</v>
      </c>
      <c r="BA466" s="449">
        <f t="shared" si="391"/>
        <v>0</v>
      </c>
      <c r="BB466" s="449">
        <f t="shared" si="391"/>
        <v>0</v>
      </c>
      <c r="BC466" s="449">
        <f t="shared" si="391"/>
        <v>0</v>
      </c>
      <c r="BD466" s="449">
        <f t="shared" si="391"/>
        <v>0</v>
      </c>
      <c r="BE466" s="449">
        <f t="shared" si="391"/>
        <v>0</v>
      </c>
      <c r="BF466" s="449">
        <f t="shared" si="391"/>
        <v>0</v>
      </c>
      <c r="BG466" s="449">
        <f t="shared" si="391"/>
        <v>0</v>
      </c>
      <c r="BH466" s="400"/>
      <c r="BI466" s="449">
        <v>0</v>
      </c>
      <c r="BJ466" s="449">
        <v>0</v>
      </c>
      <c r="BK466" s="449">
        <v>0</v>
      </c>
      <c r="BL466" s="449">
        <v>0</v>
      </c>
      <c r="BM466" s="449">
        <v>0</v>
      </c>
      <c r="BN466" s="449">
        <v>0</v>
      </c>
      <c r="BO466" s="449">
        <v>0</v>
      </c>
      <c r="BP466" s="449">
        <v>0</v>
      </c>
      <c r="BQ466" s="449">
        <v>0</v>
      </c>
      <c r="BR466" s="449">
        <v>0</v>
      </c>
      <c r="BS466" s="449">
        <v>0</v>
      </c>
      <c r="BT466" s="449">
        <v>0</v>
      </c>
    </row>
    <row r="467" spans="1:74" ht="15" hidden="1" x14ac:dyDescent="0.25">
      <c r="A467" s="502" t="s">
        <v>792</v>
      </c>
      <c r="B467" s="502" t="s">
        <v>793</v>
      </c>
      <c r="C467" s="541"/>
      <c r="D467" s="500">
        <f t="shared" si="377"/>
        <v>0</v>
      </c>
      <c r="E467" s="449">
        <v>0</v>
      </c>
      <c r="F467" s="449">
        <f t="shared" si="378"/>
        <v>0</v>
      </c>
      <c r="G467" s="421">
        <f t="shared" si="379"/>
        <v>0</v>
      </c>
      <c r="H467" s="449">
        <v>0</v>
      </c>
      <c r="I467" s="449">
        <f t="shared" si="380"/>
        <v>0</v>
      </c>
      <c r="J467" s="426">
        <f t="shared" si="381"/>
        <v>0</v>
      </c>
      <c r="K467" s="421"/>
      <c r="L467" s="449">
        <v>0</v>
      </c>
      <c r="M467" s="449">
        <v>0</v>
      </c>
      <c r="N467" s="449">
        <v>0</v>
      </c>
      <c r="O467" s="449">
        <v>0</v>
      </c>
      <c r="P467" s="449">
        <v>0</v>
      </c>
      <c r="Q467" s="449">
        <v>0</v>
      </c>
      <c r="R467" s="449">
        <f>($H467-SUM($L467:Q467))/R$694</f>
        <v>0</v>
      </c>
      <c r="S467" s="449">
        <f>($H467-SUM($L467:R467))/S$694</f>
        <v>0</v>
      </c>
      <c r="T467" s="449">
        <f>($H467-SUM($L467:S467))/T$694</f>
        <v>0</v>
      </c>
      <c r="U467" s="449">
        <f>($H467-SUM($L467:T467))/U$694</f>
        <v>0</v>
      </c>
      <c r="V467" s="449">
        <f>($H467-SUM($L467:U467))/V$694</f>
        <v>0</v>
      </c>
      <c r="W467" s="449">
        <f>($H467-SUM($L467:V467))/W$694</f>
        <v>0</v>
      </c>
      <c r="X467" s="449"/>
      <c r="Y467" s="449">
        <f t="shared" si="382"/>
        <v>0</v>
      </c>
      <c r="Z467" s="531"/>
      <c r="AA467" s="449">
        <f t="shared" si="383"/>
        <v>0</v>
      </c>
      <c r="AB467" s="449">
        <f t="shared" si="383"/>
        <v>0</v>
      </c>
      <c r="AC467" s="449">
        <f t="shared" si="383"/>
        <v>0</v>
      </c>
      <c r="AD467" s="449">
        <f t="shared" si="383"/>
        <v>0</v>
      </c>
      <c r="AE467" s="449">
        <f t="shared" si="383"/>
        <v>0</v>
      </c>
      <c r="AF467" s="449">
        <f t="shared" si="383"/>
        <v>0</v>
      </c>
      <c r="AG467" s="449">
        <f t="shared" si="383"/>
        <v>0</v>
      </c>
      <c r="AH467" s="449">
        <f t="shared" si="383"/>
        <v>0</v>
      </c>
      <c r="AI467" s="449">
        <f t="shared" si="383"/>
        <v>0</v>
      </c>
      <c r="AJ467" s="449">
        <f t="shared" si="383"/>
        <v>0</v>
      </c>
      <c r="AK467" s="449">
        <f t="shared" si="383"/>
        <v>0</v>
      </c>
      <c r="AL467" s="449">
        <f t="shared" si="383"/>
        <v>0</v>
      </c>
      <c r="AN467" s="500">
        <f t="shared" si="384"/>
        <v>0</v>
      </c>
      <c r="AO467" s="449">
        <f t="shared" si="385"/>
        <v>0</v>
      </c>
      <c r="AP467" s="449">
        <f t="shared" si="386"/>
        <v>0</v>
      </c>
      <c r="AQ467" s="453" t="str">
        <f t="shared" si="387"/>
        <v>-</v>
      </c>
      <c r="AR467" s="449">
        <f t="shared" si="388"/>
        <v>0</v>
      </c>
      <c r="AS467" s="449">
        <f t="shared" si="389"/>
        <v>0</v>
      </c>
      <c r="AT467" s="426">
        <f t="shared" si="390"/>
        <v>0</v>
      </c>
      <c r="AU467" s="421"/>
      <c r="AV467" s="449">
        <f t="shared" si="391"/>
        <v>0</v>
      </c>
      <c r="AW467" s="449">
        <f t="shared" si="391"/>
        <v>0</v>
      </c>
      <c r="AX467" s="449">
        <f t="shared" si="391"/>
        <v>0</v>
      </c>
      <c r="AY467" s="449">
        <f t="shared" si="391"/>
        <v>0</v>
      </c>
      <c r="AZ467" s="449">
        <f t="shared" si="391"/>
        <v>0</v>
      </c>
      <c r="BA467" s="449">
        <f t="shared" si="391"/>
        <v>0</v>
      </c>
      <c r="BB467" s="449">
        <f t="shared" si="391"/>
        <v>0</v>
      </c>
      <c r="BC467" s="449">
        <f t="shared" si="391"/>
        <v>0</v>
      </c>
      <c r="BD467" s="449">
        <f t="shared" si="391"/>
        <v>0</v>
      </c>
      <c r="BE467" s="449">
        <f t="shared" si="391"/>
        <v>0</v>
      </c>
      <c r="BF467" s="449">
        <f t="shared" si="391"/>
        <v>0</v>
      </c>
      <c r="BG467" s="449">
        <f t="shared" si="391"/>
        <v>0</v>
      </c>
      <c r="BH467" s="400"/>
      <c r="BI467" s="449">
        <v>0</v>
      </c>
      <c r="BJ467" s="449">
        <v>0</v>
      </c>
      <c r="BK467" s="449">
        <v>0</v>
      </c>
      <c r="BL467" s="449">
        <v>0</v>
      </c>
      <c r="BM467" s="449">
        <v>0</v>
      </c>
      <c r="BN467" s="449">
        <v>0</v>
      </c>
      <c r="BO467" s="449">
        <v>0</v>
      </c>
      <c r="BP467" s="449">
        <v>0</v>
      </c>
      <c r="BQ467" s="449">
        <v>0</v>
      </c>
      <c r="BR467" s="449">
        <v>0</v>
      </c>
      <c r="BS467" s="449">
        <v>0</v>
      </c>
      <c r="BT467" s="449">
        <v>0</v>
      </c>
    </row>
    <row r="468" spans="1:74" ht="15" x14ac:dyDescent="0.25">
      <c r="A468" s="502" t="s">
        <v>794</v>
      </c>
      <c r="B468" s="502" t="s">
        <v>795</v>
      </c>
      <c r="C468" s="541"/>
      <c r="D468" s="500">
        <f t="shared" si="377"/>
        <v>2060</v>
      </c>
      <c r="E468" s="449">
        <v>2060</v>
      </c>
      <c r="F468" s="449">
        <f t="shared" si="378"/>
        <v>0</v>
      </c>
      <c r="G468" s="421">
        <f t="shared" si="379"/>
        <v>0</v>
      </c>
      <c r="H468" s="449">
        <v>2060</v>
      </c>
      <c r="I468" s="449">
        <f t="shared" si="380"/>
        <v>0</v>
      </c>
      <c r="J468" s="426">
        <f t="shared" si="381"/>
        <v>0</v>
      </c>
      <c r="K468" s="421"/>
      <c r="L468" s="449">
        <v>118.85</v>
      </c>
      <c r="M468" s="449">
        <v>229.77</v>
      </c>
      <c r="N468" s="449">
        <v>166.38</v>
      </c>
      <c r="O468" s="449">
        <v>278.46000000000004</v>
      </c>
      <c r="P468" s="449">
        <v>158.45999999999992</v>
      </c>
      <c r="Q468" s="449">
        <v>198.08000000000004</v>
      </c>
      <c r="R468" s="449">
        <f>($H468-SUM($L468:Q468))/R$694</f>
        <v>151.66666666666666</v>
      </c>
      <c r="S468" s="449">
        <f>($H468-SUM($L468:R468))/S$694</f>
        <v>151.66666666666666</v>
      </c>
      <c r="T468" s="449">
        <f>($H468-SUM($L468:S468))/T$694</f>
        <v>151.66666666666663</v>
      </c>
      <c r="U468" s="449">
        <f>($H468-SUM($L468:T468))/U$694</f>
        <v>151.66666666666666</v>
      </c>
      <c r="V468" s="449">
        <f>($H468-SUM($L468:U468))/V$694</f>
        <v>151.66666666666663</v>
      </c>
      <c r="W468" s="449">
        <f>($H468-SUM($L468:V468))/W$694</f>
        <v>151.66666666666652</v>
      </c>
      <c r="X468" s="449"/>
      <c r="Y468" s="449">
        <f t="shared" si="382"/>
        <v>2060</v>
      </c>
      <c r="Z468" s="531"/>
      <c r="AA468" s="449">
        <f t="shared" si="383"/>
        <v>171.66666666666666</v>
      </c>
      <c r="AB468" s="449">
        <f t="shared" si="383"/>
        <v>171.66666666666666</v>
      </c>
      <c r="AC468" s="449">
        <f t="shared" si="383"/>
        <v>171.66666666666666</v>
      </c>
      <c r="AD468" s="449">
        <f t="shared" si="383"/>
        <v>171.66666666666666</v>
      </c>
      <c r="AE468" s="449">
        <f t="shared" si="383"/>
        <v>171.66666666666666</v>
      </c>
      <c r="AF468" s="449">
        <f t="shared" si="383"/>
        <v>171.66666666666666</v>
      </c>
      <c r="AG468" s="449">
        <f t="shared" si="383"/>
        <v>171.66666666666666</v>
      </c>
      <c r="AH468" s="449">
        <f t="shared" si="383"/>
        <v>171.66666666666666</v>
      </c>
      <c r="AI468" s="449">
        <f t="shared" si="383"/>
        <v>171.66666666666666</v>
      </c>
      <c r="AJ468" s="449">
        <f t="shared" si="383"/>
        <v>171.66666666666666</v>
      </c>
      <c r="AK468" s="449">
        <f t="shared" si="383"/>
        <v>171.66666666666666</v>
      </c>
      <c r="AL468" s="449">
        <f t="shared" si="383"/>
        <v>171.66666666666666</v>
      </c>
      <c r="AN468" s="500">
        <f t="shared" si="384"/>
        <v>2060</v>
      </c>
      <c r="AO468" s="449">
        <f t="shared" si="385"/>
        <v>2121.7999999999997</v>
      </c>
      <c r="AP468" s="449">
        <f t="shared" si="386"/>
        <v>61.799999999999727</v>
      </c>
      <c r="AQ468" s="453">
        <f t="shared" si="387"/>
        <v>2.9999999999999867E-2</v>
      </c>
      <c r="AR468" s="449">
        <f t="shared" si="388"/>
        <v>2121.7999999999997</v>
      </c>
      <c r="AS468" s="449">
        <f t="shared" si="389"/>
        <v>0</v>
      </c>
      <c r="AT468" s="426">
        <f t="shared" si="390"/>
        <v>0</v>
      </c>
      <c r="AU468" s="421"/>
      <c r="AV468" s="449">
        <f t="shared" si="391"/>
        <v>176.81666666666669</v>
      </c>
      <c r="AW468" s="449">
        <f t="shared" si="391"/>
        <v>176.81666666666669</v>
      </c>
      <c r="AX468" s="449">
        <f t="shared" si="391"/>
        <v>176.81666666666669</v>
      </c>
      <c r="AY468" s="449">
        <f t="shared" si="391"/>
        <v>176.81666666666669</v>
      </c>
      <c r="AZ468" s="449">
        <f t="shared" si="391"/>
        <v>176.81666666666669</v>
      </c>
      <c r="BA468" s="449">
        <f t="shared" si="391"/>
        <v>176.81666666666669</v>
      </c>
      <c r="BB468" s="449">
        <f t="shared" si="391"/>
        <v>176.81666666666669</v>
      </c>
      <c r="BC468" s="449">
        <f t="shared" si="391"/>
        <v>176.81666666666669</v>
      </c>
      <c r="BD468" s="449">
        <f t="shared" si="391"/>
        <v>176.81666666666669</v>
      </c>
      <c r="BE468" s="449">
        <f t="shared" si="391"/>
        <v>176.81666666666669</v>
      </c>
      <c r="BF468" s="449">
        <f t="shared" si="391"/>
        <v>176.81666666666669</v>
      </c>
      <c r="BG468" s="449">
        <f t="shared" si="391"/>
        <v>176.81666666666669</v>
      </c>
      <c r="BH468" s="400"/>
      <c r="BI468" s="449">
        <f>SUM('FY19 Staffing V1-1 (3)'!$S$263)/12</f>
        <v>176.81666666666669</v>
      </c>
      <c r="BJ468" s="449">
        <f>SUM('FY19 Staffing V1-1 (3)'!$S$263)/12</f>
        <v>176.81666666666669</v>
      </c>
      <c r="BK468" s="449">
        <f>SUM('FY19 Staffing V1-1 (3)'!$S$263)/12</f>
        <v>176.81666666666669</v>
      </c>
      <c r="BL468" s="449">
        <f>SUM('FY19 Staffing V1-1 (3)'!$S$263)/12</f>
        <v>176.81666666666669</v>
      </c>
      <c r="BM468" s="449">
        <f>SUM('FY19 Staffing V1-1 (3)'!$S$263)/12</f>
        <v>176.81666666666669</v>
      </c>
      <c r="BN468" s="449">
        <f>SUM('FY19 Staffing V1-1 (3)'!$S$263)/12</f>
        <v>176.81666666666669</v>
      </c>
      <c r="BO468" s="449">
        <f>SUM('FY19 Staffing V1-1 (3)'!$S$263)/12</f>
        <v>176.81666666666669</v>
      </c>
      <c r="BP468" s="449">
        <f>SUM('FY19 Staffing V1-1 (3)'!$S$263)/12</f>
        <v>176.81666666666669</v>
      </c>
      <c r="BQ468" s="449">
        <f>SUM('FY19 Staffing V1-1 (3)'!$S$263)/12</f>
        <v>176.81666666666669</v>
      </c>
      <c r="BR468" s="449">
        <f>SUM('FY19 Staffing V1-1 (3)'!$S$263)/12</f>
        <v>176.81666666666669</v>
      </c>
      <c r="BS468" s="449">
        <f>SUM('FY19 Staffing V1-1 (3)'!$S$263)/12</f>
        <v>176.81666666666669</v>
      </c>
      <c r="BT468" s="449">
        <f>SUM('FY19 Staffing V1-1 (3)'!$S$263)/12</f>
        <v>176.81666666666669</v>
      </c>
    </row>
    <row r="469" spans="1:74" ht="15" x14ac:dyDescent="0.25">
      <c r="A469" s="502" t="s">
        <v>796</v>
      </c>
      <c r="B469" s="502" t="s">
        <v>797</v>
      </c>
      <c r="C469" s="601" t="s">
        <v>798</v>
      </c>
      <c r="D469" s="500">
        <f t="shared" si="377"/>
        <v>4823</v>
      </c>
      <c r="E469" s="449">
        <v>4822.5</v>
      </c>
      <c r="F469" s="449">
        <f t="shared" si="378"/>
        <v>0.5</v>
      </c>
      <c r="G469" s="421">
        <f t="shared" si="379"/>
        <v>1.0368066355624676E-4</v>
      </c>
      <c r="H469" s="449">
        <v>4823</v>
      </c>
      <c r="I469" s="449">
        <f t="shared" si="380"/>
        <v>0</v>
      </c>
      <c r="J469" s="426">
        <f t="shared" si="381"/>
        <v>0</v>
      </c>
      <c r="K469" s="421"/>
      <c r="L469" s="449">
        <v>0</v>
      </c>
      <c r="M469" s="449">
        <v>325</v>
      </c>
      <c r="N469" s="449">
        <v>0</v>
      </c>
      <c r="O469" s="449">
        <v>0</v>
      </c>
      <c r="P469" s="449">
        <v>11</v>
      </c>
      <c r="Q469" s="449">
        <v>61.029999999998836</v>
      </c>
      <c r="R469" s="449">
        <f>($H469-SUM($L469:Q469))/R$694</f>
        <v>737.66166666666686</v>
      </c>
      <c r="S469" s="449">
        <f>($H469-SUM($L469:R469))/S$694</f>
        <v>737.66166666666686</v>
      </c>
      <c r="T469" s="449">
        <f>($H469-SUM($L469:S469))/T$694</f>
        <v>737.66166666666686</v>
      </c>
      <c r="U469" s="449">
        <f>($H469-SUM($L469:T469))/U$694</f>
        <v>737.66166666666686</v>
      </c>
      <c r="V469" s="449">
        <f>($H469-SUM($L469:U469))/V$694</f>
        <v>737.66166666666686</v>
      </c>
      <c r="W469" s="449">
        <f>($H469-SUM($L469:V469))/W$694</f>
        <v>737.66166666666686</v>
      </c>
      <c r="X469" s="449"/>
      <c r="Y469" s="449">
        <f t="shared" si="382"/>
        <v>4823</v>
      </c>
      <c r="Z469" s="531"/>
      <c r="AA469" s="449">
        <f t="shared" si="383"/>
        <v>401.91666666666669</v>
      </c>
      <c r="AB469" s="449">
        <f t="shared" si="383"/>
        <v>401.91666666666669</v>
      </c>
      <c r="AC469" s="449">
        <f t="shared" si="383"/>
        <v>401.91666666666669</v>
      </c>
      <c r="AD469" s="449">
        <f t="shared" si="383"/>
        <v>401.91666666666669</v>
      </c>
      <c r="AE469" s="449">
        <f t="shared" si="383"/>
        <v>401.91666666666669</v>
      </c>
      <c r="AF469" s="449">
        <f t="shared" si="383"/>
        <v>401.91666666666669</v>
      </c>
      <c r="AG469" s="449">
        <f t="shared" si="383"/>
        <v>401.91666666666669</v>
      </c>
      <c r="AH469" s="449">
        <f t="shared" si="383"/>
        <v>401.91666666666669</v>
      </c>
      <c r="AI469" s="449">
        <f t="shared" si="383"/>
        <v>401.91666666666669</v>
      </c>
      <c r="AJ469" s="449">
        <f t="shared" si="383"/>
        <v>401.91666666666669</v>
      </c>
      <c r="AK469" s="449">
        <f t="shared" si="383"/>
        <v>401.91666666666669</v>
      </c>
      <c r="AL469" s="449">
        <f t="shared" si="383"/>
        <v>401.91666666666669</v>
      </c>
      <c r="AN469" s="500">
        <f t="shared" si="384"/>
        <v>4823</v>
      </c>
      <c r="AO469" s="449">
        <f t="shared" si="385"/>
        <v>4967.6900000000014</v>
      </c>
      <c r="AP469" s="449">
        <f t="shared" si="386"/>
        <v>144.69000000000142</v>
      </c>
      <c r="AQ469" s="453">
        <f t="shared" si="387"/>
        <v>3.0000000000000294E-2</v>
      </c>
      <c r="AR469" s="449">
        <f t="shared" si="388"/>
        <v>4967.6900000000014</v>
      </c>
      <c r="AS469" s="449">
        <f t="shared" si="389"/>
        <v>0</v>
      </c>
      <c r="AT469" s="426">
        <f t="shared" si="390"/>
        <v>0</v>
      </c>
      <c r="AU469" s="421"/>
      <c r="AV469" s="449">
        <f t="shared" si="391"/>
        <v>413.97416666666669</v>
      </c>
      <c r="AW469" s="449">
        <f t="shared" si="391"/>
        <v>413.97416666666669</v>
      </c>
      <c r="AX469" s="449">
        <f t="shared" si="391"/>
        <v>413.97416666666669</v>
      </c>
      <c r="AY469" s="449">
        <f t="shared" si="391"/>
        <v>413.97416666666669</v>
      </c>
      <c r="AZ469" s="449">
        <f t="shared" si="391"/>
        <v>413.97416666666669</v>
      </c>
      <c r="BA469" s="449">
        <f t="shared" si="391"/>
        <v>413.97416666666669</v>
      </c>
      <c r="BB469" s="449">
        <f t="shared" si="391"/>
        <v>413.97416666666669</v>
      </c>
      <c r="BC469" s="449">
        <f t="shared" si="391"/>
        <v>413.97416666666669</v>
      </c>
      <c r="BD469" s="449">
        <f t="shared" si="391"/>
        <v>413.97416666666669</v>
      </c>
      <c r="BE469" s="449">
        <f t="shared" si="391"/>
        <v>413.97416666666669</v>
      </c>
      <c r="BF469" s="449">
        <f t="shared" si="391"/>
        <v>413.97416666666669</v>
      </c>
      <c r="BG469" s="449">
        <f t="shared" si="391"/>
        <v>413.97416666666669</v>
      </c>
      <c r="BH469" s="400"/>
      <c r="BI469" s="449">
        <f t="shared" ref="BI469:BT469" si="393">IFERROR(($H469*1.03)/12,0)</f>
        <v>413.97416666666669</v>
      </c>
      <c r="BJ469" s="449">
        <f t="shared" si="393"/>
        <v>413.97416666666669</v>
      </c>
      <c r="BK469" s="449">
        <f t="shared" si="393"/>
        <v>413.97416666666669</v>
      </c>
      <c r="BL469" s="449">
        <f t="shared" si="393"/>
        <v>413.97416666666669</v>
      </c>
      <c r="BM469" s="449">
        <f t="shared" si="393"/>
        <v>413.97416666666669</v>
      </c>
      <c r="BN469" s="449">
        <f t="shared" si="393"/>
        <v>413.97416666666669</v>
      </c>
      <c r="BO469" s="449">
        <f t="shared" si="393"/>
        <v>413.97416666666669</v>
      </c>
      <c r="BP469" s="449">
        <f t="shared" si="393"/>
        <v>413.97416666666669</v>
      </c>
      <c r="BQ469" s="449">
        <f t="shared" si="393"/>
        <v>413.97416666666669</v>
      </c>
      <c r="BR469" s="449">
        <f t="shared" si="393"/>
        <v>413.97416666666669</v>
      </c>
      <c r="BS469" s="449">
        <f t="shared" si="393"/>
        <v>413.97416666666669</v>
      </c>
      <c r="BT469" s="449">
        <f t="shared" si="393"/>
        <v>413.97416666666669</v>
      </c>
    </row>
    <row r="470" spans="1:74" ht="15" x14ac:dyDescent="0.25">
      <c r="A470" s="502" t="s">
        <v>799</v>
      </c>
      <c r="B470" s="502" t="s">
        <v>800</v>
      </c>
      <c r="C470" s="538"/>
      <c r="D470" s="500">
        <f t="shared" si="377"/>
        <v>2000</v>
      </c>
      <c r="E470" s="449">
        <v>482.25</v>
      </c>
      <c r="F470" s="449">
        <f t="shared" si="378"/>
        <v>1517.75</v>
      </c>
      <c r="G470" s="421">
        <f t="shared" si="379"/>
        <v>3.1472265422498702</v>
      </c>
      <c r="H470" s="449">
        <v>2000</v>
      </c>
      <c r="I470" s="449">
        <f t="shared" si="380"/>
        <v>0</v>
      </c>
      <c r="J470" s="426">
        <f t="shared" si="381"/>
        <v>0</v>
      </c>
      <c r="K470" s="421"/>
      <c r="L470" s="449">
        <v>82.2</v>
      </c>
      <c r="M470" s="449">
        <v>280.85000000000002</v>
      </c>
      <c r="N470" s="449">
        <v>-45.100000000000023</v>
      </c>
      <c r="O470" s="449">
        <v>-142.54999999999998</v>
      </c>
      <c r="P470" s="449">
        <v>364.37</v>
      </c>
      <c r="Q470" s="449">
        <v>-52</v>
      </c>
      <c r="R470" s="449">
        <f>($H470-SUM($L470:Q470))/R$694</f>
        <v>252.03833333333333</v>
      </c>
      <c r="S470" s="449">
        <f>($H470-SUM($L470:R470))/S$694</f>
        <v>252.03833333333333</v>
      </c>
      <c r="T470" s="449">
        <f>($H470-SUM($L470:S470))/T$694</f>
        <v>252.03833333333336</v>
      </c>
      <c r="U470" s="449">
        <f>($H470-SUM($L470:T470))/U$694</f>
        <v>252.03833333333333</v>
      </c>
      <c r="V470" s="449">
        <f>($H470-SUM($L470:U470))/V$694</f>
        <v>252.0383333333333</v>
      </c>
      <c r="W470" s="449">
        <f>($H470-SUM($L470:V470))/W$694</f>
        <v>252.03833333333341</v>
      </c>
      <c r="X470" s="449"/>
      <c r="Y470" s="449">
        <f t="shared" si="382"/>
        <v>2000</v>
      </c>
      <c r="Z470" s="531"/>
      <c r="AA470" s="449">
        <f t="shared" si="383"/>
        <v>166.66666666666666</v>
      </c>
      <c r="AB470" s="449">
        <f t="shared" si="383"/>
        <v>166.66666666666666</v>
      </c>
      <c r="AC470" s="449">
        <f t="shared" si="383"/>
        <v>166.66666666666666</v>
      </c>
      <c r="AD470" s="449">
        <f t="shared" si="383"/>
        <v>166.66666666666666</v>
      </c>
      <c r="AE470" s="449">
        <f t="shared" si="383"/>
        <v>166.66666666666666</v>
      </c>
      <c r="AF470" s="449">
        <f t="shared" si="383"/>
        <v>166.66666666666666</v>
      </c>
      <c r="AG470" s="449">
        <f t="shared" si="383"/>
        <v>166.66666666666666</v>
      </c>
      <c r="AH470" s="449">
        <f t="shared" si="383"/>
        <v>166.66666666666666</v>
      </c>
      <c r="AI470" s="449">
        <f t="shared" si="383"/>
        <v>166.66666666666666</v>
      </c>
      <c r="AJ470" s="449">
        <f t="shared" si="383"/>
        <v>166.66666666666666</v>
      </c>
      <c r="AK470" s="449">
        <f t="shared" si="383"/>
        <v>166.66666666666666</v>
      </c>
      <c r="AL470" s="449">
        <f t="shared" si="383"/>
        <v>166.66666666666666</v>
      </c>
      <c r="AN470" s="500">
        <f t="shared" si="384"/>
        <v>2000</v>
      </c>
      <c r="AO470" s="449">
        <f t="shared" si="385"/>
        <v>2199.1967871485945</v>
      </c>
      <c r="AP470" s="449">
        <f t="shared" si="386"/>
        <v>199.19678714859447</v>
      </c>
      <c r="AQ470" s="453">
        <f t="shared" si="387"/>
        <v>9.9598393574297228E-2</v>
      </c>
      <c r="AR470" s="449">
        <f t="shared" si="388"/>
        <v>2199.1967871485945</v>
      </c>
      <c r="AS470" s="449">
        <f t="shared" si="389"/>
        <v>0</v>
      </c>
      <c r="AT470" s="426">
        <f t="shared" si="390"/>
        <v>0</v>
      </c>
      <c r="AU470" s="421"/>
      <c r="AV470" s="449">
        <f t="shared" si="391"/>
        <v>183.26639892904953</v>
      </c>
      <c r="AW470" s="449">
        <f t="shared" si="391"/>
        <v>183.26639892904953</v>
      </c>
      <c r="AX470" s="449">
        <f t="shared" si="391"/>
        <v>183.26639892904953</v>
      </c>
      <c r="AY470" s="449">
        <f t="shared" si="391"/>
        <v>183.26639892904953</v>
      </c>
      <c r="AZ470" s="449">
        <f t="shared" si="391"/>
        <v>183.26639892904953</v>
      </c>
      <c r="BA470" s="449">
        <f t="shared" si="391"/>
        <v>183.26639892904953</v>
      </c>
      <c r="BB470" s="449">
        <f t="shared" si="391"/>
        <v>183.26639892904953</v>
      </c>
      <c r="BC470" s="449">
        <f t="shared" si="391"/>
        <v>183.26639892904953</v>
      </c>
      <c r="BD470" s="449">
        <f t="shared" si="391"/>
        <v>183.26639892904953</v>
      </c>
      <c r="BE470" s="449">
        <f t="shared" si="391"/>
        <v>183.26639892904953</v>
      </c>
      <c r="BF470" s="449">
        <f t="shared" si="391"/>
        <v>183.26639892904953</v>
      </c>
      <c r="BG470" s="449">
        <f t="shared" si="391"/>
        <v>183.26639892904953</v>
      </c>
      <c r="BH470" s="400"/>
      <c r="BI470" s="449">
        <f t="shared" ref="BI470:BT471" si="394">IFERROR((($H470/$H$5)*BI$5)/12,0)</f>
        <v>183.26639892904953</v>
      </c>
      <c r="BJ470" s="449">
        <f t="shared" si="394"/>
        <v>183.26639892904953</v>
      </c>
      <c r="BK470" s="449">
        <f t="shared" si="394"/>
        <v>183.26639892904953</v>
      </c>
      <c r="BL470" s="449">
        <f t="shared" si="394"/>
        <v>183.26639892904953</v>
      </c>
      <c r="BM470" s="449">
        <f t="shared" si="394"/>
        <v>183.26639892904953</v>
      </c>
      <c r="BN470" s="449">
        <f t="shared" si="394"/>
        <v>183.26639892904953</v>
      </c>
      <c r="BO470" s="449">
        <f t="shared" si="394"/>
        <v>183.26639892904953</v>
      </c>
      <c r="BP470" s="449">
        <f t="shared" si="394"/>
        <v>183.26639892904953</v>
      </c>
      <c r="BQ470" s="449">
        <f t="shared" si="394"/>
        <v>183.26639892904953</v>
      </c>
      <c r="BR470" s="449">
        <f t="shared" si="394"/>
        <v>183.26639892904953</v>
      </c>
      <c r="BS470" s="449">
        <f t="shared" si="394"/>
        <v>183.26639892904953</v>
      </c>
      <c r="BT470" s="449">
        <f t="shared" si="394"/>
        <v>183.26639892904953</v>
      </c>
    </row>
    <row r="471" spans="1:74" ht="15" x14ac:dyDescent="0.25">
      <c r="A471" s="502" t="s">
        <v>801</v>
      </c>
      <c r="B471" s="502" t="s">
        <v>802</v>
      </c>
      <c r="C471" s="538" t="s">
        <v>803</v>
      </c>
      <c r="D471" s="500">
        <f t="shared" si="377"/>
        <v>45975</v>
      </c>
      <c r="E471" s="449">
        <v>45974.5</v>
      </c>
      <c r="F471" s="449">
        <f t="shared" si="378"/>
        <v>0.5</v>
      </c>
      <c r="G471" s="421">
        <f t="shared" si="379"/>
        <v>1.0875594079326584E-5</v>
      </c>
      <c r="H471" s="449">
        <v>45975</v>
      </c>
      <c r="I471" s="449">
        <f t="shared" si="380"/>
        <v>0</v>
      </c>
      <c r="J471" s="426">
        <f t="shared" si="381"/>
        <v>0</v>
      </c>
      <c r="K471" s="421"/>
      <c r="L471" s="449">
        <v>2065.89</v>
      </c>
      <c r="M471" s="449">
        <v>3700.23</v>
      </c>
      <c r="N471" s="449">
        <v>16442.830000000002</v>
      </c>
      <c r="O471" s="449">
        <v>-15585.84</v>
      </c>
      <c r="P471" s="449">
        <v>354.53999999999905</v>
      </c>
      <c r="Q471" s="449">
        <v>351.78999999999996</v>
      </c>
      <c r="R471" s="449">
        <f>($H471-SUM($L471:Q471))/R$694</f>
        <v>6440.9266666666663</v>
      </c>
      <c r="S471" s="449">
        <f>($H471-SUM($L471:R471))/S$694</f>
        <v>6440.9266666666672</v>
      </c>
      <c r="T471" s="449">
        <f>($H471-SUM($L471:S471))/T$694</f>
        <v>6440.9266666666672</v>
      </c>
      <c r="U471" s="449">
        <f>($H471-SUM($L471:T471))/U$694</f>
        <v>6440.9266666666672</v>
      </c>
      <c r="V471" s="449">
        <f>($H471-SUM($L471:U471))/V$694</f>
        <v>6440.9266666666663</v>
      </c>
      <c r="W471" s="449">
        <f>($H471-SUM($L471:V471))/W$694</f>
        <v>6440.9266666666663</v>
      </c>
      <c r="X471" s="449"/>
      <c r="Y471" s="449">
        <f t="shared" si="382"/>
        <v>45975</v>
      </c>
      <c r="Z471" s="531"/>
      <c r="AA471" s="449">
        <f t="shared" si="383"/>
        <v>3831.25</v>
      </c>
      <c r="AB471" s="449">
        <f t="shared" si="383"/>
        <v>3831.25</v>
      </c>
      <c r="AC471" s="449">
        <f t="shared" si="383"/>
        <v>3831.25</v>
      </c>
      <c r="AD471" s="449">
        <f t="shared" si="383"/>
        <v>3831.25</v>
      </c>
      <c r="AE471" s="449">
        <f t="shared" si="383"/>
        <v>3831.25</v>
      </c>
      <c r="AF471" s="449">
        <f t="shared" si="383"/>
        <v>3831.25</v>
      </c>
      <c r="AG471" s="449">
        <f t="shared" si="383"/>
        <v>3831.25</v>
      </c>
      <c r="AH471" s="449">
        <f t="shared" si="383"/>
        <v>3831.25</v>
      </c>
      <c r="AI471" s="449">
        <f t="shared" si="383"/>
        <v>3831.25</v>
      </c>
      <c r="AJ471" s="449">
        <f t="shared" si="383"/>
        <v>3831.25</v>
      </c>
      <c r="AK471" s="449">
        <f t="shared" si="383"/>
        <v>3831.25</v>
      </c>
      <c r="AL471" s="449">
        <f t="shared" si="383"/>
        <v>3831.25</v>
      </c>
      <c r="AN471" s="500">
        <f t="shared" si="384"/>
        <v>45975</v>
      </c>
      <c r="AO471" s="449">
        <f t="shared" si="385"/>
        <v>50554.036144578313</v>
      </c>
      <c r="AP471" s="449">
        <f t="shared" si="386"/>
        <v>4579.0361445783128</v>
      </c>
      <c r="AQ471" s="453">
        <f t="shared" si="387"/>
        <v>9.9598393574297173E-2</v>
      </c>
      <c r="AR471" s="449">
        <f t="shared" si="388"/>
        <v>50554.036144578313</v>
      </c>
      <c r="AS471" s="449">
        <f t="shared" si="389"/>
        <v>0</v>
      </c>
      <c r="AT471" s="426">
        <f t="shared" si="390"/>
        <v>0</v>
      </c>
      <c r="AU471" s="421"/>
      <c r="AV471" s="449">
        <f t="shared" si="391"/>
        <v>4212.8363453815264</v>
      </c>
      <c r="AW471" s="449">
        <f t="shared" si="391"/>
        <v>4212.8363453815264</v>
      </c>
      <c r="AX471" s="449">
        <f t="shared" si="391"/>
        <v>4212.8363453815264</v>
      </c>
      <c r="AY471" s="449">
        <f t="shared" si="391"/>
        <v>4212.8363453815264</v>
      </c>
      <c r="AZ471" s="449">
        <f t="shared" si="391"/>
        <v>4212.8363453815264</v>
      </c>
      <c r="BA471" s="449">
        <f t="shared" si="391"/>
        <v>4212.8363453815264</v>
      </c>
      <c r="BB471" s="449">
        <f t="shared" si="391"/>
        <v>4212.8363453815264</v>
      </c>
      <c r="BC471" s="449">
        <f t="shared" si="391"/>
        <v>4212.8363453815264</v>
      </c>
      <c r="BD471" s="449">
        <f t="shared" si="391"/>
        <v>4212.8363453815264</v>
      </c>
      <c r="BE471" s="449">
        <f t="shared" si="391"/>
        <v>4212.8363453815264</v>
      </c>
      <c r="BF471" s="449">
        <f t="shared" si="391"/>
        <v>4212.8363453815264</v>
      </c>
      <c r="BG471" s="449">
        <f t="shared" si="391"/>
        <v>4212.8363453815264</v>
      </c>
      <c r="BH471" s="400"/>
      <c r="BI471" s="449">
        <f t="shared" si="394"/>
        <v>4212.8363453815264</v>
      </c>
      <c r="BJ471" s="449">
        <f t="shared" si="394"/>
        <v>4212.8363453815264</v>
      </c>
      <c r="BK471" s="449">
        <f t="shared" si="394"/>
        <v>4212.8363453815264</v>
      </c>
      <c r="BL471" s="449">
        <f t="shared" si="394"/>
        <v>4212.8363453815264</v>
      </c>
      <c r="BM471" s="449">
        <f t="shared" si="394"/>
        <v>4212.8363453815264</v>
      </c>
      <c r="BN471" s="449">
        <f t="shared" si="394"/>
        <v>4212.8363453815264</v>
      </c>
      <c r="BO471" s="449">
        <f t="shared" si="394"/>
        <v>4212.8363453815264</v>
      </c>
      <c r="BP471" s="449">
        <f t="shared" si="394"/>
        <v>4212.8363453815264</v>
      </c>
      <c r="BQ471" s="449">
        <f t="shared" si="394"/>
        <v>4212.8363453815264</v>
      </c>
      <c r="BR471" s="449">
        <f t="shared" si="394"/>
        <v>4212.8363453815264</v>
      </c>
      <c r="BS471" s="449">
        <f t="shared" si="394"/>
        <v>4212.8363453815264</v>
      </c>
      <c r="BT471" s="449">
        <f t="shared" si="394"/>
        <v>4212.8363453815264</v>
      </c>
    </row>
    <row r="472" spans="1:74" ht="15" x14ac:dyDescent="0.25">
      <c r="A472" s="502"/>
      <c r="B472" s="502"/>
      <c r="C472" s="538"/>
      <c r="D472" s="500"/>
      <c r="E472" s="449"/>
      <c r="F472" s="449"/>
      <c r="G472" s="421"/>
      <c r="H472" s="449"/>
      <c r="I472" s="449"/>
      <c r="J472" s="426"/>
      <c r="K472" s="421"/>
      <c r="L472" s="449"/>
      <c r="M472" s="449"/>
      <c r="N472" s="449"/>
      <c r="O472" s="449"/>
      <c r="P472" s="449"/>
      <c r="Q472" s="449"/>
      <c r="R472" s="449"/>
      <c r="S472" s="449"/>
      <c r="T472" s="449"/>
      <c r="U472" s="449"/>
      <c r="V472" s="449"/>
      <c r="W472" s="449"/>
      <c r="X472" s="449"/>
      <c r="Y472" s="449"/>
      <c r="Z472" s="531"/>
      <c r="AA472" s="449"/>
      <c r="AB472" s="449"/>
      <c r="AC472" s="449"/>
      <c r="AD472" s="449"/>
      <c r="AE472" s="449"/>
      <c r="AF472" s="449"/>
      <c r="AG472" s="449"/>
      <c r="AH472" s="449"/>
      <c r="AI472" s="449"/>
      <c r="AJ472" s="449"/>
      <c r="AK472" s="449"/>
      <c r="AL472" s="449"/>
      <c r="AN472" s="500"/>
      <c r="AO472" s="449"/>
      <c r="AP472" s="449"/>
      <c r="AQ472" s="453"/>
      <c r="AR472" s="449"/>
      <c r="AS472" s="449"/>
      <c r="AT472" s="426"/>
      <c r="AU472" s="421"/>
      <c r="AV472" s="449"/>
      <c r="AW472" s="449"/>
      <c r="AX472" s="449"/>
      <c r="AY472" s="449"/>
      <c r="AZ472" s="449"/>
      <c r="BA472" s="449"/>
      <c r="BB472" s="449"/>
      <c r="BC472" s="449"/>
      <c r="BD472" s="449"/>
      <c r="BE472" s="449"/>
      <c r="BF472" s="449"/>
      <c r="BG472" s="449"/>
      <c r="BH472" s="531"/>
      <c r="BI472" s="449"/>
      <c r="BJ472" s="449"/>
      <c r="BK472" s="449"/>
      <c r="BL472" s="449"/>
      <c r="BM472" s="449"/>
      <c r="BN472" s="449"/>
      <c r="BO472" s="449"/>
      <c r="BP472" s="449"/>
      <c r="BQ472" s="449"/>
      <c r="BR472" s="449"/>
      <c r="BS472" s="449"/>
      <c r="BT472" s="449"/>
    </row>
    <row r="473" spans="1:74" s="536" customFormat="1" ht="15.75" thickBot="1" x14ac:dyDescent="0.3">
      <c r="A473" s="524"/>
      <c r="B473" s="524" t="s">
        <v>804</v>
      </c>
      <c r="C473" s="535"/>
      <c r="D473" s="532">
        <f>SUM(D461:D472)</f>
        <v>319725</v>
      </c>
      <c r="E473" s="533">
        <f>SUM(E461:E472)</f>
        <v>295271.12543399999</v>
      </c>
      <c r="F473" s="533">
        <f>IFERROR(D473-E473,0)</f>
        <v>24453.874566000013</v>
      </c>
      <c r="G473" s="520">
        <f>IFERROR(F473/ABS(E473),0)</f>
        <v>8.2818374231672126E-2</v>
      </c>
      <c r="H473" s="533">
        <f>SUM(H461:H472)</f>
        <v>319725</v>
      </c>
      <c r="I473" s="533">
        <f>IFERROR(D473-H473,0)</f>
        <v>0</v>
      </c>
      <c r="J473" s="521">
        <f>IFERROR(I473/ABS(H473),0)</f>
        <v>0</v>
      </c>
      <c r="K473" s="507"/>
      <c r="L473" s="533">
        <f>SUM(L461:L472)</f>
        <v>20433.3</v>
      </c>
      <c r="M473" s="533">
        <f t="shared" ref="M473:W473" si="395">SUM(M461:M472)</f>
        <v>25652.559999999998</v>
      </c>
      <c r="N473" s="533">
        <f t="shared" si="395"/>
        <v>42915.180000000008</v>
      </c>
      <c r="O473" s="533">
        <f t="shared" si="395"/>
        <v>10216.460000000003</v>
      </c>
      <c r="P473" s="533">
        <f t="shared" si="395"/>
        <v>22270.160000000003</v>
      </c>
      <c r="Q473" s="533">
        <f t="shared" si="395"/>
        <v>23148.15</v>
      </c>
      <c r="R473" s="533">
        <f t="shared" si="395"/>
        <v>29181.531666666666</v>
      </c>
      <c r="S473" s="533">
        <f t="shared" si="395"/>
        <v>29181.531666666669</v>
      </c>
      <c r="T473" s="533">
        <f t="shared" si="395"/>
        <v>29181.531666666669</v>
      </c>
      <c r="U473" s="533">
        <f t="shared" si="395"/>
        <v>29181.531666666673</v>
      </c>
      <c r="V473" s="533">
        <f t="shared" si="395"/>
        <v>29181.531666666666</v>
      </c>
      <c r="W473" s="533">
        <f t="shared" si="395"/>
        <v>29181.531666666644</v>
      </c>
      <c r="X473" s="533"/>
      <c r="Y473" s="533">
        <f>SUM(L473:W473)</f>
        <v>319725</v>
      </c>
      <c r="Z473" s="508"/>
      <c r="AA473" s="533">
        <f t="shared" ref="AA473:AL473" si="396">SUM(AA461:AA472)</f>
        <v>26643.750000000004</v>
      </c>
      <c r="AB473" s="533">
        <f t="shared" si="396"/>
        <v>26643.750000000004</v>
      </c>
      <c r="AC473" s="533">
        <f t="shared" si="396"/>
        <v>26643.750000000004</v>
      </c>
      <c r="AD473" s="533">
        <f t="shared" si="396"/>
        <v>26643.750000000004</v>
      </c>
      <c r="AE473" s="533">
        <f t="shared" si="396"/>
        <v>26643.750000000004</v>
      </c>
      <c r="AF473" s="533">
        <f t="shared" si="396"/>
        <v>26643.750000000004</v>
      </c>
      <c r="AG473" s="533">
        <f t="shared" si="396"/>
        <v>26643.750000000004</v>
      </c>
      <c r="AH473" s="533">
        <f t="shared" si="396"/>
        <v>26643.750000000004</v>
      </c>
      <c r="AI473" s="533">
        <f t="shared" si="396"/>
        <v>26643.750000000004</v>
      </c>
      <c r="AJ473" s="533">
        <f t="shared" si="396"/>
        <v>26643.750000000004</v>
      </c>
      <c r="AK473" s="533">
        <f t="shared" si="396"/>
        <v>26643.750000000004</v>
      </c>
      <c r="AL473" s="533">
        <f t="shared" si="396"/>
        <v>26643.750000000004</v>
      </c>
      <c r="AN473" s="532">
        <f>SUM(AN461:AN472)</f>
        <v>319725</v>
      </c>
      <c r="AO473" s="533">
        <f>SUM(AO461:AO472)</f>
        <v>345292.5749116466</v>
      </c>
      <c r="AP473" s="533">
        <f>IFERROR(AO473-AN473,0)</f>
        <v>25567.574911646603</v>
      </c>
      <c r="AQ473" s="523">
        <f>IFERROR(AP473/ABS(AN473),"-")</f>
        <v>7.9967393577751511E-2</v>
      </c>
      <c r="AR473" s="533">
        <f>SUM(AR461:AR472)</f>
        <v>345292.5749116466</v>
      </c>
      <c r="AS473" s="533">
        <f>IFERROR(AO473-AR473,0)</f>
        <v>0</v>
      </c>
      <c r="AT473" s="521">
        <f>IFERROR(AS473/ABS(AR473),0)</f>
        <v>0</v>
      </c>
      <c r="AU473" s="507"/>
      <c r="AV473" s="533">
        <f>SUM(AV461:AV472)</f>
        <v>28524.381242637217</v>
      </c>
      <c r="AW473" s="533">
        <f t="shared" ref="AW473:BG473" si="397">SUM(AW461:AW472)</f>
        <v>28524.381242637217</v>
      </c>
      <c r="AX473" s="533">
        <f t="shared" si="397"/>
        <v>28524.381242637217</v>
      </c>
      <c r="AY473" s="533">
        <f t="shared" si="397"/>
        <v>31524.381242637217</v>
      </c>
      <c r="AZ473" s="533">
        <f t="shared" si="397"/>
        <v>28524.381242637217</v>
      </c>
      <c r="BA473" s="533">
        <f t="shared" si="397"/>
        <v>28524.381242637217</v>
      </c>
      <c r="BB473" s="533">
        <f t="shared" si="397"/>
        <v>28524.381242637217</v>
      </c>
      <c r="BC473" s="533">
        <f t="shared" si="397"/>
        <v>28524.381242637217</v>
      </c>
      <c r="BD473" s="533">
        <f t="shared" si="397"/>
        <v>28524.381242637217</v>
      </c>
      <c r="BE473" s="533">
        <f t="shared" si="397"/>
        <v>28524.381242637217</v>
      </c>
      <c r="BF473" s="533">
        <f t="shared" si="397"/>
        <v>28524.381242637217</v>
      </c>
      <c r="BG473" s="533">
        <f t="shared" si="397"/>
        <v>28524.381242637217</v>
      </c>
      <c r="BH473" s="508"/>
      <c r="BI473" s="533">
        <f t="shared" ref="BI473:BT473" si="398">SUM(BI461:BI472)</f>
        <v>28524.381242637217</v>
      </c>
      <c r="BJ473" s="533">
        <f t="shared" si="398"/>
        <v>28524.381242637217</v>
      </c>
      <c r="BK473" s="533">
        <f t="shared" si="398"/>
        <v>28524.381242637217</v>
      </c>
      <c r="BL473" s="533">
        <f t="shared" si="398"/>
        <v>31524.381242637217</v>
      </c>
      <c r="BM473" s="533">
        <f t="shared" si="398"/>
        <v>28524.381242637217</v>
      </c>
      <c r="BN473" s="533">
        <f t="shared" si="398"/>
        <v>28524.381242637217</v>
      </c>
      <c r="BO473" s="533">
        <f t="shared" si="398"/>
        <v>28524.381242637217</v>
      </c>
      <c r="BP473" s="533">
        <f t="shared" si="398"/>
        <v>28524.381242637217</v>
      </c>
      <c r="BQ473" s="533">
        <f t="shared" si="398"/>
        <v>28524.381242637217</v>
      </c>
      <c r="BR473" s="533">
        <f t="shared" si="398"/>
        <v>28524.381242637217</v>
      </c>
      <c r="BS473" s="533">
        <f t="shared" si="398"/>
        <v>28524.381242637217</v>
      </c>
      <c r="BT473" s="533">
        <f t="shared" si="398"/>
        <v>28524.381242637217</v>
      </c>
      <c r="BV473" s="400"/>
    </row>
    <row r="474" spans="1:74" ht="15.75" thickTop="1" x14ac:dyDescent="0.25">
      <c r="A474" s="502"/>
      <c r="B474" s="502"/>
      <c r="C474" s="538"/>
      <c r="D474" s="500"/>
      <c r="E474" s="449"/>
      <c r="F474" s="449"/>
      <c r="G474" s="421"/>
      <c r="H474" s="449"/>
      <c r="I474" s="449"/>
      <c r="J474" s="426"/>
      <c r="K474" s="421"/>
      <c r="L474" s="449"/>
      <c r="M474" s="449"/>
      <c r="N474" s="449"/>
      <c r="O474" s="449"/>
      <c r="P474" s="449"/>
      <c r="Q474" s="449"/>
      <c r="R474" s="449"/>
      <c r="S474" s="449"/>
      <c r="T474" s="449"/>
      <c r="U474" s="449"/>
      <c r="V474" s="449"/>
      <c r="W474" s="449"/>
      <c r="X474" s="449"/>
      <c r="Y474" s="449"/>
      <c r="Z474" s="531"/>
      <c r="AA474" s="449"/>
      <c r="AB474" s="449"/>
      <c r="AC474" s="449"/>
      <c r="AD474" s="449"/>
      <c r="AE474" s="449"/>
      <c r="AF474" s="449"/>
      <c r="AG474" s="449"/>
      <c r="AH474" s="449"/>
      <c r="AI474" s="449"/>
      <c r="AJ474" s="449"/>
      <c r="AK474" s="449"/>
      <c r="AL474" s="449"/>
      <c r="AN474" s="500"/>
      <c r="AO474" s="449"/>
      <c r="AP474" s="449"/>
      <c r="AQ474" s="453"/>
      <c r="AR474" s="449"/>
      <c r="AS474" s="449"/>
      <c r="AT474" s="426"/>
      <c r="AU474" s="421"/>
      <c r="AV474" s="449"/>
      <c r="AW474" s="449"/>
      <c r="AX474" s="449"/>
      <c r="AY474" s="449"/>
      <c r="AZ474" s="449"/>
      <c r="BA474" s="449"/>
      <c r="BB474" s="449"/>
      <c r="BC474" s="449"/>
      <c r="BD474" s="449"/>
      <c r="BE474" s="449"/>
      <c r="BF474" s="449"/>
      <c r="BG474" s="449"/>
      <c r="BH474" s="531"/>
      <c r="BI474" s="449"/>
      <c r="BJ474" s="449"/>
      <c r="BK474" s="449"/>
      <c r="BL474" s="449"/>
      <c r="BM474" s="449"/>
      <c r="BN474" s="449"/>
      <c r="BO474" s="449"/>
      <c r="BP474" s="449"/>
      <c r="BQ474" s="449"/>
      <c r="BR474" s="449"/>
      <c r="BS474" s="449"/>
      <c r="BT474" s="449"/>
    </row>
    <row r="475" spans="1:74" ht="15.75" x14ac:dyDescent="0.25">
      <c r="A475" s="502"/>
      <c r="B475" s="525" t="s">
        <v>805</v>
      </c>
      <c r="C475" s="538"/>
      <c r="D475" s="500"/>
      <c r="E475" s="449"/>
      <c r="F475" s="449"/>
      <c r="G475" s="421"/>
      <c r="H475" s="449"/>
      <c r="I475" s="449"/>
      <c r="J475" s="426"/>
      <c r="K475" s="421"/>
      <c r="L475" s="449"/>
      <c r="M475" s="449"/>
      <c r="N475" s="449"/>
      <c r="O475" s="449"/>
      <c r="P475" s="449"/>
      <c r="Q475" s="449"/>
      <c r="R475" s="449"/>
      <c r="S475" s="449"/>
      <c r="T475" s="449"/>
      <c r="U475" s="449"/>
      <c r="V475" s="449"/>
      <c r="W475" s="449"/>
      <c r="X475" s="449"/>
      <c r="Y475" s="449"/>
      <c r="Z475" s="531"/>
      <c r="AA475" s="449"/>
      <c r="AB475" s="449"/>
      <c r="AC475" s="449"/>
      <c r="AD475" s="449"/>
      <c r="AE475" s="449"/>
      <c r="AF475" s="449"/>
      <c r="AG475" s="449"/>
      <c r="AH475" s="449"/>
      <c r="AI475" s="449"/>
      <c r="AJ475" s="449"/>
      <c r="AK475" s="449"/>
      <c r="AL475" s="449"/>
      <c r="AN475" s="500"/>
      <c r="AO475" s="449"/>
      <c r="AP475" s="449"/>
      <c r="AQ475" s="453"/>
      <c r="AR475" s="449"/>
      <c r="AS475" s="449"/>
      <c r="AT475" s="426"/>
      <c r="AU475" s="421"/>
      <c r="AV475" s="449"/>
      <c r="AW475" s="449"/>
      <c r="AX475" s="449"/>
      <c r="AY475" s="449"/>
      <c r="AZ475" s="449"/>
      <c r="BA475" s="449"/>
      <c r="BB475" s="449"/>
      <c r="BC475" s="449"/>
      <c r="BD475" s="449"/>
      <c r="BE475" s="449"/>
      <c r="BF475" s="449"/>
      <c r="BG475" s="449"/>
      <c r="BH475" s="531"/>
      <c r="BI475" s="449"/>
      <c r="BJ475" s="449"/>
      <c r="BK475" s="449"/>
      <c r="BL475" s="449"/>
      <c r="BM475" s="449"/>
      <c r="BN475" s="449"/>
      <c r="BO475" s="449"/>
      <c r="BP475" s="449"/>
      <c r="BQ475" s="449"/>
      <c r="BR475" s="449"/>
      <c r="BS475" s="449"/>
      <c r="BT475" s="449"/>
    </row>
    <row r="476" spans="1:74" ht="7.5" customHeight="1" x14ac:dyDescent="0.25">
      <c r="A476" s="502"/>
      <c r="B476" s="502"/>
      <c r="C476" s="538"/>
      <c r="D476" s="500"/>
      <c r="E476" s="449"/>
      <c r="F476" s="449"/>
      <c r="G476" s="421"/>
      <c r="H476" s="449"/>
      <c r="I476" s="449"/>
      <c r="J476" s="426"/>
      <c r="K476" s="421"/>
      <c r="L476" s="449"/>
      <c r="M476" s="449"/>
      <c r="N476" s="449"/>
      <c r="O476" s="449"/>
      <c r="P476" s="449"/>
      <c r="Q476" s="449"/>
      <c r="R476" s="449"/>
      <c r="S476" s="449"/>
      <c r="T476" s="449"/>
      <c r="U476" s="449"/>
      <c r="V476" s="449"/>
      <c r="W476" s="449"/>
      <c r="X476" s="449"/>
      <c r="Y476" s="449"/>
      <c r="Z476" s="531"/>
      <c r="AA476" s="449"/>
      <c r="AB476" s="449"/>
      <c r="AC476" s="449"/>
      <c r="AD476" s="449"/>
      <c r="AE476" s="449"/>
      <c r="AF476" s="449"/>
      <c r="AG476" s="449"/>
      <c r="AH476" s="449"/>
      <c r="AI476" s="449"/>
      <c r="AJ476" s="449"/>
      <c r="AK476" s="449"/>
      <c r="AL476" s="449"/>
      <c r="AN476" s="500"/>
      <c r="AO476" s="449"/>
      <c r="AP476" s="449"/>
      <c r="AQ476" s="453"/>
      <c r="AR476" s="449"/>
      <c r="AS476" s="449"/>
      <c r="AT476" s="426"/>
      <c r="AU476" s="421"/>
      <c r="AV476" s="449"/>
      <c r="AW476" s="449"/>
      <c r="AX476" s="449"/>
      <c r="AY476" s="449"/>
      <c r="AZ476" s="449"/>
      <c r="BA476" s="449"/>
      <c r="BB476" s="449"/>
      <c r="BC476" s="449"/>
      <c r="BD476" s="449"/>
      <c r="BE476" s="449"/>
      <c r="BF476" s="449"/>
      <c r="BG476" s="449"/>
      <c r="BH476" s="531"/>
      <c r="BI476" s="449"/>
      <c r="BJ476" s="449"/>
      <c r="BK476" s="449"/>
      <c r="BL476" s="449"/>
      <c r="BM476" s="449"/>
      <c r="BN476" s="449"/>
      <c r="BO476" s="449"/>
      <c r="BP476" s="449"/>
      <c r="BQ476" s="449"/>
      <c r="BR476" s="449"/>
      <c r="BS476" s="449"/>
      <c r="BT476" s="449"/>
    </row>
    <row r="477" spans="1:74" ht="15" x14ac:dyDescent="0.25">
      <c r="A477" s="502" t="s">
        <v>806</v>
      </c>
      <c r="B477" s="502" t="s">
        <v>807</v>
      </c>
      <c r="C477" s="630"/>
      <c r="D477" s="500">
        <f t="shared" ref="D477:D525" si="399">SUM(L477:W477)</f>
        <v>90664</v>
      </c>
      <c r="E477" s="449">
        <v>90664</v>
      </c>
      <c r="F477" s="449">
        <f t="shared" ref="F477:F525" si="400">IFERROR(D477-E477,0)</f>
        <v>0</v>
      </c>
      <c r="G477" s="421">
        <f t="shared" ref="G477:G525" si="401">IFERROR(F477/ABS(E477),0)</f>
        <v>0</v>
      </c>
      <c r="H477" s="449">
        <v>90664</v>
      </c>
      <c r="I477" s="449">
        <f t="shared" ref="I477:I525" si="402">IFERROR(D477-H477,0)</f>
        <v>0</v>
      </c>
      <c r="J477" s="426">
        <f t="shared" ref="J477:J525" si="403">IFERROR(I477/ABS(H477),0)</f>
        <v>0</v>
      </c>
      <c r="K477" s="421"/>
      <c r="L477" s="449">
        <v>8059.16</v>
      </c>
      <c r="M477" s="449">
        <v>17036.150000000001</v>
      </c>
      <c r="N477" s="449">
        <v>12383.649999999998</v>
      </c>
      <c r="O477" s="449">
        <v>-8363.7560000000012</v>
      </c>
      <c r="P477" s="449">
        <v>10078.330000000002</v>
      </c>
      <c r="Q477" s="449">
        <v>12363.070000000007</v>
      </c>
      <c r="R477" s="449">
        <f>($H477-SUM($L477:Q477))/R$694</f>
        <v>6517.8993333333319</v>
      </c>
      <c r="S477" s="449">
        <f>($H477-SUM($L477:R477))/S$694</f>
        <v>6517.8993333333319</v>
      </c>
      <c r="T477" s="449">
        <f>($H477-SUM($L477:S477))/T$694</f>
        <v>6517.899333333331</v>
      </c>
      <c r="U477" s="449">
        <f>($H477-SUM($L477:T477))/U$694</f>
        <v>6517.8993333333301</v>
      </c>
      <c r="V477" s="449">
        <f>($H477-SUM($L477:U477))/V$694</f>
        <v>6517.8993333333274</v>
      </c>
      <c r="W477" s="449">
        <f>($H477-SUM($L477:V477))/W$694</f>
        <v>6517.8993333333347</v>
      </c>
      <c r="X477" s="449"/>
      <c r="Y477" s="449">
        <f t="shared" ref="Y477:Y525" si="404">SUM(L477:W477)</f>
        <v>90664</v>
      </c>
      <c r="Z477" s="531"/>
      <c r="AA477" s="449">
        <f t="shared" ref="AA477:AL492" si="405">IFERROR($H477/12,0)</f>
        <v>7555.333333333333</v>
      </c>
      <c r="AB477" s="449">
        <f t="shared" si="405"/>
        <v>7555.333333333333</v>
      </c>
      <c r="AC477" s="449">
        <f t="shared" si="405"/>
        <v>7555.333333333333</v>
      </c>
      <c r="AD477" s="449">
        <f t="shared" si="405"/>
        <v>7555.333333333333</v>
      </c>
      <c r="AE477" s="449">
        <f t="shared" si="405"/>
        <v>7555.333333333333</v>
      </c>
      <c r="AF477" s="449">
        <f t="shared" si="405"/>
        <v>7555.333333333333</v>
      </c>
      <c r="AG477" s="449">
        <f t="shared" si="405"/>
        <v>7555.333333333333</v>
      </c>
      <c r="AH477" s="449">
        <f t="shared" si="405"/>
        <v>7555.333333333333</v>
      </c>
      <c r="AI477" s="449">
        <f t="shared" si="405"/>
        <v>7555.333333333333</v>
      </c>
      <c r="AJ477" s="449">
        <f t="shared" si="405"/>
        <v>7555.333333333333</v>
      </c>
      <c r="AK477" s="449">
        <f t="shared" si="405"/>
        <v>7555.333333333333</v>
      </c>
      <c r="AL477" s="449">
        <f t="shared" si="405"/>
        <v>7555.333333333333</v>
      </c>
      <c r="AN477" s="500">
        <f t="shared" ref="AN477:AN525" si="406">SUM(L477:W477)</f>
        <v>90664</v>
      </c>
      <c r="AO477" s="449">
        <f t="shared" ref="AO477:AO525" si="407">SUM(BI477:BT477)</f>
        <v>82136.690800000011</v>
      </c>
      <c r="AP477" s="449">
        <f t="shared" ref="AP477:AP525" si="408">IFERROR(AO477-AN477,0)</f>
        <v>-8527.3091999999888</v>
      </c>
      <c r="AQ477" s="453">
        <f t="shared" ref="AQ477:AQ525" si="409">IFERROR(AP477/ABS(AN477),"-")</f>
        <v>-9.4053970705020612E-2</v>
      </c>
      <c r="AR477" s="449">
        <f t="shared" ref="AR477:AR525" si="410">SUM(BI477:BT477)</f>
        <v>82136.690800000011</v>
      </c>
      <c r="AS477" s="449">
        <f t="shared" ref="AS477:AS525" si="411">IFERROR(AO477-AR477,0)</f>
        <v>0</v>
      </c>
      <c r="AT477" s="426">
        <f t="shared" ref="AT477:AT525" si="412">IFERROR(AS477/ABS(AR477),0)</f>
        <v>0</v>
      </c>
      <c r="AU477" s="421"/>
      <c r="AV477" s="449">
        <f t="shared" ref="AV477:BG498" si="413">BI477</f>
        <v>6844.7242333333343</v>
      </c>
      <c r="AW477" s="449">
        <f t="shared" si="413"/>
        <v>6844.7242333333343</v>
      </c>
      <c r="AX477" s="449">
        <f t="shared" si="413"/>
        <v>6844.7242333333343</v>
      </c>
      <c r="AY477" s="449">
        <f t="shared" si="413"/>
        <v>6844.7242333333343</v>
      </c>
      <c r="AZ477" s="449">
        <f t="shared" si="413"/>
        <v>6844.7242333333343</v>
      </c>
      <c r="BA477" s="449">
        <f t="shared" si="413"/>
        <v>6844.7242333333343</v>
      </c>
      <c r="BB477" s="449">
        <f t="shared" si="413"/>
        <v>6844.7242333333343</v>
      </c>
      <c r="BC477" s="449">
        <f t="shared" si="413"/>
        <v>6844.7242333333343</v>
      </c>
      <c r="BD477" s="449">
        <f t="shared" si="413"/>
        <v>6844.7242333333343</v>
      </c>
      <c r="BE477" s="449">
        <f t="shared" si="413"/>
        <v>6844.7242333333343</v>
      </c>
      <c r="BF477" s="449">
        <f t="shared" si="413"/>
        <v>6844.7242333333343</v>
      </c>
      <c r="BG477" s="449">
        <f t="shared" si="413"/>
        <v>6844.7242333333343</v>
      </c>
      <c r="BH477" s="400"/>
      <c r="BI477" s="449">
        <f>SUM('FY19 Staffing V1-1 (3)'!$P$295:$P$297,'FY19 Staffing V1-1 (3)'!$P$299)/12</f>
        <v>6844.7242333333343</v>
      </c>
      <c r="BJ477" s="449">
        <f>SUM('FY19 Staffing V1-1 (3)'!$P$295:$P$297,'FY19 Staffing V1-1 (3)'!$P$299)/12</f>
        <v>6844.7242333333343</v>
      </c>
      <c r="BK477" s="449">
        <f>SUM('FY19 Staffing V1-1 (3)'!$P$295:$P$297,'FY19 Staffing V1-1 (3)'!$P$299)/12</f>
        <v>6844.7242333333343</v>
      </c>
      <c r="BL477" s="449">
        <f>SUM('FY19 Staffing V1-1 (3)'!$P$295:$P$297,'FY19 Staffing V1-1 (3)'!$P$299)/12</f>
        <v>6844.7242333333343</v>
      </c>
      <c r="BM477" s="449">
        <f>SUM('FY19 Staffing V1-1 (3)'!$P$295:$P$297,'FY19 Staffing V1-1 (3)'!$P$299)/12</f>
        <v>6844.7242333333343</v>
      </c>
      <c r="BN477" s="449">
        <f>SUM('FY19 Staffing V1-1 (3)'!$P$295:$P$297,'FY19 Staffing V1-1 (3)'!$P$299)/12</f>
        <v>6844.7242333333343</v>
      </c>
      <c r="BO477" s="449">
        <f>SUM('FY19 Staffing V1-1 (3)'!$P$295:$P$297,'FY19 Staffing V1-1 (3)'!$P$299)/12</f>
        <v>6844.7242333333343</v>
      </c>
      <c r="BP477" s="449">
        <f>SUM('FY19 Staffing V1-1 (3)'!$P$295:$P$297,'FY19 Staffing V1-1 (3)'!$P$299)/12</f>
        <v>6844.7242333333343</v>
      </c>
      <c r="BQ477" s="449">
        <f>SUM('FY19 Staffing V1-1 (3)'!$P$295:$P$297,'FY19 Staffing V1-1 (3)'!$P$299)/12</f>
        <v>6844.7242333333343</v>
      </c>
      <c r="BR477" s="449">
        <f>SUM('FY19 Staffing V1-1 (3)'!$P$295:$P$297,'FY19 Staffing V1-1 (3)'!$P$299)/12</f>
        <v>6844.7242333333343</v>
      </c>
      <c r="BS477" s="449">
        <f>SUM('FY19 Staffing V1-1 (3)'!$P$295:$P$297,'FY19 Staffing V1-1 (3)'!$P$299)/12</f>
        <v>6844.7242333333343</v>
      </c>
      <c r="BT477" s="449">
        <f>SUM('FY19 Staffing V1-1 (3)'!$P$295:$P$297,'FY19 Staffing V1-1 (3)'!$P$299)/12</f>
        <v>6844.7242333333343</v>
      </c>
    </row>
    <row r="478" spans="1:74" ht="15" x14ac:dyDescent="0.25">
      <c r="A478" s="502" t="s">
        <v>808</v>
      </c>
      <c r="B478" s="502" t="s">
        <v>809</v>
      </c>
      <c r="C478" s="630"/>
      <c r="D478" s="500">
        <f t="shared" si="399"/>
        <v>64399</v>
      </c>
      <c r="E478" s="449">
        <v>64399</v>
      </c>
      <c r="F478" s="449">
        <f t="shared" si="400"/>
        <v>0</v>
      </c>
      <c r="G478" s="421">
        <f t="shared" si="401"/>
        <v>0</v>
      </c>
      <c r="H478" s="449">
        <v>64399</v>
      </c>
      <c r="I478" s="449">
        <f t="shared" si="402"/>
        <v>0</v>
      </c>
      <c r="J478" s="426">
        <f t="shared" si="403"/>
        <v>0</v>
      </c>
      <c r="K478" s="421"/>
      <c r="L478" s="449">
        <v>0</v>
      </c>
      <c r="M478" s="449">
        <v>0</v>
      </c>
      <c r="N478" s="449">
        <v>0</v>
      </c>
      <c r="O478" s="449">
        <v>19410.135999999999</v>
      </c>
      <c r="P478" s="449">
        <v>0</v>
      </c>
      <c r="Q478" s="449">
        <v>0</v>
      </c>
      <c r="R478" s="449">
        <f>($H478-SUM($L478:Q478))/R$694</f>
        <v>7498.1440000000002</v>
      </c>
      <c r="S478" s="449">
        <f>($H478-SUM($L478:R478))/S$694</f>
        <v>7498.1440000000002</v>
      </c>
      <c r="T478" s="449">
        <f>($H478-SUM($L478:S478))/T$694</f>
        <v>7498.1440000000002</v>
      </c>
      <c r="U478" s="449">
        <f>($H478-SUM($L478:T478))/U$694</f>
        <v>7498.1440000000002</v>
      </c>
      <c r="V478" s="449">
        <f>($H478-SUM($L478:U478))/V$694</f>
        <v>7498.1440000000002</v>
      </c>
      <c r="W478" s="449">
        <f>($H478-SUM($L478:V478))/W$694</f>
        <v>7498.1440000000002</v>
      </c>
      <c r="X478" s="449"/>
      <c r="Y478" s="449">
        <f t="shared" si="404"/>
        <v>64399</v>
      </c>
      <c r="Z478" s="531"/>
      <c r="AA478" s="449">
        <f t="shared" si="405"/>
        <v>5366.583333333333</v>
      </c>
      <c r="AB478" s="449">
        <f t="shared" si="405"/>
        <v>5366.583333333333</v>
      </c>
      <c r="AC478" s="449">
        <f t="shared" si="405"/>
        <v>5366.583333333333</v>
      </c>
      <c r="AD478" s="449">
        <f t="shared" si="405"/>
        <v>5366.583333333333</v>
      </c>
      <c r="AE478" s="449">
        <f t="shared" si="405"/>
        <v>5366.583333333333</v>
      </c>
      <c r="AF478" s="449">
        <f t="shared" si="405"/>
        <v>5366.583333333333</v>
      </c>
      <c r="AG478" s="449">
        <f t="shared" si="405"/>
        <v>5366.583333333333</v>
      </c>
      <c r="AH478" s="449">
        <f t="shared" si="405"/>
        <v>5366.583333333333</v>
      </c>
      <c r="AI478" s="449">
        <f t="shared" si="405"/>
        <v>5366.583333333333</v>
      </c>
      <c r="AJ478" s="449">
        <f t="shared" si="405"/>
        <v>5366.583333333333</v>
      </c>
      <c r="AK478" s="449">
        <f t="shared" si="405"/>
        <v>5366.583333333333</v>
      </c>
      <c r="AL478" s="449">
        <f t="shared" si="405"/>
        <v>5366.583333333333</v>
      </c>
      <c r="AN478" s="500">
        <f t="shared" si="406"/>
        <v>64399</v>
      </c>
      <c r="AO478" s="449">
        <f t="shared" si="407"/>
        <v>77921.56</v>
      </c>
      <c r="AP478" s="449">
        <f t="shared" si="408"/>
        <v>13522.559999999998</v>
      </c>
      <c r="AQ478" s="453">
        <f t="shared" si="409"/>
        <v>0.20998090032453917</v>
      </c>
      <c r="AR478" s="449">
        <f t="shared" si="410"/>
        <v>77921.56</v>
      </c>
      <c r="AS478" s="449">
        <f t="shared" si="411"/>
        <v>0</v>
      </c>
      <c r="AT478" s="426">
        <f t="shared" si="412"/>
        <v>0</v>
      </c>
      <c r="AU478" s="421"/>
      <c r="AV478" s="449">
        <f t="shared" si="413"/>
        <v>6493.4633333333331</v>
      </c>
      <c r="AW478" s="449">
        <f t="shared" si="413"/>
        <v>6493.4633333333331</v>
      </c>
      <c r="AX478" s="449">
        <f t="shared" si="413"/>
        <v>6493.4633333333331</v>
      </c>
      <c r="AY478" s="449">
        <f t="shared" si="413"/>
        <v>6493.4633333333331</v>
      </c>
      <c r="AZ478" s="449">
        <f t="shared" si="413"/>
        <v>6493.4633333333331</v>
      </c>
      <c r="BA478" s="449">
        <f t="shared" si="413"/>
        <v>6493.4633333333331</v>
      </c>
      <c r="BB478" s="449">
        <f t="shared" si="413"/>
        <v>6493.4633333333331</v>
      </c>
      <c r="BC478" s="449">
        <f t="shared" si="413"/>
        <v>6493.4633333333331</v>
      </c>
      <c r="BD478" s="449">
        <f t="shared" si="413"/>
        <v>6493.4633333333331</v>
      </c>
      <c r="BE478" s="449">
        <f t="shared" si="413"/>
        <v>6493.4633333333331</v>
      </c>
      <c r="BF478" s="449">
        <f t="shared" si="413"/>
        <v>6493.4633333333331</v>
      </c>
      <c r="BG478" s="449">
        <f t="shared" si="413"/>
        <v>6493.4633333333331</v>
      </c>
      <c r="BH478" s="400"/>
      <c r="BI478" s="449">
        <f>SUM('FY19 Staffing V1-1 (3)'!$P$293:$P$294,'FY19 Staffing V1-1 (3)'!$P$298,'FY19 Staffing V1-1 (3)'!$P$300)/12</f>
        <v>6493.4633333333331</v>
      </c>
      <c r="BJ478" s="449">
        <f>SUM('FY19 Staffing V1-1 (3)'!$P$293:$P$294,'FY19 Staffing V1-1 (3)'!$P$298,'FY19 Staffing V1-1 (3)'!$P$300)/12</f>
        <v>6493.4633333333331</v>
      </c>
      <c r="BK478" s="449">
        <f>SUM('FY19 Staffing V1-1 (3)'!$P$293:$P$294,'FY19 Staffing V1-1 (3)'!$P$298,'FY19 Staffing V1-1 (3)'!$P$300)/12</f>
        <v>6493.4633333333331</v>
      </c>
      <c r="BL478" s="449">
        <f>SUM('FY19 Staffing V1-1 (3)'!$P$293:$P$294,'FY19 Staffing V1-1 (3)'!$P$298,'FY19 Staffing V1-1 (3)'!$P$300)/12</f>
        <v>6493.4633333333331</v>
      </c>
      <c r="BM478" s="449">
        <f>SUM('FY19 Staffing V1-1 (3)'!$P$293:$P$294,'FY19 Staffing V1-1 (3)'!$P$298,'FY19 Staffing V1-1 (3)'!$P$300)/12</f>
        <v>6493.4633333333331</v>
      </c>
      <c r="BN478" s="449">
        <f>SUM('FY19 Staffing V1-1 (3)'!$P$293:$P$294,'FY19 Staffing V1-1 (3)'!$P$298,'FY19 Staffing V1-1 (3)'!$P$300)/12</f>
        <v>6493.4633333333331</v>
      </c>
      <c r="BO478" s="449">
        <f>SUM('FY19 Staffing V1-1 (3)'!$P$293:$P$294,'FY19 Staffing V1-1 (3)'!$P$298,'FY19 Staffing V1-1 (3)'!$P$300)/12</f>
        <v>6493.4633333333331</v>
      </c>
      <c r="BP478" s="449">
        <f>SUM('FY19 Staffing V1-1 (3)'!$P$293:$P$294,'FY19 Staffing V1-1 (3)'!$P$298,'FY19 Staffing V1-1 (3)'!$P$300)/12</f>
        <v>6493.4633333333331</v>
      </c>
      <c r="BQ478" s="449">
        <f>SUM('FY19 Staffing V1-1 (3)'!$P$293:$P$294,'FY19 Staffing V1-1 (3)'!$P$298,'FY19 Staffing V1-1 (3)'!$P$300)/12</f>
        <v>6493.4633333333331</v>
      </c>
      <c r="BR478" s="449">
        <f>SUM('FY19 Staffing V1-1 (3)'!$P$293:$P$294,'FY19 Staffing V1-1 (3)'!$P$298,'FY19 Staffing V1-1 (3)'!$P$300)/12</f>
        <v>6493.4633333333331</v>
      </c>
      <c r="BS478" s="449">
        <f>SUM('FY19 Staffing V1-1 (3)'!$P$293:$P$294,'FY19 Staffing V1-1 (3)'!$P$298,'FY19 Staffing V1-1 (3)'!$P$300)/12</f>
        <v>6493.4633333333331</v>
      </c>
      <c r="BT478" s="449">
        <f>SUM('FY19 Staffing V1-1 (3)'!$P$293:$P$294,'FY19 Staffing V1-1 (3)'!$P$298,'FY19 Staffing V1-1 (3)'!$P$300)/12</f>
        <v>6493.4633333333331</v>
      </c>
    </row>
    <row r="479" spans="1:74" ht="15" x14ac:dyDescent="0.25">
      <c r="A479" s="502" t="s">
        <v>810</v>
      </c>
      <c r="B479" s="502" t="s">
        <v>811</v>
      </c>
      <c r="C479" s="630"/>
      <c r="D479" s="500">
        <f t="shared" si="399"/>
        <v>9000</v>
      </c>
      <c r="E479" s="449">
        <v>9000</v>
      </c>
      <c r="F479" s="449">
        <f t="shared" si="400"/>
        <v>0</v>
      </c>
      <c r="G479" s="421">
        <f t="shared" si="401"/>
        <v>0</v>
      </c>
      <c r="H479" s="449">
        <v>9000</v>
      </c>
      <c r="I479" s="449">
        <f t="shared" si="402"/>
        <v>0</v>
      </c>
      <c r="J479" s="426">
        <f t="shared" si="403"/>
        <v>0</v>
      </c>
      <c r="K479" s="421"/>
      <c r="L479" s="449">
        <v>0</v>
      </c>
      <c r="M479" s="449">
        <v>0</v>
      </c>
      <c r="N479" s="449">
        <v>0</v>
      </c>
      <c r="O479" s="449">
        <v>3000</v>
      </c>
      <c r="P479" s="449">
        <v>0</v>
      </c>
      <c r="Q479" s="449">
        <v>0</v>
      </c>
      <c r="R479" s="449">
        <f>($H479-SUM($L479:Q479))/R$694</f>
        <v>1000</v>
      </c>
      <c r="S479" s="449">
        <f>($H479-SUM($L479:R479))/S$694</f>
        <v>1000</v>
      </c>
      <c r="T479" s="449">
        <f>($H479-SUM($L479:S479))/T$694</f>
        <v>1000</v>
      </c>
      <c r="U479" s="449">
        <f>($H479-SUM($L479:T479))/U$694</f>
        <v>1000</v>
      </c>
      <c r="V479" s="449">
        <f>($H479-SUM($L479:U479))/V$694</f>
        <v>1000</v>
      </c>
      <c r="W479" s="449">
        <f>($H479-SUM($L479:V479))/W$694</f>
        <v>1000</v>
      </c>
      <c r="X479" s="449"/>
      <c r="Y479" s="449">
        <f t="shared" si="404"/>
        <v>9000</v>
      </c>
      <c r="Z479" s="531"/>
      <c r="AA479" s="449">
        <f t="shared" si="405"/>
        <v>750</v>
      </c>
      <c r="AB479" s="449">
        <f t="shared" si="405"/>
        <v>750</v>
      </c>
      <c r="AC479" s="449">
        <f t="shared" si="405"/>
        <v>750</v>
      </c>
      <c r="AD479" s="449">
        <f t="shared" si="405"/>
        <v>750</v>
      </c>
      <c r="AE479" s="449">
        <f t="shared" si="405"/>
        <v>750</v>
      </c>
      <c r="AF479" s="449">
        <f t="shared" si="405"/>
        <v>750</v>
      </c>
      <c r="AG479" s="449">
        <f t="shared" si="405"/>
        <v>750</v>
      </c>
      <c r="AH479" s="449">
        <f t="shared" si="405"/>
        <v>750</v>
      </c>
      <c r="AI479" s="449">
        <f t="shared" si="405"/>
        <v>750</v>
      </c>
      <c r="AJ479" s="449">
        <f t="shared" si="405"/>
        <v>750</v>
      </c>
      <c r="AK479" s="449">
        <f t="shared" si="405"/>
        <v>750</v>
      </c>
      <c r="AL479" s="449">
        <f t="shared" si="405"/>
        <v>750</v>
      </c>
      <c r="AN479" s="500">
        <f t="shared" si="406"/>
        <v>9000</v>
      </c>
      <c r="AO479" s="449">
        <f t="shared" si="407"/>
        <v>0</v>
      </c>
      <c r="AP479" s="449">
        <f t="shared" si="408"/>
        <v>-9000</v>
      </c>
      <c r="AQ479" s="453">
        <f t="shared" si="409"/>
        <v>-1</v>
      </c>
      <c r="AR479" s="449">
        <f t="shared" si="410"/>
        <v>0</v>
      </c>
      <c r="AS479" s="449">
        <f t="shared" si="411"/>
        <v>0</v>
      </c>
      <c r="AT479" s="426">
        <f t="shared" si="412"/>
        <v>0</v>
      </c>
      <c r="AU479" s="421"/>
      <c r="AV479" s="449">
        <f t="shared" si="413"/>
        <v>0</v>
      </c>
      <c r="AW479" s="449">
        <f t="shared" si="413"/>
        <v>0</v>
      </c>
      <c r="AX479" s="449">
        <f t="shared" si="413"/>
        <v>0</v>
      </c>
      <c r="AY479" s="449">
        <f t="shared" si="413"/>
        <v>0</v>
      </c>
      <c r="AZ479" s="449">
        <f t="shared" si="413"/>
        <v>0</v>
      </c>
      <c r="BA479" s="449">
        <f t="shared" si="413"/>
        <v>0</v>
      </c>
      <c r="BB479" s="449">
        <f t="shared" si="413"/>
        <v>0</v>
      </c>
      <c r="BC479" s="449">
        <f t="shared" si="413"/>
        <v>0</v>
      </c>
      <c r="BD479" s="449">
        <f t="shared" si="413"/>
        <v>0</v>
      </c>
      <c r="BE479" s="449">
        <f t="shared" si="413"/>
        <v>0</v>
      </c>
      <c r="BF479" s="449">
        <f t="shared" si="413"/>
        <v>0</v>
      </c>
      <c r="BG479" s="449">
        <f t="shared" si="413"/>
        <v>0</v>
      </c>
      <c r="BH479" s="400"/>
      <c r="BI479" s="449">
        <v>0</v>
      </c>
      <c r="BJ479" s="449">
        <v>0</v>
      </c>
      <c r="BK479" s="449">
        <v>0</v>
      </c>
      <c r="BL479" s="449">
        <v>0</v>
      </c>
      <c r="BM479" s="449">
        <v>0</v>
      </c>
      <c r="BN479" s="449">
        <v>0</v>
      </c>
      <c r="BO479" s="449">
        <v>0</v>
      </c>
      <c r="BP479" s="449">
        <v>0</v>
      </c>
      <c r="BQ479" s="449">
        <v>0</v>
      </c>
      <c r="BR479" s="449">
        <v>0</v>
      </c>
      <c r="BS479" s="449">
        <v>0</v>
      </c>
      <c r="BT479" s="449">
        <v>0</v>
      </c>
    </row>
    <row r="480" spans="1:74" ht="15" hidden="1" x14ac:dyDescent="0.25">
      <c r="A480" s="614" t="s">
        <v>812</v>
      </c>
      <c r="B480" s="614" t="s">
        <v>813</v>
      </c>
      <c r="C480" s="541"/>
      <c r="D480" s="500">
        <f t="shared" si="399"/>
        <v>10770</v>
      </c>
      <c r="E480" s="449">
        <v>10770</v>
      </c>
      <c r="F480" s="449">
        <f t="shared" si="400"/>
        <v>0</v>
      </c>
      <c r="G480" s="421">
        <f t="shared" si="401"/>
        <v>0</v>
      </c>
      <c r="H480" s="449">
        <v>10770</v>
      </c>
      <c r="I480" s="449">
        <f t="shared" si="402"/>
        <v>0</v>
      </c>
      <c r="J480" s="426">
        <f t="shared" si="403"/>
        <v>0</v>
      </c>
      <c r="K480" s="421"/>
      <c r="L480" s="449">
        <v>0</v>
      </c>
      <c r="M480" s="449">
        <v>0</v>
      </c>
      <c r="N480" s="449">
        <v>0</v>
      </c>
      <c r="O480" s="449">
        <v>0</v>
      </c>
      <c r="P480" s="449">
        <v>0</v>
      </c>
      <c r="Q480" s="449">
        <v>0</v>
      </c>
      <c r="R480" s="449">
        <f>($H480-SUM($L480:Q480))/R$694</f>
        <v>1795</v>
      </c>
      <c r="S480" s="449">
        <f>($H480-SUM($L480:R480))/S$694</f>
        <v>1795</v>
      </c>
      <c r="T480" s="449">
        <f>($H480-SUM($L480:S480))/T$694</f>
        <v>1795</v>
      </c>
      <c r="U480" s="449">
        <f>($H480-SUM($L480:T480))/U$694</f>
        <v>1795</v>
      </c>
      <c r="V480" s="449">
        <f>($H480-SUM($L480:U480))/V$694</f>
        <v>1795</v>
      </c>
      <c r="W480" s="449">
        <f>($H480-SUM($L480:V480))/W$694</f>
        <v>1795</v>
      </c>
      <c r="X480" s="449"/>
      <c r="Y480" s="449">
        <f t="shared" si="404"/>
        <v>10770</v>
      </c>
      <c r="Z480" s="531"/>
      <c r="AA480" s="449">
        <f t="shared" si="405"/>
        <v>897.5</v>
      </c>
      <c r="AB480" s="449">
        <f t="shared" si="405"/>
        <v>897.5</v>
      </c>
      <c r="AC480" s="449">
        <f t="shared" si="405"/>
        <v>897.5</v>
      </c>
      <c r="AD480" s="449">
        <f t="shared" si="405"/>
        <v>897.5</v>
      </c>
      <c r="AE480" s="449">
        <f t="shared" si="405"/>
        <v>897.5</v>
      </c>
      <c r="AF480" s="449">
        <f t="shared" si="405"/>
        <v>897.5</v>
      </c>
      <c r="AG480" s="449">
        <f t="shared" si="405"/>
        <v>897.5</v>
      </c>
      <c r="AH480" s="449">
        <f t="shared" si="405"/>
        <v>897.5</v>
      </c>
      <c r="AI480" s="449">
        <f t="shared" si="405"/>
        <v>897.5</v>
      </c>
      <c r="AJ480" s="449">
        <f t="shared" si="405"/>
        <v>897.5</v>
      </c>
      <c r="AK480" s="449">
        <f t="shared" si="405"/>
        <v>897.5</v>
      </c>
      <c r="AL480" s="449">
        <f t="shared" si="405"/>
        <v>897.5</v>
      </c>
      <c r="AN480" s="500">
        <f t="shared" si="406"/>
        <v>10770</v>
      </c>
      <c r="AO480" s="449">
        <f t="shared" si="407"/>
        <v>0</v>
      </c>
      <c r="AP480" s="449">
        <f t="shared" si="408"/>
        <v>-10770</v>
      </c>
      <c r="AQ480" s="453">
        <f t="shared" si="409"/>
        <v>-1</v>
      </c>
      <c r="AR480" s="449">
        <f t="shared" si="410"/>
        <v>0</v>
      </c>
      <c r="AS480" s="449">
        <f t="shared" si="411"/>
        <v>0</v>
      </c>
      <c r="AT480" s="426">
        <f t="shared" si="412"/>
        <v>0</v>
      </c>
      <c r="AU480" s="421"/>
      <c r="AV480" s="449">
        <f t="shared" si="413"/>
        <v>0</v>
      </c>
      <c r="AW480" s="449">
        <f t="shared" si="413"/>
        <v>0</v>
      </c>
      <c r="AX480" s="449">
        <f t="shared" si="413"/>
        <v>0</v>
      </c>
      <c r="AY480" s="449">
        <f t="shared" si="413"/>
        <v>0</v>
      </c>
      <c r="AZ480" s="449">
        <f t="shared" si="413"/>
        <v>0</v>
      </c>
      <c r="BA480" s="449">
        <f t="shared" si="413"/>
        <v>0</v>
      </c>
      <c r="BB480" s="449">
        <f t="shared" si="413"/>
        <v>0</v>
      </c>
      <c r="BC480" s="449">
        <f t="shared" si="413"/>
        <v>0</v>
      </c>
      <c r="BD480" s="449">
        <f t="shared" si="413"/>
        <v>0</v>
      </c>
      <c r="BE480" s="449">
        <f t="shared" si="413"/>
        <v>0</v>
      </c>
      <c r="BF480" s="449">
        <f t="shared" si="413"/>
        <v>0</v>
      </c>
      <c r="BG480" s="449">
        <f t="shared" si="413"/>
        <v>0</v>
      </c>
      <c r="BH480" s="400"/>
      <c r="BI480" s="449">
        <v>0</v>
      </c>
      <c r="BJ480" s="449">
        <v>0</v>
      </c>
      <c r="BK480" s="449">
        <v>0</v>
      </c>
      <c r="BL480" s="449">
        <v>0</v>
      </c>
      <c r="BM480" s="449">
        <v>0</v>
      </c>
      <c r="BN480" s="449">
        <v>0</v>
      </c>
      <c r="BO480" s="449">
        <v>0</v>
      </c>
      <c r="BP480" s="449">
        <v>0</v>
      </c>
      <c r="BQ480" s="449">
        <v>0</v>
      </c>
      <c r="BR480" s="449">
        <v>0</v>
      </c>
      <c r="BS480" s="449">
        <v>0</v>
      </c>
      <c r="BT480" s="449">
        <v>0</v>
      </c>
    </row>
    <row r="481" spans="1:72" ht="15" x14ac:dyDescent="0.25">
      <c r="A481" s="502" t="s">
        <v>814</v>
      </c>
      <c r="B481" s="502" t="s">
        <v>815</v>
      </c>
      <c r="C481" s="541"/>
      <c r="D481" s="500">
        <f t="shared" si="399"/>
        <v>21482</v>
      </c>
      <c r="E481" s="449">
        <v>11463</v>
      </c>
      <c r="F481" s="449">
        <f t="shared" si="400"/>
        <v>10019</v>
      </c>
      <c r="G481" s="421">
        <f t="shared" si="401"/>
        <v>0.8740294861729041</v>
      </c>
      <c r="H481" s="449">
        <v>21482</v>
      </c>
      <c r="I481" s="449">
        <f t="shared" si="402"/>
        <v>0</v>
      </c>
      <c r="J481" s="426">
        <f t="shared" si="403"/>
        <v>0</v>
      </c>
      <c r="K481" s="421"/>
      <c r="L481" s="449">
        <v>1422.68</v>
      </c>
      <c r="M481" s="449">
        <v>2842.59</v>
      </c>
      <c r="N481" s="449">
        <v>1365.6699999999992</v>
      </c>
      <c r="O481" s="449">
        <v>1465.3500000000004</v>
      </c>
      <c r="P481" s="449">
        <v>1087.8000000000002</v>
      </c>
      <c r="Q481" s="449">
        <v>1304.5699999999997</v>
      </c>
      <c r="R481" s="449">
        <f>($H481-SUM($L481:Q481))/R$694</f>
        <v>1998.89</v>
      </c>
      <c r="S481" s="449">
        <f>($H481-SUM($L481:R481))/S$694</f>
        <v>1998.89</v>
      </c>
      <c r="T481" s="449">
        <f>($H481-SUM($L481:S481))/T$694</f>
        <v>1998.8900000000003</v>
      </c>
      <c r="U481" s="449">
        <f>($H481-SUM($L481:T481))/U$694</f>
        <v>1998.8900000000006</v>
      </c>
      <c r="V481" s="449">
        <f>($H481-SUM($L481:U481))/V$694</f>
        <v>1998.8900000000012</v>
      </c>
      <c r="W481" s="449">
        <f>($H481-SUM($L481:V481))/W$694</f>
        <v>1998.8899999999994</v>
      </c>
      <c r="X481" s="449"/>
      <c r="Y481" s="449">
        <f t="shared" si="404"/>
        <v>21482</v>
      </c>
      <c r="Z481" s="531"/>
      <c r="AA481" s="449">
        <f t="shared" si="405"/>
        <v>1790.1666666666667</v>
      </c>
      <c r="AB481" s="449">
        <f t="shared" si="405"/>
        <v>1790.1666666666667</v>
      </c>
      <c r="AC481" s="449">
        <f t="shared" si="405"/>
        <v>1790.1666666666667</v>
      </c>
      <c r="AD481" s="449">
        <f t="shared" si="405"/>
        <v>1790.1666666666667</v>
      </c>
      <c r="AE481" s="449">
        <f t="shared" si="405"/>
        <v>1790.1666666666667</v>
      </c>
      <c r="AF481" s="449">
        <f t="shared" si="405"/>
        <v>1790.1666666666667</v>
      </c>
      <c r="AG481" s="449">
        <f t="shared" si="405"/>
        <v>1790.1666666666667</v>
      </c>
      <c r="AH481" s="449">
        <f t="shared" si="405"/>
        <v>1790.1666666666667</v>
      </c>
      <c r="AI481" s="449">
        <f t="shared" si="405"/>
        <v>1790.1666666666667</v>
      </c>
      <c r="AJ481" s="449">
        <f t="shared" si="405"/>
        <v>1790.1666666666667</v>
      </c>
      <c r="AK481" s="449">
        <f t="shared" si="405"/>
        <v>1790.1666666666667</v>
      </c>
      <c r="AL481" s="449">
        <f t="shared" si="405"/>
        <v>1790.1666666666667</v>
      </c>
      <c r="AN481" s="500">
        <f t="shared" si="406"/>
        <v>21482</v>
      </c>
      <c r="AO481" s="449">
        <f t="shared" si="407"/>
        <v>12485.5274782</v>
      </c>
      <c r="AP481" s="449">
        <f t="shared" si="408"/>
        <v>-8996.4725218000003</v>
      </c>
      <c r="AQ481" s="453">
        <f t="shared" si="409"/>
        <v>-0.41879119829624806</v>
      </c>
      <c r="AR481" s="449">
        <f t="shared" si="410"/>
        <v>12485.5274782</v>
      </c>
      <c r="AS481" s="449">
        <f t="shared" si="411"/>
        <v>0</v>
      </c>
      <c r="AT481" s="426">
        <f t="shared" si="412"/>
        <v>0</v>
      </c>
      <c r="AU481" s="421"/>
      <c r="AV481" s="449">
        <f t="shared" si="413"/>
        <v>1040.4606231833334</v>
      </c>
      <c r="AW481" s="449">
        <f t="shared" si="413"/>
        <v>1040.4606231833334</v>
      </c>
      <c r="AX481" s="449">
        <f t="shared" si="413"/>
        <v>1040.4606231833334</v>
      </c>
      <c r="AY481" s="449">
        <f t="shared" si="413"/>
        <v>1040.4606231833334</v>
      </c>
      <c r="AZ481" s="449">
        <f t="shared" si="413"/>
        <v>1040.4606231833334</v>
      </c>
      <c r="BA481" s="449">
        <f t="shared" si="413"/>
        <v>1040.4606231833334</v>
      </c>
      <c r="BB481" s="449">
        <f t="shared" si="413"/>
        <v>1040.4606231833334</v>
      </c>
      <c r="BC481" s="449">
        <f t="shared" si="413"/>
        <v>1040.4606231833334</v>
      </c>
      <c r="BD481" s="449">
        <f t="shared" si="413"/>
        <v>1040.4606231833334</v>
      </c>
      <c r="BE481" s="449">
        <f t="shared" si="413"/>
        <v>1040.4606231833334</v>
      </c>
      <c r="BF481" s="449">
        <f t="shared" si="413"/>
        <v>1040.4606231833334</v>
      </c>
      <c r="BG481" s="449">
        <f t="shared" si="413"/>
        <v>1040.4606231833334</v>
      </c>
      <c r="BH481" s="400"/>
      <c r="BI481" s="449">
        <f>SUM('FY19 Staffing V1-1 (3)'!$Q$295:$R$297,'FY19 Staffing V1-1 (3)'!$Q$299:$R$299,'FY19 Staffing V1-1 (3)'!$T$295:$U$297,'FY19 Staffing V1-1 (3)'!$T$299:$U$299)/12</f>
        <v>1040.4606231833334</v>
      </c>
      <c r="BJ481" s="449">
        <f>SUM('FY19 Staffing V1-1 (3)'!$Q$295:$R$297,'FY19 Staffing V1-1 (3)'!$Q$299:$R$299,'FY19 Staffing V1-1 (3)'!$T$295:$U$297,'FY19 Staffing V1-1 (3)'!$T$299:$U$299)/12</f>
        <v>1040.4606231833334</v>
      </c>
      <c r="BK481" s="449">
        <f>SUM('FY19 Staffing V1-1 (3)'!$Q$295:$R$297,'FY19 Staffing V1-1 (3)'!$Q$299:$R$299,'FY19 Staffing V1-1 (3)'!$T$295:$U$297,'FY19 Staffing V1-1 (3)'!$T$299:$U$299)/12</f>
        <v>1040.4606231833334</v>
      </c>
      <c r="BL481" s="449">
        <f>SUM('FY19 Staffing V1-1 (3)'!$Q$295:$R$297,'FY19 Staffing V1-1 (3)'!$Q$299:$R$299,'FY19 Staffing V1-1 (3)'!$T$295:$U$297,'FY19 Staffing V1-1 (3)'!$T$299:$U$299)/12</f>
        <v>1040.4606231833334</v>
      </c>
      <c r="BM481" s="449">
        <f>SUM('FY19 Staffing V1-1 (3)'!$Q$295:$R$297,'FY19 Staffing V1-1 (3)'!$Q$299:$R$299,'FY19 Staffing V1-1 (3)'!$T$295:$U$297,'FY19 Staffing V1-1 (3)'!$T$299:$U$299)/12</f>
        <v>1040.4606231833334</v>
      </c>
      <c r="BN481" s="449">
        <f>SUM('FY19 Staffing V1-1 (3)'!$Q$295:$R$297,'FY19 Staffing V1-1 (3)'!$Q$299:$R$299,'FY19 Staffing V1-1 (3)'!$T$295:$U$297,'FY19 Staffing V1-1 (3)'!$T$299:$U$299)/12</f>
        <v>1040.4606231833334</v>
      </c>
      <c r="BO481" s="449">
        <f>SUM('FY19 Staffing V1-1 (3)'!$Q$295:$R$297,'FY19 Staffing V1-1 (3)'!$Q$299:$R$299,'FY19 Staffing V1-1 (3)'!$T$295:$U$297,'FY19 Staffing V1-1 (3)'!$T$299:$U$299)/12</f>
        <v>1040.4606231833334</v>
      </c>
      <c r="BP481" s="449">
        <f>SUM('FY19 Staffing V1-1 (3)'!$Q$295:$R$297,'FY19 Staffing V1-1 (3)'!$Q$299:$R$299,'FY19 Staffing V1-1 (3)'!$T$295:$U$297,'FY19 Staffing V1-1 (3)'!$T$299:$U$299)/12</f>
        <v>1040.4606231833334</v>
      </c>
      <c r="BQ481" s="449">
        <f>SUM('FY19 Staffing V1-1 (3)'!$Q$295:$R$297,'FY19 Staffing V1-1 (3)'!$Q$299:$R$299,'FY19 Staffing V1-1 (3)'!$T$295:$U$297,'FY19 Staffing V1-1 (3)'!$T$299:$U$299)/12</f>
        <v>1040.4606231833334</v>
      </c>
      <c r="BR481" s="449">
        <f>SUM('FY19 Staffing V1-1 (3)'!$Q$295:$R$297,'FY19 Staffing V1-1 (3)'!$Q$299:$R$299,'FY19 Staffing V1-1 (3)'!$T$295:$U$297,'FY19 Staffing V1-1 (3)'!$T$299:$U$299)/12</f>
        <v>1040.4606231833334</v>
      </c>
      <c r="BS481" s="449">
        <f>SUM('FY19 Staffing V1-1 (3)'!$Q$295:$R$297,'FY19 Staffing V1-1 (3)'!$Q$299:$R$299,'FY19 Staffing V1-1 (3)'!$T$295:$U$297,'FY19 Staffing V1-1 (3)'!$T$299:$U$299)/12</f>
        <v>1040.4606231833334</v>
      </c>
      <c r="BT481" s="449">
        <f>SUM('FY19 Staffing V1-1 (3)'!$Q$295:$R$297,'FY19 Staffing V1-1 (3)'!$Q$299:$R$299,'FY19 Staffing V1-1 (3)'!$T$295:$U$297,'FY19 Staffing V1-1 (3)'!$T$299:$U$299)/12</f>
        <v>1040.4606231833334</v>
      </c>
    </row>
    <row r="482" spans="1:72" ht="15" x14ac:dyDescent="0.25">
      <c r="A482" s="502" t="s">
        <v>816</v>
      </c>
      <c r="B482" s="502" t="s">
        <v>817</v>
      </c>
      <c r="C482" s="541"/>
      <c r="D482" s="500">
        <f t="shared" si="399"/>
        <v>0</v>
      </c>
      <c r="E482" s="449">
        <v>10019</v>
      </c>
      <c r="F482" s="449">
        <f t="shared" si="400"/>
        <v>-10019</v>
      </c>
      <c r="G482" s="421">
        <f t="shared" si="401"/>
        <v>-1</v>
      </c>
      <c r="H482" s="449">
        <v>0</v>
      </c>
      <c r="I482" s="449">
        <f t="shared" si="402"/>
        <v>0</v>
      </c>
      <c r="J482" s="426">
        <f t="shared" si="403"/>
        <v>0</v>
      </c>
      <c r="K482" s="421"/>
      <c r="L482" s="449">
        <v>0</v>
      </c>
      <c r="M482" s="449">
        <v>0</v>
      </c>
      <c r="N482" s="449">
        <v>0</v>
      </c>
      <c r="O482" s="449">
        <v>0</v>
      </c>
      <c r="P482" s="449">
        <v>0</v>
      </c>
      <c r="Q482" s="449">
        <v>0</v>
      </c>
      <c r="R482" s="449">
        <f>($H482-SUM($L482:Q482))/R$694</f>
        <v>0</v>
      </c>
      <c r="S482" s="449">
        <f>($H482-SUM($L482:R482))/S$694</f>
        <v>0</v>
      </c>
      <c r="T482" s="449">
        <f>($H482-SUM($L482:S482))/T$694</f>
        <v>0</v>
      </c>
      <c r="U482" s="449">
        <f>($H482-SUM($L482:T482))/U$694</f>
        <v>0</v>
      </c>
      <c r="V482" s="449">
        <f>($H482-SUM($L482:U482))/V$694</f>
        <v>0</v>
      </c>
      <c r="W482" s="449">
        <f>($H482-SUM($L482:V482))/W$694</f>
        <v>0</v>
      </c>
      <c r="X482" s="449"/>
      <c r="Y482" s="449">
        <f t="shared" si="404"/>
        <v>0</v>
      </c>
      <c r="Z482" s="531"/>
      <c r="AA482" s="449">
        <f t="shared" si="405"/>
        <v>0</v>
      </c>
      <c r="AB482" s="449">
        <f t="shared" si="405"/>
        <v>0</v>
      </c>
      <c r="AC482" s="449">
        <f t="shared" si="405"/>
        <v>0</v>
      </c>
      <c r="AD482" s="449">
        <f t="shared" si="405"/>
        <v>0</v>
      </c>
      <c r="AE482" s="449">
        <f t="shared" si="405"/>
        <v>0</v>
      </c>
      <c r="AF482" s="449">
        <f t="shared" si="405"/>
        <v>0</v>
      </c>
      <c r="AG482" s="449">
        <f t="shared" si="405"/>
        <v>0</v>
      </c>
      <c r="AH482" s="449">
        <f t="shared" si="405"/>
        <v>0</v>
      </c>
      <c r="AI482" s="449">
        <f t="shared" si="405"/>
        <v>0</v>
      </c>
      <c r="AJ482" s="449">
        <f t="shared" si="405"/>
        <v>0</v>
      </c>
      <c r="AK482" s="449">
        <f t="shared" si="405"/>
        <v>0</v>
      </c>
      <c r="AL482" s="449">
        <f t="shared" si="405"/>
        <v>0</v>
      </c>
      <c r="AN482" s="500">
        <f t="shared" si="406"/>
        <v>0</v>
      </c>
      <c r="AO482" s="449">
        <f t="shared" si="407"/>
        <v>12632.070140000003</v>
      </c>
      <c r="AP482" s="449">
        <f t="shared" si="408"/>
        <v>12632.070140000003</v>
      </c>
      <c r="AQ482" s="453" t="str">
        <f t="shared" si="409"/>
        <v>-</v>
      </c>
      <c r="AR482" s="449">
        <f t="shared" si="410"/>
        <v>12632.070140000003</v>
      </c>
      <c r="AS482" s="449">
        <f t="shared" si="411"/>
        <v>0</v>
      </c>
      <c r="AT482" s="426">
        <f t="shared" si="412"/>
        <v>0</v>
      </c>
      <c r="AU482" s="421"/>
      <c r="AV482" s="449">
        <f t="shared" si="413"/>
        <v>1052.6725116666667</v>
      </c>
      <c r="AW482" s="449">
        <f t="shared" si="413"/>
        <v>1052.6725116666667</v>
      </c>
      <c r="AX482" s="449">
        <f t="shared" si="413"/>
        <v>1052.6725116666667</v>
      </c>
      <c r="AY482" s="449">
        <f t="shared" si="413"/>
        <v>1052.6725116666667</v>
      </c>
      <c r="AZ482" s="449">
        <f t="shared" si="413"/>
        <v>1052.6725116666667</v>
      </c>
      <c r="BA482" s="449">
        <f t="shared" si="413"/>
        <v>1052.6725116666667</v>
      </c>
      <c r="BB482" s="449">
        <f t="shared" si="413"/>
        <v>1052.6725116666667</v>
      </c>
      <c r="BC482" s="449">
        <f t="shared" si="413"/>
        <v>1052.6725116666667</v>
      </c>
      <c r="BD482" s="449">
        <f t="shared" si="413"/>
        <v>1052.6725116666667</v>
      </c>
      <c r="BE482" s="449">
        <f t="shared" si="413"/>
        <v>1052.6725116666667</v>
      </c>
      <c r="BF482" s="449">
        <f t="shared" si="413"/>
        <v>1052.6725116666667</v>
      </c>
      <c r="BG482" s="449">
        <f t="shared" si="413"/>
        <v>1052.6725116666667</v>
      </c>
      <c r="BH482" s="400"/>
      <c r="BI482" s="449">
        <f>SUM('FY19 Staffing V1-1 (3)'!$Q$293:$R$294,'FY19 Staffing V1-1 (3)'!$Q$298:$R$298,'FY19 Staffing V1-1 (3)'!$Q$300:$R$300,'FY19 Staffing V1-1 (3)'!$T$293:$U$294,'FY19 Staffing V1-1 (3)'!$T$298:$U$298,'FY19 Staffing V1-1 (3)'!$T$300:$U$300)/12</f>
        <v>1052.6725116666667</v>
      </c>
      <c r="BJ482" s="449">
        <f>SUM('FY19 Staffing V1-1 (3)'!$Q$293:$R$294,'FY19 Staffing V1-1 (3)'!$Q$298:$R$298,'FY19 Staffing V1-1 (3)'!$Q$300:$R$300,'FY19 Staffing V1-1 (3)'!$T$293:$U$294,'FY19 Staffing V1-1 (3)'!$T$298:$U$298,'FY19 Staffing V1-1 (3)'!$T$300:$U$300)/12</f>
        <v>1052.6725116666667</v>
      </c>
      <c r="BK482" s="449">
        <f>SUM('FY19 Staffing V1-1 (3)'!$Q$293:$R$294,'FY19 Staffing V1-1 (3)'!$Q$298:$R$298,'FY19 Staffing V1-1 (3)'!$Q$300:$R$300,'FY19 Staffing V1-1 (3)'!$T$293:$U$294,'FY19 Staffing V1-1 (3)'!$T$298:$U$298,'FY19 Staffing V1-1 (3)'!$T$300:$U$300)/12</f>
        <v>1052.6725116666667</v>
      </c>
      <c r="BL482" s="449">
        <f>SUM('FY19 Staffing V1-1 (3)'!$Q$293:$R$294,'FY19 Staffing V1-1 (3)'!$Q$298:$R$298,'FY19 Staffing V1-1 (3)'!$Q$300:$R$300,'FY19 Staffing V1-1 (3)'!$T$293:$U$294,'FY19 Staffing V1-1 (3)'!$T$298:$U$298,'FY19 Staffing V1-1 (3)'!$T$300:$U$300)/12</f>
        <v>1052.6725116666667</v>
      </c>
      <c r="BM482" s="449">
        <f>SUM('FY19 Staffing V1-1 (3)'!$Q$293:$R$294,'FY19 Staffing V1-1 (3)'!$Q$298:$R$298,'FY19 Staffing V1-1 (3)'!$Q$300:$R$300,'FY19 Staffing V1-1 (3)'!$T$293:$U$294,'FY19 Staffing V1-1 (3)'!$T$298:$U$298,'FY19 Staffing V1-1 (3)'!$T$300:$U$300)/12</f>
        <v>1052.6725116666667</v>
      </c>
      <c r="BN482" s="449">
        <f>SUM('FY19 Staffing V1-1 (3)'!$Q$293:$R$294,'FY19 Staffing V1-1 (3)'!$Q$298:$R$298,'FY19 Staffing V1-1 (3)'!$Q$300:$R$300,'FY19 Staffing V1-1 (3)'!$T$293:$U$294,'FY19 Staffing V1-1 (3)'!$T$298:$U$298,'FY19 Staffing V1-1 (3)'!$T$300:$U$300)/12</f>
        <v>1052.6725116666667</v>
      </c>
      <c r="BO482" s="449">
        <f>SUM('FY19 Staffing V1-1 (3)'!$Q$293:$R$294,'FY19 Staffing V1-1 (3)'!$Q$298:$R$298,'FY19 Staffing V1-1 (3)'!$Q$300:$R$300,'FY19 Staffing V1-1 (3)'!$T$293:$U$294,'FY19 Staffing V1-1 (3)'!$T$298:$U$298,'FY19 Staffing V1-1 (3)'!$T$300:$U$300)/12</f>
        <v>1052.6725116666667</v>
      </c>
      <c r="BP482" s="449">
        <f>SUM('FY19 Staffing V1-1 (3)'!$Q$293:$R$294,'FY19 Staffing V1-1 (3)'!$Q$298:$R$298,'FY19 Staffing V1-1 (3)'!$Q$300:$R$300,'FY19 Staffing V1-1 (3)'!$T$293:$U$294,'FY19 Staffing V1-1 (3)'!$T$298:$U$298,'FY19 Staffing V1-1 (3)'!$T$300:$U$300)/12</f>
        <v>1052.6725116666667</v>
      </c>
      <c r="BQ482" s="449">
        <f>SUM('FY19 Staffing V1-1 (3)'!$Q$293:$R$294,'FY19 Staffing V1-1 (3)'!$Q$298:$R$298,'FY19 Staffing V1-1 (3)'!$Q$300:$R$300,'FY19 Staffing V1-1 (3)'!$T$293:$U$294,'FY19 Staffing V1-1 (3)'!$T$298:$U$298,'FY19 Staffing V1-1 (3)'!$T$300:$U$300)/12</f>
        <v>1052.6725116666667</v>
      </c>
      <c r="BR482" s="449">
        <f>SUM('FY19 Staffing V1-1 (3)'!$Q$293:$R$294,'FY19 Staffing V1-1 (3)'!$Q$298:$R$298,'FY19 Staffing V1-1 (3)'!$Q$300:$R$300,'FY19 Staffing V1-1 (3)'!$T$293:$U$294,'FY19 Staffing V1-1 (3)'!$T$298:$U$298,'FY19 Staffing V1-1 (3)'!$T$300:$U$300)/12</f>
        <v>1052.6725116666667</v>
      </c>
      <c r="BS482" s="449">
        <f>SUM('FY19 Staffing V1-1 (3)'!$Q$293:$R$294,'FY19 Staffing V1-1 (3)'!$Q$298:$R$298,'FY19 Staffing V1-1 (3)'!$Q$300:$R$300,'FY19 Staffing V1-1 (3)'!$T$293:$U$294,'FY19 Staffing V1-1 (3)'!$T$298:$U$298,'FY19 Staffing V1-1 (3)'!$T$300:$U$300)/12</f>
        <v>1052.6725116666667</v>
      </c>
      <c r="BT482" s="449">
        <f>SUM('FY19 Staffing V1-1 (3)'!$Q$293:$R$294,'FY19 Staffing V1-1 (3)'!$Q$298:$R$298,'FY19 Staffing V1-1 (3)'!$Q$300:$R$300,'FY19 Staffing V1-1 (3)'!$T$293:$U$294,'FY19 Staffing V1-1 (3)'!$T$298:$U$298,'FY19 Staffing V1-1 (3)'!$T$300:$U$300)/12</f>
        <v>1052.6725116666667</v>
      </c>
    </row>
    <row r="483" spans="1:72" ht="15" customHeight="1" x14ac:dyDescent="0.25">
      <c r="A483" s="502" t="s">
        <v>818</v>
      </c>
      <c r="B483" s="502" t="s">
        <v>819</v>
      </c>
      <c r="C483" s="541"/>
      <c r="D483" s="500">
        <f t="shared" si="399"/>
        <v>26040</v>
      </c>
      <c r="E483" s="449">
        <v>14344</v>
      </c>
      <c r="F483" s="449">
        <f t="shared" si="400"/>
        <v>11696</v>
      </c>
      <c r="G483" s="421">
        <f t="shared" si="401"/>
        <v>0.81539319576129388</v>
      </c>
      <c r="H483" s="449">
        <v>26040</v>
      </c>
      <c r="I483" s="449">
        <f t="shared" si="402"/>
        <v>0</v>
      </c>
      <c r="J483" s="426">
        <f t="shared" si="403"/>
        <v>0</v>
      </c>
      <c r="K483" s="421"/>
      <c r="L483" s="449">
        <v>1447.58</v>
      </c>
      <c r="M483" s="449">
        <v>1447.58</v>
      </c>
      <c r="N483" s="449">
        <v>2370.2200000000003</v>
      </c>
      <c r="O483" s="449">
        <v>-1369.85</v>
      </c>
      <c r="P483" s="449">
        <v>5067.9799999999996</v>
      </c>
      <c r="Q483" s="449">
        <v>1679.7399999999998</v>
      </c>
      <c r="R483" s="449">
        <f>($H483-SUM($L483:Q483))/R$694</f>
        <v>2566.125</v>
      </c>
      <c r="S483" s="449">
        <f>($H483-SUM($L483:R483))/S$694</f>
        <v>2566.125</v>
      </c>
      <c r="T483" s="449">
        <f>($H483-SUM($L483:S483))/T$694</f>
        <v>2566.125</v>
      </c>
      <c r="U483" s="449">
        <f>($H483-SUM($L483:T483))/U$694</f>
        <v>2566.125</v>
      </c>
      <c r="V483" s="449">
        <f>($H483-SUM($L483:U483))/V$694</f>
        <v>2566.125</v>
      </c>
      <c r="W483" s="449">
        <f>($H483-SUM($L483:V483))/W$694</f>
        <v>2566.125</v>
      </c>
      <c r="X483" s="449"/>
      <c r="Y483" s="449">
        <f t="shared" si="404"/>
        <v>26040</v>
      </c>
      <c r="Z483" s="531"/>
      <c r="AA483" s="449">
        <f t="shared" si="405"/>
        <v>2170</v>
      </c>
      <c r="AB483" s="449">
        <f t="shared" si="405"/>
        <v>2170</v>
      </c>
      <c r="AC483" s="449">
        <f t="shared" si="405"/>
        <v>2170</v>
      </c>
      <c r="AD483" s="449">
        <f t="shared" si="405"/>
        <v>2170</v>
      </c>
      <c r="AE483" s="449">
        <f t="shared" si="405"/>
        <v>2170</v>
      </c>
      <c r="AF483" s="449">
        <f t="shared" si="405"/>
        <v>2170</v>
      </c>
      <c r="AG483" s="449">
        <f t="shared" si="405"/>
        <v>2170</v>
      </c>
      <c r="AH483" s="449">
        <f t="shared" si="405"/>
        <v>2170</v>
      </c>
      <c r="AI483" s="449">
        <f t="shared" si="405"/>
        <v>2170</v>
      </c>
      <c r="AJ483" s="449">
        <f t="shared" si="405"/>
        <v>2170</v>
      </c>
      <c r="AK483" s="449">
        <f t="shared" si="405"/>
        <v>2170</v>
      </c>
      <c r="AL483" s="449">
        <f t="shared" si="405"/>
        <v>2170</v>
      </c>
      <c r="AN483" s="500">
        <f t="shared" si="406"/>
        <v>26040</v>
      </c>
      <c r="AO483" s="449">
        <f t="shared" si="407"/>
        <v>12534.059016080004</v>
      </c>
      <c r="AP483" s="449">
        <f t="shared" si="408"/>
        <v>-13505.940983919996</v>
      </c>
      <c r="AQ483" s="453">
        <f t="shared" si="409"/>
        <v>-0.51866132810752674</v>
      </c>
      <c r="AR483" s="449">
        <f t="shared" si="410"/>
        <v>12534.059016080004</v>
      </c>
      <c r="AS483" s="449">
        <f t="shared" si="411"/>
        <v>0</v>
      </c>
      <c r="AT483" s="426">
        <f t="shared" si="412"/>
        <v>0</v>
      </c>
      <c r="AU483" s="421"/>
      <c r="AV483" s="449">
        <f t="shared" si="413"/>
        <v>1044.5049180066669</v>
      </c>
      <c r="AW483" s="449">
        <f t="shared" si="413"/>
        <v>1044.5049180066669</v>
      </c>
      <c r="AX483" s="449">
        <f t="shared" si="413"/>
        <v>1044.5049180066669</v>
      </c>
      <c r="AY483" s="449">
        <f t="shared" si="413"/>
        <v>1044.5049180066669</v>
      </c>
      <c r="AZ483" s="449">
        <f t="shared" si="413"/>
        <v>1044.5049180066669</v>
      </c>
      <c r="BA483" s="449">
        <f t="shared" si="413"/>
        <v>1044.5049180066669</v>
      </c>
      <c r="BB483" s="449">
        <f t="shared" si="413"/>
        <v>1044.5049180066669</v>
      </c>
      <c r="BC483" s="449">
        <f t="shared" si="413"/>
        <v>1044.5049180066669</v>
      </c>
      <c r="BD483" s="449">
        <f t="shared" si="413"/>
        <v>1044.5049180066669</v>
      </c>
      <c r="BE483" s="449">
        <f t="shared" si="413"/>
        <v>1044.5049180066669</v>
      </c>
      <c r="BF483" s="449">
        <f t="shared" si="413"/>
        <v>1044.5049180066669</v>
      </c>
      <c r="BG483" s="449">
        <f t="shared" si="413"/>
        <v>1044.5049180066669</v>
      </c>
      <c r="BH483" s="400"/>
      <c r="BI483" s="449">
        <f>SUM('FY19 Staffing V1-1 (3)'!$W$295:$W$297,'FY19 Staffing V1-1 (3)'!$W$299)/12</f>
        <v>1044.5049180066669</v>
      </c>
      <c r="BJ483" s="449">
        <f>SUM('FY19 Staffing V1-1 (3)'!$W$295:$W$297,'FY19 Staffing V1-1 (3)'!$W$299)/12</f>
        <v>1044.5049180066669</v>
      </c>
      <c r="BK483" s="449">
        <f>SUM('FY19 Staffing V1-1 (3)'!$W$295:$W$297,'FY19 Staffing V1-1 (3)'!$W$299)/12</f>
        <v>1044.5049180066669</v>
      </c>
      <c r="BL483" s="449">
        <f>SUM('FY19 Staffing V1-1 (3)'!$W$295:$W$297,'FY19 Staffing V1-1 (3)'!$W$299)/12</f>
        <v>1044.5049180066669</v>
      </c>
      <c r="BM483" s="449">
        <f>SUM('FY19 Staffing V1-1 (3)'!$W$295:$W$297,'FY19 Staffing V1-1 (3)'!$W$299)/12</f>
        <v>1044.5049180066669</v>
      </c>
      <c r="BN483" s="449">
        <f>SUM('FY19 Staffing V1-1 (3)'!$W$295:$W$297,'FY19 Staffing V1-1 (3)'!$W$299)/12</f>
        <v>1044.5049180066669</v>
      </c>
      <c r="BO483" s="449">
        <f>SUM('FY19 Staffing V1-1 (3)'!$W$295:$W$297,'FY19 Staffing V1-1 (3)'!$W$299)/12</f>
        <v>1044.5049180066669</v>
      </c>
      <c r="BP483" s="449">
        <f>SUM('FY19 Staffing V1-1 (3)'!$W$295:$W$297,'FY19 Staffing V1-1 (3)'!$W$299)/12</f>
        <v>1044.5049180066669</v>
      </c>
      <c r="BQ483" s="449">
        <f>SUM('FY19 Staffing V1-1 (3)'!$W$295:$W$297,'FY19 Staffing V1-1 (3)'!$W$299)/12</f>
        <v>1044.5049180066669</v>
      </c>
      <c r="BR483" s="449">
        <f>SUM('FY19 Staffing V1-1 (3)'!$W$295:$W$297,'FY19 Staffing V1-1 (3)'!$W$299)/12</f>
        <v>1044.5049180066669</v>
      </c>
      <c r="BS483" s="449">
        <f>SUM('FY19 Staffing V1-1 (3)'!$W$295:$W$297,'FY19 Staffing V1-1 (3)'!$W$299)/12</f>
        <v>1044.5049180066669</v>
      </c>
      <c r="BT483" s="449">
        <f>SUM('FY19 Staffing V1-1 (3)'!$W$295:$W$297,'FY19 Staffing V1-1 (3)'!$W$299)/12</f>
        <v>1044.5049180066669</v>
      </c>
    </row>
    <row r="484" spans="1:72" ht="15" customHeight="1" x14ac:dyDescent="0.25">
      <c r="A484" s="502" t="s">
        <v>820</v>
      </c>
      <c r="B484" s="502" t="s">
        <v>821</v>
      </c>
      <c r="C484" s="541"/>
      <c r="D484" s="500">
        <f t="shared" si="399"/>
        <v>0</v>
      </c>
      <c r="E484" s="449">
        <v>11696</v>
      </c>
      <c r="F484" s="449">
        <f t="shared" si="400"/>
        <v>-11696</v>
      </c>
      <c r="G484" s="421">
        <f t="shared" si="401"/>
        <v>-1</v>
      </c>
      <c r="H484" s="449">
        <v>0</v>
      </c>
      <c r="I484" s="449">
        <f t="shared" si="402"/>
        <v>0</v>
      </c>
      <c r="J484" s="426">
        <f t="shared" si="403"/>
        <v>0</v>
      </c>
      <c r="K484" s="421"/>
      <c r="L484" s="449">
        <v>0</v>
      </c>
      <c r="M484" s="449">
        <v>0</v>
      </c>
      <c r="N484" s="449">
        <v>0</v>
      </c>
      <c r="O484" s="449">
        <v>0</v>
      </c>
      <c r="P484" s="449">
        <v>0</v>
      </c>
      <c r="Q484" s="449">
        <v>0</v>
      </c>
      <c r="R484" s="449">
        <f>($H484-SUM($L484:Q484))/R$694</f>
        <v>0</v>
      </c>
      <c r="S484" s="449">
        <f>($H484-SUM($L484:R484))/S$694</f>
        <v>0</v>
      </c>
      <c r="T484" s="449">
        <f>($H484-SUM($L484:S484))/T$694</f>
        <v>0</v>
      </c>
      <c r="U484" s="449">
        <f>($H484-SUM($L484:T484))/U$694</f>
        <v>0</v>
      </c>
      <c r="V484" s="449">
        <f>($H484-SUM($L484:U484))/V$694</f>
        <v>0</v>
      </c>
      <c r="W484" s="449">
        <f>($H484-SUM($L484:V484))/W$694</f>
        <v>0</v>
      </c>
      <c r="X484" s="449"/>
      <c r="Y484" s="449">
        <f t="shared" si="404"/>
        <v>0</v>
      </c>
      <c r="Z484" s="531"/>
      <c r="AA484" s="449">
        <f t="shared" si="405"/>
        <v>0</v>
      </c>
      <c r="AB484" s="449">
        <f t="shared" si="405"/>
        <v>0</v>
      </c>
      <c r="AC484" s="449">
        <f t="shared" si="405"/>
        <v>0</v>
      </c>
      <c r="AD484" s="449">
        <f t="shared" si="405"/>
        <v>0</v>
      </c>
      <c r="AE484" s="449">
        <f t="shared" si="405"/>
        <v>0</v>
      </c>
      <c r="AF484" s="449">
        <f t="shared" si="405"/>
        <v>0</v>
      </c>
      <c r="AG484" s="449">
        <f t="shared" si="405"/>
        <v>0</v>
      </c>
      <c r="AH484" s="449">
        <f t="shared" si="405"/>
        <v>0</v>
      </c>
      <c r="AI484" s="449">
        <f t="shared" si="405"/>
        <v>0</v>
      </c>
      <c r="AJ484" s="449">
        <f t="shared" si="405"/>
        <v>0</v>
      </c>
      <c r="AK484" s="449">
        <f t="shared" si="405"/>
        <v>0</v>
      </c>
      <c r="AL484" s="449">
        <f t="shared" si="405"/>
        <v>0</v>
      </c>
      <c r="AN484" s="500">
        <f t="shared" si="406"/>
        <v>0</v>
      </c>
      <c r="AO484" s="449">
        <f t="shared" si="407"/>
        <v>11890.830056000001</v>
      </c>
      <c r="AP484" s="449">
        <f t="shared" si="408"/>
        <v>11890.830056000001</v>
      </c>
      <c r="AQ484" s="453" t="str">
        <f t="shared" si="409"/>
        <v>-</v>
      </c>
      <c r="AR484" s="449">
        <f t="shared" si="410"/>
        <v>11890.830056000001</v>
      </c>
      <c r="AS484" s="449">
        <f t="shared" si="411"/>
        <v>0</v>
      </c>
      <c r="AT484" s="426">
        <f t="shared" si="412"/>
        <v>0</v>
      </c>
      <c r="AU484" s="421"/>
      <c r="AV484" s="449">
        <f t="shared" si="413"/>
        <v>990.90250466666691</v>
      </c>
      <c r="AW484" s="449">
        <f t="shared" si="413"/>
        <v>990.90250466666691</v>
      </c>
      <c r="AX484" s="449">
        <f t="shared" si="413"/>
        <v>990.90250466666691</v>
      </c>
      <c r="AY484" s="449">
        <f t="shared" si="413"/>
        <v>990.90250466666691</v>
      </c>
      <c r="AZ484" s="449">
        <f t="shared" si="413"/>
        <v>990.90250466666691</v>
      </c>
      <c r="BA484" s="449">
        <f t="shared" si="413"/>
        <v>990.90250466666691</v>
      </c>
      <c r="BB484" s="449">
        <f t="shared" si="413"/>
        <v>990.90250466666691</v>
      </c>
      <c r="BC484" s="449">
        <f t="shared" si="413"/>
        <v>990.90250466666691</v>
      </c>
      <c r="BD484" s="449">
        <f t="shared" si="413"/>
        <v>990.90250466666691</v>
      </c>
      <c r="BE484" s="449">
        <f t="shared" si="413"/>
        <v>990.90250466666691</v>
      </c>
      <c r="BF484" s="449">
        <f t="shared" si="413"/>
        <v>990.90250466666691</v>
      </c>
      <c r="BG484" s="449">
        <f t="shared" si="413"/>
        <v>990.90250466666691</v>
      </c>
      <c r="BH484" s="400"/>
      <c r="BI484" s="449">
        <f>SUM('FY19 Staffing V1-1 (3)'!$W$293:$W$294,'FY19 Staffing V1-1 (3)'!$W$298,'FY19 Staffing V1-1 (3)'!$W$300)/12</f>
        <v>990.90250466666691</v>
      </c>
      <c r="BJ484" s="449">
        <f>SUM('FY19 Staffing V1-1 (3)'!$W$293:$W$294,'FY19 Staffing V1-1 (3)'!$W$298,'FY19 Staffing V1-1 (3)'!$W$300)/12</f>
        <v>990.90250466666691</v>
      </c>
      <c r="BK484" s="449">
        <f>SUM('FY19 Staffing V1-1 (3)'!$W$293:$W$294,'FY19 Staffing V1-1 (3)'!$W$298,'FY19 Staffing V1-1 (3)'!$W$300)/12</f>
        <v>990.90250466666691</v>
      </c>
      <c r="BL484" s="449">
        <f>SUM('FY19 Staffing V1-1 (3)'!$W$293:$W$294,'FY19 Staffing V1-1 (3)'!$W$298,'FY19 Staffing V1-1 (3)'!$W$300)/12</f>
        <v>990.90250466666691</v>
      </c>
      <c r="BM484" s="449">
        <f>SUM('FY19 Staffing V1-1 (3)'!$W$293:$W$294,'FY19 Staffing V1-1 (3)'!$W$298,'FY19 Staffing V1-1 (3)'!$W$300)/12</f>
        <v>990.90250466666691</v>
      </c>
      <c r="BN484" s="449">
        <f>SUM('FY19 Staffing V1-1 (3)'!$W$293:$W$294,'FY19 Staffing V1-1 (3)'!$W$298,'FY19 Staffing V1-1 (3)'!$W$300)/12</f>
        <v>990.90250466666691</v>
      </c>
      <c r="BO484" s="449">
        <f>SUM('FY19 Staffing V1-1 (3)'!$W$293:$W$294,'FY19 Staffing V1-1 (3)'!$W$298,'FY19 Staffing V1-1 (3)'!$W$300)/12</f>
        <v>990.90250466666691</v>
      </c>
      <c r="BP484" s="449">
        <f>SUM('FY19 Staffing V1-1 (3)'!$W$293:$W$294,'FY19 Staffing V1-1 (3)'!$W$298,'FY19 Staffing V1-1 (3)'!$W$300)/12</f>
        <v>990.90250466666691</v>
      </c>
      <c r="BQ484" s="449">
        <f>SUM('FY19 Staffing V1-1 (3)'!$W$293:$W$294,'FY19 Staffing V1-1 (3)'!$W$298,'FY19 Staffing V1-1 (3)'!$W$300)/12</f>
        <v>990.90250466666691</v>
      </c>
      <c r="BR484" s="449">
        <f>SUM('FY19 Staffing V1-1 (3)'!$W$293:$W$294,'FY19 Staffing V1-1 (3)'!$W$298,'FY19 Staffing V1-1 (3)'!$W$300)/12</f>
        <v>990.90250466666691</v>
      </c>
      <c r="BS484" s="449">
        <f>SUM('FY19 Staffing V1-1 (3)'!$W$293:$W$294,'FY19 Staffing V1-1 (3)'!$W$298,'FY19 Staffing V1-1 (3)'!$W$300)/12</f>
        <v>990.90250466666691</v>
      </c>
      <c r="BT484" s="449">
        <f>SUM('FY19 Staffing V1-1 (3)'!$W$293:$W$294,'FY19 Staffing V1-1 (3)'!$W$298,'FY19 Staffing V1-1 (3)'!$W$300)/12</f>
        <v>990.90250466666691</v>
      </c>
    </row>
    <row r="485" spans="1:72" ht="14.25" hidden="1" customHeight="1" x14ac:dyDescent="0.25">
      <c r="A485" s="502" t="s">
        <v>822</v>
      </c>
      <c r="B485" s="502" t="s">
        <v>823</v>
      </c>
      <c r="C485" s="541"/>
      <c r="D485" s="500">
        <f t="shared" si="399"/>
        <v>0</v>
      </c>
      <c r="E485" s="449">
        <v>0</v>
      </c>
      <c r="F485" s="449">
        <f t="shared" si="400"/>
        <v>0</v>
      </c>
      <c r="G485" s="421">
        <f t="shared" si="401"/>
        <v>0</v>
      </c>
      <c r="H485" s="449">
        <v>0</v>
      </c>
      <c r="I485" s="449">
        <f t="shared" si="402"/>
        <v>0</v>
      </c>
      <c r="J485" s="426">
        <f t="shared" si="403"/>
        <v>0</v>
      </c>
      <c r="K485" s="421"/>
      <c r="L485" s="449">
        <v>0</v>
      </c>
      <c r="M485" s="449">
        <v>0</v>
      </c>
      <c r="N485" s="449">
        <v>0</v>
      </c>
      <c r="O485" s="449">
        <v>0</v>
      </c>
      <c r="P485" s="449">
        <v>0</v>
      </c>
      <c r="Q485" s="449">
        <v>0</v>
      </c>
      <c r="R485" s="449">
        <f>($H485-SUM($L485:Q485))/R$694</f>
        <v>0</v>
      </c>
      <c r="S485" s="449">
        <f>($H485-SUM($L485:R485))/S$694</f>
        <v>0</v>
      </c>
      <c r="T485" s="449">
        <f>($H485-SUM($L485:S485))/T$694</f>
        <v>0</v>
      </c>
      <c r="U485" s="449">
        <f>($H485-SUM($L485:T485))/U$694</f>
        <v>0</v>
      </c>
      <c r="V485" s="449">
        <f>($H485-SUM($L485:U485))/V$694</f>
        <v>0</v>
      </c>
      <c r="W485" s="449">
        <f>($H485-SUM($L485:V485))/W$694</f>
        <v>0</v>
      </c>
      <c r="X485" s="449"/>
      <c r="Y485" s="449">
        <f t="shared" si="404"/>
        <v>0</v>
      </c>
      <c r="Z485" s="531"/>
      <c r="AA485" s="449">
        <f t="shared" si="405"/>
        <v>0</v>
      </c>
      <c r="AB485" s="449">
        <f t="shared" si="405"/>
        <v>0</v>
      </c>
      <c r="AC485" s="449">
        <f t="shared" si="405"/>
        <v>0</v>
      </c>
      <c r="AD485" s="449">
        <f t="shared" si="405"/>
        <v>0</v>
      </c>
      <c r="AE485" s="449">
        <f t="shared" si="405"/>
        <v>0</v>
      </c>
      <c r="AF485" s="449">
        <f t="shared" si="405"/>
        <v>0</v>
      </c>
      <c r="AG485" s="449">
        <f t="shared" si="405"/>
        <v>0</v>
      </c>
      <c r="AH485" s="449">
        <f t="shared" si="405"/>
        <v>0</v>
      </c>
      <c r="AI485" s="449">
        <f t="shared" si="405"/>
        <v>0</v>
      </c>
      <c r="AJ485" s="449">
        <f t="shared" si="405"/>
        <v>0</v>
      </c>
      <c r="AK485" s="449">
        <f t="shared" si="405"/>
        <v>0</v>
      </c>
      <c r="AL485" s="449">
        <f t="shared" si="405"/>
        <v>0</v>
      </c>
      <c r="AN485" s="500">
        <f t="shared" si="406"/>
        <v>0</v>
      </c>
      <c r="AO485" s="449">
        <f t="shared" si="407"/>
        <v>0</v>
      </c>
      <c r="AP485" s="449">
        <f t="shared" si="408"/>
        <v>0</v>
      </c>
      <c r="AQ485" s="453" t="str">
        <f t="shared" si="409"/>
        <v>-</v>
      </c>
      <c r="AR485" s="449">
        <f t="shared" si="410"/>
        <v>0</v>
      </c>
      <c r="AS485" s="449">
        <f t="shared" si="411"/>
        <v>0</v>
      </c>
      <c r="AT485" s="426">
        <f t="shared" si="412"/>
        <v>0</v>
      </c>
      <c r="AU485" s="421"/>
      <c r="AV485" s="449">
        <f t="shared" si="413"/>
        <v>0</v>
      </c>
      <c r="AW485" s="449">
        <f t="shared" si="413"/>
        <v>0</v>
      </c>
      <c r="AX485" s="449">
        <f t="shared" si="413"/>
        <v>0</v>
      </c>
      <c r="AY485" s="449">
        <f t="shared" si="413"/>
        <v>0</v>
      </c>
      <c r="AZ485" s="449">
        <f t="shared" si="413"/>
        <v>0</v>
      </c>
      <c r="BA485" s="449">
        <f t="shared" si="413"/>
        <v>0</v>
      </c>
      <c r="BB485" s="449">
        <f t="shared" si="413"/>
        <v>0</v>
      </c>
      <c r="BC485" s="449">
        <f t="shared" si="413"/>
        <v>0</v>
      </c>
      <c r="BD485" s="449">
        <f t="shared" si="413"/>
        <v>0</v>
      </c>
      <c r="BE485" s="449">
        <f t="shared" si="413"/>
        <v>0</v>
      </c>
      <c r="BF485" s="449">
        <f t="shared" si="413"/>
        <v>0</v>
      </c>
      <c r="BG485" s="449">
        <f t="shared" si="413"/>
        <v>0</v>
      </c>
      <c r="BH485" s="400"/>
      <c r="BI485" s="449">
        <v>0</v>
      </c>
      <c r="BJ485" s="449">
        <v>0</v>
      </c>
      <c r="BK485" s="449">
        <v>0</v>
      </c>
      <c r="BL485" s="449">
        <v>0</v>
      </c>
      <c r="BM485" s="449">
        <v>0</v>
      </c>
      <c r="BN485" s="449">
        <v>0</v>
      </c>
      <c r="BO485" s="449">
        <v>0</v>
      </c>
      <c r="BP485" s="449">
        <v>0</v>
      </c>
      <c r="BQ485" s="449">
        <v>0</v>
      </c>
      <c r="BR485" s="449">
        <v>0</v>
      </c>
      <c r="BS485" s="449">
        <v>0</v>
      </c>
      <c r="BT485" s="449">
        <v>0</v>
      </c>
    </row>
    <row r="486" spans="1:72" s="633" customFormat="1" ht="14.25" hidden="1" customHeight="1" x14ac:dyDescent="0.25">
      <c r="A486" s="502" t="s">
        <v>824</v>
      </c>
      <c r="B486" s="502" t="s">
        <v>825</v>
      </c>
      <c r="C486" s="541"/>
      <c r="D486" s="500">
        <f t="shared" si="399"/>
        <v>0</v>
      </c>
      <c r="E486" s="449">
        <v>0</v>
      </c>
      <c r="F486" s="449">
        <f t="shared" si="400"/>
        <v>0</v>
      </c>
      <c r="G486" s="421">
        <f t="shared" si="401"/>
        <v>0</v>
      </c>
      <c r="H486" s="449">
        <v>0</v>
      </c>
      <c r="I486" s="449">
        <f t="shared" si="402"/>
        <v>0</v>
      </c>
      <c r="J486" s="426">
        <f t="shared" si="403"/>
        <v>0</v>
      </c>
      <c r="K486" s="421"/>
      <c r="L486" s="449">
        <v>0</v>
      </c>
      <c r="M486" s="449">
        <v>0</v>
      </c>
      <c r="N486" s="449">
        <v>0</v>
      </c>
      <c r="O486" s="449">
        <v>0</v>
      </c>
      <c r="P486" s="449">
        <v>0</v>
      </c>
      <c r="Q486" s="449">
        <v>0</v>
      </c>
      <c r="R486" s="449">
        <f>($H486-SUM($L486:Q486))/R$694</f>
        <v>0</v>
      </c>
      <c r="S486" s="449">
        <f>($H486-SUM($L486:R486))/S$694</f>
        <v>0</v>
      </c>
      <c r="T486" s="449">
        <f>($H486-SUM($L486:S486))/T$694</f>
        <v>0</v>
      </c>
      <c r="U486" s="449">
        <f>($H486-SUM($L486:T486))/U$694</f>
        <v>0</v>
      </c>
      <c r="V486" s="449">
        <f>($H486-SUM($L486:U486))/V$694</f>
        <v>0</v>
      </c>
      <c r="W486" s="449">
        <f>($H486-SUM($L486:V486))/W$694</f>
        <v>0</v>
      </c>
      <c r="X486" s="449"/>
      <c r="Y486" s="449">
        <f t="shared" si="404"/>
        <v>0</v>
      </c>
      <c r="Z486" s="531"/>
      <c r="AA486" s="449">
        <f t="shared" si="405"/>
        <v>0</v>
      </c>
      <c r="AB486" s="449">
        <f t="shared" si="405"/>
        <v>0</v>
      </c>
      <c r="AC486" s="449">
        <f t="shared" si="405"/>
        <v>0</v>
      </c>
      <c r="AD486" s="449">
        <f t="shared" si="405"/>
        <v>0</v>
      </c>
      <c r="AE486" s="449">
        <f t="shared" si="405"/>
        <v>0</v>
      </c>
      <c r="AF486" s="449">
        <f t="shared" si="405"/>
        <v>0</v>
      </c>
      <c r="AG486" s="449">
        <f t="shared" si="405"/>
        <v>0</v>
      </c>
      <c r="AH486" s="449">
        <f t="shared" si="405"/>
        <v>0</v>
      </c>
      <c r="AI486" s="449">
        <f t="shared" si="405"/>
        <v>0</v>
      </c>
      <c r="AJ486" s="449">
        <f t="shared" si="405"/>
        <v>0</v>
      </c>
      <c r="AK486" s="449">
        <f t="shared" si="405"/>
        <v>0</v>
      </c>
      <c r="AL486" s="449">
        <f t="shared" si="405"/>
        <v>0</v>
      </c>
      <c r="AN486" s="500">
        <f t="shared" si="406"/>
        <v>0</v>
      </c>
      <c r="AO486" s="449">
        <f t="shared" si="407"/>
        <v>0</v>
      </c>
      <c r="AP486" s="449">
        <f t="shared" si="408"/>
        <v>0</v>
      </c>
      <c r="AQ486" s="453" t="str">
        <f t="shared" si="409"/>
        <v>-</v>
      </c>
      <c r="AR486" s="449">
        <f t="shared" si="410"/>
        <v>0</v>
      </c>
      <c r="AS486" s="449">
        <f t="shared" si="411"/>
        <v>0</v>
      </c>
      <c r="AT486" s="426">
        <f t="shared" si="412"/>
        <v>0</v>
      </c>
      <c r="AU486" s="421"/>
      <c r="AV486" s="449">
        <f t="shared" si="413"/>
        <v>0</v>
      </c>
      <c r="AW486" s="449">
        <f t="shared" si="413"/>
        <v>0</v>
      </c>
      <c r="AX486" s="449">
        <f t="shared" si="413"/>
        <v>0</v>
      </c>
      <c r="AY486" s="449">
        <f t="shared" si="413"/>
        <v>0</v>
      </c>
      <c r="AZ486" s="449">
        <f t="shared" si="413"/>
        <v>0</v>
      </c>
      <c r="BA486" s="449">
        <f t="shared" si="413"/>
        <v>0</v>
      </c>
      <c r="BB486" s="449">
        <f t="shared" si="413"/>
        <v>0</v>
      </c>
      <c r="BC486" s="449">
        <f t="shared" si="413"/>
        <v>0</v>
      </c>
      <c r="BD486" s="449">
        <f t="shared" si="413"/>
        <v>0</v>
      </c>
      <c r="BE486" s="449">
        <f t="shared" si="413"/>
        <v>0</v>
      </c>
      <c r="BF486" s="449">
        <f t="shared" si="413"/>
        <v>0</v>
      </c>
      <c r="BG486" s="449">
        <f t="shared" si="413"/>
        <v>0</v>
      </c>
      <c r="BH486" s="400"/>
      <c r="BI486" s="449">
        <v>0</v>
      </c>
      <c r="BJ486" s="449">
        <v>0</v>
      </c>
      <c r="BK486" s="449">
        <v>0</v>
      </c>
      <c r="BL486" s="449">
        <v>0</v>
      </c>
      <c r="BM486" s="449">
        <v>0</v>
      </c>
      <c r="BN486" s="449">
        <v>0</v>
      </c>
      <c r="BO486" s="449">
        <v>0</v>
      </c>
      <c r="BP486" s="449">
        <v>0</v>
      </c>
      <c r="BQ486" s="449">
        <v>0</v>
      </c>
      <c r="BR486" s="449">
        <v>0</v>
      </c>
      <c r="BS486" s="449">
        <v>0</v>
      </c>
      <c r="BT486" s="449">
        <v>0</v>
      </c>
    </row>
    <row r="487" spans="1:72" ht="15" customHeight="1" x14ac:dyDescent="0.25">
      <c r="A487" s="502" t="s">
        <v>826</v>
      </c>
      <c r="B487" s="502" t="s">
        <v>827</v>
      </c>
      <c r="C487" s="541"/>
      <c r="D487" s="500">
        <f t="shared" si="399"/>
        <v>6203</v>
      </c>
      <c r="E487" s="449">
        <v>3627</v>
      </c>
      <c r="F487" s="449">
        <f t="shared" si="400"/>
        <v>2576</v>
      </c>
      <c r="G487" s="421">
        <f t="shared" si="401"/>
        <v>0.71022883926109737</v>
      </c>
      <c r="H487" s="449">
        <v>6203</v>
      </c>
      <c r="I487" s="449">
        <f t="shared" si="402"/>
        <v>0</v>
      </c>
      <c r="J487" s="426">
        <f t="shared" si="403"/>
        <v>0</v>
      </c>
      <c r="K487" s="421"/>
      <c r="L487" s="449">
        <v>280.54000000000002</v>
      </c>
      <c r="M487" s="449">
        <v>532.66000000000008</v>
      </c>
      <c r="N487" s="449">
        <v>414.71000000000004</v>
      </c>
      <c r="O487" s="449">
        <v>485.28999999999996</v>
      </c>
      <c r="P487" s="449">
        <v>326.69000000000005</v>
      </c>
      <c r="Q487" s="449">
        <v>397.99</v>
      </c>
      <c r="R487" s="449">
        <f>($H487-SUM($L487:Q487))/R$694</f>
        <v>627.52</v>
      </c>
      <c r="S487" s="449">
        <f>($H487-SUM($L487:R487))/S$694</f>
        <v>627.52</v>
      </c>
      <c r="T487" s="449">
        <f>($H487-SUM($L487:S487))/T$694</f>
        <v>627.52</v>
      </c>
      <c r="U487" s="449">
        <f>($H487-SUM($L487:T487))/U$694</f>
        <v>627.51999999999987</v>
      </c>
      <c r="V487" s="449">
        <f>($H487-SUM($L487:U487))/V$694</f>
        <v>627.52</v>
      </c>
      <c r="W487" s="449">
        <f>($H487-SUM($L487:V487))/W$694</f>
        <v>627.52000000000044</v>
      </c>
      <c r="X487" s="449"/>
      <c r="Y487" s="449">
        <f t="shared" si="404"/>
        <v>6203</v>
      </c>
      <c r="Z487" s="531"/>
      <c r="AA487" s="449">
        <f t="shared" si="405"/>
        <v>516.91666666666663</v>
      </c>
      <c r="AB487" s="449">
        <f t="shared" si="405"/>
        <v>516.91666666666663</v>
      </c>
      <c r="AC487" s="449">
        <f t="shared" si="405"/>
        <v>516.91666666666663</v>
      </c>
      <c r="AD487" s="449">
        <f t="shared" si="405"/>
        <v>516.91666666666663</v>
      </c>
      <c r="AE487" s="449">
        <f t="shared" si="405"/>
        <v>516.91666666666663</v>
      </c>
      <c r="AF487" s="449">
        <f t="shared" si="405"/>
        <v>516.91666666666663</v>
      </c>
      <c r="AG487" s="449">
        <f t="shared" si="405"/>
        <v>516.91666666666663</v>
      </c>
      <c r="AH487" s="449">
        <f t="shared" si="405"/>
        <v>516.91666666666663</v>
      </c>
      <c r="AI487" s="449">
        <f t="shared" si="405"/>
        <v>516.91666666666663</v>
      </c>
      <c r="AJ487" s="449">
        <f t="shared" si="405"/>
        <v>516.91666666666663</v>
      </c>
      <c r="AK487" s="449">
        <f t="shared" si="405"/>
        <v>516.91666666666663</v>
      </c>
      <c r="AL487" s="449">
        <f t="shared" si="405"/>
        <v>516.91666666666663</v>
      </c>
      <c r="AN487" s="500">
        <f t="shared" si="406"/>
        <v>6203</v>
      </c>
      <c r="AO487" s="449">
        <f t="shared" si="407"/>
        <v>3285.4600000000005</v>
      </c>
      <c r="AP487" s="449">
        <f t="shared" si="408"/>
        <v>-2917.5399999999995</v>
      </c>
      <c r="AQ487" s="453">
        <f t="shared" si="409"/>
        <v>-0.47034338223440264</v>
      </c>
      <c r="AR487" s="449">
        <f t="shared" si="410"/>
        <v>3285.4600000000005</v>
      </c>
      <c r="AS487" s="449">
        <f t="shared" si="411"/>
        <v>0</v>
      </c>
      <c r="AT487" s="426">
        <f t="shared" si="412"/>
        <v>0</v>
      </c>
      <c r="AU487" s="421"/>
      <c r="AV487" s="449">
        <f t="shared" si="413"/>
        <v>273.78833333333336</v>
      </c>
      <c r="AW487" s="449">
        <f t="shared" si="413"/>
        <v>273.78833333333336</v>
      </c>
      <c r="AX487" s="449">
        <f t="shared" si="413"/>
        <v>273.78833333333336</v>
      </c>
      <c r="AY487" s="449">
        <f t="shared" si="413"/>
        <v>273.78833333333336</v>
      </c>
      <c r="AZ487" s="449">
        <f t="shared" si="413"/>
        <v>273.78833333333336</v>
      </c>
      <c r="BA487" s="449">
        <f t="shared" si="413"/>
        <v>273.78833333333336</v>
      </c>
      <c r="BB487" s="449">
        <f t="shared" si="413"/>
        <v>273.78833333333336</v>
      </c>
      <c r="BC487" s="449">
        <f t="shared" si="413"/>
        <v>273.78833333333336</v>
      </c>
      <c r="BD487" s="449">
        <f t="shared" si="413"/>
        <v>273.78833333333336</v>
      </c>
      <c r="BE487" s="449">
        <f t="shared" si="413"/>
        <v>273.78833333333336</v>
      </c>
      <c r="BF487" s="449">
        <f t="shared" si="413"/>
        <v>273.78833333333336</v>
      </c>
      <c r="BG487" s="449">
        <f t="shared" si="413"/>
        <v>273.78833333333336</v>
      </c>
      <c r="BH487" s="400"/>
      <c r="BI487" s="449">
        <f>SUM('FY19 Staffing V1-1 (3)'!$S$295:$S$297,'FY19 Staffing V1-1 (3)'!$S$299)/12</f>
        <v>273.78833333333336</v>
      </c>
      <c r="BJ487" s="449">
        <f>SUM('FY19 Staffing V1-1 (3)'!$S$295:$S$297,'FY19 Staffing V1-1 (3)'!$S$299)/12</f>
        <v>273.78833333333336</v>
      </c>
      <c r="BK487" s="449">
        <f>SUM('FY19 Staffing V1-1 (3)'!$S$295:$S$297,'FY19 Staffing V1-1 (3)'!$S$299)/12</f>
        <v>273.78833333333336</v>
      </c>
      <c r="BL487" s="449">
        <f>SUM('FY19 Staffing V1-1 (3)'!$S$295:$S$297,'FY19 Staffing V1-1 (3)'!$S$299)/12</f>
        <v>273.78833333333336</v>
      </c>
      <c r="BM487" s="449">
        <f>SUM('FY19 Staffing V1-1 (3)'!$S$295:$S$297,'FY19 Staffing V1-1 (3)'!$S$299)/12</f>
        <v>273.78833333333336</v>
      </c>
      <c r="BN487" s="449">
        <f>SUM('FY19 Staffing V1-1 (3)'!$S$295:$S$297,'FY19 Staffing V1-1 (3)'!$S$299)/12</f>
        <v>273.78833333333336</v>
      </c>
      <c r="BO487" s="449">
        <f>SUM('FY19 Staffing V1-1 (3)'!$S$295:$S$297,'FY19 Staffing V1-1 (3)'!$S$299)/12</f>
        <v>273.78833333333336</v>
      </c>
      <c r="BP487" s="449">
        <f>SUM('FY19 Staffing V1-1 (3)'!$S$295:$S$297,'FY19 Staffing V1-1 (3)'!$S$299)/12</f>
        <v>273.78833333333336</v>
      </c>
      <c r="BQ487" s="449">
        <f>SUM('FY19 Staffing V1-1 (3)'!$S$295:$S$297,'FY19 Staffing V1-1 (3)'!$S$299)/12</f>
        <v>273.78833333333336</v>
      </c>
      <c r="BR487" s="449">
        <f>SUM('FY19 Staffing V1-1 (3)'!$S$295:$S$297,'FY19 Staffing V1-1 (3)'!$S$299)/12</f>
        <v>273.78833333333336</v>
      </c>
      <c r="BS487" s="449">
        <f>SUM('FY19 Staffing V1-1 (3)'!$S$295:$S$297,'FY19 Staffing V1-1 (3)'!$S$299)/12</f>
        <v>273.78833333333336</v>
      </c>
      <c r="BT487" s="449">
        <f>SUM('FY19 Staffing V1-1 (3)'!$S$295:$S$297,'FY19 Staffing V1-1 (3)'!$S$299)/12</f>
        <v>273.78833333333336</v>
      </c>
    </row>
    <row r="488" spans="1:72" ht="15" customHeight="1" x14ac:dyDescent="0.25">
      <c r="A488" s="502" t="s">
        <v>828</v>
      </c>
      <c r="B488" s="502" t="s">
        <v>829</v>
      </c>
      <c r="C488" s="541"/>
      <c r="D488" s="500">
        <f t="shared" si="399"/>
        <v>0</v>
      </c>
      <c r="E488" s="449">
        <v>2576</v>
      </c>
      <c r="F488" s="449">
        <f t="shared" si="400"/>
        <v>-2576</v>
      </c>
      <c r="G488" s="421">
        <f t="shared" si="401"/>
        <v>-1</v>
      </c>
      <c r="H488" s="449">
        <v>0</v>
      </c>
      <c r="I488" s="449">
        <f t="shared" si="402"/>
        <v>0</v>
      </c>
      <c r="J488" s="426">
        <f t="shared" si="403"/>
        <v>0</v>
      </c>
      <c r="K488" s="421"/>
      <c r="L488" s="449">
        <v>0</v>
      </c>
      <c r="M488" s="449">
        <v>0</v>
      </c>
      <c r="N488" s="449">
        <v>0</v>
      </c>
      <c r="O488" s="449">
        <v>0</v>
      </c>
      <c r="P488" s="449">
        <v>0</v>
      </c>
      <c r="Q488" s="449">
        <v>0</v>
      </c>
      <c r="R488" s="449">
        <f>($H488-SUM($L488:Q488))/R$694</f>
        <v>0</v>
      </c>
      <c r="S488" s="449">
        <f>($H488-SUM($L488:R488))/S$694</f>
        <v>0</v>
      </c>
      <c r="T488" s="449">
        <f>($H488-SUM($L488:S488))/T$694</f>
        <v>0</v>
      </c>
      <c r="U488" s="449">
        <f>($H488-SUM($L488:T488))/U$694</f>
        <v>0</v>
      </c>
      <c r="V488" s="449">
        <f>($H488-SUM($L488:U488))/V$694</f>
        <v>0</v>
      </c>
      <c r="W488" s="449">
        <f>($H488-SUM($L488:V488))/W$694</f>
        <v>0</v>
      </c>
      <c r="X488" s="449"/>
      <c r="Y488" s="449">
        <f t="shared" si="404"/>
        <v>0</v>
      </c>
      <c r="Z488" s="531"/>
      <c r="AA488" s="449">
        <f t="shared" si="405"/>
        <v>0</v>
      </c>
      <c r="AB488" s="449">
        <f t="shared" si="405"/>
        <v>0</v>
      </c>
      <c r="AC488" s="449">
        <f t="shared" si="405"/>
        <v>0</v>
      </c>
      <c r="AD488" s="449">
        <f t="shared" si="405"/>
        <v>0</v>
      </c>
      <c r="AE488" s="449">
        <f t="shared" si="405"/>
        <v>0</v>
      </c>
      <c r="AF488" s="449">
        <f t="shared" si="405"/>
        <v>0</v>
      </c>
      <c r="AG488" s="449">
        <f t="shared" si="405"/>
        <v>0</v>
      </c>
      <c r="AH488" s="449">
        <f t="shared" si="405"/>
        <v>0</v>
      </c>
      <c r="AI488" s="449">
        <f t="shared" si="405"/>
        <v>0</v>
      </c>
      <c r="AJ488" s="449">
        <f t="shared" si="405"/>
        <v>0</v>
      </c>
      <c r="AK488" s="449">
        <f t="shared" si="405"/>
        <v>0</v>
      </c>
      <c r="AL488" s="449">
        <f t="shared" si="405"/>
        <v>0</v>
      </c>
      <c r="AN488" s="500">
        <f t="shared" si="406"/>
        <v>0</v>
      </c>
      <c r="AO488" s="449">
        <f t="shared" si="407"/>
        <v>3342.24</v>
      </c>
      <c r="AP488" s="449">
        <f t="shared" si="408"/>
        <v>3342.24</v>
      </c>
      <c r="AQ488" s="453" t="str">
        <f t="shared" si="409"/>
        <v>-</v>
      </c>
      <c r="AR488" s="449">
        <f t="shared" si="410"/>
        <v>3342.24</v>
      </c>
      <c r="AS488" s="449">
        <f t="shared" si="411"/>
        <v>0</v>
      </c>
      <c r="AT488" s="426">
        <f t="shared" si="412"/>
        <v>0</v>
      </c>
      <c r="AU488" s="421"/>
      <c r="AV488" s="449">
        <f t="shared" si="413"/>
        <v>278.52</v>
      </c>
      <c r="AW488" s="449">
        <f t="shared" si="413"/>
        <v>278.52</v>
      </c>
      <c r="AX488" s="449">
        <f t="shared" si="413"/>
        <v>278.52</v>
      </c>
      <c r="AY488" s="449">
        <f t="shared" si="413"/>
        <v>278.52</v>
      </c>
      <c r="AZ488" s="449">
        <f t="shared" si="413"/>
        <v>278.52</v>
      </c>
      <c r="BA488" s="449">
        <f t="shared" si="413"/>
        <v>278.52</v>
      </c>
      <c r="BB488" s="449">
        <f t="shared" si="413"/>
        <v>278.52</v>
      </c>
      <c r="BC488" s="449">
        <f t="shared" si="413"/>
        <v>278.52</v>
      </c>
      <c r="BD488" s="449">
        <f t="shared" si="413"/>
        <v>278.52</v>
      </c>
      <c r="BE488" s="449">
        <f t="shared" si="413"/>
        <v>278.52</v>
      </c>
      <c r="BF488" s="449">
        <f t="shared" si="413"/>
        <v>278.52</v>
      </c>
      <c r="BG488" s="449">
        <f t="shared" si="413"/>
        <v>278.52</v>
      </c>
      <c r="BH488" s="400"/>
      <c r="BI488" s="449">
        <f>SUM('FY19 Staffing V1-1 (3)'!$S$293:$S$294,'FY19 Staffing V1-1 (3)'!$S$298,'FY19 Staffing V1-1 (3)'!$S$300)/12</f>
        <v>278.52</v>
      </c>
      <c r="BJ488" s="449">
        <f>SUM('FY19 Staffing V1-1 (3)'!$S$293:$S$294,'FY19 Staffing V1-1 (3)'!$S$298,'FY19 Staffing V1-1 (3)'!$S$300)/12</f>
        <v>278.52</v>
      </c>
      <c r="BK488" s="449">
        <f>SUM('FY19 Staffing V1-1 (3)'!$S$293:$S$294,'FY19 Staffing V1-1 (3)'!$S$298,'FY19 Staffing V1-1 (3)'!$S$300)/12</f>
        <v>278.52</v>
      </c>
      <c r="BL488" s="449">
        <f>SUM('FY19 Staffing V1-1 (3)'!$S$293:$S$294,'FY19 Staffing V1-1 (3)'!$S$298,'FY19 Staffing V1-1 (3)'!$S$300)/12</f>
        <v>278.52</v>
      </c>
      <c r="BM488" s="449">
        <f>SUM('FY19 Staffing V1-1 (3)'!$S$293:$S$294,'FY19 Staffing V1-1 (3)'!$S$298,'FY19 Staffing V1-1 (3)'!$S$300)/12</f>
        <v>278.52</v>
      </c>
      <c r="BN488" s="449">
        <f>SUM('FY19 Staffing V1-1 (3)'!$S$293:$S$294,'FY19 Staffing V1-1 (3)'!$S$298,'FY19 Staffing V1-1 (3)'!$S$300)/12</f>
        <v>278.52</v>
      </c>
      <c r="BO488" s="449">
        <f>SUM('FY19 Staffing V1-1 (3)'!$S$293:$S$294,'FY19 Staffing V1-1 (3)'!$S$298,'FY19 Staffing V1-1 (3)'!$S$300)/12</f>
        <v>278.52</v>
      </c>
      <c r="BP488" s="449">
        <f>SUM('FY19 Staffing V1-1 (3)'!$S$293:$S$294,'FY19 Staffing V1-1 (3)'!$S$298,'FY19 Staffing V1-1 (3)'!$S$300)/12</f>
        <v>278.52</v>
      </c>
      <c r="BQ488" s="449">
        <f>SUM('FY19 Staffing V1-1 (3)'!$S$293:$S$294,'FY19 Staffing V1-1 (3)'!$S$298,'FY19 Staffing V1-1 (3)'!$S$300)/12</f>
        <v>278.52</v>
      </c>
      <c r="BR488" s="449">
        <f>SUM('FY19 Staffing V1-1 (3)'!$S$293:$S$294,'FY19 Staffing V1-1 (3)'!$S$298,'FY19 Staffing V1-1 (3)'!$S$300)/12</f>
        <v>278.52</v>
      </c>
      <c r="BS488" s="449">
        <f>SUM('FY19 Staffing V1-1 (3)'!$S$293:$S$294,'FY19 Staffing V1-1 (3)'!$S$298,'FY19 Staffing V1-1 (3)'!$S$300)/12</f>
        <v>278.52</v>
      </c>
      <c r="BT488" s="449">
        <f>SUM('FY19 Staffing V1-1 (3)'!$S$293:$S$294,'FY19 Staffing V1-1 (3)'!$S$298,'FY19 Staffing V1-1 (3)'!$S$300)/12</f>
        <v>278.52</v>
      </c>
    </row>
    <row r="489" spans="1:72" ht="15" customHeight="1" x14ac:dyDescent="0.25">
      <c r="A489" s="502" t="s">
        <v>830</v>
      </c>
      <c r="B489" s="537" t="s">
        <v>831</v>
      </c>
      <c r="C489" s="541"/>
      <c r="D489" s="500">
        <f t="shared" si="399"/>
        <v>0</v>
      </c>
      <c r="E489" s="449">
        <v>0</v>
      </c>
      <c r="F489" s="449">
        <f t="shared" si="400"/>
        <v>0</v>
      </c>
      <c r="G489" s="421">
        <f t="shared" si="401"/>
        <v>0</v>
      </c>
      <c r="H489" s="449">
        <v>0</v>
      </c>
      <c r="I489" s="449">
        <f t="shared" si="402"/>
        <v>0</v>
      </c>
      <c r="J489" s="426">
        <f t="shared" si="403"/>
        <v>0</v>
      </c>
      <c r="K489" s="421"/>
      <c r="L489" s="449">
        <v>0</v>
      </c>
      <c r="M489" s="449">
        <v>0</v>
      </c>
      <c r="N489" s="449">
        <v>0</v>
      </c>
      <c r="O489" s="449">
        <v>0</v>
      </c>
      <c r="P489" s="449">
        <v>0</v>
      </c>
      <c r="Q489" s="449">
        <v>0</v>
      </c>
      <c r="R489" s="449">
        <f>($H489-SUM($L489:Q489))/R$694</f>
        <v>0</v>
      </c>
      <c r="S489" s="449">
        <f>($H489-SUM($L489:R489))/S$694</f>
        <v>0</v>
      </c>
      <c r="T489" s="449">
        <f>($H489-SUM($L489:S489))/T$694</f>
        <v>0</v>
      </c>
      <c r="U489" s="449">
        <f>($H489-SUM($L489:T489))/U$694</f>
        <v>0</v>
      </c>
      <c r="V489" s="449">
        <f>($H489-SUM($L489:U489))/V$694</f>
        <v>0</v>
      </c>
      <c r="W489" s="449">
        <f>($H489-SUM($L489:V489))/W$694</f>
        <v>0</v>
      </c>
      <c r="X489" s="449"/>
      <c r="Y489" s="449">
        <f t="shared" si="404"/>
        <v>0</v>
      </c>
      <c r="Z489" s="531"/>
      <c r="AA489" s="449">
        <f t="shared" si="405"/>
        <v>0</v>
      </c>
      <c r="AB489" s="449">
        <f t="shared" si="405"/>
        <v>0</v>
      </c>
      <c r="AC489" s="449">
        <f t="shared" si="405"/>
        <v>0</v>
      </c>
      <c r="AD489" s="449">
        <f t="shared" si="405"/>
        <v>0</v>
      </c>
      <c r="AE489" s="449">
        <f t="shared" si="405"/>
        <v>0</v>
      </c>
      <c r="AF489" s="449">
        <f t="shared" si="405"/>
        <v>0</v>
      </c>
      <c r="AG489" s="449">
        <f t="shared" si="405"/>
        <v>0</v>
      </c>
      <c r="AH489" s="449">
        <f t="shared" si="405"/>
        <v>0</v>
      </c>
      <c r="AI489" s="449">
        <f t="shared" si="405"/>
        <v>0</v>
      </c>
      <c r="AJ489" s="449">
        <f t="shared" si="405"/>
        <v>0</v>
      </c>
      <c r="AK489" s="449">
        <f t="shared" si="405"/>
        <v>0</v>
      </c>
      <c r="AL489" s="449">
        <f t="shared" si="405"/>
        <v>0</v>
      </c>
      <c r="AN489" s="500">
        <f t="shared" si="406"/>
        <v>0</v>
      </c>
      <c r="AO489" s="449">
        <f t="shared" si="407"/>
        <v>54105.899999999987</v>
      </c>
      <c r="AP489" s="449">
        <f t="shared" si="408"/>
        <v>54105.899999999987</v>
      </c>
      <c r="AQ489" s="453" t="str">
        <f t="shared" si="409"/>
        <v>-</v>
      </c>
      <c r="AR489" s="449">
        <f t="shared" si="410"/>
        <v>54105.899999999987</v>
      </c>
      <c r="AS489" s="449">
        <f t="shared" si="411"/>
        <v>0</v>
      </c>
      <c r="AT489" s="426">
        <f t="shared" si="412"/>
        <v>0</v>
      </c>
      <c r="AU489" s="421"/>
      <c r="AV489" s="449">
        <f t="shared" si="413"/>
        <v>4508.8249999999998</v>
      </c>
      <c r="AW489" s="449">
        <f t="shared" si="413"/>
        <v>4508.8249999999998</v>
      </c>
      <c r="AX489" s="449">
        <f t="shared" si="413"/>
        <v>4508.8249999999998</v>
      </c>
      <c r="AY489" s="449">
        <f t="shared" si="413"/>
        <v>4508.8249999999998</v>
      </c>
      <c r="AZ489" s="449">
        <f t="shared" si="413"/>
        <v>4508.8249999999998</v>
      </c>
      <c r="BA489" s="449">
        <f t="shared" si="413"/>
        <v>4508.8249999999998</v>
      </c>
      <c r="BB489" s="449">
        <f t="shared" si="413"/>
        <v>4508.8249999999998</v>
      </c>
      <c r="BC489" s="449">
        <f t="shared" si="413"/>
        <v>4508.8249999999998</v>
      </c>
      <c r="BD489" s="449">
        <f t="shared" si="413"/>
        <v>4508.8249999999998</v>
      </c>
      <c r="BE489" s="449">
        <f t="shared" si="413"/>
        <v>4508.8249999999998</v>
      </c>
      <c r="BF489" s="449">
        <f t="shared" si="413"/>
        <v>4508.8249999999998</v>
      </c>
      <c r="BG489" s="449">
        <f t="shared" si="413"/>
        <v>4508.8249999999998</v>
      </c>
      <c r="BH489" s="400"/>
      <c r="BI489" s="449">
        <f>SUM('FY19 Staffing V1-1 (3)'!$P$292)/12</f>
        <v>4508.8249999999998</v>
      </c>
      <c r="BJ489" s="449">
        <f>SUM('FY19 Staffing V1-1 (3)'!$P$292)/12</f>
        <v>4508.8249999999998</v>
      </c>
      <c r="BK489" s="449">
        <f>SUM('FY19 Staffing V1-1 (3)'!$P$292)/12</f>
        <v>4508.8249999999998</v>
      </c>
      <c r="BL489" s="449">
        <f>SUM('FY19 Staffing V1-1 (3)'!$P$292)/12</f>
        <v>4508.8249999999998</v>
      </c>
      <c r="BM489" s="449">
        <f>SUM('FY19 Staffing V1-1 (3)'!$P$292)/12</f>
        <v>4508.8249999999998</v>
      </c>
      <c r="BN489" s="449">
        <f>SUM('FY19 Staffing V1-1 (3)'!$P$292)/12</f>
        <v>4508.8249999999998</v>
      </c>
      <c r="BO489" s="449">
        <f>SUM('FY19 Staffing V1-1 (3)'!$P$292)/12</f>
        <v>4508.8249999999998</v>
      </c>
      <c r="BP489" s="449">
        <f>SUM('FY19 Staffing V1-1 (3)'!$P$292)/12</f>
        <v>4508.8249999999998</v>
      </c>
      <c r="BQ489" s="449">
        <f>SUM('FY19 Staffing V1-1 (3)'!$P$292)/12</f>
        <v>4508.8249999999998</v>
      </c>
      <c r="BR489" s="449">
        <f>SUM('FY19 Staffing V1-1 (3)'!$P$292)/12</f>
        <v>4508.8249999999998</v>
      </c>
      <c r="BS489" s="449">
        <f>SUM('FY19 Staffing V1-1 (3)'!$P$292)/12</f>
        <v>4508.8249999999998</v>
      </c>
      <c r="BT489" s="449">
        <f>SUM('FY19 Staffing V1-1 (3)'!$P$292)/12</f>
        <v>4508.8249999999998</v>
      </c>
    </row>
    <row r="490" spans="1:72" ht="15" customHeight="1" x14ac:dyDescent="0.25">
      <c r="A490" s="537" t="s">
        <v>832</v>
      </c>
      <c r="B490" s="537" t="s">
        <v>833</v>
      </c>
      <c r="C490" s="541"/>
      <c r="D490" s="500">
        <f t="shared" si="399"/>
        <v>0</v>
      </c>
      <c r="E490" s="449">
        <v>0</v>
      </c>
      <c r="F490" s="449">
        <f t="shared" si="400"/>
        <v>0</v>
      </c>
      <c r="G490" s="421">
        <f t="shared" si="401"/>
        <v>0</v>
      </c>
      <c r="H490" s="449">
        <v>0</v>
      </c>
      <c r="I490" s="449">
        <f t="shared" si="402"/>
        <v>0</v>
      </c>
      <c r="J490" s="426">
        <f t="shared" si="403"/>
        <v>0</v>
      </c>
      <c r="K490" s="421"/>
      <c r="L490" s="449">
        <v>0</v>
      </c>
      <c r="M490" s="449">
        <v>0</v>
      </c>
      <c r="N490" s="449">
        <v>0</v>
      </c>
      <c r="O490" s="449">
        <v>0</v>
      </c>
      <c r="P490" s="449">
        <v>0</v>
      </c>
      <c r="Q490" s="449">
        <v>0</v>
      </c>
      <c r="R490" s="449">
        <f>($H490-SUM($L490:Q490))/R$694</f>
        <v>0</v>
      </c>
      <c r="S490" s="449">
        <f>($H490-SUM($L490:R490))/S$694</f>
        <v>0</v>
      </c>
      <c r="T490" s="449">
        <f>($H490-SUM($L490:S490))/T$694</f>
        <v>0</v>
      </c>
      <c r="U490" s="449">
        <f>($H490-SUM($L490:T490))/U$694</f>
        <v>0</v>
      </c>
      <c r="V490" s="449">
        <f>($H490-SUM($L490:U490))/V$694</f>
        <v>0</v>
      </c>
      <c r="W490" s="449">
        <f>($H490-SUM($L490:V490))/W$694</f>
        <v>0</v>
      </c>
      <c r="X490" s="449"/>
      <c r="Y490" s="449">
        <f t="shared" si="404"/>
        <v>0</v>
      </c>
      <c r="Z490" s="531"/>
      <c r="AA490" s="449">
        <f t="shared" si="405"/>
        <v>0</v>
      </c>
      <c r="AB490" s="449">
        <f t="shared" si="405"/>
        <v>0</v>
      </c>
      <c r="AC490" s="449">
        <f t="shared" si="405"/>
        <v>0</v>
      </c>
      <c r="AD490" s="449">
        <f t="shared" si="405"/>
        <v>0</v>
      </c>
      <c r="AE490" s="449">
        <f t="shared" si="405"/>
        <v>0</v>
      </c>
      <c r="AF490" s="449">
        <f t="shared" si="405"/>
        <v>0</v>
      </c>
      <c r="AG490" s="449">
        <f t="shared" si="405"/>
        <v>0</v>
      </c>
      <c r="AH490" s="449">
        <f t="shared" si="405"/>
        <v>0</v>
      </c>
      <c r="AI490" s="449">
        <f t="shared" si="405"/>
        <v>0</v>
      </c>
      <c r="AJ490" s="449">
        <f t="shared" si="405"/>
        <v>0</v>
      </c>
      <c r="AK490" s="449">
        <f t="shared" si="405"/>
        <v>0</v>
      </c>
      <c r="AL490" s="449">
        <f t="shared" si="405"/>
        <v>0</v>
      </c>
      <c r="AN490" s="500">
        <f>SUM(L490:W490)</f>
        <v>0</v>
      </c>
      <c r="AO490" s="449">
        <f>SUM(BI490:BT490)</f>
        <v>3000</v>
      </c>
      <c r="AP490" s="449">
        <f t="shared" si="408"/>
        <v>3000</v>
      </c>
      <c r="AQ490" s="453" t="str">
        <f t="shared" si="409"/>
        <v>-</v>
      </c>
      <c r="AR490" s="449">
        <f t="shared" si="410"/>
        <v>3000</v>
      </c>
      <c r="AS490" s="449">
        <f t="shared" si="411"/>
        <v>0</v>
      </c>
      <c r="AT490" s="426">
        <f t="shared" si="412"/>
        <v>0</v>
      </c>
      <c r="AU490" s="421"/>
      <c r="AV490" s="449">
        <f t="shared" si="413"/>
        <v>0</v>
      </c>
      <c r="AW490" s="449">
        <f t="shared" si="413"/>
        <v>0</v>
      </c>
      <c r="AX490" s="449">
        <f t="shared" si="413"/>
        <v>0</v>
      </c>
      <c r="AY490" s="449">
        <f t="shared" si="413"/>
        <v>3000</v>
      </c>
      <c r="AZ490" s="449">
        <f t="shared" si="413"/>
        <v>0</v>
      </c>
      <c r="BA490" s="449">
        <f t="shared" si="413"/>
        <v>0</v>
      </c>
      <c r="BB490" s="449">
        <f t="shared" si="413"/>
        <v>0</v>
      </c>
      <c r="BC490" s="449">
        <f t="shared" si="413"/>
        <v>0</v>
      </c>
      <c r="BD490" s="449">
        <f t="shared" si="413"/>
        <v>0</v>
      </c>
      <c r="BE490" s="449">
        <f t="shared" si="413"/>
        <v>0</v>
      </c>
      <c r="BF490" s="449">
        <f t="shared" si="413"/>
        <v>0</v>
      </c>
      <c r="BG490" s="449">
        <f t="shared" si="413"/>
        <v>0</v>
      </c>
      <c r="BH490" s="400"/>
      <c r="BI490" s="449">
        <v>0</v>
      </c>
      <c r="BJ490" s="449">
        <v>0</v>
      </c>
      <c r="BK490" s="449">
        <v>0</v>
      </c>
      <c r="BL490" s="449">
        <f>SUM('FY19 Staffing V1-1 (3)'!$J$292)</f>
        <v>3000</v>
      </c>
      <c r="BM490" s="449">
        <v>0</v>
      </c>
      <c r="BN490" s="449">
        <v>0</v>
      </c>
      <c r="BO490" s="449">
        <v>0</v>
      </c>
      <c r="BP490" s="449">
        <v>0</v>
      </c>
      <c r="BQ490" s="449">
        <v>0</v>
      </c>
      <c r="BR490" s="449">
        <v>0</v>
      </c>
      <c r="BS490" s="449">
        <v>0</v>
      </c>
      <c r="BT490" s="449">
        <v>0</v>
      </c>
    </row>
    <row r="491" spans="1:72" ht="15" customHeight="1" x14ac:dyDescent="0.25">
      <c r="A491" s="540" t="s">
        <v>834</v>
      </c>
      <c r="B491" s="537" t="s">
        <v>835</v>
      </c>
      <c r="C491" s="541"/>
      <c r="D491" s="500">
        <f t="shared" si="399"/>
        <v>0</v>
      </c>
      <c r="E491" s="449">
        <v>0</v>
      </c>
      <c r="F491" s="449">
        <f t="shared" si="400"/>
        <v>0</v>
      </c>
      <c r="G491" s="421">
        <f t="shared" si="401"/>
        <v>0</v>
      </c>
      <c r="H491" s="449">
        <v>0</v>
      </c>
      <c r="I491" s="449">
        <f t="shared" si="402"/>
        <v>0</v>
      </c>
      <c r="J491" s="426">
        <f t="shared" si="403"/>
        <v>0</v>
      </c>
      <c r="K491" s="421"/>
      <c r="L491" s="449">
        <v>0</v>
      </c>
      <c r="M491" s="449">
        <v>0</v>
      </c>
      <c r="N491" s="449">
        <v>0</v>
      </c>
      <c r="O491" s="449">
        <v>0</v>
      </c>
      <c r="P491" s="449">
        <v>0</v>
      </c>
      <c r="Q491" s="449">
        <v>0</v>
      </c>
      <c r="R491" s="449">
        <f>($H491-SUM($L491:Q491))/R$694</f>
        <v>0</v>
      </c>
      <c r="S491" s="449">
        <f>($H491-SUM($L491:R491))/S$694</f>
        <v>0</v>
      </c>
      <c r="T491" s="449">
        <f>($H491-SUM($L491:S491))/T$694</f>
        <v>0</v>
      </c>
      <c r="U491" s="449">
        <f>($H491-SUM($L491:T491))/U$694</f>
        <v>0</v>
      </c>
      <c r="V491" s="449">
        <f>($H491-SUM($L491:U491))/V$694</f>
        <v>0</v>
      </c>
      <c r="W491" s="449">
        <f>($H491-SUM($L491:V491))/W$694</f>
        <v>0</v>
      </c>
      <c r="X491" s="449"/>
      <c r="Y491" s="449">
        <f t="shared" si="404"/>
        <v>0</v>
      </c>
      <c r="Z491" s="449"/>
      <c r="AA491" s="449">
        <f t="shared" si="405"/>
        <v>0</v>
      </c>
      <c r="AB491" s="449">
        <f t="shared" si="405"/>
        <v>0</v>
      </c>
      <c r="AC491" s="449">
        <f t="shared" si="405"/>
        <v>0</v>
      </c>
      <c r="AD491" s="449">
        <f t="shared" si="405"/>
        <v>0</v>
      </c>
      <c r="AE491" s="449">
        <f t="shared" si="405"/>
        <v>0</v>
      </c>
      <c r="AF491" s="449">
        <f t="shared" si="405"/>
        <v>0</v>
      </c>
      <c r="AG491" s="449">
        <f t="shared" si="405"/>
        <v>0</v>
      </c>
      <c r="AH491" s="449">
        <f t="shared" si="405"/>
        <v>0</v>
      </c>
      <c r="AI491" s="449">
        <f t="shared" si="405"/>
        <v>0</v>
      </c>
      <c r="AJ491" s="449">
        <f t="shared" si="405"/>
        <v>0</v>
      </c>
      <c r="AK491" s="449">
        <f t="shared" si="405"/>
        <v>0</v>
      </c>
      <c r="AL491" s="449">
        <f t="shared" si="405"/>
        <v>0</v>
      </c>
      <c r="AN491" s="500">
        <f t="shared" si="406"/>
        <v>0</v>
      </c>
      <c r="AO491" s="449">
        <f t="shared" si="407"/>
        <v>5760.1100000000006</v>
      </c>
      <c r="AP491" s="449">
        <f t="shared" si="408"/>
        <v>5760.1100000000006</v>
      </c>
      <c r="AQ491" s="453" t="str">
        <f t="shared" si="409"/>
        <v>-</v>
      </c>
      <c r="AR491" s="449">
        <f t="shared" si="410"/>
        <v>5760.1100000000006</v>
      </c>
      <c r="AS491" s="449">
        <f t="shared" si="411"/>
        <v>0</v>
      </c>
      <c r="AT491" s="426">
        <f t="shared" si="412"/>
        <v>0</v>
      </c>
      <c r="AU491" s="421"/>
      <c r="AV491" s="449">
        <f t="shared" si="413"/>
        <v>480.00916666666672</v>
      </c>
      <c r="AW491" s="449">
        <f t="shared" si="413"/>
        <v>480.00916666666672</v>
      </c>
      <c r="AX491" s="449">
        <f t="shared" si="413"/>
        <v>480.00916666666672</v>
      </c>
      <c r="AY491" s="449">
        <f t="shared" si="413"/>
        <v>480.00916666666672</v>
      </c>
      <c r="AZ491" s="449">
        <f t="shared" si="413"/>
        <v>480.00916666666672</v>
      </c>
      <c r="BA491" s="449">
        <f t="shared" si="413"/>
        <v>480.00916666666672</v>
      </c>
      <c r="BB491" s="449">
        <f t="shared" si="413"/>
        <v>480.00916666666672</v>
      </c>
      <c r="BC491" s="449">
        <f t="shared" si="413"/>
        <v>480.00916666666672</v>
      </c>
      <c r="BD491" s="449">
        <f t="shared" si="413"/>
        <v>480.00916666666672</v>
      </c>
      <c r="BE491" s="449">
        <f t="shared" si="413"/>
        <v>480.00916666666672</v>
      </c>
      <c r="BF491" s="449">
        <f t="shared" si="413"/>
        <v>480.00916666666672</v>
      </c>
      <c r="BG491" s="449">
        <f t="shared" si="413"/>
        <v>480.00916666666672</v>
      </c>
      <c r="BH491" s="400"/>
      <c r="BI491" s="449">
        <f>SUM('FY19 Staffing V1-1 (3)'!$Q$292:$R$292,'FY19 Staffing V1-1 (3)'!$T$292:$U$292)/12</f>
        <v>480.00916666666672</v>
      </c>
      <c r="BJ491" s="449">
        <f>SUM('FY19 Staffing V1-1 (3)'!$Q$292:$R$292,'FY19 Staffing V1-1 (3)'!$T$292:$U$292)/12</f>
        <v>480.00916666666672</v>
      </c>
      <c r="BK491" s="449">
        <f>SUM('FY19 Staffing V1-1 (3)'!$Q$292:$R$292,'FY19 Staffing V1-1 (3)'!$T$292:$U$292)/12</f>
        <v>480.00916666666672</v>
      </c>
      <c r="BL491" s="449">
        <f>SUM('FY19 Staffing V1-1 (3)'!$Q$292:$R$292,'FY19 Staffing V1-1 (3)'!$T$292:$U$292)/12</f>
        <v>480.00916666666672</v>
      </c>
      <c r="BM491" s="449">
        <f>SUM('FY19 Staffing V1-1 (3)'!$Q$292:$R$292,'FY19 Staffing V1-1 (3)'!$T$292:$U$292)/12</f>
        <v>480.00916666666672</v>
      </c>
      <c r="BN491" s="449">
        <f>SUM('FY19 Staffing V1-1 (3)'!$Q$292:$R$292,'FY19 Staffing V1-1 (3)'!$T$292:$U$292)/12</f>
        <v>480.00916666666672</v>
      </c>
      <c r="BO491" s="449">
        <f>SUM('FY19 Staffing V1-1 (3)'!$Q$292:$R$292,'FY19 Staffing V1-1 (3)'!$T$292:$U$292)/12</f>
        <v>480.00916666666672</v>
      </c>
      <c r="BP491" s="449">
        <f>SUM('FY19 Staffing V1-1 (3)'!$Q$292:$R$292,'FY19 Staffing V1-1 (3)'!$T$292:$U$292)/12</f>
        <v>480.00916666666672</v>
      </c>
      <c r="BQ491" s="449">
        <f>SUM('FY19 Staffing V1-1 (3)'!$Q$292:$R$292,'FY19 Staffing V1-1 (3)'!$T$292:$U$292)/12</f>
        <v>480.00916666666672</v>
      </c>
      <c r="BR491" s="449">
        <f>SUM('FY19 Staffing V1-1 (3)'!$Q$292:$R$292,'FY19 Staffing V1-1 (3)'!$T$292:$U$292)/12</f>
        <v>480.00916666666672</v>
      </c>
      <c r="BS491" s="449">
        <f>SUM('FY19 Staffing V1-1 (3)'!$Q$292:$R$292,'FY19 Staffing V1-1 (3)'!$T$292:$U$292)/12</f>
        <v>480.00916666666672</v>
      </c>
      <c r="BT491" s="449">
        <f>SUM('FY19 Staffing V1-1 (3)'!$Q$292:$R$292,'FY19 Staffing V1-1 (3)'!$T$292:$U$292)/12</f>
        <v>480.00916666666672</v>
      </c>
    </row>
    <row r="492" spans="1:72" ht="15" customHeight="1" x14ac:dyDescent="0.25">
      <c r="A492" s="540" t="s">
        <v>836</v>
      </c>
      <c r="B492" s="537" t="s">
        <v>837</v>
      </c>
      <c r="C492" s="541"/>
      <c r="D492" s="500">
        <f t="shared" si="399"/>
        <v>0</v>
      </c>
      <c r="E492" s="449">
        <v>0</v>
      </c>
      <c r="F492" s="449">
        <f t="shared" si="400"/>
        <v>0</v>
      </c>
      <c r="G492" s="421">
        <f t="shared" si="401"/>
        <v>0</v>
      </c>
      <c r="H492" s="449">
        <v>0</v>
      </c>
      <c r="I492" s="449">
        <f t="shared" si="402"/>
        <v>0</v>
      </c>
      <c r="J492" s="426">
        <f t="shared" si="403"/>
        <v>0</v>
      </c>
      <c r="K492" s="421"/>
      <c r="L492" s="449">
        <v>0</v>
      </c>
      <c r="M492" s="449">
        <v>0</v>
      </c>
      <c r="N492" s="449">
        <v>0</v>
      </c>
      <c r="O492" s="449">
        <v>0</v>
      </c>
      <c r="P492" s="449">
        <v>0</v>
      </c>
      <c r="Q492" s="449">
        <v>0</v>
      </c>
      <c r="R492" s="449">
        <f>($H492-SUM($L492:Q492))/R$694</f>
        <v>0</v>
      </c>
      <c r="S492" s="449">
        <f>($H492-SUM($L492:R492))/S$694</f>
        <v>0</v>
      </c>
      <c r="T492" s="449">
        <f>($H492-SUM($L492:S492))/T$694</f>
        <v>0</v>
      </c>
      <c r="U492" s="449">
        <f>($H492-SUM($L492:T492))/U$694</f>
        <v>0</v>
      </c>
      <c r="V492" s="449">
        <f>($H492-SUM($L492:U492))/V$694</f>
        <v>0</v>
      </c>
      <c r="W492" s="449">
        <f>($H492-SUM($L492:V492))/W$694</f>
        <v>0</v>
      </c>
      <c r="X492" s="449"/>
      <c r="Y492" s="449">
        <f t="shared" si="404"/>
        <v>0</v>
      </c>
      <c r="Z492" s="449"/>
      <c r="AA492" s="449">
        <f t="shared" si="405"/>
        <v>0</v>
      </c>
      <c r="AB492" s="449">
        <f t="shared" si="405"/>
        <v>0</v>
      </c>
      <c r="AC492" s="449">
        <f t="shared" si="405"/>
        <v>0</v>
      </c>
      <c r="AD492" s="449">
        <f t="shared" si="405"/>
        <v>0</v>
      </c>
      <c r="AE492" s="449">
        <f t="shared" si="405"/>
        <v>0</v>
      </c>
      <c r="AF492" s="449">
        <f t="shared" si="405"/>
        <v>0</v>
      </c>
      <c r="AG492" s="449">
        <f t="shared" si="405"/>
        <v>0</v>
      </c>
      <c r="AH492" s="449">
        <f t="shared" si="405"/>
        <v>0</v>
      </c>
      <c r="AI492" s="449">
        <f t="shared" si="405"/>
        <v>0</v>
      </c>
      <c r="AJ492" s="449">
        <f t="shared" si="405"/>
        <v>0</v>
      </c>
      <c r="AK492" s="449">
        <f t="shared" si="405"/>
        <v>0</v>
      </c>
      <c r="AL492" s="449">
        <f t="shared" si="405"/>
        <v>0</v>
      </c>
      <c r="AN492" s="500">
        <f t="shared" si="406"/>
        <v>0</v>
      </c>
      <c r="AO492" s="449">
        <f t="shared" si="407"/>
        <v>8256.5603400000018</v>
      </c>
      <c r="AP492" s="449">
        <f t="shared" si="408"/>
        <v>8256.5603400000018</v>
      </c>
      <c r="AQ492" s="453" t="str">
        <f t="shared" si="409"/>
        <v>-</v>
      </c>
      <c r="AR492" s="449">
        <f t="shared" si="410"/>
        <v>8256.5603400000018</v>
      </c>
      <c r="AS492" s="449">
        <f t="shared" si="411"/>
        <v>0</v>
      </c>
      <c r="AT492" s="426">
        <f t="shared" si="412"/>
        <v>0</v>
      </c>
      <c r="AU492" s="421"/>
      <c r="AV492" s="449">
        <f t="shared" si="413"/>
        <v>688.04669500000011</v>
      </c>
      <c r="AW492" s="449">
        <f t="shared" si="413"/>
        <v>688.04669500000011</v>
      </c>
      <c r="AX492" s="449">
        <f t="shared" si="413"/>
        <v>688.04669500000011</v>
      </c>
      <c r="AY492" s="449">
        <f t="shared" si="413"/>
        <v>688.04669500000011</v>
      </c>
      <c r="AZ492" s="449">
        <f t="shared" si="413"/>
        <v>688.04669500000011</v>
      </c>
      <c r="BA492" s="449">
        <f t="shared" si="413"/>
        <v>688.04669500000011</v>
      </c>
      <c r="BB492" s="449">
        <f t="shared" si="413"/>
        <v>688.04669500000011</v>
      </c>
      <c r="BC492" s="449">
        <f t="shared" si="413"/>
        <v>688.04669500000011</v>
      </c>
      <c r="BD492" s="449">
        <f t="shared" si="413"/>
        <v>688.04669500000011</v>
      </c>
      <c r="BE492" s="449">
        <f t="shared" si="413"/>
        <v>688.04669500000011</v>
      </c>
      <c r="BF492" s="449">
        <f t="shared" si="413"/>
        <v>688.04669500000011</v>
      </c>
      <c r="BG492" s="449">
        <f t="shared" si="413"/>
        <v>688.04669500000011</v>
      </c>
      <c r="BH492" s="400"/>
      <c r="BI492" s="449">
        <f>SUM('FY19 Staffing V1-1 (3)'!$W$292)/12</f>
        <v>688.04669500000011</v>
      </c>
      <c r="BJ492" s="449">
        <f>SUM('FY19 Staffing V1-1 (3)'!$W$292)/12</f>
        <v>688.04669500000011</v>
      </c>
      <c r="BK492" s="449">
        <f>SUM('FY19 Staffing V1-1 (3)'!$W$292)/12</f>
        <v>688.04669500000011</v>
      </c>
      <c r="BL492" s="449">
        <f>SUM('FY19 Staffing V1-1 (3)'!$W$292)/12</f>
        <v>688.04669500000011</v>
      </c>
      <c r="BM492" s="449">
        <f>SUM('FY19 Staffing V1-1 (3)'!$W$292)/12</f>
        <v>688.04669500000011</v>
      </c>
      <c r="BN492" s="449">
        <f>SUM('FY19 Staffing V1-1 (3)'!$W$292)/12</f>
        <v>688.04669500000011</v>
      </c>
      <c r="BO492" s="449">
        <f>SUM('FY19 Staffing V1-1 (3)'!$W$292)/12</f>
        <v>688.04669500000011</v>
      </c>
      <c r="BP492" s="449">
        <f>SUM('FY19 Staffing V1-1 (3)'!$W$292)/12</f>
        <v>688.04669500000011</v>
      </c>
      <c r="BQ492" s="449">
        <f>SUM('FY19 Staffing V1-1 (3)'!$W$292)/12</f>
        <v>688.04669500000011</v>
      </c>
      <c r="BR492" s="449">
        <f>SUM('FY19 Staffing V1-1 (3)'!$W$292)/12</f>
        <v>688.04669500000011</v>
      </c>
      <c r="BS492" s="449">
        <f>SUM('FY19 Staffing V1-1 (3)'!$W$292)/12</f>
        <v>688.04669500000011</v>
      </c>
      <c r="BT492" s="449">
        <f>SUM('FY19 Staffing V1-1 (3)'!$W$292)/12</f>
        <v>688.04669500000011</v>
      </c>
    </row>
    <row r="493" spans="1:72" ht="15" customHeight="1" x14ac:dyDescent="0.25">
      <c r="A493" s="540" t="s">
        <v>838</v>
      </c>
      <c r="B493" s="537" t="s">
        <v>839</v>
      </c>
      <c r="C493" s="541"/>
      <c r="D493" s="500">
        <f t="shared" si="399"/>
        <v>0</v>
      </c>
      <c r="E493" s="449">
        <v>0</v>
      </c>
      <c r="F493" s="449">
        <f t="shared" si="400"/>
        <v>0</v>
      </c>
      <c r="G493" s="421">
        <f t="shared" si="401"/>
        <v>0</v>
      </c>
      <c r="H493" s="449">
        <v>0</v>
      </c>
      <c r="I493" s="449">
        <f t="shared" si="402"/>
        <v>0</v>
      </c>
      <c r="J493" s="426">
        <f t="shared" si="403"/>
        <v>0</v>
      </c>
      <c r="K493" s="421"/>
      <c r="L493" s="449">
        <v>0</v>
      </c>
      <c r="M493" s="449">
        <v>0</v>
      </c>
      <c r="N493" s="449">
        <v>0</v>
      </c>
      <c r="O493" s="449">
        <v>0</v>
      </c>
      <c r="P493" s="449">
        <v>0</v>
      </c>
      <c r="Q493" s="449">
        <v>0</v>
      </c>
      <c r="R493" s="449">
        <f>($H493-SUM($L493:Q493))/R$694</f>
        <v>0</v>
      </c>
      <c r="S493" s="449">
        <f>($H493-SUM($L493:R493))/S$694</f>
        <v>0</v>
      </c>
      <c r="T493" s="449">
        <f>($H493-SUM($L493:S493))/T$694</f>
        <v>0</v>
      </c>
      <c r="U493" s="449">
        <f>($H493-SUM($L493:T493))/U$694</f>
        <v>0</v>
      </c>
      <c r="V493" s="449">
        <f>($H493-SUM($L493:U493))/V$694</f>
        <v>0</v>
      </c>
      <c r="W493" s="449">
        <f>($H493-SUM($L493:V493))/W$694</f>
        <v>0</v>
      </c>
      <c r="X493" s="449"/>
      <c r="Y493" s="449">
        <f t="shared" si="404"/>
        <v>0</v>
      </c>
      <c r="Z493" s="449"/>
      <c r="AA493" s="449">
        <f t="shared" ref="AA493:AL510" si="414">IFERROR($H493/12,0)</f>
        <v>0</v>
      </c>
      <c r="AB493" s="449">
        <f t="shared" si="414"/>
        <v>0</v>
      </c>
      <c r="AC493" s="449">
        <f t="shared" si="414"/>
        <v>0</v>
      </c>
      <c r="AD493" s="449">
        <f t="shared" si="414"/>
        <v>0</v>
      </c>
      <c r="AE493" s="449">
        <f t="shared" si="414"/>
        <v>0</v>
      </c>
      <c r="AF493" s="449">
        <f t="shared" si="414"/>
        <v>0</v>
      </c>
      <c r="AG493" s="449">
        <f t="shared" si="414"/>
        <v>0</v>
      </c>
      <c r="AH493" s="449">
        <f t="shared" si="414"/>
        <v>0</v>
      </c>
      <c r="AI493" s="449">
        <f t="shared" si="414"/>
        <v>0</v>
      </c>
      <c r="AJ493" s="449">
        <f t="shared" si="414"/>
        <v>0</v>
      </c>
      <c r="AK493" s="449">
        <f t="shared" si="414"/>
        <v>0</v>
      </c>
      <c r="AL493" s="449">
        <f t="shared" si="414"/>
        <v>0</v>
      </c>
      <c r="AN493" s="500">
        <f t="shared" si="406"/>
        <v>0</v>
      </c>
      <c r="AO493" s="449">
        <f t="shared" si="407"/>
        <v>2164.2399999999993</v>
      </c>
      <c r="AP493" s="449">
        <f t="shared" si="408"/>
        <v>2164.2399999999993</v>
      </c>
      <c r="AQ493" s="453" t="str">
        <f t="shared" si="409"/>
        <v>-</v>
      </c>
      <c r="AR493" s="449">
        <f t="shared" si="410"/>
        <v>2164.2399999999993</v>
      </c>
      <c r="AS493" s="449">
        <f t="shared" si="411"/>
        <v>0</v>
      </c>
      <c r="AT493" s="426">
        <f t="shared" si="412"/>
        <v>0</v>
      </c>
      <c r="AU493" s="421"/>
      <c r="AV493" s="449">
        <f t="shared" si="413"/>
        <v>180.35333333333332</v>
      </c>
      <c r="AW493" s="449">
        <f t="shared" si="413"/>
        <v>180.35333333333332</v>
      </c>
      <c r="AX493" s="449">
        <f t="shared" si="413"/>
        <v>180.35333333333332</v>
      </c>
      <c r="AY493" s="449">
        <f t="shared" si="413"/>
        <v>180.35333333333332</v>
      </c>
      <c r="AZ493" s="449">
        <f t="shared" si="413"/>
        <v>180.35333333333332</v>
      </c>
      <c r="BA493" s="449">
        <f t="shared" si="413"/>
        <v>180.35333333333332</v>
      </c>
      <c r="BB493" s="449">
        <f t="shared" si="413"/>
        <v>180.35333333333332</v>
      </c>
      <c r="BC493" s="449">
        <f t="shared" si="413"/>
        <v>180.35333333333332</v>
      </c>
      <c r="BD493" s="449">
        <f t="shared" si="413"/>
        <v>180.35333333333332</v>
      </c>
      <c r="BE493" s="449">
        <f t="shared" si="413"/>
        <v>180.35333333333332</v>
      </c>
      <c r="BF493" s="449">
        <f t="shared" si="413"/>
        <v>180.35333333333332</v>
      </c>
      <c r="BG493" s="449">
        <f t="shared" si="413"/>
        <v>180.35333333333332</v>
      </c>
      <c r="BH493" s="400"/>
      <c r="BI493" s="449">
        <f>SUM('FY19 Staffing V1-1 (3)'!$S$292)/12</f>
        <v>180.35333333333332</v>
      </c>
      <c r="BJ493" s="449">
        <f>SUM('FY19 Staffing V1-1 (3)'!$S$292)/12</f>
        <v>180.35333333333332</v>
      </c>
      <c r="BK493" s="449">
        <f>SUM('FY19 Staffing V1-1 (3)'!$S$292)/12</f>
        <v>180.35333333333332</v>
      </c>
      <c r="BL493" s="449">
        <f>SUM('FY19 Staffing V1-1 (3)'!$S$292)/12</f>
        <v>180.35333333333332</v>
      </c>
      <c r="BM493" s="449">
        <f>SUM('FY19 Staffing V1-1 (3)'!$S$292)/12</f>
        <v>180.35333333333332</v>
      </c>
      <c r="BN493" s="449">
        <f>SUM('FY19 Staffing V1-1 (3)'!$S$292)/12</f>
        <v>180.35333333333332</v>
      </c>
      <c r="BO493" s="449">
        <f>SUM('FY19 Staffing V1-1 (3)'!$S$292)/12</f>
        <v>180.35333333333332</v>
      </c>
      <c r="BP493" s="449">
        <f>SUM('FY19 Staffing V1-1 (3)'!$S$292)/12</f>
        <v>180.35333333333332</v>
      </c>
      <c r="BQ493" s="449">
        <f>SUM('FY19 Staffing V1-1 (3)'!$S$292)/12</f>
        <v>180.35333333333332</v>
      </c>
      <c r="BR493" s="449">
        <f>SUM('FY19 Staffing V1-1 (3)'!$S$292)/12</f>
        <v>180.35333333333332</v>
      </c>
      <c r="BS493" s="449">
        <f>SUM('FY19 Staffing V1-1 (3)'!$S$292)/12</f>
        <v>180.35333333333332</v>
      </c>
      <c r="BT493" s="449">
        <f>SUM('FY19 Staffing V1-1 (3)'!$S$292)/12</f>
        <v>180.35333333333332</v>
      </c>
    </row>
    <row r="494" spans="1:72" ht="15" customHeight="1" x14ac:dyDescent="0.25">
      <c r="A494" s="537" t="s">
        <v>840</v>
      </c>
      <c r="B494" s="537" t="s">
        <v>841</v>
      </c>
      <c r="C494" s="541"/>
      <c r="D494" s="500">
        <f t="shared" si="399"/>
        <v>0</v>
      </c>
      <c r="E494" s="449">
        <v>0</v>
      </c>
      <c r="F494" s="449">
        <f t="shared" si="400"/>
        <v>0</v>
      </c>
      <c r="G494" s="421">
        <f t="shared" si="401"/>
        <v>0</v>
      </c>
      <c r="H494" s="449">
        <v>0</v>
      </c>
      <c r="I494" s="449">
        <f t="shared" si="402"/>
        <v>0</v>
      </c>
      <c r="J494" s="426">
        <f t="shared" si="403"/>
        <v>0</v>
      </c>
      <c r="K494" s="421"/>
      <c r="L494" s="449">
        <v>0</v>
      </c>
      <c r="M494" s="449">
        <v>0</v>
      </c>
      <c r="N494" s="449">
        <v>0</v>
      </c>
      <c r="O494" s="449">
        <v>0</v>
      </c>
      <c r="P494" s="449">
        <v>0</v>
      </c>
      <c r="Q494" s="449">
        <v>0</v>
      </c>
      <c r="R494" s="449">
        <f>($H494-SUM($L494:Q494))/R$694</f>
        <v>0</v>
      </c>
      <c r="S494" s="449">
        <f>($H494-SUM($L494:R494))/S$694</f>
        <v>0</v>
      </c>
      <c r="T494" s="449">
        <f>($H494-SUM($L494:S494))/T$694</f>
        <v>0</v>
      </c>
      <c r="U494" s="449">
        <f>($H494-SUM($L494:T494))/U$694</f>
        <v>0</v>
      </c>
      <c r="V494" s="449">
        <f>($H494-SUM($L494:U494))/V$694</f>
        <v>0</v>
      </c>
      <c r="W494" s="449">
        <f>($H494-SUM($L494:V494))/W$694</f>
        <v>0</v>
      </c>
      <c r="X494" s="449"/>
      <c r="Y494" s="449">
        <f t="shared" si="404"/>
        <v>0</v>
      </c>
      <c r="Z494" s="531"/>
      <c r="AA494" s="449">
        <f t="shared" si="414"/>
        <v>0</v>
      </c>
      <c r="AB494" s="449">
        <f t="shared" si="414"/>
        <v>0</v>
      </c>
      <c r="AC494" s="449">
        <f t="shared" si="414"/>
        <v>0</v>
      </c>
      <c r="AD494" s="449">
        <f t="shared" si="414"/>
        <v>0</v>
      </c>
      <c r="AE494" s="449">
        <f t="shared" si="414"/>
        <v>0</v>
      </c>
      <c r="AF494" s="449">
        <f t="shared" si="414"/>
        <v>0</v>
      </c>
      <c r="AG494" s="449">
        <f t="shared" si="414"/>
        <v>0</v>
      </c>
      <c r="AH494" s="449">
        <f t="shared" si="414"/>
        <v>0</v>
      </c>
      <c r="AI494" s="449">
        <f t="shared" si="414"/>
        <v>0</v>
      </c>
      <c r="AJ494" s="449">
        <f t="shared" si="414"/>
        <v>0</v>
      </c>
      <c r="AK494" s="449">
        <f t="shared" si="414"/>
        <v>0</v>
      </c>
      <c r="AL494" s="449">
        <f t="shared" si="414"/>
        <v>0</v>
      </c>
      <c r="AN494" s="500">
        <f>SUM(L494:W494)</f>
        <v>0</v>
      </c>
      <c r="AO494" s="449">
        <f>SUM(BI494:BT494)</f>
        <v>0</v>
      </c>
      <c r="AP494" s="449">
        <f t="shared" si="408"/>
        <v>0</v>
      </c>
      <c r="AQ494" s="453" t="str">
        <f t="shared" si="409"/>
        <v>-</v>
      </c>
      <c r="AR494" s="449">
        <f t="shared" si="410"/>
        <v>0</v>
      </c>
      <c r="AS494" s="449">
        <f t="shared" si="411"/>
        <v>0</v>
      </c>
      <c r="AT494" s="426">
        <f t="shared" si="412"/>
        <v>0</v>
      </c>
      <c r="AU494" s="421"/>
      <c r="AV494" s="449">
        <f t="shared" si="413"/>
        <v>0</v>
      </c>
      <c r="AW494" s="449">
        <f t="shared" si="413"/>
        <v>0</v>
      </c>
      <c r="AX494" s="449">
        <f t="shared" si="413"/>
        <v>0</v>
      </c>
      <c r="AY494" s="449">
        <f t="shared" si="413"/>
        <v>0</v>
      </c>
      <c r="AZ494" s="449">
        <f t="shared" si="413"/>
        <v>0</v>
      </c>
      <c r="BA494" s="449">
        <f t="shared" si="413"/>
        <v>0</v>
      </c>
      <c r="BB494" s="449">
        <f t="shared" si="413"/>
        <v>0</v>
      </c>
      <c r="BC494" s="449">
        <f t="shared" si="413"/>
        <v>0</v>
      </c>
      <c r="BD494" s="449">
        <f t="shared" si="413"/>
        <v>0</v>
      </c>
      <c r="BE494" s="449">
        <f t="shared" si="413"/>
        <v>0</v>
      </c>
      <c r="BF494" s="449">
        <f t="shared" si="413"/>
        <v>0</v>
      </c>
      <c r="BG494" s="449">
        <f t="shared" si="413"/>
        <v>0</v>
      </c>
      <c r="BH494" s="400"/>
      <c r="BI494" s="449">
        <v>0</v>
      </c>
      <c r="BJ494" s="449">
        <v>0</v>
      </c>
      <c r="BK494" s="449">
        <v>0</v>
      </c>
      <c r="BL494" s="449">
        <v>0</v>
      </c>
      <c r="BM494" s="449">
        <v>0</v>
      </c>
      <c r="BN494" s="449">
        <v>0</v>
      </c>
      <c r="BO494" s="449">
        <v>0</v>
      </c>
      <c r="BP494" s="449">
        <v>0</v>
      </c>
      <c r="BQ494" s="449">
        <v>0</v>
      </c>
      <c r="BR494" s="449">
        <v>0</v>
      </c>
      <c r="BS494" s="449">
        <v>0</v>
      </c>
      <c r="BT494" s="449">
        <v>0</v>
      </c>
    </row>
    <row r="495" spans="1:72" ht="15" customHeight="1" x14ac:dyDescent="0.25">
      <c r="A495" s="537" t="s">
        <v>842</v>
      </c>
      <c r="B495" s="537" t="s">
        <v>843</v>
      </c>
      <c r="C495" s="541"/>
      <c r="D495" s="500">
        <f t="shared" si="399"/>
        <v>0</v>
      </c>
      <c r="E495" s="449">
        <v>0</v>
      </c>
      <c r="F495" s="449">
        <f t="shared" si="400"/>
        <v>0</v>
      </c>
      <c r="G495" s="421">
        <f t="shared" si="401"/>
        <v>0</v>
      </c>
      <c r="H495" s="449">
        <v>0</v>
      </c>
      <c r="I495" s="449">
        <f t="shared" si="402"/>
        <v>0</v>
      </c>
      <c r="J495" s="426">
        <f t="shared" si="403"/>
        <v>0</v>
      </c>
      <c r="K495" s="421"/>
      <c r="L495" s="449">
        <v>0</v>
      </c>
      <c r="M495" s="449">
        <v>0</v>
      </c>
      <c r="N495" s="449">
        <v>0</v>
      </c>
      <c r="O495" s="449">
        <v>0</v>
      </c>
      <c r="P495" s="449">
        <v>0</v>
      </c>
      <c r="Q495" s="449">
        <v>0</v>
      </c>
      <c r="R495" s="449">
        <f>($H495-SUM($L495:Q495))/R$694</f>
        <v>0</v>
      </c>
      <c r="S495" s="449">
        <f>($H495-SUM($L495:R495))/S$694</f>
        <v>0</v>
      </c>
      <c r="T495" s="449">
        <f>($H495-SUM($L495:S495))/T$694</f>
        <v>0</v>
      </c>
      <c r="U495" s="449">
        <f>($H495-SUM($L495:T495))/U$694</f>
        <v>0</v>
      </c>
      <c r="V495" s="449">
        <f>($H495-SUM($L495:U495))/V$694</f>
        <v>0</v>
      </c>
      <c r="W495" s="449">
        <f>($H495-SUM($L495:V495))/W$694</f>
        <v>0</v>
      </c>
      <c r="X495" s="449"/>
      <c r="Y495" s="449">
        <f t="shared" si="404"/>
        <v>0</v>
      </c>
      <c r="Z495" s="531"/>
      <c r="AA495" s="449">
        <f t="shared" si="414"/>
        <v>0</v>
      </c>
      <c r="AB495" s="449">
        <f t="shared" si="414"/>
        <v>0</v>
      </c>
      <c r="AC495" s="449">
        <f t="shared" si="414"/>
        <v>0</v>
      </c>
      <c r="AD495" s="449">
        <f t="shared" si="414"/>
        <v>0</v>
      </c>
      <c r="AE495" s="449">
        <f t="shared" si="414"/>
        <v>0</v>
      </c>
      <c r="AF495" s="449">
        <f t="shared" si="414"/>
        <v>0</v>
      </c>
      <c r="AG495" s="449">
        <f t="shared" si="414"/>
        <v>0</v>
      </c>
      <c r="AH495" s="449">
        <f t="shared" si="414"/>
        <v>0</v>
      </c>
      <c r="AI495" s="449">
        <f t="shared" si="414"/>
        <v>0</v>
      </c>
      <c r="AJ495" s="449">
        <f t="shared" si="414"/>
        <v>0</v>
      </c>
      <c r="AK495" s="449">
        <f t="shared" si="414"/>
        <v>0</v>
      </c>
      <c r="AL495" s="449">
        <f t="shared" si="414"/>
        <v>0</v>
      </c>
      <c r="AN495" s="500">
        <f>SUM(L495:W495)</f>
        <v>0</v>
      </c>
      <c r="AO495" s="449">
        <f>SUM(BI495:BT495)</f>
        <v>0</v>
      </c>
      <c r="AP495" s="449">
        <f t="shared" si="408"/>
        <v>0</v>
      </c>
      <c r="AQ495" s="453" t="str">
        <f t="shared" si="409"/>
        <v>-</v>
      </c>
      <c r="AR495" s="449">
        <f t="shared" si="410"/>
        <v>0</v>
      </c>
      <c r="AS495" s="449">
        <f t="shared" si="411"/>
        <v>0</v>
      </c>
      <c r="AT495" s="426">
        <f t="shared" si="412"/>
        <v>0</v>
      </c>
      <c r="AU495" s="421"/>
      <c r="AV495" s="449">
        <f t="shared" si="413"/>
        <v>0</v>
      </c>
      <c r="AW495" s="449">
        <f t="shared" si="413"/>
        <v>0</v>
      </c>
      <c r="AX495" s="449">
        <f t="shared" si="413"/>
        <v>0</v>
      </c>
      <c r="AY495" s="449">
        <f t="shared" si="413"/>
        <v>0</v>
      </c>
      <c r="AZ495" s="449">
        <f t="shared" si="413"/>
        <v>0</v>
      </c>
      <c r="BA495" s="449">
        <f t="shared" si="413"/>
        <v>0</v>
      </c>
      <c r="BB495" s="449">
        <f t="shared" si="413"/>
        <v>0</v>
      </c>
      <c r="BC495" s="449">
        <f t="shared" si="413"/>
        <v>0</v>
      </c>
      <c r="BD495" s="449">
        <f t="shared" si="413"/>
        <v>0</v>
      </c>
      <c r="BE495" s="449">
        <f t="shared" si="413"/>
        <v>0</v>
      </c>
      <c r="BF495" s="449">
        <f t="shared" si="413"/>
        <v>0</v>
      </c>
      <c r="BG495" s="449">
        <f t="shared" si="413"/>
        <v>0</v>
      </c>
      <c r="BH495" s="400"/>
      <c r="BI495" s="449">
        <v>0</v>
      </c>
      <c r="BJ495" s="449">
        <v>0</v>
      </c>
      <c r="BK495" s="449">
        <v>0</v>
      </c>
      <c r="BL495" s="449">
        <v>0</v>
      </c>
      <c r="BM495" s="449">
        <v>0</v>
      </c>
      <c r="BN495" s="449">
        <v>0</v>
      </c>
      <c r="BO495" s="449">
        <v>0</v>
      </c>
      <c r="BP495" s="449">
        <v>0</v>
      </c>
      <c r="BQ495" s="449">
        <v>0</v>
      </c>
      <c r="BR495" s="449">
        <v>0</v>
      </c>
      <c r="BS495" s="449">
        <v>0</v>
      </c>
      <c r="BT495" s="449">
        <v>0</v>
      </c>
    </row>
    <row r="496" spans="1:72" ht="15" customHeight="1" x14ac:dyDescent="0.25">
      <c r="A496" s="617" t="s">
        <v>844</v>
      </c>
      <c r="B496" s="537" t="s">
        <v>845</v>
      </c>
      <c r="C496" s="541"/>
      <c r="D496" s="500">
        <f t="shared" si="399"/>
        <v>0</v>
      </c>
      <c r="E496" s="449">
        <v>0</v>
      </c>
      <c r="F496" s="449">
        <f t="shared" si="400"/>
        <v>0</v>
      </c>
      <c r="G496" s="421">
        <f t="shared" si="401"/>
        <v>0</v>
      </c>
      <c r="H496" s="449">
        <v>0</v>
      </c>
      <c r="I496" s="449">
        <f t="shared" si="402"/>
        <v>0</v>
      </c>
      <c r="J496" s="426">
        <f t="shared" si="403"/>
        <v>0</v>
      </c>
      <c r="K496" s="421"/>
      <c r="L496" s="449">
        <v>0</v>
      </c>
      <c r="M496" s="449">
        <v>0</v>
      </c>
      <c r="N496" s="449">
        <v>0</v>
      </c>
      <c r="O496" s="449">
        <v>0</v>
      </c>
      <c r="P496" s="449">
        <v>0</v>
      </c>
      <c r="Q496" s="449">
        <v>0</v>
      </c>
      <c r="R496" s="449">
        <f>($H496-SUM($L496:Q496))/R$694</f>
        <v>0</v>
      </c>
      <c r="S496" s="449">
        <f>($H496-SUM($L496:R496))/S$694</f>
        <v>0</v>
      </c>
      <c r="T496" s="449">
        <f>($H496-SUM($L496:S496))/T$694</f>
        <v>0</v>
      </c>
      <c r="U496" s="449">
        <f>($H496-SUM($L496:T496))/U$694</f>
        <v>0</v>
      </c>
      <c r="V496" s="449">
        <f>($H496-SUM($L496:U496))/V$694</f>
        <v>0</v>
      </c>
      <c r="W496" s="449">
        <f>($H496-SUM($L496:V496))/W$694</f>
        <v>0</v>
      </c>
      <c r="X496" s="449"/>
      <c r="Y496" s="449">
        <f t="shared" si="404"/>
        <v>0</v>
      </c>
      <c r="Z496" s="449"/>
      <c r="AA496" s="449">
        <f t="shared" si="414"/>
        <v>0</v>
      </c>
      <c r="AB496" s="449">
        <f t="shared" si="414"/>
        <v>0</v>
      </c>
      <c r="AC496" s="449">
        <f t="shared" si="414"/>
        <v>0</v>
      </c>
      <c r="AD496" s="449">
        <f t="shared" si="414"/>
        <v>0</v>
      </c>
      <c r="AE496" s="449">
        <f t="shared" si="414"/>
        <v>0</v>
      </c>
      <c r="AF496" s="449">
        <f t="shared" si="414"/>
        <v>0</v>
      </c>
      <c r="AG496" s="449">
        <f t="shared" si="414"/>
        <v>0</v>
      </c>
      <c r="AH496" s="449">
        <f t="shared" si="414"/>
        <v>0</v>
      </c>
      <c r="AI496" s="449">
        <f t="shared" si="414"/>
        <v>0</v>
      </c>
      <c r="AJ496" s="449">
        <f t="shared" si="414"/>
        <v>0</v>
      </c>
      <c r="AK496" s="449">
        <f t="shared" si="414"/>
        <v>0</v>
      </c>
      <c r="AL496" s="449">
        <f t="shared" si="414"/>
        <v>0</v>
      </c>
      <c r="AN496" s="500">
        <f>SUM(L496:W496)</f>
        <v>0</v>
      </c>
      <c r="AO496" s="449">
        <f>SUM(BI496:BT496)</f>
        <v>0</v>
      </c>
      <c r="AP496" s="449">
        <f t="shared" si="408"/>
        <v>0</v>
      </c>
      <c r="AQ496" s="453" t="str">
        <f t="shared" si="409"/>
        <v>-</v>
      </c>
      <c r="AR496" s="449">
        <f t="shared" si="410"/>
        <v>0</v>
      </c>
      <c r="AS496" s="449">
        <f t="shared" si="411"/>
        <v>0</v>
      </c>
      <c r="AT496" s="426">
        <f t="shared" si="412"/>
        <v>0</v>
      </c>
      <c r="AU496" s="421"/>
      <c r="AV496" s="449">
        <f t="shared" si="413"/>
        <v>0</v>
      </c>
      <c r="AW496" s="449">
        <f t="shared" si="413"/>
        <v>0</v>
      </c>
      <c r="AX496" s="449">
        <f t="shared" si="413"/>
        <v>0</v>
      </c>
      <c r="AY496" s="449">
        <f t="shared" si="413"/>
        <v>0</v>
      </c>
      <c r="AZ496" s="449">
        <f t="shared" si="413"/>
        <v>0</v>
      </c>
      <c r="BA496" s="449">
        <f t="shared" si="413"/>
        <v>0</v>
      </c>
      <c r="BB496" s="449">
        <f t="shared" si="413"/>
        <v>0</v>
      </c>
      <c r="BC496" s="449">
        <f t="shared" si="413"/>
        <v>0</v>
      </c>
      <c r="BD496" s="449">
        <f t="shared" si="413"/>
        <v>0</v>
      </c>
      <c r="BE496" s="449">
        <f t="shared" si="413"/>
        <v>0</v>
      </c>
      <c r="BF496" s="449">
        <f t="shared" si="413"/>
        <v>0</v>
      </c>
      <c r="BG496" s="449">
        <f t="shared" si="413"/>
        <v>0</v>
      </c>
      <c r="BH496" s="400"/>
      <c r="BI496" s="449">
        <v>0</v>
      </c>
      <c r="BJ496" s="449">
        <v>0</v>
      </c>
      <c r="BK496" s="449">
        <v>0</v>
      </c>
      <c r="BL496" s="449">
        <v>0</v>
      </c>
      <c r="BM496" s="449">
        <v>0</v>
      </c>
      <c r="BN496" s="449">
        <v>0</v>
      </c>
      <c r="BO496" s="449">
        <v>0</v>
      </c>
      <c r="BP496" s="449">
        <v>0</v>
      </c>
      <c r="BQ496" s="449">
        <v>0</v>
      </c>
      <c r="BR496" s="449">
        <v>0</v>
      </c>
      <c r="BS496" s="449">
        <v>0</v>
      </c>
      <c r="BT496" s="449">
        <v>0</v>
      </c>
    </row>
    <row r="497" spans="1:72" ht="15" customHeight="1" x14ac:dyDescent="0.25">
      <c r="A497" s="617" t="s">
        <v>846</v>
      </c>
      <c r="B497" s="537" t="s">
        <v>847</v>
      </c>
      <c r="C497" s="541"/>
      <c r="D497" s="500">
        <f t="shared" si="399"/>
        <v>0</v>
      </c>
      <c r="E497" s="449">
        <v>0</v>
      </c>
      <c r="F497" s="449">
        <f t="shared" si="400"/>
        <v>0</v>
      </c>
      <c r="G497" s="421">
        <f t="shared" si="401"/>
        <v>0</v>
      </c>
      <c r="H497" s="449">
        <v>0</v>
      </c>
      <c r="I497" s="449">
        <f t="shared" si="402"/>
        <v>0</v>
      </c>
      <c r="J497" s="426">
        <f t="shared" si="403"/>
        <v>0</v>
      </c>
      <c r="K497" s="421"/>
      <c r="L497" s="449">
        <v>0</v>
      </c>
      <c r="M497" s="449">
        <v>0</v>
      </c>
      <c r="N497" s="449">
        <v>0</v>
      </c>
      <c r="O497" s="449">
        <v>0</v>
      </c>
      <c r="P497" s="449">
        <v>0</v>
      </c>
      <c r="Q497" s="449">
        <v>0</v>
      </c>
      <c r="R497" s="449">
        <f>($H497-SUM($L497:Q497))/R$694</f>
        <v>0</v>
      </c>
      <c r="S497" s="449">
        <f>($H497-SUM($L497:R497))/S$694</f>
        <v>0</v>
      </c>
      <c r="T497" s="449">
        <f>($H497-SUM($L497:S497))/T$694</f>
        <v>0</v>
      </c>
      <c r="U497" s="449">
        <f>($H497-SUM($L497:T497))/U$694</f>
        <v>0</v>
      </c>
      <c r="V497" s="449">
        <f>($H497-SUM($L497:U497))/V$694</f>
        <v>0</v>
      </c>
      <c r="W497" s="449">
        <f>($H497-SUM($L497:V497))/W$694</f>
        <v>0</v>
      </c>
      <c r="X497" s="449"/>
      <c r="Y497" s="449">
        <f t="shared" si="404"/>
        <v>0</v>
      </c>
      <c r="Z497" s="449"/>
      <c r="AA497" s="449">
        <f t="shared" si="414"/>
        <v>0</v>
      </c>
      <c r="AB497" s="449">
        <f t="shared" si="414"/>
        <v>0</v>
      </c>
      <c r="AC497" s="449">
        <f t="shared" si="414"/>
        <v>0</v>
      </c>
      <c r="AD497" s="449">
        <f t="shared" si="414"/>
        <v>0</v>
      </c>
      <c r="AE497" s="449">
        <f t="shared" si="414"/>
        <v>0</v>
      </c>
      <c r="AF497" s="449">
        <f t="shared" si="414"/>
        <v>0</v>
      </c>
      <c r="AG497" s="449">
        <f t="shared" si="414"/>
        <v>0</v>
      </c>
      <c r="AH497" s="449">
        <f t="shared" si="414"/>
        <v>0</v>
      </c>
      <c r="AI497" s="449">
        <f t="shared" si="414"/>
        <v>0</v>
      </c>
      <c r="AJ497" s="449">
        <f t="shared" si="414"/>
        <v>0</v>
      </c>
      <c r="AK497" s="449">
        <f t="shared" si="414"/>
        <v>0</v>
      </c>
      <c r="AL497" s="449">
        <f t="shared" si="414"/>
        <v>0</v>
      </c>
      <c r="AN497" s="500">
        <f>SUM(L497:W497)</f>
        <v>0</v>
      </c>
      <c r="AO497" s="449">
        <f>SUM(BI497:BT497)</f>
        <v>0</v>
      </c>
      <c r="AP497" s="449">
        <f t="shared" si="408"/>
        <v>0</v>
      </c>
      <c r="AQ497" s="453" t="str">
        <f t="shared" si="409"/>
        <v>-</v>
      </c>
      <c r="AR497" s="449">
        <f t="shared" si="410"/>
        <v>0</v>
      </c>
      <c r="AS497" s="449">
        <f t="shared" si="411"/>
        <v>0</v>
      </c>
      <c r="AT497" s="426">
        <f t="shared" si="412"/>
        <v>0</v>
      </c>
      <c r="AU497" s="421"/>
      <c r="AV497" s="449">
        <f t="shared" si="413"/>
        <v>0</v>
      </c>
      <c r="AW497" s="449">
        <f t="shared" si="413"/>
        <v>0</v>
      </c>
      <c r="AX497" s="449">
        <f t="shared" si="413"/>
        <v>0</v>
      </c>
      <c r="AY497" s="449">
        <f t="shared" si="413"/>
        <v>0</v>
      </c>
      <c r="AZ497" s="449">
        <f t="shared" si="413"/>
        <v>0</v>
      </c>
      <c r="BA497" s="449">
        <f t="shared" si="413"/>
        <v>0</v>
      </c>
      <c r="BB497" s="449">
        <f t="shared" si="413"/>
        <v>0</v>
      </c>
      <c r="BC497" s="449">
        <f t="shared" si="413"/>
        <v>0</v>
      </c>
      <c r="BD497" s="449">
        <f t="shared" si="413"/>
        <v>0</v>
      </c>
      <c r="BE497" s="449">
        <f t="shared" si="413"/>
        <v>0</v>
      </c>
      <c r="BF497" s="449">
        <f t="shared" si="413"/>
        <v>0</v>
      </c>
      <c r="BG497" s="449">
        <f t="shared" si="413"/>
        <v>0</v>
      </c>
      <c r="BH497" s="400"/>
      <c r="BI497" s="449">
        <v>0</v>
      </c>
      <c r="BJ497" s="449">
        <v>0</v>
      </c>
      <c r="BK497" s="449">
        <v>0</v>
      </c>
      <c r="BL497" s="449">
        <v>0</v>
      </c>
      <c r="BM497" s="449">
        <v>0</v>
      </c>
      <c r="BN497" s="449">
        <v>0</v>
      </c>
      <c r="BO497" s="449">
        <v>0</v>
      </c>
      <c r="BP497" s="449">
        <v>0</v>
      </c>
      <c r="BQ497" s="449">
        <v>0</v>
      </c>
      <c r="BR497" s="449">
        <v>0</v>
      </c>
      <c r="BS497" s="449">
        <v>0</v>
      </c>
      <c r="BT497" s="449">
        <v>0</v>
      </c>
    </row>
    <row r="498" spans="1:72" ht="15" customHeight="1" x14ac:dyDescent="0.25">
      <c r="A498" s="617" t="s">
        <v>848</v>
      </c>
      <c r="B498" s="537" t="s">
        <v>849</v>
      </c>
      <c r="C498" s="541"/>
      <c r="D498" s="500">
        <f t="shared" si="399"/>
        <v>0</v>
      </c>
      <c r="E498" s="449">
        <v>0</v>
      </c>
      <c r="F498" s="449">
        <f t="shared" si="400"/>
        <v>0</v>
      </c>
      <c r="G498" s="421">
        <f t="shared" si="401"/>
        <v>0</v>
      </c>
      <c r="H498" s="449">
        <v>0</v>
      </c>
      <c r="I498" s="449">
        <f t="shared" si="402"/>
        <v>0</v>
      </c>
      <c r="J498" s="426">
        <f t="shared" si="403"/>
        <v>0</v>
      </c>
      <c r="K498" s="421"/>
      <c r="L498" s="449">
        <v>0</v>
      </c>
      <c r="M498" s="449">
        <v>0</v>
      </c>
      <c r="N498" s="449">
        <v>0</v>
      </c>
      <c r="O498" s="449">
        <v>0</v>
      </c>
      <c r="P498" s="449">
        <v>0</v>
      </c>
      <c r="Q498" s="449">
        <v>0</v>
      </c>
      <c r="R498" s="449">
        <f>($H498-SUM($L498:Q498))/R$694</f>
        <v>0</v>
      </c>
      <c r="S498" s="449">
        <f>($H498-SUM($L498:R498))/S$694</f>
        <v>0</v>
      </c>
      <c r="T498" s="449">
        <f>($H498-SUM($L498:S498))/T$694</f>
        <v>0</v>
      </c>
      <c r="U498" s="449">
        <f>($H498-SUM($L498:T498))/U$694</f>
        <v>0</v>
      </c>
      <c r="V498" s="449">
        <f>($H498-SUM($L498:U498))/V$694</f>
        <v>0</v>
      </c>
      <c r="W498" s="449">
        <f>($H498-SUM($L498:V498))/W$694</f>
        <v>0</v>
      </c>
      <c r="X498" s="449"/>
      <c r="Y498" s="449">
        <f t="shared" si="404"/>
        <v>0</v>
      </c>
      <c r="Z498" s="449"/>
      <c r="AA498" s="449">
        <f t="shared" si="414"/>
        <v>0</v>
      </c>
      <c r="AB498" s="449">
        <f t="shared" si="414"/>
        <v>0</v>
      </c>
      <c r="AC498" s="449">
        <f t="shared" si="414"/>
        <v>0</v>
      </c>
      <c r="AD498" s="449">
        <f t="shared" si="414"/>
        <v>0</v>
      </c>
      <c r="AE498" s="449">
        <f t="shared" si="414"/>
        <v>0</v>
      </c>
      <c r="AF498" s="449">
        <f t="shared" si="414"/>
        <v>0</v>
      </c>
      <c r="AG498" s="449">
        <f t="shared" si="414"/>
        <v>0</v>
      </c>
      <c r="AH498" s="449">
        <f t="shared" si="414"/>
        <v>0</v>
      </c>
      <c r="AI498" s="449">
        <f t="shared" si="414"/>
        <v>0</v>
      </c>
      <c r="AJ498" s="449">
        <f t="shared" si="414"/>
        <v>0</v>
      </c>
      <c r="AK498" s="449">
        <f t="shared" si="414"/>
        <v>0</v>
      </c>
      <c r="AL498" s="449">
        <f t="shared" si="414"/>
        <v>0</v>
      </c>
      <c r="AN498" s="500">
        <f>SUM(L498:W498)</f>
        <v>0</v>
      </c>
      <c r="AO498" s="449">
        <f>SUM(BI498:BT498)</f>
        <v>0</v>
      </c>
      <c r="AP498" s="449">
        <f t="shared" si="408"/>
        <v>0</v>
      </c>
      <c r="AQ498" s="453" t="str">
        <f t="shared" si="409"/>
        <v>-</v>
      </c>
      <c r="AR498" s="449">
        <f t="shared" si="410"/>
        <v>0</v>
      </c>
      <c r="AS498" s="449">
        <f t="shared" si="411"/>
        <v>0</v>
      </c>
      <c r="AT498" s="426">
        <f t="shared" si="412"/>
        <v>0</v>
      </c>
      <c r="AU498" s="421"/>
      <c r="AV498" s="449">
        <f t="shared" si="413"/>
        <v>0</v>
      </c>
      <c r="AW498" s="449">
        <f t="shared" si="413"/>
        <v>0</v>
      </c>
      <c r="AX498" s="449">
        <f t="shared" si="413"/>
        <v>0</v>
      </c>
      <c r="AY498" s="449">
        <f t="shared" ref="AY498:BG513" si="415">BL498</f>
        <v>0</v>
      </c>
      <c r="AZ498" s="449">
        <f t="shared" si="415"/>
        <v>0</v>
      </c>
      <c r="BA498" s="449">
        <f t="shared" si="415"/>
        <v>0</v>
      </c>
      <c r="BB498" s="449">
        <f t="shared" si="415"/>
        <v>0</v>
      </c>
      <c r="BC498" s="449">
        <f t="shared" si="415"/>
        <v>0</v>
      </c>
      <c r="BD498" s="449">
        <f t="shared" si="415"/>
        <v>0</v>
      </c>
      <c r="BE498" s="449">
        <f t="shared" si="415"/>
        <v>0</v>
      </c>
      <c r="BF498" s="449">
        <f t="shared" si="415"/>
        <v>0</v>
      </c>
      <c r="BG498" s="449">
        <f t="shared" si="415"/>
        <v>0</v>
      </c>
      <c r="BH498" s="400"/>
      <c r="BI498" s="449">
        <v>0</v>
      </c>
      <c r="BJ498" s="449">
        <v>0</v>
      </c>
      <c r="BK498" s="449">
        <v>0</v>
      </c>
      <c r="BL498" s="449">
        <v>0</v>
      </c>
      <c r="BM498" s="449">
        <v>0</v>
      </c>
      <c r="BN498" s="449">
        <v>0</v>
      </c>
      <c r="BO498" s="449">
        <v>0</v>
      </c>
      <c r="BP498" s="449">
        <v>0</v>
      </c>
      <c r="BQ498" s="449">
        <v>0</v>
      </c>
      <c r="BR498" s="449">
        <v>0</v>
      </c>
      <c r="BS498" s="449">
        <v>0</v>
      </c>
      <c r="BT498" s="449">
        <v>0</v>
      </c>
    </row>
    <row r="499" spans="1:72" ht="15" customHeight="1" x14ac:dyDescent="0.25">
      <c r="A499" s="502" t="s">
        <v>850</v>
      </c>
      <c r="B499" s="502" t="s">
        <v>851</v>
      </c>
      <c r="C499" s="538"/>
      <c r="D499" s="500">
        <f t="shared" si="399"/>
        <v>48000</v>
      </c>
      <c r="E499" s="449">
        <v>41940</v>
      </c>
      <c r="F499" s="449">
        <f t="shared" si="400"/>
        <v>6060</v>
      </c>
      <c r="G499" s="421">
        <f t="shared" si="401"/>
        <v>0.14449213161659513</v>
      </c>
      <c r="H499" s="449">
        <v>48000</v>
      </c>
      <c r="I499" s="449">
        <f t="shared" si="402"/>
        <v>0</v>
      </c>
      <c r="J499" s="426">
        <f t="shared" si="403"/>
        <v>0</v>
      </c>
      <c r="K499" s="421"/>
      <c r="L499" s="449">
        <v>0</v>
      </c>
      <c r="M499" s="449">
        <v>0</v>
      </c>
      <c r="N499" s="449">
        <v>0</v>
      </c>
      <c r="O499" s="449">
        <v>0</v>
      </c>
      <c r="P499" s="449">
        <v>0</v>
      </c>
      <c r="Q499" s="449">
        <v>0</v>
      </c>
      <c r="R499" s="449">
        <f>($H499-SUM($L499:Q499))/R$694</f>
        <v>8000</v>
      </c>
      <c r="S499" s="449">
        <f>($H499-SUM($L499:R499))/S$694</f>
        <v>8000</v>
      </c>
      <c r="T499" s="449">
        <f>($H499-SUM($L499:S499))/T$694</f>
        <v>8000</v>
      </c>
      <c r="U499" s="449">
        <f>($H499-SUM($L499:T499))/U$694</f>
        <v>8000</v>
      </c>
      <c r="V499" s="449">
        <f>($H499-SUM($L499:U499))/V$694</f>
        <v>8000</v>
      </c>
      <c r="W499" s="449">
        <f>($H499-SUM($L499:V499))/W$694</f>
        <v>8000</v>
      </c>
      <c r="X499" s="449"/>
      <c r="Y499" s="449">
        <f t="shared" si="404"/>
        <v>48000</v>
      </c>
      <c r="Z499" s="531"/>
      <c r="AA499" s="449">
        <f t="shared" si="414"/>
        <v>4000</v>
      </c>
      <c r="AB499" s="449">
        <f t="shared" si="414"/>
        <v>4000</v>
      </c>
      <c r="AC499" s="449">
        <f t="shared" si="414"/>
        <v>4000</v>
      </c>
      <c r="AD499" s="449">
        <f t="shared" si="414"/>
        <v>4000</v>
      </c>
      <c r="AE499" s="449">
        <f t="shared" si="414"/>
        <v>4000</v>
      </c>
      <c r="AF499" s="449">
        <f t="shared" si="414"/>
        <v>4000</v>
      </c>
      <c r="AG499" s="449">
        <f t="shared" si="414"/>
        <v>4000</v>
      </c>
      <c r="AH499" s="449">
        <f t="shared" si="414"/>
        <v>4000</v>
      </c>
      <c r="AI499" s="449">
        <f t="shared" si="414"/>
        <v>4000</v>
      </c>
      <c r="AJ499" s="449">
        <f t="shared" si="414"/>
        <v>4000</v>
      </c>
      <c r="AK499" s="449">
        <f t="shared" si="414"/>
        <v>4000</v>
      </c>
      <c r="AL499" s="449">
        <f t="shared" si="414"/>
        <v>4000</v>
      </c>
      <c r="AN499" s="500">
        <f t="shared" si="406"/>
        <v>48000</v>
      </c>
      <c r="AO499" s="449">
        <f t="shared" si="407"/>
        <v>29664</v>
      </c>
      <c r="AP499" s="449">
        <f t="shared" si="408"/>
        <v>-18336</v>
      </c>
      <c r="AQ499" s="453">
        <f t="shared" si="409"/>
        <v>-0.38200000000000001</v>
      </c>
      <c r="AR499" s="449">
        <f t="shared" si="410"/>
        <v>29664</v>
      </c>
      <c r="AS499" s="449">
        <f t="shared" si="411"/>
        <v>0</v>
      </c>
      <c r="AT499" s="426">
        <f t="shared" si="412"/>
        <v>0</v>
      </c>
      <c r="AU499" s="421"/>
      <c r="AV499" s="449">
        <f t="shared" ref="AV499:BG525" si="416">BI499</f>
        <v>2472</v>
      </c>
      <c r="AW499" s="449">
        <f t="shared" si="416"/>
        <v>2472</v>
      </c>
      <c r="AX499" s="449">
        <f t="shared" si="416"/>
        <v>2472</v>
      </c>
      <c r="AY499" s="449">
        <f t="shared" si="415"/>
        <v>2472</v>
      </c>
      <c r="AZ499" s="449">
        <f t="shared" si="415"/>
        <v>2472</v>
      </c>
      <c r="BA499" s="449">
        <f t="shared" si="415"/>
        <v>2472</v>
      </c>
      <c r="BB499" s="449">
        <f t="shared" si="415"/>
        <v>2472</v>
      </c>
      <c r="BC499" s="449">
        <f t="shared" si="415"/>
        <v>2472</v>
      </c>
      <c r="BD499" s="449">
        <f t="shared" si="415"/>
        <v>2472</v>
      </c>
      <c r="BE499" s="449">
        <f t="shared" si="415"/>
        <v>2472</v>
      </c>
      <c r="BF499" s="449">
        <f t="shared" si="415"/>
        <v>2472</v>
      </c>
      <c r="BG499" s="449">
        <f t="shared" si="415"/>
        <v>2472</v>
      </c>
      <c r="BH499" s="400"/>
      <c r="BI499" s="449">
        <f t="shared" ref="BI499:BT499" si="417">IFERROR(($H499*1.03)/12,0)*0.6</f>
        <v>2472</v>
      </c>
      <c r="BJ499" s="449">
        <f t="shared" si="417"/>
        <v>2472</v>
      </c>
      <c r="BK499" s="449">
        <f t="shared" si="417"/>
        <v>2472</v>
      </c>
      <c r="BL499" s="449">
        <f t="shared" si="417"/>
        <v>2472</v>
      </c>
      <c r="BM499" s="449">
        <f t="shared" si="417"/>
        <v>2472</v>
      </c>
      <c r="BN499" s="449">
        <f t="shared" si="417"/>
        <v>2472</v>
      </c>
      <c r="BO499" s="449">
        <f t="shared" si="417"/>
        <v>2472</v>
      </c>
      <c r="BP499" s="449">
        <f t="shared" si="417"/>
        <v>2472</v>
      </c>
      <c r="BQ499" s="449">
        <f t="shared" si="417"/>
        <v>2472</v>
      </c>
      <c r="BR499" s="449">
        <f t="shared" si="417"/>
        <v>2472</v>
      </c>
      <c r="BS499" s="449">
        <f t="shared" si="417"/>
        <v>2472</v>
      </c>
      <c r="BT499" s="449">
        <f t="shared" si="417"/>
        <v>2472</v>
      </c>
    </row>
    <row r="500" spans="1:72" ht="15" customHeight="1" x14ac:dyDescent="0.25">
      <c r="A500" s="537" t="s">
        <v>852</v>
      </c>
      <c r="B500" s="537" t="s">
        <v>853</v>
      </c>
      <c r="C500" s="541"/>
      <c r="D500" s="500">
        <f>SUM(L500:W500)</f>
        <v>0</v>
      </c>
      <c r="E500" s="449">
        <v>0</v>
      </c>
      <c r="F500" s="449">
        <f t="shared" si="400"/>
        <v>0</v>
      </c>
      <c r="G500" s="421">
        <f t="shared" si="401"/>
        <v>0</v>
      </c>
      <c r="H500" s="449">
        <v>0</v>
      </c>
      <c r="I500" s="449">
        <f t="shared" si="402"/>
        <v>0</v>
      </c>
      <c r="J500" s="426">
        <f t="shared" si="403"/>
        <v>0</v>
      </c>
      <c r="K500" s="421"/>
      <c r="L500" s="449">
        <v>0</v>
      </c>
      <c r="M500" s="449">
        <v>0</v>
      </c>
      <c r="N500" s="449">
        <v>0</v>
      </c>
      <c r="O500" s="449">
        <v>0</v>
      </c>
      <c r="P500" s="449">
        <v>0</v>
      </c>
      <c r="Q500" s="449">
        <v>0</v>
      </c>
      <c r="R500" s="449">
        <f>($H500-SUM($L500:Q500))/R$694</f>
        <v>0</v>
      </c>
      <c r="S500" s="449">
        <f>($H500-SUM($L500:R500))/S$694</f>
        <v>0</v>
      </c>
      <c r="T500" s="449">
        <f>($H500-SUM($L500:S500))/T$694</f>
        <v>0</v>
      </c>
      <c r="U500" s="449">
        <f>($H500-SUM($L500:T500))/U$694</f>
        <v>0</v>
      </c>
      <c r="V500" s="449">
        <f>($H500-SUM($L500:U500))/V$694</f>
        <v>0</v>
      </c>
      <c r="W500" s="449">
        <f>($H500-SUM($L500:V500))/W$694</f>
        <v>0</v>
      </c>
      <c r="X500" s="449"/>
      <c r="Y500" s="449">
        <f t="shared" si="404"/>
        <v>0</v>
      </c>
      <c r="Z500" s="449"/>
      <c r="AA500" s="449">
        <f t="shared" si="414"/>
        <v>0</v>
      </c>
      <c r="AB500" s="449">
        <f t="shared" si="414"/>
        <v>0</v>
      </c>
      <c r="AC500" s="449">
        <f t="shared" si="414"/>
        <v>0</v>
      </c>
      <c r="AD500" s="449">
        <f t="shared" si="414"/>
        <v>0</v>
      </c>
      <c r="AE500" s="449">
        <f t="shared" si="414"/>
        <v>0</v>
      </c>
      <c r="AF500" s="449">
        <f t="shared" si="414"/>
        <v>0</v>
      </c>
      <c r="AG500" s="449">
        <f t="shared" si="414"/>
        <v>0</v>
      </c>
      <c r="AH500" s="449">
        <f t="shared" si="414"/>
        <v>0</v>
      </c>
      <c r="AI500" s="449">
        <f t="shared" si="414"/>
        <v>0</v>
      </c>
      <c r="AJ500" s="449">
        <f t="shared" si="414"/>
        <v>0</v>
      </c>
      <c r="AK500" s="449">
        <f t="shared" si="414"/>
        <v>0</v>
      </c>
      <c r="AL500" s="449">
        <f t="shared" si="414"/>
        <v>0</v>
      </c>
      <c r="AN500" s="500">
        <f>SUM(L500:W500)</f>
        <v>0</v>
      </c>
      <c r="AO500" s="449">
        <f>SUM(BI500:BT500)</f>
        <v>19776</v>
      </c>
      <c r="AP500" s="449">
        <f t="shared" si="408"/>
        <v>19776</v>
      </c>
      <c r="AQ500" s="453" t="str">
        <f t="shared" si="409"/>
        <v>-</v>
      </c>
      <c r="AR500" s="449">
        <f t="shared" si="410"/>
        <v>19776</v>
      </c>
      <c r="AS500" s="449">
        <f t="shared" si="411"/>
        <v>0</v>
      </c>
      <c r="AT500" s="426">
        <f t="shared" si="412"/>
        <v>0</v>
      </c>
      <c r="AU500" s="421"/>
      <c r="AV500" s="449">
        <f t="shared" si="416"/>
        <v>1648</v>
      </c>
      <c r="AW500" s="449">
        <f t="shared" si="416"/>
        <v>1648</v>
      </c>
      <c r="AX500" s="449">
        <f t="shared" si="416"/>
        <v>1648</v>
      </c>
      <c r="AY500" s="449">
        <f t="shared" si="415"/>
        <v>1648</v>
      </c>
      <c r="AZ500" s="449">
        <f t="shared" si="415"/>
        <v>1648</v>
      </c>
      <c r="BA500" s="449">
        <f t="shared" si="415"/>
        <v>1648</v>
      </c>
      <c r="BB500" s="449">
        <f t="shared" si="415"/>
        <v>1648</v>
      </c>
      <c r="BC500" s="449">
        <f t="shared" si="415"/>
        <v>1648</v>
      </c>
      <c r="BD500" s="449">
        <f t="shared" si="415"/>
        <v>1648</v>
      </c>
      <c r="BE500" s="449">
        <f t="shared" si="415"/>
        <v>1648</v>
      </c>
      <c r="BF500" s="449">
        <f t="shared" si="415"/>
        <v>1648</v>
      </c>
      <c r="BG500" s="449">
        <f t="shared" si="415"/>
        <v>1648</v>
      </c>
      <c r="BH500" s="400"/>
      <c r="BI500" s="449">
        <f t="shared" ref="BI500:BT500" si="418">IFERROR(($H499*1.03)/12,0)*0.4</f>
        <v>1648</v>
      </c>
      <c r="BJ500" s="449">
        <f t="shared" si="418"/>
        <v>1648</v>
      </c>
      <c r="BK500" s="449">
        <f t="shared" si="418"/>
        <v>1648</v>
      </c>
      <c r="BL500" s="449">
        <f t="shared" si="418"/>
        <v>1648</v>
      </c>
      <c r="BM500" s="449">
        <f t="shared" si="418"/>
        <v>1648</v>
      </c>
      <c r="BN500" s="449">
        <f t="shared" si="418"/>
        <v>1648</v>
      </c>
      <c r="BO500" s="449">
        <f t="shared" si="418"/>
        <v>1648</v>
      </c>
      <c r="BP500" s="449">
        <f t="shared" si="418"/>
        <v>1648</v>
      </c>
      <c r="BQ500" s="449">
        <f t="shared" si="418"/>
        <v>1648</v>
      </c>
      <c r="BR500" s="449">
        <f t="shared" si="418"/>
        <v>1648</v>
      </c>
      <c r="BS500" s="449">
        <f t="shared" si="418"/>
        <v>1648</v>
      </c>
      <c r="BT500" s="449">
        <f t="shared" si="418"/>
        <v>1648</v>
      </c>
    </row>
    <row r="501" spans="1:72" ht="15" customHeight="1" x14ac:dyDescent="0.25">
      <c r="A501" s="502" t="s">
        <v>854</v>
      </c>
      <c r="B501" s="502" t="s">
        <v>855</v>
      </c>
      <c r="C501" s="538"/>
      <c r="D501" s="500">
        <f t="shared" si="399"/>
        <v>12000</v>
      </c>
      <c r="E501" s="449">
        <v>15000</v>
      </c>
      <c r="F501" s="449">
        <f t="shared" si="400"/>
        <v>-3000</v>
      </c>
      <c r="G501" s="421">
        <f t="shared" si="401"/>
        <v>-0.2</v>
      </c>
      <c r="H501" s="449">
        <v>12000</v>
      </c>
      <c r="I501" s="449">
        <f t="shared" si="402"/>
        <v>0</v>
      </c>
      <c r="J501" s="426">
        <f t="shared" si="403"/>
        <v>0</v>
      </c>
      <c r="K501" s="421"/>
      <c r="L501" s="449">
        <v>0</v>
      </c>
      <c r="M501" s="449">
        <v>1035.68</v>
      </c>
      <c r="N501" s="449">
        <v>0</v>
      </c>
      <c r="O501" s="449">
        <v>0</v>
      </c>
      <c r="P501" s="449">
        <v>1918.3499999999997</v>
      </c>
      <c r="Q501" s="449">
        <v>0</v>
      </c>
      <c r="R501" s="449">
        <f>($H501-SUM($L501:Q501))/R$694</f>
        <v>1507.6616666666669</v>
      </c>
      <c r="S501" s="449">
        <f>($H501-SUM($L501:R501))/S$694</f>
        <v>1507.6616666666666</v>
      </c>
      <c r="T501" s="449">
        <f>($H501-SUM($L501:S501))/T$694</f>
        <v>1507.6616666666666</v>
      </c>
      <c r="U501" s="449">
        <f>($H501-SUM($L501:T501))/U$694</f>
        <v>1507.6616666666666</v>
      </c>
      <c r="V501" s="449">
        <f>($H501-SUM($L501:U501))/V$694</f>
        <v>1507.6616666666669</v>
      </c>
      <c r="W501" s="449">
        <f>($H501-SUM($L501:V501))/W$694</f>
        <v>1507.6616666666669</v>
      </c>
      <c r="X501" s="449"/>
      <c r="Y501" s="449">
        <f t="shared" si="404"/>
        <v>12000</v>
      </c>
      <c r="Z501" s="531"/>
      <c r="AA501" s="449">
        <f t="shared" si="414"/>
        <v>1000</v>
      </c>
      <c r="AB501" s="449">
        <f t="shared" si="414"/>
        <v>1000</v>
      </c>
      <c r="AC501" s="449">
        <f t="shared" si="414"/>
        <v>1000</v>
      </c>
      <c r="AD501" s="449">
        <f t="shared" si="414"/>
        <v>1000</v>
      </c>
      <c r="AE501" s="449">
        <f t="shared" si="414"/>
        <v>1000</v>
      </c>
      <c r="AF501" s="449">
        <f t="shared" si="414"/>
        <v>1000</v>
      </c>
      <c r="AG501" s="449">
        <f t="shared" si="414"/>
        <v>1000</v>
      </c>
      <c r="AH501" s="449">
        <f t="shared" si="414"/>
        <v>1000</v>
      </c>
      <c r="AI501" s="449">
        <f t="shared" si="414"/>
        <v>1000</v>
      </c>
      <c r="AJ501" s="449">
        <f t="shared" si="414"/>
        <v>1000</v>
      </c>
      <c r="AK501" s="449">
        <f t="shared" si="414"/>
        <v>1000</v>
      </c>
      <c r="AL501" s="449">
        <f t="shared" si="414"/>
        <v>1000</v>
      </c>
      <c r="AN501" s="500">
        <f t="shared" si="406"/>
        <v>12000</v>
      </c>
      <c r="AO501" s="449">
        <f t="shared" si="407"/>
        <v>7416</v>
      </c>
      <c r="AP501" s="449">
        <f t="shared" si="408"/>
        <v>-4584</v>
      </c>
      <c r="AQ501" s="453">
        <f t="shared" si="409"/>
        <v>-0.38200000000000001</v>
      </c>
      <c r="AR501" s="449">
        <f t="shared" si="410"/>
        <v>7416</v>
      </c>
      <c r="AS501" s="449">
        <f t="shared" si="411"/>
        <v>0</v>
      </c>
      <c r="AT501" s="426">
        <f t="shared" si="412"/>
        <v>0</v>
      </c>
      <c r="AU501" s="421"/>
      <c r="AV501" s="449">
        <f t="shared" si="416"/>
        <v>618</v>
      </c>
      <c r="AW501" s="449">
        <f t="shared" si="416"/>
        <v>618</v>
      </c>
      <c r="AX501" s="449">
        <f t="shared" si="416"/>
        <v>618</v>
      </c>
      <c r="AY501" s="449">
        <f t="shared" si="415"/>
        <v>618</v>
      </c>
      <c r="AZ501" s="449">
        <f t="shared" si="415"/>
        <v>618</v>
      </c>
      <c r="BA501" s="449">
        <f t="shared" si="415"/>
        <v>618</v>
      </c>
      <c r="BB501" s="449">
        <f t="shared" si="415"/>
        <v>618</v>
      </c>
      <c r="BC501" s="449">
        <f t="shared" si="415"/>
        <v>618</v>
      </c>
      <c r="BD501" s="449">
        <f t="shared" si="415"/>
        <v>618</v>
      </c>
      <c r="BE501" s="449">
        <f t="shared" si="415"/>
        <v>618</v>
      </c>
      <c r="BF501" s="449">
        <f t="shared" si="415"/>
        <v>618</v>
      </c>
      <c r="BG501" s="449">
        <f t="shared" si="415"/>
        <v>618</v>
      </c>
      <c r="BH501" s="400"/>
      <c r="BI501" s="449">
        <f t="shared" ref="BI501:BT501" si="419">IFERROR(($H501*1.03)/12,0)*0.6</f>
        <v>618</v>
      </c>
      <c r="BJ501" s="449">
        <f t="shared" si="419"/>
        <v>618</v>
      </c>
      <c r="BK501" s="449">
        <f t="shared" si="419"/>
        <v>618</v>
      </c>
      <c r="BL501" s="449">
        <f t="shared" si="419"/>
        <v>618</v>
      </c>
      <c r="BM501" s="449">
        <f t="shared" si="419"/>
        <v>618</v>
      </c>
      <c r="BN501" s="449">
        <f t="shared" si="419"/>
        <v>618</v>
      </c>
      <c r="BO501" s="449">
        <f t="shared" si="419"/>
        <v>618</v>
      </c>
      <c r="BP501" s="449">
        <f t="shared" si="419"/>
        <v>618</v>
      </c>
      <c r="BQ501" s="449">
        <f t="shared" si="419"/>
        <v>618</v>
      </c>
      <c r="BR501" s="449">
        <f t="shared" si="419"/>
        <v>618</v>
      </c>
      <c r="BS501" s="449">
        <f t="shared" si="419"/>
        <v>618</v>
      </c>
      <c r="BT501" s="449">
        <f t="shared" si="419"/>
        <v>618</v>
      </c>
    </row>
    <row r="502" spans="1:72" ht="15" customHeight="1" x14ac:dyDescent="0.25">
      <c r="A502" s="537" t="s">
        <v>856</v>
      </c>
      <c r="B502" s="537" t="s">
        <v>857</v>
      </c>
      <c r="C502" s="541"/>
      <c r="D502" s="500">
        <f t="shared" si="399"/>
        <v>0</v>
      </c>
      <c r="E502" s="449">
        <v>0</v>
      </c>
      <c r="F502" s="449">
        <f t="shared" si="400"/>
        <v>0</v>
      </c>
      <c r="G502" s="421">
        <f t="shared" si="401"/>
        <v>0</v>
      </c>
      <c r="H502" s="449">
        <v>0</v>
      </c>
      <c r="I502" s="449">
        <f t="shared" si="402"/>
        <v>0</v>
      </c>
      <c r="J502" s="426">
        <f t="shared" si="403"/>
        <v>0</v>
      </c>
      <c r="K502" s="421"/>
      <c r="L502" s="449">
        <v>0</v>
      </c>
      <c r="M502" s="449">
        <v>0</v>
      </c>
      <c r="N502" s="449">
        <v>0</v>
      </c>
      <c r="O502" s="449">
        <v>0</v>
      </c>
      <c r="P502" s="449">
        <v>0</v>
      </c>
      <c r="Q502" s="449">
        <v>0</v>
      </c>
      <c r="R502" s="449">
        <f>($H502-SUM($L502:Q502))/R$694</f>
        <v>0</v>
      </c>
      <c r="S502" s="449">
        <f>($H502-SUM($L502:R502))/S$694</f>
        <v>0</v>
      </c>
      <c r="T502" s="449">
        <f>($H502-SUM($L502:S502))/T$694</f>
        <v>0</v>
      </c>
      <c r="U502" s="449">
        <f>($H502-SUM($L502:T502))/U$694</f>
        <v>0</v>
      </c>
      <c r="V502" s="449">
        <f>($H502-SUM($L502:U502))/V$694</f>
        <v>0</v>
      </c>
      <c r="W502" s="449">
        <f>($H502-SUM($L502:V502))/W$694</f>
        <v>0</v>
      </c>
      <c r="X502" s="449"/>
      <c r="Y502" s="449">
        <f t="shared" si="404"/>
        <v>0</v>
      </c>
      <c r="Z502" s="449"/>
      <c r="AA502" s="449">
        <f t="shared" si="414"/>
        <v>0</v>
      </c>
      <c r="AB502" s="449">
        <f t="shared" si="414"/>
        <v>0</v>
      </c>
      <c r="AC502" s="449">
        <f t="shared" si="414"/>
        <v>0</v>
      </c>
      <c r="AD502" s="449">
        <f t="shared" si="414"/>
        <v>0</v>
      </c>
      <c r="AE502" s="449">
        <f t="shared" si="414"/>
        <v>0</v>
      </c>
      <c r="AF502" s="449">
        <f t="shared" si="414"/>
        <v>0</v>
      </c>
      <c r="AG502" s="449">
        <f t="shared" si="414"/>
        <v>0</v>
      </c>
      <c r="AH502" s="449">
        <f t="shared" si="414"/>
        <v>0</v>
      </c>
      <c r="AI502" s="449">
        <f t="shared" si="414"/>
        <v>0</v>
      </c>
      <c r="AJ502" s="449">
        <f t="shared" si="414"/>
        <v>0</v>
      </c>
      <c r="AK502" s="449">
        <f t="shared" si="414"/>
        <v>0</v>
      </c>
      <c r="AL502" s="449">
        <f t="shared" si="414"/>
        <v>0</v>
      </c>
      <c r="AN502" s="500">
        <f t="shared" si="406"/>
        <v>0</v>
      </c>
      <c r="AO502" s="449">
        <f t="shared" si="407"/>
        <v>4944</v>
      </c>
      <c r="AP502" s="449">
        <f t="shared" si="408"/>
        <v>4944</v>
      </c>
      <c r="AQ502" s="453" t="str">
        <f t="shared" si="409"/>
        <v>-</v>
      </c>
      <c r="AR502" s="449">
        <f t="shared" si="410"/>
        <v>4944</v>
      </c>
      <c r="AS502" s="449">
        <f t="shared" si="411"/>
        <v>0</v>
      </c>
      <c r="AT502" s="426">
        <f t="shared" si="412"/>
        <v>0</v>
      </c>
      <c r="AU502" s="421"/>
      <c r="AV502" s="449">
        <f t="shared" si="416"/>
        <v>412</v>
      </c>
      <c r="AW502" s="449">
        <f t="shared" si="416"/>
        <v>412</v>
      </c>
      <c r="AX502" s="449">
        <f t="shared" si="416"/>
        <v>412</v>
      </c>
      <c r="AY502" s="449">
        <f t="shared" si="415"/>
        <v>412</v>
      </c>
      <c r="AZ502" s="449">
        <f t="shared" si="415"/>
        <v>412</v>
      </c>
      <c r="BA502" s="449">
        <f t="shared" si="415"/>
        <v>412</v>
      </c>
      <c r="BB502" s="449">
        <f t="shared" si="415"/>
        <v>412</v>
      </c>
      <c r="BC502" s="449">
        <f t="shared" si="415"/>
        <v>412</v>
      </c>
      <c r="BD502" s="449">
        <f t="shared" si="415"/>
        <v>412</v>
      </c>
      <c r="BE502" s="449">
        <f t="shared" si="415"/>
        <v>412</v>
      </c>
      <c r="BF502" s="449">
        <f t="shared" si="415"/>
        <v>412</v>
      </c>
      <c r="BG502" s="449">
        <f t="shared" si="415"/>
        <v>412</v>
      </c>
      <c r="BH502" s="400"/>
      <c r="BI502" s="449">
        <f t="shared" ref="BI502:BT502" si="420">IFERROR(($H501*1.03)/12,0)*0.4</f>
        <v>412</v>
      </c>
      <c r="BJ502" s="449">
        <f t="shared" si="420"/>
        <v>412</v>
      </c>
      <c r="BK502" s="449">
        <f t="shared" si="420"/>
        <v>412</v>
      </c>
      <c r="BL502" s="449">
        <f t="shared" si="420"/>
        <v>412</v>
      </c>
      <c r="BM502" s="449">
        <f t="shared" si="420"/>
        <v>412</v>
      </c>
      <c r="BN502" s="449">
        <f t="shared" si="420"/>
        <v>412</v>
      </c>
      <c r="BO502" s="449">
        <f t="shared" si="420"/>
        <v>412</v>
      </c>
      <c r="BP502" s="449">
        <f t="shared" si="420"/>
        <v>412</v>
      </c>
      <c r="BQ502" s="449">
        <f t="shared" si="420"/>
        <v>412</v>
      </c>
      <c r="BR502" s="449">
        <f t="shared" si="420"/>
        <v>412</v>
      </c>
      <c r="BS502" s="449">
        <f t="shared" si="420"/>
        <v>412</v>
      </c>
      <c r="BT502" s="449">
        <f t="shared" si="420"/>
        <v>412</v>
      </c>
    </row>
    <row r="503" spans="1:72" ht="15" x14ac:dyDescent="0.25">
      <c r="A503" s="502" t="s">
        <v>858</v>
      </c>
      <c r="B503" s="502" t="s">
        <v>859</v>
      </c>
      <c r="C503" s="538"/>
      <c r="D503" s="500">
        <f t="shared" si="399"/>
        <v>11500</v>
      </c>
      <c r="E503" s="449">
        <v>10000</v>
      </c>
      <c r="F503" s="449">
        <f t="shared" si="400"/>
        <v>1500</v>
      </c>
      <c r="G503" s="421">
        <f t="shared" si="401"/>
        <v>0.15</v>
      </c>
      <c r="H503" s="449">
        <v>11500</v>
      </c>
      <c r="I503" s="449">
        <f t="shared" si="402"/>
        <v>0</v>
      </c>
      <c r="J503" s="426">
        <f t="shared" si="403"/>
        <v>0</v>
      </c>
      <c r="K503" s="421"/>
      <c r="L503" s="449">
        <v>0</v>
      </c>
      <c r="M503" s="449">
        <v>0</v>
      </c>
      <c r="N503" s="449">
        <v>0</v>
      </c>
      <c r="O503" s="449">
        <v>0</v>
      </c>
      <c r="P503" s="449">
        <v>0</v>
      </c>
      <c r="Q503" s="449">
        <v>170</v>
      </c>
      <c r="R503" s="449">
        <f>($H503-SUM($L503:Q503))/R$694</f>
        <v>1888.3333333333333</v>
      </c>
      <c r="S503" s="449">
        <f>($H503-SUM($L503:R503))/S$694</f>
        <v>1888.3333333333335</v>
      </c>
      <c r="T503" s="449">
        <f>($H503-SUM($L503:S503))/T$694</f>
        <v>1888.3333333333335</v>
      </c>
      <c r="U503" s="449">
        <f>($H503-SUM($L503:T503))/U$694</f>
        <v>1888.3333333333333</v>
      </c>
      <c r="V503" s="449">
        <f>($H503-SUM($L503:U503))/V$694</f>
        <v>1888.3333333333335</v>
      </c>
      <c r="W503" s="449">
        <f>($H503-SUM($L503:V503))/W$694</f>
        <v>1888.3333333333339</v>
      </c>
      <c r="X503" s="449"/>
      <c r="Y503" s="449">
        <f t="shared" si="404"/>
        <v>11500</v>
      </c>
      <c r="Z503" s="531"/>
      <c r="AA503" s="449">
        <f t="shared" si="414"/>
        <v>958.33333333333337</v>
      </c>
      <c r="AB503" s="449">
        <f t="shared" si="414"/>
        <v>958.33333333333337</v>
      </c>
      <c r="AC503" s="449">
        <f t="shared" si="414"/>
        <v>958.33333333333337</v>
      </c>
      <c r="AD503" s="449">
        <f t="shared" si="414"/>
        <v>958.33333333333337</v>
      </c>
      <c r="AE503" s="449">
        <f t="shared" si="414"/>
        <v>958.33333333333337</v>
      </c>
      <c r="AF503" s="449">
        <f t="shared" si="414"/>
        <v>958.33333333333337</v>
      </c>
      <c r="AG503" s="449">
        <f t="shared" si="414"/>
        <v>958.33333333333337</v>
      </c>
      <c r="AH503" s="449">
        <f t="shared" si="414"/>
        <v>958.33333333333337</v>
      </c>
      <c r="AI503" s="449">
        <f t="shared" si="414"/>
        <v>958.33333333333337</v>
      </c>
      <c r="AJ503" s="449">
        <f t="shared" si="414"/>
        <v>958.33333333333337</v>
      </c>
      <c r="AK503" s="449">
        <f t="shared" si="414"/>
        <v>958.33333333333337</v>
      </c>
      <c r="AL503" s="449">
        <f t="shared" si="414"/>
        <v>958.33333333333337</v>
      </c>
      <c r="AN503" s="500">
        <f t="shared" si="406"/>
        <v>11500</v>
      </c>
      <c r="AO503" s="449">
        <f t="shared" si="407"/>
        <v>11845.000000000002</v>
      </c>
      <c r="AP503" s="449">
        <f t="shared" si="408"/>
        <v>345.00000000000182</v>
      </c>
      <c r="AQ503" s="453">
        <f t="shared" si="409"/>
        <v>3.0000000000000158E-2</v>
      </c>
      <c r="AR503" s="449">
        <f t="shared" si="410"/>
        <v>11845.000000000002</v>
      </c>
      <c r="AS503" s="449">
        <f t="shared" si="411"/>
        <v>0</v>
      </c>
      <c r="AT503" s="426">
        <f t="shared" si="412"/>
        <v>0</v>
      </c>
      <c r="AU503" s="421"/>
      <c r="AV503" s="449">
        <f t="shared" si="416"/>
        <v>987.08333333333337</v>
      </c>
      <c r="AW503" s="449">
        <f t="shared" si="416"/>
        <v>987.08333333333337</v>
      </c>
      <c r="AX503" s="449">
        <f t="shared" si="416"/>
        <v>987.08333333333337</v>
      </c>
      <c r="AY503" s="449">
        <f t="shared" si="415"/>
        <v>987.08333333333337</v>
      </c>
      <c r="AZ503" s="449">
        <f t="shared" si="415"/>
        <v>987.08333333333337</v>
      </c>
      <c r="BA503" s="449">
        <f t="shared" si="415"/>
        <v>987.08333333333337</v>
      </c>
      <c r="BB503" s="449">
        <f t="shared" si="415"/>
        <v>987.08333333333337</v>
      </c>
      <c r="BC503" s="449">
        <f t="shared" si="415"/>
        <v>987.08333333333337</v>
      </c>
      <c r="BD503" s="449">
        <f t="shared" si="415"/>
        <v>987.08333333333337</v>
      </c>
      <c r="BE503" s="449">
        <f t="shared" si="415"/>
        <v>987.08333333333337</v>
      </c>
      <c r="BF503" s="449">
        <f t="shared" si="415"/>
        <v>987.08333333333337</v>
      </c>
      <c r="BG503" s="449">
        <f t="shared" si="415"/>
        <v>987.08333333333337</v>
      </c>
      <c r="BH503" s="400"/>
      <c r="BI503" s="449">
        <f t="shared" ref="BI503:BT503" si="421">IFERROR(($H503*1.03)/12,0)</f>
        <v>987.08333333333337</v>
      </c>
      <c r="BJ503" s="449">
        <f t="shared" si="421"/>
        <v>987.08333333333337</v>
      </c>
      <c r="BK503" s="449">
        <f t="shared" si="421"/>
        <v>987.08333333333337</v>
      </c>
      <c r="BL503" s="449">
        <f t="shared" si="421"/>
        <v>987.08333333333337</v>
      </c>
      <c r="BM503" s="449">
        <f t="shared" si="421"/>
        <v>987.08333333333337</v>
      </c>
      <c r="BN503" s="449">
        <f t="shared" si="421"/>
        <v>987.08333333333337</v>
      </c>
      <c r="BO503" s="449">
        <f t="shared" si="421"/>
        <v>987.08333333333337</v>
      </c>
      <c r="BP503" s="449">
        <f t="shared" si="421"/>
        <v>987.08333333333337</v>
      </c>
      <c r="BQ503" s="449">
        <f t="shared" si="421"/>
        <v>987.08333333333337</v>
      </c>
      <c r="BR503" s="449">
        <f t="shared" si="421"/>
        <v>987.08333333333337</v>
      </c>
      <c r="BS503" s="449">
        <f t="shared" si="421"/>
        <v>987.08333333333337</v>
      </c>
      <c r="BT503" s="449">
        <f t="shared" si="421"/>
        <v>987.08333333333337</v>
      </c>
    </row>
    <row r="504" spans="1:72" ht="15" x14ac:dyDescent="0.25">
      <c r="A504" s="502" t="s">
        <v>860</v>
      </c>
      <c r="B504" s="502" t="s">
        <v>861</v>
      </c>
      <c r="C504" s="538"/>
      <c r="D504" s="500">
        <f t="shared" si="399"/>
        <v>5345</v>
      </c>
      <c r="E504" s="449">
        <v>2200</v>
      </c>
      <c r="F504" s="449">
        <f t="shared" si="400"/>
        <v>3145</v>
      </c>
      <c r="G504" s="421">
        <f t="shared" si="401"/>
        <v>1.4295454545454545</v>
      </c>
      <c r="H504" s="449">
        <v>2200</v>
      </c>
      <c r="I504" s="449">
        <f t="shared" si="402"/>
        <v>3145</v>
      </c>
      <c r="J504" s="426">
        <f t="shared" si="403"/>
        <v>1.4295454545454545</v>
      </c>
      <c r="K504" s="421"/>
      <c r="L504" s="449">
        <v>0</v>
      </c>
      <c r="M504" s="449">
        <v>5345</v>
      </c>
      <c r="N504" s="449">
        <v>0</v>
      </c>
      <c r="O504" s="449">
        <v>0</v>
      </c>
      <c r="P504" s="449">
        <v>0</v>
      </c>
      <c r="Q504" s="449">
        <v>0</v>
      </c>
      <c r="R504" s="449">
        <v>0</v>
      </c>
      <c r="S504" s="449">
        <v>0</v>
      </c>
      <c r="T504" s="449">
        <v>0</v>
      </c>
      <c r="U504" s="449">
        <v>0</v>
      </c>
      <c r="V504" s="449">
        <v>0</v>
      </c>
      <c r="W504" s="449">
        <v>0</v>
      </c>
      <c r="X504" s="449"/>
      <c r="Y504" s="449">
        <f t="shared" si="404"/>
        <v>5345</v>
      </c>
      <c r="Z504" s="531"/>
      <c r="AA504" s="449">
        <f t="shared" si="414"/>
        <v>183.33333333333334</v>
      </c>
      <c r="AB504" s="449">
        <f t="shared" si="414"/>
        <v>183.33333333333334</v>
      </c>
      <c r="AC504" s="449">
        <f t="shared" si="414"/>
        <v>183.33333333333334</v>
      </c>
      <c r="AD504" s="449">
        <f t="shared" si="414"/>
        <v>183.33333333333334</v>
      </c>
      <c r="AE504" s="449">
        <f t="shared" si="414"/>
        <v>183.33333333333334</v>
      </c>
      <c r="AF504" s="449">
        <f t="shared" si="414"/>
        <v>183.33333333333334</v>
      </c>
      <c r="AG504" s="449">
        <f t="shared" si="414"/>
        <v>183.33333333333334</v>
      </c>
      <c r="AH504" s="449">
        <f t="shared" si="414"/>
        <v>183.33333333333334</v>
      </c>
      <c r="AI504" s="449">
        <f t="shared" si="414"/>
        <v>183.33333333333334</v>
      </c>
      <c r="AJ504" s="449">
        <f t="shared" si="414"/>
        <v>183.33333333333334</v>
      </c>
      <c r="AK504" s="449">
        <f t="shared" si="414"/>
        <v>183.33333333333334</v>
      </c>
      <c r="AL504" s="449">
        <f t="shared" si="414"/>
        <v>183.33333333333334</v>
      </c>
      <c r="AN504" s="500">
        <f t="shared" si="406"/>
        <v>5345</v>
      </c>
      <c r="AO504" s="449">
        <f t="shared" si="407"/>
        <v>5505.3500000000022</v>
      </c>
      <c r="AP504" s="449">
        <f t="shared" si="408"/>
        <v>160.35000000000218</v>
      </c>
      <c r="AQ504" s="453">
        <f t="shared" si="409"/>
        <v>3.0000000000000408E-2</v>
      </c>
      <c r="AR504" s="449">
        <f t="shared" si="410"/>
        <v>5505.3500000000022</v>
      </c>
      <c r="AS504" s="449">
        <f t="shared" si="411"/>
        <v>0</v>
      </c>
      <c r="AT504" s="426">
        <f t="shared" si="412"/>
        <v>0</v>
      </c>
      <c r="AU504" s="421"/>
      <c r="AV504" s="449">
        <f t="shared" si="416"/>
        <v>458.7791666666667</v>
      </c>
      <c r="AW504" s="449">
        <f t="shared" si="416"/>
        <v>458.7791666666667</v>
      </c>
      <c r="AX504" s="449">
        <f t="shared" si="416"/>
        <v>458.7791666666667</v>
      </c>
      <c r="AY504" s="449">
        <f t="shared" si="415"/>
        <v>458.7791666666667</v>
      </c>
      <c r="AZ504" s="449">
        <f t="shared" si="415"/>
        <v>458.7791666666667</v>
      </c>
      <c r="BA504" s="449">
        <f t="shared" si="415"/>
        <v>458.7791666666667</v>
      </c>
      <c r="BB504" s="449">
        <f t="shared" si="415"/>
        <v>458.7791666666667</v>
      </c>
      <c r="BC504" s="449">
        <f t="shared" si="415"/>
        <v>458.7791666666667</v>
      </c>
      <c r="BD504" s="449">
        <f t="shared" si="415"/>
        <v>458.7791666666667</v>
      </c>
      <c r="BE504" s="449">
        <f t="shared" si="415"/>
        <v>458.7791666666667</v>
      </c>
      <c r="BF504" s="449">
        <f t="shared" si="415"/>
        <v>458.7791666666667</v>
      </c>
      <c r="BG504" s="449">
        <f t="shared" si="415"/>
        <v>458.7791666666667</v>
      </c>
      <c r="BH504" s="400"/>
      <c r="BI504" s="449">
        <f t="shared" ref="BI504:BT504" si="422">IFERROR(($D504*1.03)/12,0)</f>
        <v>458.7791666666667</v>
      </c>
      <c r="BJ504" s="449">
        <f t="shared" si="422"/>
        <v>458.7791666666667</v>
      </c>
      <c r="BK504" s="449">
        <f t="shared" si="422"/>
        <v>458.7791666666667</v>
      </c>
      <c r="BL504" s="449">
        <f t="shared" si="422"/>
        <v>458.7791666666667</v>
      </c>
      <c r="BM504" s="449">
        <f t="shared" si="422"/>
        <v>458.7791666666667</v>
      </c>
      <c r="BN504" s="449">
        <f t="shared" si="422"/>
        <v>458.7791666666667</v>
      </c>
      <c r="BO504" s="449">
        <f t="shared" si="422"/>
        <v>458.7791666666667</v>
      </c>
      <c r="BP504" s="449">
        <f t="shared" si="422"/>
        <v>458.7791666666667</v>
      </c>
      <c r="BQ504" s="449">
        <f t="shared" si="422"/>
        <v>458.7791666666667</v>
      </c>
      <c r="BR504" s="449">
        <f t="shared" si="422"/>
        <v>458.7791666666667</v>
      </c>
      <c r="BS504" s="449">
        <f t="shared" si="422"/>
        <v>458.7791666666667</v>
      </c>
      <c r="BT504" s="449">
        <f t="shared" si="422"/>
        <v>458.7791666666667</v>
      </c>
    </row>
    <row r="505" spans="1:72" ht="15" x14ac:dyDescent="0.25">
      <c r="A505" s="502" t="s">
        <v>862</v>
      </c>
      <c r="B505" s="502" t="s">
        <v>863</v>
      </c>
      <c r="C505" s="538"/>
      <c r="D505" s="500">
        <f t="shared" si="399"/>
        <v>25000</v>
      </c>
      <c r="E505" s="449">
        <v>25000</v>
      </c>
      <c r="F505" s="449">
        <f t="shared" si="400"/>
        <v>0</v>
      </c>
      <c r="G505" s="421">
        <f t="shared" si="401"/>
        <v>0</v>
      </c>
      <c r="H505" s="449">
        <v>25000</v>
      </c>
      <c r="I505" s="449">
        <f t="shared" si="402"/>
        <v>0</v>
      </c>
      <c r="J505" s="426">
        <f t="shared" si="403"/>
        <v>0</v>
      </c>
      <c r="K505" s="421"/>
      <c r="L505" s="449">
        <v>3450.35</v>
      </c>
      <c r="M505" s="449">
        <v>2342.4500000000003</v>
      </c>
      <c r="N505" s="449">
        <v>7035.9999999999991</v>
      </c>
      <c r="O505" s="449">
        <v>5777.8500000000022</v>
      </c>
      <c r="P505" s="449">
        <v>0</v>
      </c>
      <c r="Q505" s="449">
        <v>0</v>
      </c>
      <c r="R505" s="449">
        <f>($H505-SUM($L505:Q505))/R$694</f>
        <v>1065.5583333333332</v>
      </c>
      <c r="S505" s="449">
        <f>($H505-SUM($L505:R505))/S$694</f>
        <v>1065.5583333333329</v>
      </c>
      <c r="T505" s="449">
        <f>($H505-SUM($L505:S505))/T$694</f>
        <v>1065.5583333333325</v>
      </c>
      <c r="U505" s="449">
        <f>($H505-SUM($L505:T505))/U$694</f>
        <v>1065.5583333333318</v>
      </c>
      <c r="V505" s="449">
        <f>($H505-SUM($L505:U505))/V$694</f>
        <v>1065.5583333333325</v>
      </c>
      <c r="W505" s="449">
        <f>($H505-SUM($L505:V505))/W$694</f>
        <v>1065.5583333333343</v>
      </c>
      <c r="X505" s="449"/>
      <c r="Y505" s="449">
        <f t="shared" si="404"/>
        <v>25000</v>
      </c>
      <c r="Z505" s="531"/>
      <c r="AA505" s="449">
        <f t="shared" si="414"/>
        <v>2083.3333333333335</v>
      </c>
      <c r="AB505" s="449">
        <f t="shared" si="414"/>
        <v>2083.3333333333335</v>
      </c>
      <c r="AC505" s="449">
        <f t="shared" si="414"/>
        <v>2083.3333333333335</v>
      </c>
      <c r="AD505" s="449">
        <f t="shared" si="414"/>
        <v>2083.3333333333335</v>
      </c>
      <c r="AE505" s="449">
        <f t="shared" si="414"/>
        <v>2083.3333333333335</v>
      </c>
      <c r="AF505" s="449">
        <f t="shared" si="414"/>
        <v>2083.3333333333335</v>
      </c>
      <c r="AG505" s="449">
        <f t="shared" si="414"/>
        <v>2083.3333333333335</v>
      </c>
      <c r="AH505" s="449">
        <f t="shared" si="414"/>
        <v>2083.3333333333335</v>
      </c>
      <c r="AI505" s="449">
        <f t="shared" si="414"/>
        <v>2083.3333333333335</v>
      </c>
      <c r="AJ505" s="449">
        <f t="shared" si="414"/>
        <v>2083.3333333333335</v>
      </c>
      <c r="AK505" s="449">
        <f t="shared" si="414"/>
        <v>2083.3333333333335</v>
      </c>
      <c r="AL505" s="449">
        <f t="shared" si="414"/>
        <v>2083.3333333333335</v>
      </c>
      <c r="AN505" s="500">
        <f t="shared" si="406"/>
        <v>25000</v>
      </c>
      <c r="AO505" s="449">
        <f t="shared" si="407"/>
        <v>25749.999999999996</v>
      </c>
      <c r="AP505" s="449">
        <f t="shared" si="408"/>
        <v>749.99999999999636</v>
      </c>
      <c r="AQ505" s="453">
        <f t="shared" si="409"/>
        <v>2.9999999999999853E-2</v>
      </c>
      <c r="AR505" s="449">
        <f t="shared" si="410"/>
        <v>25749.999999999996</v>
      </c>
      <c r="AS505" s="449">
        <f t="shared" si="411"/>
        <v>0</v>
      </c>
      <c r="AT505" s="426">
        <f t="shared" si="412"/>
        <v>0</v>
      </c>
      <c r="AU505" s="421"/>
      <c r="AV505" s="449">
        <f t="shared" si="416"/>
        <v>2145.8333333333335</v>
      </c>
      <c r="AW505" s="449">
        <f t="shared" si="416"/>
        <v>2145.8333333333335</v>
      </c>
      <c r="AX505" s="449">
        <f t="shared" si="416"/>
        <v>2145.8333333333335</v>
      </c>
      <c r="AY505" s="449">
        <f t="shared" si="415"/>
        <v>2145.8333333333335</v>
      </c>
      <c r="AZ505" s="449">
        <f t="shared" si="415"/>
        <v>2145.8333333333335</v>
      </c>
      <c r="BA505" s="449">
        <f t="shared" si="415"/>
        <v>2145.8333333333335</v>
      </c>
      <c r="BB505" s="449">
        <f t="shared" si="415"/>
        <v>2145.8333333333335</v>
      </c>
      <c r="BC505" s="449">
        <f t="shared" si="415"/>
        <v>2145.8333333333335</v>
      </c>
      <c r="BD505" s="449">
        <f t="shared" si="415"/>
        <v>2145.8333333333335</v>
      </c>
      <c r="BE505" s="449">
        <f t="shared" si="415"/>
        <v>2145.8333333333335</v>
      </c>
      <c r="BF505" s="449">
        <f t="shared" si="415"/>
        <v>2145.8333333333335</v>
      </c>
      <c r="BG505" s="449">
        <f t="shared" si="415"/>
        <v>2145.8333333333335</v>
      </c>
      <c r="BH505" s="400"/>
      <c r="BI505" s="449">
        <f t="shared" ref="BI505:BT505" si="423">IFERROR(($H505*1.03)/12,0)</f>
        <v>2145.8333333333335</v>
      </c>
      <c r="BJ505" s="449">
        <f t="shared" si="423"/>
        <v>2145.8333333333335</v>
      </c>
      <c r="BK505" s="449">
        <f t="shared" si="423"/>
        <v>2145.8333333333335</v>
      </c>
      <c r="BL505" s="449">
        <f t="shared" si="423"/>
        <v>2145.8333333333335</v>
      </c>
      <c r="BM505" s="449">
        <f t="shared" si="423"/>
        <v>2145.8333333333335</v>
      </c>
      <c r="BN505" s="449">
        <f t="shared" si="423"/>
        <v>2145.8333333333335</v>
      </c>
      <c r="BO505" s="449">
        <f t="shared" si="423"/>
        <v>2145.8333333333335</v>
      </c>
      <c r="BP505" s="449">
        <f t="shared" si="423"/>
        <v>2145.8333333333335</v>
      </c>
      <c r="BQ505" s="449">
        <f t="shared" si="423"/>
        <v>2145.8333333333335</v>
      </c>
      <c r="BR505" s="449">
        <f t="shared" si="423"/>
        <v>2145.8333333333335</v>
      </c>
      <c r="BS505" s="449">
        <f t="shared" si="423"/>
        <v>2145.8333333333335</v>
      </c>
      <c r="BT505" s="449">
        <f t="shared" si="423"/>
        <v>2145.8333333333335</v>
      </c>
    </row>
    <row r="506" spans="1:72" ht="15" x14ac:dyDescent="0.25">
      <c r="A506" s="502" t="s">
        <v>864</v>
      </c>
      <c r="B506" s="502" t="s">
        <v>865</v>
      </c>
      <c r="C506" s="538"/>
      <c r="D506" s="500">
        <f t="shared" si="399"/>
        <v>70000</v>
      </c>
      <c r="E506" s="449">
        <v>70000</v>
      </c>
      <c r="F506" s="449">
        <f t="shared" si="400"/>
        <v>0</v>
      </c>
      <c r="G506" s="421">
        <f t="shared" si="401"/>
        <v>0</v>
      </c>
      <c r="H506" s="449">
        <v>70000</v>
      </c>
      <c r="I506" s="449">
        <f t="shared" si="402"/>
        <v>0</v>
      </c>
      <c r="J506" s="426">
        <f t="shared" si="403"/>
        <v>0</v>
      </c>
      <c r="K506" s="421"/>
      <c r="L506" s="449">
        <v>1469.49</v>
      </c>
      <c r="M506" s="449">
        <v>16462.11</v>
      </c>
      <c r="N506" s="449">
        <v>2281.0399999999972</v>
      </c>
      <c r="O506" s="449">
        <v>3396.6100000000006</v>
      </c>
      <c r="P506" s="449">
        <v>3157.0400000000009</v>
      </c>
      <c r="Q506" s="449">
        <v>598.80999999999767</v>
      </c>
      <c r="R506" s="449">
        <f>($H506-SUM($L506:Q506))/R$694</f>
        <v>7105.8166666666666</v>
      </c>
      <c r="S506" s="449">
        <f>($H506-SUM($L506:R506))/S$694</f>
        <v>7105.8166666666675</v>
      </c>
      <c r="T506" s="449">
        <f>($H506-SUM($L506:S506))/T$694</f>
        <v>7105.8166666666675</v>
      </c>
      <c r="U506" s="449">
        <f>($H506-SUM($L506:T506))/U$694</f>
        <v>7105.8166666666684</v>
      </c>
      <c r="V506" s="449">
        <f>($H506-SUM($L506:U506))/V$694</f>
        <v>7105.8166666666693</v>
      </c>
      <c r="W506" s="449">
        <f>($H506-SUM($L506:V506))/W$694</f>
        <v>7105.8166666666657</v>
      </c>
      <c r="X506" s="449"/>
      <c r="Y506" s="449">
        <f t="shared" si="404"/>
        <v>70000</v>
      </c>
      <c r="Z506" s="531"/>
      <c r="AA506" s="449">
        <f t="shared" si="414"/>
        <v>5833.333333333333</v>
      </c>
      <c r="AB506" s="449">
        <f t="shared" si="414"/>
        <v>5833.333333333333</v>
      </c>
      <c r="AC506" s="449">
        <f t="shared" si="414"/>
        <v>5833.333333333333</v>
      </c>
      <c r="AD506" s="449">
        <f t="shared" si="414"/>
        <v>5833.333333333333</v>
      </c>
      <c r="AE506" s="449">
        <f t="shared" si="414"/>
        <v>5833.333333333333</v>
      </c>
      <c r="AF506" s="449">
        <f t="shared" si="414"/>
        <v>5833.333333333333</v>
      </c>
      <c r="AG506" s="449">
        <f t="shared" si="414"/>
        <v>5833.333333333333</v>
      </c>
      <c r="AH506" s="449">
        <f t="shared" si="414"/>
        <v>5833.333333333333</v>
      </c>
      <c r="AI506" s="449">
        <f t="shared" si="414"/>
        <v>5833.333333333333</v>
      </c>
      <c r="AJ506" s="449">
        <f t="shared" si="414"/>
        <v>5833.333333333333</v>
      </c>
      <c r="AK506" s="449">
        <f t="shared" si="414"/>
        <v>5833.333333333333</v>
      </c>
      <c r="AL506" s="449">
        <f t="shared" si="414"/>
        <v>5833.333333333333</v>
      </c>
      <c r="AN506" s="500">
        <f t="shared" si="406"/>
        <v>70000</v>
      </c>
      <c r="AO506" s="449">
        <f t="shared" si="407"/>
        <v>43259.999999999993</v>
      </c>
      <c r="AP506" s="449">
        <f t="shared" si="408"/>
        <v>-26740.000000000007</v>
      </c>
      <c r="AQ506" s="453">
        <f t="shared" si="409"/>
        <v>-0.38200000000000012</v>
      </c>
      <c r="AR506" s="449">
        <f t="shared" si="410"/>
        <v>43259.999999999993</v>
      </c>
      <c r="AS506" s="449">
        <f t="shared" si="411"/>
        <v>0</v>
      </c>
      <c r="AT506" s="426">
        <f t="shared" si="412"/>
        <v>0</v>
      </c>
      <c r="AU506" s="421"/>
      <c r="AV506" s="449">
        <f t="shared" si="416"/>
        <v>3604.9999999999995</v>
      </c>
      <c r="AW506" s="449">
        <f t="shared" si="416"/>
        <v>3604.9999999999995</v>
      </c>
      <c r="AX506" s="449">
        <f t="shared" si="416"/>
        <v>3604.9999999999995</v>
      </c>
      <c r="AY506" s="449">
        <f t="shared" si="415"/>
        <v>3604.9999999999995</v>
      </c>
      <c r="AZ506" s="449">
        <f t="shared" si="415"/>
        <v>3604.9999999999995</v>
      </c>
      <c r="BA506" s="449">
        <f t="shared" si="415"/>
        <v>3604.9999999999995</v>
      </c>
      <c r="BB506" s="449">
        <f t="shared" si="415"/>
        <v>3604.9999999999995</v>
      </c>
      <c r="BC506" s="449">
        <f t="shared" si="415"/>
        <v>3604.9999999999995</v>
      </c>
      <c r="BD506" s="449">
        <f t="shared" si="415"/>
        <v>3604.9999999999995</v>
      </c>
      <c r="BE506" s="449">
        <f t="shared" si="415"/>
        <v>3604.9999999999995</v>
      </c>
      <c r="BF506" s="449">
        <f t="shared" si="415"/>
        <v>3604.9999999999995</v>
      </c>
      <c r="BG506" s="449">
        <f t="shared" si="415"/>
        <v>3604.9999999999995</v>
      </c>
      <c r="BH506" s="400"/>
      <c r="BI506" s="449">
        <f t="shared" ref="BI506:BT506" si="424">IFERROR(($H506*1.03)/12,0)*0.6</f>
        <v>3604.9999999999995</v>
      </c>
      <c r="BJ506" s="449">
        <f t="shared" si="424"/>
        <v>3604.9999999999995</v>
      </c>
      <c r="BK506" s="449">
        <f t="shared" si="424"/>
        <v>3604.9999999999995</v>
      </c>
      <c r="BL506" s="449">
        <f t="shared" si="424"/>
        <v>3604.9999999999995</v>
      </c>
      <c r="BM506" s="449">
        <f t="shared" si="424"/>
        <v>3604.9999999999995</v>
      </c>
      <c r="BN506" s="449">
        <f t="shared" si="424"/>
        <v>3604.9999999999995</v>
      </c>
      <c r="BO506" s="449">
        <f t="shared" si="424"/>
        <v>3604.9999999999995</v>
      </c>
      <c r="BP506" s="449">
        <f t="shared" si="424"/>
        <v>3604.9999999999995</v>
      </c>
      <c r="BQ506" s="449">
        <f t="shared" si="424"/>
        <v>3604.9999999999995</v>
      </c>
      <c r="BR506" s="449">
        <f t="shared" si="424"/>
        <v>3604.9999999999995</v>
      </c>
      <c r="BS506" s="449">
        <f t="shared" si="424"/>
        <v>3604.9999999999995</v>
      </c>
      <c r="BT506" s="449">
        <f t="shared" si="424"/>
        <v>3604.9999999999995</v>
      </c>
    </row>
    <row r="507" spans="1:72" ht="15" customHeight="1" x14ac:dyDescent="0.25">
      <c r="A507" s="537" t="s">
        <v>866</v>
      </c>
      <c r="B507" s="537" t="s">
        <v>867</v>
      </c>
      <c r="C507" s="541"/>
      <c r="D507" s="500">
        <f>SUM(L507:W507)</f>
        <v>0</v>
      </c>
      <c r="E507" s="449">
        <v>0</v>
      </c>
      <c r="F507" s="449">
        <f t="shared" si="400"/>
        <v>0</v>
      </c>
      <c r="G507" s="421">
        <f t="shared" si="401"/>
        <v>0</v>
      </c>
      <c r="H507" s="449">
        <v>0</v>
      </c>
      <c r="I507" s="449">
        <f t="shared" si="402"/>
        <v>0</v>
      </c>
      <c r="J507" s="426">
        <f t="shared" si="403"/>
        <v>0</v>
      </c>
      <c r="K507" s="421"/>
      <c r="L507" s="449">
        <v>0</v>
      </c>
      <c r="M507" s="449">
        <v>0</v>
      </c>
      <c r="N507" s="449">
        <v>0</v>
      </c>
      <c r="O507" s="449">
        <v>0</v>
      </c>
      <c r="P507" s="449">
        <v>0</v>
      </c>
      <c r="Q507" s="449">
        <v>0</v>
      </c>
      <c r="R507" s="449">
        <f>($H507-SUM($L507:Q507))/R$694</f>
        <v>0</v>
      </c>
      <c r="S507" s="449">
        <f>($H507-SUM($L507:R507))/S$694</f>
        <v>0</v>
      </c>
      <c r="T507" s="449">
        <f>($H507-SUM($L507:S507))/T$694</f>
        <v>0</v>
      </c>
      <c r="U507" s="449">
        <f>($H507-SUM($L507:T507))/U$694</f>
        <v>0</v>
      </c>
      <c r="V507" s="449">
        <f>($H507-SUM($L507:U507))/V$694</f>
        <v>0</v>
      </c>
      <c r="W507" s="449">
        <f>($H507-SUM($L507:V507))/W$694</f>
        <v>0</v>
      </c>
      <c r="X507" s="449"/>
      <c r="Y507" s="449">
        <f t="shared" si="404"/>
        <v>0</v>
      </c>
      <c r="Z507" s="449"/>
      <c r="AA507" s="449">
        <f t="shared" si="414"/>
        <v>0</v>
      </c>
      <c r="AB507" s="449">
        <f t="shared" si="414"/>
        <v>0</v>
      </c>
      <c r="AC507" s="449">
        <f t="shared" si="414"/>
        <v>0</v>
      </c>
      <c r="AD507" s="449">
        <f t="shared" si="414"/>
        <v>0</v>
      </c>
      <c r="AE507" s="449">
        <f t="shared" si="414"/>
        <v>0</v>
      </c>
      <c r="AF507" s="449">
        <f t="shared" si="414"/>
        <v>0</v>
      </c>
      <c r="AG507" s="449">
        <f t="shared" si="414"/>
        <v>0</v>
      </c>
      <c r="AH507" s="449">
        <f t="shared" si="414"/>
        <v>0</v>
      </c>
      <c r="AI507" s="449">
        <f t="shared" si="414"/>
        <v>0</v>
      </c>
      <c r="AJ507" s="449">
        <f t="shared" si="414"/>
        <v>0</v>
      </c>
      <c r="AK507" s="449">
        <f t="shared" si="414"/>
        <v>0</v>
      </c>
      <c r="AL507" s="449">
        <f t="shared" si="414"/>
        <v>0</v>
      </c>
      <c r="AN507" s="500">
        <f>SUM(L507:W507)</f>
        <v>0</v>
      </c>
      <c r="AO507" s="449">
        <f>SUM(BI507:BT507)</f>
        <v>28839.999999999996</v>
      </c>
      <c r="AP507" s="449">
        <f t="shared" si="408"/>
        <v>28839.999999999996</v>
      </c>
      <c r="AQ507" s="453" t="str">
        <f t="shared" si="409"/>
        <v>-</v>
      </c>
      <c r="AR507" s="449">
        <f t="shared" si="410"/>
        <v>28839.999999999996</v>
      </c>
      <c r="AS507" s="449">
        <f t="shared" si="411"/>
        <v>0</v>
      </c>
      <c r="AT507" s="426">
        <f t="shared" si="412"/>
        <v>0</v>
      </c>
      <c r="AU507" s="421"/>
      <c r="AV507" s="449">
        <f t="shared" si="416"/>
        <v>2403.3333333333335</v>
      </c>
      <c r="AW507" s="449">
        <f t="shared" si="416"/>
        <v>2403.3333333333335</v>
      </c>
      <c r="AX507" s="449">
        <f t="shared" si="416"/>
        <v>2403.3333333333335</v>
      </c>
      <c r="AY507" s="449">
        <f t="shared" si="415"/>
        <v>2403.3333333333335</v>
      </c>
      <c r="AZ507" s="449">
        <f t="shared" si="415"/>
        <v>2403.3333333333335</v>
      </c>
      <c r="BA507" s="449">
        <f t="shared" si="415"/>
        <v>2403.3333333333335</v>
      </c>
      <c r="BB507" s="449">
        <f t="shared" si="415"/>
        <v>2403.3333333333335</v>
      </c>
      <c r="BC507" s="449">
        <f t="shared" si="415"/>
        <v>2403.3333333333335</v>
      </c>
      <c r="BD507" s="449">
        <f t="shared" si="415"/>
        <v>2403.3333333333335</v>
      </c>
      <c r="BE507" s="449">
        <f t="shared" si="415"/>
        <v>2403.3333333333335</v>
      </c>
      <c r="BF507" s="449">
        <f t="shared" si="415"/>
        <v>2403.3333333333335</v>
      </c>
      <c r="BG507" s="449">
        <f t="shared" si="415"/>
        <v>2403.3333333333335</v>
      </c>
      <c r="BH507" s="400"/>
      <c r="BI507" s="449">
        <f t="shared" ref="BI507:BT507" si="425">IFERROR(($H506*1.03)/12,0)*0.4</f>
        <v>2403.3333333333335</v>
      </c>
      <c r="BJ507" s="449">
        <f t="shared" si="425"/>
        <v>2403.3333333333335</v>
      </c>
      <c r="BK507" s="449">
        <f t="shared" si="425"/>
        <v>2403.3333333333335</v>
      </c>
      <c r="BL507" s="449">
        <f t="shared" si="425"/>
        <v>2403.3333333333335</v>
      </c>
      <c r="BM507" s="449">
        <f t="shared" si="425"/>
        <v>2403.3333333333335</v>
      </c>
      <c r="BN507" s="449">
        <f t="shared" si="425"/>
        <v>2403.3333333333335</v>
      </c>
      <c r="BO507" s="449">
        <f t="shared" si="425"/>
        <v>2403.3333333333335</v>
      </c>
      <c r="BP507" s="449">
        <f t="shared" si="425"/>
        <v>2403.3333333333335</v>
      </c>
      <c r="BQ507" s="449">
        <f t="shared" si="425"/>
        <v>2403.3333333333335</v>
      </c>
      <c r="BR507" s="449">
        <f t="shared" si="425"/>
        <v>2403.3333333333335</v>
      </c>
      <c r="BS507" s="449">
        <f t="shared" si="425"/>
        <v>2403.3333333333335</v>
      </c>
      <c r="BT507" s="449">
        <f t="shared" si="425"/>
        <v>2403.3333333333335</v>
      </c>
    </row>
    <row r="508" spans="1:72" ht="15" x14ac:dyDescent="0.25">
      <c r="A508" s="502" t="s">
        <v>868</v>
      </c>
      <c r="B508" s="502" t="s">
        <v>869</v>
      </c>
      <c r="C508" s="538"/>
      <c r="D508" s="500">
        <f t="shared" si="399"/>
        <v>5000</v>
      </c>
      <c r="E508" s="449">
        <v>5000</v>
      </c>
      <c r="F508" s="449">
        <f t="shared" si="400"/>
        <v>0</v>
      </c>
      <c r="G508" s="421">
        <f t="shared" si="401"/>
        <v>0</v>
      </c>
      <c r="H508" s="449">
        <v>5000</v>
      </c>
      <c r="I508" s="449">
        <f t="shared" si="402"/>
        <v>0</v>
      </c>
      <c r="J508" s="426">
        <f t="shared" si="403"/>
        <v>0</v>
      </c>
      <c r="K508" s="421"/>
      <c r="L508" s="449">
        <v>0</v>
      </c>
      <c r="M508" s="449">
        <v>1109.0400000000081</v>
      </c>
      <c r="N508" s="449">
        <v>595.5</v>
      </c>
      <c r="O508" s="449">
        <v>1.4551915228366852E-11</v>
      </c>
      <c r="P508" s="449">
        <v>-1.4551915228366852E-11</v>
      </c>
      <c r="Q508" s="449">
        <v>-8.1854523159563541E-12</v>
      </c>
      <c r="R508" s="449">
        <f>($H508-SUM($L508:Q508))/R$694</f>
        <v>549.24333333333334</v>
      </c>
      <c r="S508" s="449">
        <f>($H508-SUM($L508:R508))/S$694</f>
        <v>549.24333333333334</v>
      </c>
      <c r="T508" s="449">
        <f>($H508-SUM($L508:S508))/T$694</f>
        <v>549.24333333333334</v>
      </c>
      <c r="U508" s="449">
        <f>($H508-SUM($L508:T508))/U$694</f>
        <v>549.24333333333334</v>
      </c>
      <c r="V508" s="449">
        <f>($H508-SUM($L508:U508))/V$694</f>
        <v>549.24333333333334</v>
      </c>
      <c r="W508" s="449">
        <f>($H508-SUM($L508:V508))/W$694</f>
        <v>549.24333333333379</v>
      </c>
      <c r="X508" s="449"/>
      <c r="Y508" s="449">
        <f t="shared" si="404"/>
        <v>5000</v>
      </c>
      <c r="Z508" s="531"/>
      <c r="AA508" s="449">
        <f t="shared" si="414"/>
        <v>416.66666666666669</v>
      </c>
      <c r="AB508" s="449">
        <f t="shared" si="414"/>
        <v>416.66666666666669</v>
      </c>
      <c r="AC508" s="449">
        <f t="shared" si="414"/>
        <v>416.66666666666669</v>
      </c>
      <c r="AD508" s="449">
        <f t="shared" si="414"/>
        <v>416.66666666666669</v>
      </c>
      <c r="AE508" s="449">
        <f t="shared" si="414"/>
        <v>416.66666666666669</v>
      </c>
      <c r="AF508" s="449">
        <f t="shared" si="414"/>
        <v>416.66666666666669</v>
      </c>
      <c r="AG508" s="449">
        <f t="shared" si="414"/>
        <v>416.66666666666669</v>
      </c>
      <c r="AH508" s="449">
        <f t="shared" si="414"/>
        <v>416.66666666666669</v>
      </c>
      <c r="AI508" s="449">
        <f t="shared" si="414"/>
        <v>416.66666666666669</v>
      </c>
      <c r="AJ508" s="449">
        <f t="shared" si="414"/>
        <v>416.66666666666669</v>
      </c>
      <c r="AK508" s="449">
        <f t="shared" si="414"/>
        <v>416.66666666666669</v>
      </c>
      <c r="AL508" s="449">
        <f t="shared" si="414"/>
        <v>416.66666666666669</v>
      </c>
      <c r="AN508" s="500">
        <f t="shared" si="406"/>
        <v>5000</v>
      </c>
      <c r="AO508" s="449">
        <f t="shared" si="407"/>
        <v>5150</v>
      </c>
      <c r="AP508" s="449">
        <f t="shared" si="408"/>
        <v>150</v>
      </c>
      <c r="AQ508" s="453">
        <f t="shared" si="409"/>
        <v>0.03</v>
      </c>
      <c r="AR508" s="449">
        <f t="shared" si="410"/>
        <v>5150</v>
      </c>
      <c r="AS508" s="449">
        <f t="shared" si="411"/>
        <v>0</v>
      </c>
      <c r="AT508" s="426">
        <f t="shared" si="412"/>
        <v>0</v>
      </c>
      <c r="AU508" s="421"/>
      <c r="AV508" s="449">
        <f t="shared" si="416"/>
        <v>429.16666666666669</v>
      </c>
      <c r="AW508" s="449">
        <f t="shared" si="416"/>
        <v>429.16666666666669</v>
      </c>
      <c r="AX508" s="449">
        <f t="shared" si="416"/>
        <v>429.16666666666669</v>
      </c>
      <c r="AY508" s="449">
        <f t="shared" si="415"/>
        <v>429.16666666666669</v>
      </c>
      <c r="AZ508" s="449">
        <f t="shared" si="415"/>
        <v>429.16666666666669</v>
      </c>
      <c r="BA508" s="449">
        <f t="shared" si="415"/>
        <v>429.16666666666669</v>
      </c>
      <c r="BB508" s="449">
        <f t="shared" si="415"/>
        <v>429.16666666666669</v>
      </c>
      <c r="BC508" s="449">
        <f t="shared" si="415"/>
        <v>429.16666666666669</v>
      </c>
      <c r="BD508" s="449">
        <f t="shared" si="415"/>
        <v>429.16666666666669</v>
      </c>
      <c r="BE508" s="449">
        <f t="shared" si="415"/>
        <v>429.16666666666669</v>
      </c>
      <c r="BF508" s="449">
        <f t="shared" si="415"/>
        <v>429.16666666666669</v>
      </c>
      <c r="BG508" s="449">
        <f t="shared" si="415"/>
        <v>429.16666666666669</v>
      </c>
      <c r="BH508" s="400"/>
      <c r="BI508" s="449">
        <f t="shared" ref="BI508:BT508" si="426">IFERROR(($H508*1.03)/12,0)</f>
        <v>429.16666666666669</v>
      </c>
      <c r="BJ508" s="449">
        <f t="shared" si="426"/>
        <v>429.16666666666669</v>
      </c>
      <c r="BK508" s="449">
        <f t="shared" si="426"/>
        <v>429.16666666666669</v>
      </c>
      <c r="BL508" s="449">
        <f t="shared" si="426"/>
        <v>429.16666666666669</v>
      </c>
      <c r="BM508" s="449">
        <f t="shared" si="426"/>
        <v>429.16666666666669</v>
      </c>
      <c r="BN508" s="449">
        <f t="shared" si="426"/>
        <v>429.16666666666669</v>
      </c>
      <c r="BO508" s="449">
        <f t="shared" si="426"/>
        <v>429.16666666666669</v>
      </c>
      <c r="BP508" s="449">
        <f t="shared" si="426"/>
        <v>429.16666666666669</v>
      </c>
      <c r="BQ508" s="449">
        <f t="shared" si="426"/>
        <v>429.16666666666669</v>
      </c>
      <c r="BR508" s="449">
        <f t="shared" si="426"/>
        <v>429.16666666666669</v>
      </c>
      <c r="BS508" s="449">
        <f t="shared" si="426"/>
        <v>429.16666666666669</v>
      </c>
      <c r="BT508" s="449">
        <f t="shared" si="426"/>
        <v>429.16666666666669</v>
      </c>
    </row>
    <row r="509" spans="1:72" ht="13.5" customHeight="1" x14ac:dyDescent="0.25">
      <c r="A509" s="502" t="s">
        <v>870</v>
      </c>
      <c r="B509" s="502" t="s">
        <v>871</v>
      </c>
      <c r="C509" s="602"/>
      <c r="D509" s="500">
        <f t="shared" si="399"/>
        <v>979728</v>
      </c>
      <c r="E509" s="449">
        <v>1107132</v>
      </c>
      <c r="F509" s="449">
        <f t="shared" si="400"/>
        <v>-127404</v>
      </c>
      <c r="G509" s="421">
        <f t="shared" si="401"/>
        <v>-0.11507570912953469</v>
      </c>
      <c r="H509" s="449">
        <v>979728</v>
      </c>
      <c r="I509" s="449">
        <f t="shared" si="402"/>
        <v>0</v>
      </c>
      <c r="J509" s="426">
        <f t="shared" si="403"/>
        <v>0</v>
      </c>
      <c r="K509" s="421"/>
      <c r="L509" s="449">
        <v>77047.839999999997</v>
      </c>
      <c r="M509" s="449">
        <v>24086.059999999998</v>
      </c>
      <c r="N509" s="449">
        <v>50566.950000000012</v>
      </c>
      <c r="O509" s="449">
        <v>50566.949999999983</v>
      </c>
      <c r="P509" s="449">
        <v>50566.950000000012</v>
      </c>
      <c r="Q509" s="449">
        <v>123596.23999999993</v>
      </c>
      <c r="R509" s="449">
        <f>($H509-SUM($L509:Q509))/R$694</f>
        <v>100549.50166666666</v>
      </c>
      <c r="S509" s="449">
        <f>($H509-SUM($L509:R509))/S$694</f>
        <v>100549.50166666668</v>
      </c>
      <c r="T509" s="449">
        <f>($H509-SUM($L509:S509))/T$694</f>
        <v>100549.50166666668</v>
      </c>
      <c r="U509" s="449">
        <f>($H509-SUM($L509:T509))/U$694</f>
        <v>100549.50166666666</v>
      </c>
      <c r="V509" s="449">
        <f>($H509-SUM($L509:U509))/V$694</f>
        <v>100549.50166666665</v>
      </c>
      <c r="W509" s="449">
        <f>($H509-SUM($L509:V509))/W$694</f>
        <v>100549.50166666671</v>
      </c>
      <c r="X509" s="449"/>
      <c r="Y509" s="449">
        <f t="shared" si="404"/>
        <v>979728</v>
      </c>
      <c r="Z509" s="501"/>
      <c r="AA509" s="449">
        <f t="shared" si="414"/>
        <v>81644</v>
      </c>
      <c r="AB509" s="449">
        <f t="shared" si="414"/>
        <v>81644</v>
      </c>
      <c r="AC509" s="449">
        <f t="shared" si="414"/>
        <v>81644</v>
      </c>
      <c r="AD509" s="449">
        <f t="shared" si="414"/>
        <v>81644</v>
      </c>
      <c r="AE509" s="449">
        <f t="shared" si="414"/>
        <v>81644</v>
      </c>
      <c r="AF509" s="449">
        <f t="shared" si="414"/>
        <v>81644</v>
      </c>
      <c r="AG509" s="449">
        <f t="shared" si="414"/>
        <v>81644</v>
      </c>
      <c r="AH509" s="449">
        <f t="shared" si="414"/>
        <v>81644</v>
      </c>
      <c r="AI509" s="449">
        <f t="shared" si="414"/>
        <v>81644</v>
      </c>
      <c r="AJ509" s="449">
        <f t="shared" si="414"/>
        <v>81644</v>
      </c>
      <c r="AK509" s="449">
        <f t="shared" si="414"/>
        <v>81644</v>
      </c>
      <c r="AL509" s="449">
        <f t="shared" si="414"/>
        <v>81644</v>
      </c>
      <c r="AN509" s="500">
        <f t="shared" si="406"/>
        <v>979728</v>
      </c>
      <c r="AO509" s="449">
        <f t="shared" si="407"/>
        <v>1397481.9400000002</v>
      </c>
      <c r="AP509" s="449">
        <f t="shared" si="408"/>
        <v>417753.94000000018</v>
      </c>
      <c r="AQ509" s="453">
        <f t="shared" si="409"/>
        <v>0.42639787777832233</v>
      </c>
      <c r="AR509" s="449">
        <f t="shared" si="410"/>
        <v>1397481.9400000002</v>
      </c>
      <c r="AS509" s="449">
        <f t="shared" si="411"/>
        <v>0</v>
      </c>
      <c r="AT509" s="426">
        <f t="shared" si="412"/>
        <v>0</v>
      </c>
      <c r="AU509" s="421"/>
      <c r="AV509" s="449">
        <f t="shared" si="416"/>
        <v>116456.82833333332</v>
      </c>
      <c r="AW509" s="449">
        <f t="shared" si="416"/>
        <v>116456.82833333332</v>
      </c>
      <c r="AX509" s="449">
        <f t="shared" si="416"/>
        <v>116456.82833333332</v>
      </c>
      <c r="AY509" s="449">
        <f t="shared" si="415"/>
        <v>116456.82833333332</v>
      </c>
      <c r="AZ509" s="449">
        <f t="shared" si="415"/>
        <v>116456.82833333332</v>
      </c>
      <c r="BA509" s="449">
        <f t="shared" si="415"/>
        <v>116456.82833333332</v>
      </c>
      <c r="BB509" s="449">
        <f t="shared" si="415"/>
        <v>116456.82833333332</v>
      </c>
      <c r="BC509" s="449">
        <f t="shared" si="415"/>
        <v>116456.82833333332</v>
      </c>
      <c r="BD509" s="449">
        <f t="shared" si="415"/>
        <v>116456.82833333332</v>
      </c>
      <c r="BE509" s="449">
        <f t="shared" si="415"/>
        <v>116456.82833333332</v>
      </c>
      <c r="BF509" s="449">
        <f t="shared" si="415"/>
        <v>116456.82833333332</v>
      </c>
      <c r="BG509" s="449">
        <f t="shared" si="415"/>
        <v>116456.82833333332</v>
      </c>
      <c r="BH509" s="400"/>
      <c r="BI509" s="449">
        <f>IFERROR(($AO$644)/12,0)-BI510</f>
        <v>116456.82833333332</v>
      </c>
      <c r="BJ509" s="449">
        <f t="shared" ref="BJ509:BT509" si="427">IFERROR(($AO$644)/12,0)-BJ510</f>
        <v>116456.82833333332</v>
      </c>
      <c r="BK509" s="449">
        <f t="shared" si="427"/>
        <v>116456.82833333332</v>
      </c>
      <c r="BL509" s="449">
        <f t="shared" si="427"/>
        <v>116456.82833333332</v>
      </c>
      <c r="BM509" s="449">
        <f t="shared" si="427"/>
        <v>116456.82833333332</v>
      </c>
      <c r="BN509" s="449">
        <f t="shared" si="427"/>
        <v>116456.82833333332</v>
      </c>
      <c r="BO509" s="449">
        <f t="shared" si="427"/>
        <v>116456.82833333332</v>
      </c>
      <c r="BP509" s="449">
        <f t="shared" si="427"/>
        <v>116456.82833333332</v>
      </c>
      <c r="BQ509" s="449">
        <f t="shared" si="427"/>
        <v>116456.82833333332</v>
      </c>
      <c r="BR509" s="449">
        <f t="shared" si="427"/>
        <v>116456.82833333332</v>
      </c>
      <c r="BS509" s="449">
        <f t="shared" si="427"/>
        <v>116456.82833333332</v>
      </c>
      <c r="BT509" s="449">
        <f t="shared" si="427"/>
        <v>116456.82833333332</v>
      </c>
    </row>
    <row r="510" spans="1:72" ht="15" x14ac:dyDescent="0.25">
      <c r="A510" s="502" t="s">
        <v>872</v>
      </c>
      <c r="B510" s="502" t="s">
        <v>873</v>
      </c>
      <c r="C510" s="602"/>
      <c r="D510" s="500">
        <f t="shared" si="399"/>
        <v>331370</v>
      </c>
      <c r="E510" s="449">
        <v>308454</v>
      </c>
      <c r="F510" s="449">
        <f t="shared" si="400"/>
        <v>22916</v>
      </c>
      <c r="G510" s="421">
        <f t="shared" si="401"/>
        <v>7.4293087461987845E-2</v>
      </c>
      <c r="H510" s="449">
        <v>331370</v>
      </c>
      <c r="I510" s="449">
        <f t="shared" si="402"/>
        <v>0</v>
      </c>
      <c r="J510" s="426">
        <f t="shared" si="403"/>
        <v>0</v>
      </c>
      <c r="K510" s="421"/>
      <c r="L510" s="449">
        <v>0</v>
      </c>
      <c r="M510" s="449">
        <v>52942.559999999998</v>
      </c>
      <c r="N510" s="449">
        <v>26471.279999999999</v>
      </c>
      <c r="O510" s="449">
        <v>26471.279999999999</v>
      </c>
      <c r="P510" s="449">
        <v>26471.279999999999</v>
      </c>
      <c r="Q510" s="449">
        <v>23567.260000000009</v>
      </c>
      <c r="R510" s="449">
        <f>($H510-SUM($L510:Q510))/R$694</f>
        <v>29241.056666666667</v>
      </c>
      <c r="S510" s="449">
        <f>($H510-SUM($L510:R510))/S$694</f>
        <v>29241.056666666664</v>
      </c>
      <c r="T510" s="449">
        <f>($H510-SUM($L510:S510))/T$694</f>
        <v>29241.056666666664</v>
      </c>
      <c r="U510" s="449">
        <f>($H510-SUM($L510:T510))/U$694</f>
        <v>29241.05666666666</v>
      </c>
      <c r="V510" s="449">
        <f>($H510-SUM($L510:U510))/V$694</f>
        <v>29241.056666666671</v>
      </c>
      <c r="W510" s="449">
        <f>($H510-SUM($L510:V510))/W$694</f>
        <v>29241.056666666642</v>
      </c>
      <c r="X510" s="449"/>
      <c r="Y510" s="449">
        <f t="shared" si="404"/>
        <v>331370</v>
      </c>
      <c r="Z510" s="501"/>
      <c r="AA510" s="449">
        <f t="shared" si="414"/>
        <v>27614.166666666668</v>
      </c>
      <c r="AB510" s="449">
        <f t="shared" si="414"/>
        <v>27614.166666666668</v>
      </c>
      <c r="AC510" s="449">
        <f t="shared" si="414"/>
        <v>27614.166666666668</v>
      </c>
      <c r="AD510" s="449">
        <f t="shared" si="414"/>
        <v>27614.166666666668</v>
      </c>
      <c r="AE510" s="449">
        <f t="shared" si="414"/>
        <v>27614.166666666668</v>
      </c>
      <c r="AF510" s="449">
        <f t="shared" si="414"/>
        <v>27614.166666666668</v>
      </c>
      <c r="AG510" s="449">
        <f t="shared" si="414"/>
        <v>27614.166666666668</v>
      </c>
      <c r="AH510" s="449">
        <f t="shared" si="414"/>
        <v>27614.166666666668</v>
      </c>
      <c r="AI510" s="449">
        <f t="shared" si="414"/>
        <v>27614.166666666668</v>
      </c>
      <c r="AJ510" s="449">
        <f t="shared" si="414"/>
        <v>27614.166666666668</v>
      </c>
      <c r="AK510" s="449">
        <f t="shared" si="414"/>
        <v>27614.166666666668</v>
      </c>
      <c r="AL510" s="449">
        <f t="shared" si="414"/>
        <v>27614.166666666668</v>
      </c>
      <c r="AN510" s="500">
        <f t="shared" si="406"/>
        <v>331370</v>
      </c>
      <c r="AO510" s="449">
        <f t="shared" si="407"/>
        <v>365717.55999999988</v>
      </c>
      <c r="AP510" s="449">
        <f t="shared" si="408"/>
        <v>34347.559999999881</v>
      </c>
      <c r="AQ510" s="453">
        <f t="shared" si="409"/>
        <v>0.10365319733228681</v>
      </c>
      <c r="AR510" s="449">
        <f t="shared" si="410"/>
        <v>365717.55999999988</v>
      </c>
      <c r="AS510" s="449">
        <f t="shared" si="411"/>
        <v>0</v>
      </c>
      <c r="AT510" s="426">
        <f t="shared" si="412"/>
        <v>0</v>
      </c>
      <c r="AU510" s="421"/>
      <c r="AV510" s="449">
        <f t="shared" si="416"/>
        <v>30476.463333333333</v>
      </c>
      <c r="AW510" s="449">
        <f t="shared" si="416"/>
        <v>30476.463333333333</v>
      </c>
      <c r="AX510" s="449">
        <f t="shared" si="416"/>
        <v>30476.463333333333</v>
      </c>
      <c r="AY510" s="449">
        <f t="shared" si="415"/>
        <v>30476.463333333333</v>
      </c>
      <c r="AZ510" s="449">
        <f t="shared" si="415"/>
        <v>30476.463333333333</v>
      </c>
      <c r="BA510" s="449">
        <f t="shared" si="415"/>
        <v>30476.463333333333</v>
      </c>
      <c r="BB510" s="449">
        <f t="shared" si="415"/>
        <v>30476.463333333333</v>
      </c>
      <c r="BC510" s="449">
        <f t="shared" si="415"/>
        <v>30476.463333333333</v>
      </c>
      <c r="BD510" s="449">
        <f t="shared" si="415"/>
        <v>30476.463333333333</v>
      </c>
      <c r="BE510" s="449">
        <f t="shared" si="415"/>
        <v>30476.463333333333</v>
      </c>
      <c r="BF510" s="449">
        <f t="shared" si="415"/>
        <v>30476.463333333333</v>
      </c>
      <c r="BG510" s="449">
        <f t="shared" si="415"/>
        <v>30476.463333333333</v>
      </c>
      <c r="BH510" s="400"/>
      <c r="BI510" s="449">
        <f>+(277*BI6)/12</f>
        <v>30476.463333333333</v>
      </c>
      <c r="BJ510" s="449">
        <f t="shared" ref="BJ510:BT510" si="428">+(277*BJ6)/12</f>
        <v>30476.463333333333</v>
      </c>
      <c r="BK510" s="449">
        <f t="shared" si="428"/>
        <v>30476.463333333333</v>
      </c>
      <c r="BL510" s="449">
        <f t="shared" si="428"/>
        <v>30476.463333333333</v>
      </c>
      <c r="BM510" s="449">
        <f t="shared" si="428"/>
        <v>30476.463333333333</v>
      </c>
      <c r="BN510" s="449">
        <f t="shared" si="428"/>
        <v>30476.463333333333</v>
      </c>
      <c r="BO510" s="449">
        <f t="shared" si="428"/>
        <v>30476.463333333333</v>
      </c>
      <c r="BP510" s="449">
        <f t="shared" si="428"/>
        <v>30476.463333333333</v>
      </c>
      <c r="BQ510" s="449">
        <f t="shared" si="428"/>
        <v>30476.463333333333</v>
      </c>
      <c r="BR510" s="449">
        <f t="shared" si="428"/>
        <v>30476.463333333333</v>
      </c>
      <c r="BS510" s="449">
        <f t="shared" si="428"/>
        <v>30476.463333333333</v>
      </c>
      <c r="BT510" s="449">
        <f t="shared" si="428"/>
        <v>30476.463333333333</v>
      </c>
    </row>
    <row r="511" spans="1:72" ht="15" x14ac:dyDescent="0.25">
      <c r="A511" s="502" t="s">
        <v>874</v>
      </c>
      <c r="B511" s="502" t="s">
        <v>875</v>
      </c>
      <c r="C511" s="596"/>
      <c r="D511" s="500">
        <f t="shared" si="399"/>
        <v>39000</v>
      </c>
      <c r="E511" s="449">
        <v>60000</v>
      </c>
      <c r="F511" s="449">
        <f t="shared" si="400"/>
        <v>-21000</v>
      </c>
      <c r="G511" s="421">
        <f t="shared" si="401"/>
        <v>-0.35</v>
      </c>
      <c r="H511" s="449">
        <v>39000</v>
      </c>
      <c r="I511" s="449">
        <f t="shared" si="402"/>
        <v>0</v>
      </c>
      <c r="J511" s="426">
        <f t="shared" si="403"/>
        <v>0</v>
      </c>
      <c r="K511" s="421"/>
      <c r="L511" s="449">
        <v>2565.67</v>
      </c>
      <c r="M511" s="449">
        <v>5117.07</v>
      </c>
      <c r="N511" s="449">
        <v>1674.5300000000007</v>
      </c>
      <c r="O511" s="449">
        <v>1790.6599999999999</v>
      </c>
      <c r="P511" s="449">
        <v>4963.25</v>
      </c>
      <c r="Q511" s="449">
        <v>1556.0400000000009</v>
      </c>
      <c r="R511" s="449">
        <f>($H511-SUM($L511:Q511))/R$694</f>
        <v>3555.4633333333331</v>
      </c>
      <c r="S511" s="449">
        <f>($H511-SUM($L511:R511))/S$694</f>
        <v>3555.4633333333331</v>
      </c>
      <c r="T511" s="449">
        <f>($H511-SUM($L511:S511))/T$694</f>
        <v>3555.4633333333331</v>
      </c>
      <c r="U511" s="449">
        <f>($H511-SUM($L511:T511))/U$694</f>
        <v>3555.4633333333331</v>
      </c>
      <c r="V511" s="449">
        <f>($H511-SUM($L511:U511))/V$694</f>
        <v>3555.4633333333331</v>
      </c>
      <c r="W511" s="449">
        <f>($H511-SUM($L511:V511))/W$694</f>
        <v>3555.4633333333331</v>
      </c>
      <c r="X511" s="449"/>
      <c r="Y511" s="449">
        <f t="shared" si="404"/>
        <v>39000</v>
      </c>
      <c r="Z511" s="531"/>
      <c r="AA511" s="449">
        <f t="shared" ref="AA511:AL525" si="429">IFERROR($H511/12,0)</f>
        <v>3250</v>
      </c>
      <c r="AB511" s="449">
        <f t="shared" si="429"/>
        <v>3250</v>
      </c>
      <c r="AC511" s="449">
        <f t="shared" si="429"/>
        <v>3250</v>
      </c>
      <c r="AD511" s="449">
        <f t="shared" si="429"/>
        <v>3250</v>
      </c>
      <c r="AE511" s="449">
        <f t="shared" si="429"/>
        <v>3250</v>
      </c>
      <c r="AF511" s="449">
        <f t="shared" si="429"/>
        <v>3250</v>
      </c>
      <c r="AG511" s="449">
        <f t="shared" si="429"/>
        <v>3250</v>
      </c>
      <c r="AH511" s="449">
        <f t="shared" si="429"/>
        <v>3250</v>
      </c>
      <c r="AI511" s="449">
        <f t="shared" si="429"/>
        <v>3250</v>
      </c>
      <c r="AJ511" s="449">
        <f t="shared" si="429"/>
        <v>3250</v>
      </c>
      <c r="AK511" s="449">
        <f t="shared" si="429"/>
        <v>3250</v>
      </c>
      <c r="AL511" s="449">
        <f t="shared" si="429"/>
        <v>3250</v>
      </c>
      <c r="AN511" s="500">
        <f t="shared" si="406"/>
        <v>39000</v>
      </c>
      <c r="AO511" s="449">
        <f t="shared" si="407"/>
        <v>40170</v>
      </c>
      <c r="AP511" s="449">
        <f t="shared" si="408"/>
        <v>1170</v>
      </c>
      <c r="AQ511" s="453">
        <f t="shared" si="409"/>
        <v>0.03</v>
      </c>
      <c r="AR511" s="449">
        <f t="shared" si="410"/>
        <v>40170</v>
      </c>
      <c r="AS511" s="449">
        <f t="shared" si="411"/>
        <v>0</v>
      </c>
      <c r="AT511" s="426">
        <f t="shared" si="412"/>
        <v>0</v>
      </c>
      <c r="AU511" s="421"/>
      <c r="AV511" s="449">
        <f t="shared" si="416"/>
        <v>3347.5</v>
      </c>
      <c r="AW511" s="449">
        <f t="shared" si="416"/>
        <v>3347.5</v>
      </c>
      <c r="AX511" s="449">
        <f t="shared" si="416"/>
        <v>3347.5</v>
      </c>
      <c r="AY511" s="449">
        <f t="shared" si="415"/>
        <v>3347.5</v>
      </c>
      <c r="AZ511" s="449">
        <f t="shared" si="415"/>
        <v>3347.5</v>
      </c>
      <c r="BA511" s="449">
        <f t="shared" si="415"/>
        <v>3347.5</v>
      </c>
      <c r="BB511" s="449">
        <f t="shared" si="415"/>
        <v>3347.5</v>
      </c>
      <c r="BC511" s="449">
        <f t="shared" si="415"/>
        <v>3347.5</v>
      </c>
      <c r="BD511" s="449">
        <f t="shared" si="415"/>
        <v>3347.5</v>
      </c>
      <c r="BE511" s="449">
        <f t="shared" si="415"/>
        <v>3347.5</v>
      </c>
      <c r="BF511" s="449">
        <f t="shared" si="415"/>
        <v>3347.5</v>
      </c>
      <c r="BG511" s="449">
        <f t="shared" si="415"/>
        <v>3347.5</v>
      </c>
      <c r="BH511" s="400"/>
      <c r="BI511" s="449">
        <f t="shared" ref="BI511:BT511" si="430">IFERROR(($H511*1.03)/12,0)</f>
        <v>3347.5</v>
      </c>
      <c r="BJ511" s="449">
        <f t="shared" si="430"/>
        <v>3347.5</v>
      </c>
      <c r="BK511" s="449">
        <f t="shared" si="430"/>
        <v>3347.5</v>
      </c>
      <c r="BL511" s="449">
        <f t="shared" si="430"/>
        <v>3347.5</v>
      </c>
      <c r="BM511" s="449">
        <f t="shared" si="430"/>
        <v>3347.5</v>
      </c>
      <c r="BN511" s="449">
        <f t="shared" si="430"/>
        <v>3347.5</v>
      </c>
      <c r="BO511" s="449">
        <f t="shared" si="430"/>
        <v>3347.5</v>
      </c>
      <c r="BP511" s="449">
        <f t="shared" si="430"/>
        <v>3347.5</v>
      </c>
      <c r="BQ511" s="449">
        <f t="shared" si="430"/>
        <v>3347.5</v>
      </c>
      <c r="BR511" s="449">
        <f t="shared" si="430"/>
        <v>3347.5</v>
      </c>
      <c r="BS511" s="449">
        <f t="shared" si="430"/>
        <v>3347.5</v>
      </c>
      <c r="BT511" s="449">
        <f t="shared" si="430"/>
        <v>3347.5</v>
      </c>
    </row>
    <row r="512" spans="1:72" ht="15" x14ac:dyDescent="0.25">
      <c r="A512" s="502" t="s">
        <v>876</v>
      </c>
      <c r="B512" s="502" t="s">
        <v>877</v>
      </c>
      <c r="C512" s="543" t="s">
        <v>878</v>
      </c>
      <c r="D512" s="500">
        <f t="shared" si="399"/>
        <v>33000</v>
      </c>
      <c r="E512" s="449">
        <v>28588</v>
      </c>
      <c r="F512" s="449">
        <f t="shared" si="400"/>
        <v>4412</v>
      </c>
      <c r="G512" s="421">
        <f t="shared" si="401"/>
        <v>0.15433048831677626</v>
      </c>
      <c r="H512" s="449">
        <v>33000</v>
      </c>
      <c r="I512" s="449">
        <f t="shared" si="402"/>
        <v>0</v>
      </c>
      <c r="J512" s="426">
        <f t="shared" si="403"/>
        <v>0</v>
      </c>
      <c r="K512" s="421"/>
      <c r="L512" s="449">
        <v>3709.32</v>
      </c>
      <c r="M512" s="449">
        <v>3275.2599999999998</v>
      </c>
      <c r="N512" s="449">
        <v>2410.2900000000009</v>
      </c>
      <c r="O512" s="449">
        <v>1545.6399999999994</v>
      </c>
      <c r="P512" s="449">
        <v>3662.6299999999992</v>
      </c>
      <c r="Q512" s="449">
        <v>1230.1499999999996</v>
      </c>
      <c r="R512" s="449">
        <f>($H512-SUM($L512:Q512))/R$694</f>
        <v>2861.1183333333333</v>
      </c>
      <c r="S512" s="449">
        <f>($H512-SUM($L512:R512))/S$694</f>
        <v>2861.1183333333333</v>
      </c>
      <c r="T512" s="449">
        <f>($H512-SUM($L512:S512))/T$694</f>
        <v>2861.1183333333338</v>
      </c>
      <c r="U512" s="449">
        <f>($H512-SUM($L512:T512))/U$694</f>
        <v>2861.1183333333342</v>
      </c>
      <c r="V512" s="449">
        <f>($H512-SUM($L512:U512))/V$694</f>
        <v>2861.1183333333338</v>
      </c>
      <c r="W512" s="449">
        <f>($H512-SUM($L512:V512))/W$694</f>
        <v>2861.118333333332</v>
      </c>
      <c r="X512" s="449"/>
      <c r="Y512" s="449">
        <f t="shared" si="404"/>
        <v>33000</v>
      </c>
      <c r="Z512" s="531"/>
      <c r="AA512" s="449">
        <f t="shared" si="429"/>
        <v>2750</v>
      </c>
      <c r="AB512" s="449">
        <f t="shared" si="429"/>
        <v>2750</v>
      </c>
      <c r="AC512" s="449">
        <f t="shared" si="429"/>
        <v>2750</v>
      </c>
      <c r="AD512" s="449">
        <f t="shared" si="429"/>
        <v>2750</v>
      </c>
      <c r="AE512" s="449">
        <f t="shared" si="429"/>
        <v>2750</v>
      </c>
      <c r="AF512" s="449">
        <f t="shared" si="429"/>
        <v>2750</v>
      </c>
      <c r="AG512" s="449">
        <f t="shared" si="429"/>
        <v>2750</v>
      </c>
      <c r="AH512" s="449">
        <f t="shared" si="429"/>
        <v>2750</v>
      </c>
      <c r="AI512" s="449">
        <f t="shared" si="429"/>
        <v>2750</v>
      </c>
      <c r="AJ512" s="449">
        <f t="shared" si="429"/>
        <v>2750</v>
      </c>
      <c r="AK512" s="449">
        <f t="shared" si="429"/>
        <v>2750</v>
      </c>
      <c r="AL512" s="449">
        <f t="shared" si="429"/>
        <v>2750</v>
      </c>
      <c r="AN512" s="500">
        <f t="shared" si="406"/>
        <v>33000</v>
      </c>
      <c r="AO512" s="449">
        <f t="shared" si="407"/>
        <v>20394</v>
      </c>
      <c r="AP512" s="449">
        <f t="shared" si="408"/>
        <v>-12606</v>
      </c>
      <c r="AQ512" s="453">
        <f t="shared" si="409"/>
        <v>-0.38200000000000001</v>
      </c>
      <c r="AR512" s="449">
        <f t="shared" si="410"/>
        <v>20394</v>
      </c>
      <c r="AS512" s="449">
        <f t="shared" si="411"/>
        <v>0</v>
      </c>
      <c r="AT512" s="426">
        <f t="shared" si="412"/>
        <v>0</v>
      </c>
      <c r="AU512" s="421"/>
      <c r="AV512" s="449">
        <f t="shared" si="416"/>
        <v>1699.5</v>
      </c>
      <c r="AW512" s="449">
        <f t="shared" si="416"/>
        <v>1699.5</v>
      </c>
      <c r="AX512" s="449">
        <f t="shared" si="416"/>
        <v>1699.5</v>
      </c>
      <c r="AY512" s="449">
        <f t="shared" si="415"/>
        <v>1699.5</v>
      </c>
      <c r="AZ512" s="449">
        <f t="shared" si="415"/>
        <v>1699.5</v>
      </c>
      <c r="BA512" s="449">
        <f t="shared" si="415"/>
        <v>1699.5</v>
      </c>
      <c r="BB512" s="449">
        <f t="shared" si="415"/>
        <v>1699.5</v>
      </c>
      <c r="BC512" s="449">
        <f t="shared" si="415"/>
        <v>1699.5</v>
      </c>
      <c r="BD512" s="449">
        <f t="shared" si="415"/>
        <v>1699.5</v>
      </c>
      <c r="BE512" s="449">
        <f t="shared" si="415"/>
        <v>1699.5</v>
      </c>
      <c r="BF512" s="449">
        <f t="shared" si="415"/>
        <v>1699.5</v>
      </c>
      <c r="BG512" s="449">
        <f t="shared" si="415"/>
        <v>1699.5</v>
      </c>
      <c r="BH512" s="400"/>
      <c r="BI512" s="449">
        <f t="shared" ref="BI512:BT512" si="431">IFERROR(($H512*1.03)/12,0)*0.6</f>
        <v>1699.5</v>
      </c>
      <c r="BJ512" s="449">
        <f t="shared" si="431"/>
        <v>1699.5</v>
      </c>
      <c r="BK512" s="449">
        <f t="shared" si="431"/>
        <v>1699.5</v>
      </c>
      <c r="BL512" s="449">
        <f t="shared" si="431"/>
        <v>1699.5</v>
      </c>
      <c r="BM512" s="449">
        <f t="shared" si="431"/>
        <v>1699.5</v>
      </c>
      <c r="BN512" s="449">
        <f t="shared" si="431"/>
        <v>1699.5</v>
      </c>
      <c r="BO512" s="449">
        <f t="shared" si="431"/>
        <v>1699.5</v>
      </c>
      <c r="BP512" s="449">
        <f t="shared" si="431"/>
        <v>1699.5</v>
      </c>
      <c r="BQ512" s="449">
        <f t="shared" si="431"/>
        <v>1699.5</v>
      </c>
      <c r="BR512" s="449">
        <f t="shared" si="431"/>
        <v>1699.5</v>
      </c>
      <c r="BS512" s="449">
        <f t="shared" si="431"/>
        <v>1699.5</v>
      </c>
      <c r="BT512" s="449">
        <f t="shared" si="431"/>
        <v>1699.5</v>
      </c>
    </row>
    <row r="513" spans="1:74" ht="15" customHeight="1" x14ac:dyDescent="0.25">
      <c r="A513" s="537" t="s">
        <v>879</v>
      </c>
      <c r="B513" s="537" t="s">
        <v>880</v>
      </c>
      <c r="C513" s="541"/>
      <c r="D513" s="500">
        <f t="shared" si="399"/>
        <v>0</v>
      </c>
      <c r="E513" s="449">
        <v>0</v>
      </c>
      <c r="F513" s="449">
        <f t="shared" si="400"/>
        <v>0</v>
      </c>
      <c r="G513" s="421">
        <f t="shared" si="401"/>
        <v>0</v>
      </c>
      <c r="H513" s="449">
        <v>0</v>
      </c>
      <c r="I513" s="449">
        <f t="shared" si="402"/>
        <v>0</v>
      </c>
      <c r="J513" s="426">
        <f t="shared" si="403"/>
        <v>0</v>
      </c>
      <c r="K513" s="421"/>
      <c r="L513" s="449">
        <v>0</v>
      </c>
      <c r="M513" s="449">
        <v>0</v>
      </c>
      <c r="N513" s="449">
        <v>0</v>
      </c>
      <c r="O513" s="449">
        <v>0</v>
      </c>
      <c r="P513" s="449">
        <v>0</v>
      </c>
      <c r="Q513" s="449">
        <v>0</v>
      </c>
      <c r="R513" s="449">
        <f>($H513-SUM($L513:Q513))/R$694</f>
        <v>0</v>
      </c>
      <c r="S513" s="449">
        <f>($H513-SUM($L513:R513))/S$694</f>
        <v>0</v>
      </c>
      <c r="T513" s="449">
        <f>($H513-SUM($L513:S513))/T$694</f>
        <v>0</v>
      </c>
      <c r="U513" s="449">
        <f>($H513-SUM($L513:T513))/U$694</f>
        <v>0</v>
      </c>
      <c r="V513" s="449">
        <f>($H513-SUM($L513:U513))/V$694</f>
        <v>0</v>
      </c>
      <c r="W513" s="449">
        <f>($H513-SUM($L513:V513))/W$694</f>
        <v>0</v>
      </c>
      <c r="X513" s="449"/>
      <c r="Y513" s="449">
        <f t="shared" si="404"/>
        <v>0</v>
      </c>
      <c r="Z513" s="449"/>
      <c r="AA513" s="449">
        <f t="shared" si="429"/>
        <v>0</v>
      </c>
      <c r="AB513" s="449">
        <f t="shared" si="429"/>
        <v>0</v>
      </c>
      <c r="AC513" s="449">
        <f t="shared" si="429"/>
        <v>0</v>
      </c>
      <c r="AD513" s="449">
        <f t="shared" si="429"/>
        <v>0</v>
      </c>
      <c r="AE513" s="449">
        <f t="shared" si="429"/>
        <v>0</v>
      </c>
      <c r="AF513" s="449">
        <f t="shared" si="429"/>
        <v>0</v>
      </c>
      <c r="AG513" s="449">
        <f t="shared" si="429"/>
        <v>0</v>
      </c>
      <c r="AH513" s="449">
        <f t="shared" si="429"/>
        <v>0</v>
      </c>
      <c r="AI513" s="449">
        <f t="shared" si="429"/>
        <v>0</v>
      </c>
      <c r="AJ513" s="449">
        <f t="shared" si="429"/>
        <v>0</v>
      </c>
      <c r="AK513" s="449">
        <f t="shared" si="429"/>
        <v>0</v>
      </c>
      <c r="AL513" s="449">
        <f t="shared" si="429"/>
        <v>0</v>
      </c>
      <c r="AN513" s="500">
        <f t="shared" si="406"/>
        <v>0</v>
      </c>
      <c r="AO513" s="449">
        <f t="shared" si="407"/>
        <v>13596</v>
      </c>
      <c r="AP513" s="449">
        <f t="shared" si="408"/>
        <v>13596</v>
      </c>
      <c r="AQ513" s="453" t="str">
        <f t="shared" si="409"/>
        <v>-</v>
      </c>
      <c r="AR513" s="449">
        <f t="shared" si="410"/>
        <v>13596</v>
      </c>
      <c r="AS513" s="449">
        <f t="shared" si="411"/>
        <v>0</v>
      </c>
      <c r="AT513" s="426">
        <f t="shared" si="412"/>
        <v>0</v>
      </c>
      <c r="AU513" s="421"/>
      <c r="AV513" s="449">
        <f t="shared" si="416"/>
        <v>1133</v>
      </c>
      <c r="AW513" s="449">
        <f t="shared" si="416"/>
        <v>1133</v>
      </c>
      <c r="AX513" s="449">
        <f t="shared" si="416"/>
        <v>1133</v>
      </c>
      <c r="AY513" s="449">
        <f t="shared" si="415"/>
        <v>1133</v>
      </c>
      <c r="AZ513" s="449">
        <f t="shared" si="415"/>
        <v>1133</v>
      </c>
      <c r="BA513" s="449">
        <f t="shared" si="415"/>
        <v>1133</v>
      </c>
      <c r="BB513" s="449">
        <f t="shared" si="415"/>
        <v>1133</v>
      </c>
      <c r="BC513" s="449">
        <f t="shared" si="415"/>
        <v>1133</v>
      </c>
      <c r="BD513" s="449">
        <f t="shared" si="415"/>
        <v>1133</v>
      </c>
      <c r="BE513" s="449">
        <f t="shared" si="415"/>
        <v>1133</v>
      </c>
      <c r="BF513" s="449">
        <f t="shared" si="415"/>
        <v>1133</v>
      </c>
      <c r="BG513" s="449">
        <f t="shared" si="415"/>
        <v>1133</v>
      </c>
      <c r="BH513" s="400"/>
      <c r="BI513" s="449">
        <f t="shared" ref="BI513:BT513" si="432">IFERROR(($H512*1.03)/12,0)*0.4</f>
        <v>1133</v>
      </c>
      <c r="BJ513" s="449">
        <f t="shared" si="432"/>
        <v>1133</v>
      </c>
      <c r="BK513" s="449">
        <f t="shared" si="432"/>
        <v>1133</v>
      </c>
      <c r="BL513" s="449">
        <f t="shared" si="432"/>
        <v>1133</v>
      </c>
      <c r="BM513" s="449">
        <f t="shared" si="432"/>
        <v>1133</v>
      </c>
      <c r="BN513" s="449">
        <f t="shared" si="432"/>
        <v>1133</v>
      </c>
      <c r="BO513" s="449">
        <f t="shared" si="432"/>
        <v>1133</v>
      </c>
      <c r="BP513" s="449">
        <f t="shared" si="432"/>
        <v>1133</v>
      </c>
      <c r="BQ513" s="449">
        <f t="shared" si="432"/>
        <v>1133</v>
      </c>
      <c r="BR513" s="449">
        <f t="shared" si="432"/>
        <v>1133</v>
      </c>
      <c r="BS513" s="449">
        <f t="shared" si="432"/>
        <v>1133</v>
      </c>
      <c r="BT513" s="449">
        <f t="shared" si="432"/>
        <v>1133</v>
      </c>
    </row>
    <row r="514" spans="1:74" ht="15" x14ac:dyDescent="0.25">
      <c r="A514" s="502" t="s">
        <v>881</v>
      </c>
      <c r="B514" s="502" t="s">
        <v>882</v>
      </c>
      <c r="C514" s="596"/>
      <c r="D514" s="500">
        <f t="shared" si="399"/>
        <v>27000</v>
      </c>
      <c r="E514" s="449">
        <v>23400</v>
      </c>
      <c r="F514" s="449">
        <f t="shared" si="400"/>
        <v>3600</v>
      </c>
      <c r="G514" s="421">
        <f t="shared" si="401"/>
        <v>0.15384615384615385</v>
      </c>
      <c r="H514" s="449">
        <v>27000</v>
      </c>
      <c r="I514" s="449">
        <f t="shared" si="402"/>
        <v>0</v>
      </c>
      <c r="J514" s="426">
        <f t="shared" si="403"/>
        <v>0</v>
      </c>
      <c r="K514" s="421"/>
      <c r="L514" s="449">
        <v>1649.45</v>
      </c>
      <c r="M514" s="449">
        <v>1270.1899999999998</v>
      </c>
      <c r="N514" s="449">
        <v>1192.3200000000002</v>
      </c>
      <c r="O514" s="449">
        <v>1270.3000000000002</v>
      </c>
      <c r="P514" s="449">
        <v>1270.2999999999993</v>
      </c>
      <c r="Q514" s="449">
        <v>1270.3000000000011</v>
      </c>
      <c r="R514" s="449">
        <f>($H514-SUM($L514:Q514))/R$694</f>
        <v>3179.5233333333331</v>
      </c>
      <c r="S514" s="449">
        <f>($H514-SUM($L514:R514))/S$694</f>
        <v>3179.5233333333335</v>
      </c>
      <c r="T514" s="449">
        <f>($H514-SUM($L514:S514))/T$694</f>
        <v>3179.5233333333335</v>
      </c>
      <c r="U514" s="449">
        <f>($H514-SUM($L514:T514))/U$694</f>
        <v>3179.5233333333331</v>
      </c>
      <c r="V514" s="449">
        <f>($H514-SUM($L514:U514))/V$694</f>
        <v>3179.5233333333326</v>
      </c>
      <c r="W514" s="449">
        <f>($H514-SUM($L514:V514))/W$694</f>
        <v>3179.5233333333308</v>
      </c>
      <c r="X514" s="449"/>
      <c r="Y514" s="449">
        <f t="shared" si="404"/>
        <v>27000</v>
      </c>
      <c r="Z514" s="531"/>
      <c r="AA514" s="449">
        <f t="shared" si="429"/>
        <v>2250</v>
      </c>
      <c r="AB514" s="449">
        <f t="shared" si="429"/>
        <v>2250</v>
      </c>
      <c r="AC514" s="449">
        <f t="shared" si="429"/>
        <v>2250</v>
      </c>
      <c r="AD514" s="449">
        <f t="shared" si="429"/>
        <v>2250</v>
      </c>
      <c r="AE514" s="449">
        <f t="shared" si="429"/>
        <v>2250</v>
      </c>
      <c r="AF514" s="449">
        <f t="shared" si="429"/>
        <v>2250</v>
      </c>
      <c r="AG514" s="449">
        <f t="shared" si="429"/>
        <v>2250</v>
      </c>
      <c r="AH514" s="449">
        <f t="shared" si="429"/>
        <v>2250</v>
      </c>
      <c r="AI514" s="449">
        <f t="shared" si="429"/>
        <v>2250</v>
      </c>
      <c r="AJ514" s="449">
        <f t="shared" si="429"/>
        <v>2250</v>
      </c>
      <c r="AK514" s="449">
        <f t="shared" si="429"/>
        <v>2250</v>
      </c>
      <c r="AL514" s="449">
        <f t="shared" si="429"/>
        <v>2250</v>
      </c>
      <c r="AN514" s="500">
        <f t="shared" si="406"/>
        <v>27000</v>
      </c>
      <c r="AO514" s="449">
        <f t="shared" si="407"/>
        <v>16686</v>
      </c>
      <c r="AP514" s="449">
        <f t="shared" si="408"/>
        <v>-10314</v>
      </c>
      <c r="AQ514" s="453">
        <f t="shared" si="409"/>
        <v>-0.38200000000000001</v>
      </c>
      <c r="AR514" s="449">
        <f t="shared" si="410"/>
        <v>16686</v>
      </c>
      <c r="AS514" s="449">
        <f t="shared" si="411"/>
        <v>0</v>
      </c>
      <c r="AT514" s="426">
        <f t="shared" si="412"/>
        <v>0</v>
      </c>
      <c r="AU514" s="421"/>
      <c r="AV514" s="449">
        <f t="shared" si="416"/>
        <v>1390.5</v>
      </c>
      <c r="AW514" s="449">
        <f t="shared" si="416"/>
        <v>1390.5</v>
      </c>
      <c r="AX514" s="449">
        <f t="shared" si="416"/>
        <v>1390.5</v>
      </c>
      <c r="AY514" s="449">
        <f t="shared" si="416"/>
        <v>1390.5</v>
      </c>
      <c r="AZ514" s="449">
        <f t="shared" si="416"/>
        <v>1390.5</v>
      </c>
      <c r="BA514" s="449">
        <f t="shared" si="416"/>
        <v>1390.5</v>
      </c>
      <c r="BB514" s="449">
        <f t="shared" si="416"/>
        <v>1390.5</v>
      </c>
      <c r="BC514" s="449">
        <f t="shared" si="416"/>
        <v>1390.5</v>
      </c>
      <c r="BD514" s="449">
        <f t="shared" si="416"/>
        <v>1390.5</v>
      </c>
      <c r="BE514" s="449">
        <f t="shared" si="416"/>
        <v>1390.5</v>
      </c>
      <c r="BF514" s="449">
        <f t="shared" si="416"/>
        <v>1390.5</v>
      </c>
      <c r="BG514" s="449">
        <f t="shared" si="416"/>
        <v>1390.5</v>
      </c>
      <c r="BH514" s="400"/>
      <c r="BI514" s="449">
        <f t="shared" ref="BI514:BT514" si="433">IFERROR(($H514*1.03)/12,0)*0.6</f>
        <v>1390.5</v>
      </c>
      <c r="BJ514" s="449">
        <f t="shared" si="433"/>
        <v>1390.5</v>
      </c>
      <c r="BK514" s="449">
        <f t="shared" si="433"/>
        <v>1390.5</v>
      </c>
      <c r="BL514" s="449">
        <f t="shared" si="433"/>
        <v>1390.5</v>
      </c>
      <c r="BM514" s="449">
        <f t="shared" si="433"/>
        <v>1390.5</v>
      </c>
      <c r="BN514" s="449">
        <f t="shared" si="433"/>
        <v>1390.5</v>
      </c>
      <c r="BO514" s="449">
        <f t="shared" si="433"/>
        <v>1390.5</v>
      </c>
      <c r="BP514" s="449">
        <f t="shared" si="433"/>
        <v>1390.5</v>
      </c>
      <c r="BQ514" s="449">
        <f t="shared" si="433"/>
        <v>1390.5</v>
      </c>
      <c r="BR514" s="449">
        <f t="shared" si="433"/>
        <v>1390.5</v>
      </c>
      <c r="BS514" s="449">
        <f t="shared" si="433"/>
        <v>1390.5</v>
      </c>
      <c r="BT514" s="449">
        <f t="shared" si="433"/>
        <v>1390.5</v>
      </c>
    </row>
    <row r="515" spans="1:74" ht="15" customHeight="1" x14ac:dyDescent="0.25">
      <c r="A515" s="537" t="s">
        <v>883</v>
      </c>
      <c r="B515" s="537" t="s">
        <v>884</v>
      </c>
      <c r="C515" s="541"/>
      <c r="D515" s="500">
        <f>SUM(L515:W515)</f>
        <v>0</v>
      </c>
      <c r="E515" s="449">
        <v>0</v>
      </c>
      <c r="F515" s="449">
        <f t="shared" si="400"/>
        <v>0</v>
      </c>
      <c r="G515" s="421">
        <f t="shared" si="401"/>
        <v>0</v>
      </c>
      <c r="H515" s="449">
        <v>0</v>
      </c>
      <c r="I515" s="449">
        <f t="shared" si="402"/>
        <v>0</v>
      </c>
      <c r="J515" s="426">
        <f t="shared" si="403"/>
        <v>0</v>
      </c>
      <c r="K515" s="421"/>
      <c r="L515" s="449">
        <v>0</v>
      </c>
      <c r="M515" s="449">
        <v>0</v>
      </c>
      <c r="N515" s="449">
        <v>0</v>
      </c>
      <c r="O515" s="449">
        <v>0</v>
      </c>
      <c r="P515" s="449">
        <v>0</v>
      </c>
      <c r="Q515" s="449">
        <v>0</v>
      </c>
      <c r="R515" s="449">
        <f>($H515-SUM($L515:Q515))/R$694</f>
        <v>0</v>
      </c>
      <c r="S515" s="449">
        <f>($H515-SUM($L515:R515))/S$694</f>
        <v>0</v>
      </c>
      <c r="T515" s="449">
        <f>($H515-SUM($L515:S515))/T$694</f>
        <v>0</v>
      </c>
      <c r="U515" s="449">
        <f>($H515-SUM($L515:T515))/U$694</f>
        <v>0</v>
      </c>
      <c r="V515" s="449">
        <f>($H515-SUM($L515:U515))/V$694</f>
        <v>0</v>
      </c>
      <c r="W515" s="449">
        <f>($H515-SUM($L515:V515))/W$694</f>
        <v>0</v>
      </c>
      <c r="X515" s="449"/>
      <c r="Y515" s="449">
        <f t="shared" si="404"/>
        <v>0</v>
      </c>
      <c r="Z515" s="449"/>
      <c r="AA515" s="449">
        <f t="shared" si="429"/>
        <v>0</v>
      </c>
      <c r="AB515" s="449">
        <f t="shared" si="429"/>
        <v>0</v>
      </c>
      <c r="AC515" s="449">
        <f t="shared" si="429"/>
        <v>0</v>
      </c>
      <c r="AD515" s="449">
        <f t="shared" si="429"/>
        <v>0</v>
      </c>
      <c r="AE515" s="449">
        <f t="shared" si="429"/>
        <v>0</v>
      </c>
      <c r="AF515" s="449">
        <f t="shared" si="429"/>
        <v>0</v>
      </c>
      <c r="AG515" s="449">
        <f t="shared" si="429"/>
        <v>0</v>
      </c>
      <c r="AH515" s="449">
        <f t="shared" si="429"/>
        <v>0</v>
      </c>
      <c r="AI515" s="449">
        <f t="shared" si="429"/>
        <v>0</v>
      </c>
      <c r="AJ515" s="449">
        <f t="shared" si="429"/>
        <v>0</v>
      </c>
      <c r="AK515" s="449">
        <f t="shared" si="429"/>
        <v>0</v>
      </c>
      <c r="AL515" s="449">
        <f t="shared" si="429"/>
        <v>0</v>
      </c>
      <c r="AN515" s="500">
        <f>SUM(L515:W515)</f>
        <v>0</v>
      </c>
      <c r="AO515" s="449">
        <f>SUM(BI515:BT515)</f>
        <v>11124</v>
      </c>
      <c r="AP515" s="449">
        <f t="shared" si="408"/>
        <v>11124</v>
      </c>
      <c r="AQ515" s="453" t="str">
        <f t="shared" si="409"/>
        <v>-</v>
      </c>
      <c r="AR515" s="449">
        <f t="shared" si="410"/>
        <v>11124</v>
      </c>
      <c r="AS515" s="449">
        <f t="shared" si="411"/>
        <v>0</v>
      </c>
      <c r="AT515" s="426">
        <f t="shared" si="412"/>
        <v>0</v>
      </c>
      <c r="AU515" s="421"/>
      <c r="AV515" s="449">
        <f t="shared" si="416"/>
        <v>927</v>
      </c>
      <c r="AW515" s="449">
        <f t="shared" si="416"/>
        <v>927</v>
      </c>
      <c r="AX515" s="449">
        <f t="shared" si="416"/>
        <v>927</v>
      </c>
      <c r="AY515" s="449">
        <f t="shared" si="416"/>
        <v>927</v>
      </c>
      <c r="AZ515" s="449">
        <f t="shared" si="416"/>
        <v>927</v>
      </c>
      <c r="BA515" s="449">
        <f t="shared" si="416"/>
        <v>927</v>
      </c>
      <c r="BB515" s="449">
        <f t="shared" si="416"/>
        <v>927</v>
      </c>
      <c r="BC515" s="449">
        <f t="shared" si="416"/>
        <v>927</v>
      </c>
      <c r="BD515" s="449">
        <f t="shared" si="416"/>
        <v>927</v>
      </c>
      <c r="BE515" s="449">
        <f t="shared" si="416"/>
        <v>927</v>
      </c>
      <c r="BF515" s="449">
        <f t="shared" si="416"/>
        <v>927</v>
      </c>
      <c r="BG515" s="449">
        <f t="shared" si="416"/>
        <v>927</v>
      </c>
      <c r="BH515" s="400"/>
      <c r="BI515" s="449">
        <f t="shared" ref="BI515:BT515" si="434">IFERROR(($H514*1.03)/12,0)*0.4</f>
        <v>927</v>
      </c>
      <c r="BJ515" s="449">
        <f t="shared" si="434"/>
        <v>927</v>
      </c>
      <c r="BK515" s="449">
        <f t="shared" si="434"/>
        <v>927</v>
      </c>
      <c r="BL515" s="449">
        <f t="shared" si="434"/>
        <v>927</v>
      </c>
      <c r="BM515" s="449">
        <f t="shared" si="434"/>
        <v>927</v>
      </c>
      <c r="BN515" s="449">
        <f t="shared" si="434"/>
        <v>927</v>
      </c>
      <c r="BO515" s="449">
        <f t="shared" si="434"/>
        <v>927</v>
      </c>
      <c r="BP515" s="449">
        <f t="shared" si="434"/>
        <v>927</v>
      </c>
      <c r="BQ515" s="449">
        <f t="shared" si="434"/>
        <v>927</v>
      </c>
      <c r="BR515" s="449">
        <f t="shared" si="434"/>
        <v>927</v>
      </c>
      <c r="BS515" s="449">
        <f t="shared" si="434"/>
        <v>927</v>
      </c>
      <c r="BT515" s="449">
        <f t="shared" si="434"/>
        <v>927</v>
      </c>
    </row>
    <row r="516" spans="1:74" ht="15" x14ac:dyDescent="0.25">
      <c r="A516" s="502" t="s">
        <v>885</v>
      </c>
      <c r="B516" s="502" t="s">
        <v>886</v>
      </c>
      <c r="C516" s="597"/>
      <c r="D516" s="500">
        <f t="shared" si="399"/>
        <v>46000</v>
      </c>
      <c r="E516" s="449">
        <v>46000</v>
      </c>
      <c r="F516" s="449">
        <f t="shared" si="400"/>
        <v>0</v>
      </c>
      <c r="G516" s="421">
        <f t="shared" si="401"/>
        <v>0</v>
      </c>
      <c r="H516" s="449">
        <v>46000</v>
      </c>
      <c r="I516" s="449">
        <f t="shared" si="402"/>
        <v>0</v>
      </c>
      <c r="J516" s="426">
        <f t="shared" si="403"/>
        <v>0</v>
      </c>
      <c r="K516" s="421"/>
      <c r="L516" s="449">
        <v>14455.19</v>
      </c>
      <c r="M516" s="449">
        <v>3552.3799999999992</v>
      </c>
      <c r="N516" s="449">
        <v>1550.7000000000007</v>
      </c>
      <c r="O516" s="449">
        <v>3783.630000000001</v>
      </c>
      <c r="P516" s="449">
        <v>1943.2999999999956</v>
      </c>
      <c r="Q516" s="449">
        <v>3119.09</v>
      </c>
      <c r="R516" s="449">
        <f>($H516-SUM($L516:Q516))/R$694</f>
        <v>2932.6183333333338</v>
      </c>
      <c r="S516" s="449">
        <f>($H516-SUM($L516:R516))/S$694</f>
        <v>2932.6183333333333</v>
      </c>
      <c r="T516" s="449">
        <f>($H516-SUM($L516:S516))/T$694</f>
        <v>2932.6183333333338</v>
      </c>
      <c r="U516" s="449">
        <f>($H516-SUM($L516:T516))/U$694</f>
        <v>2932.6183333333342</v>
      </c>
      <c r="V516" s="449">
        <f>($H516-SUM($L516:U516))/V$694</f>
        <v>2932.6183333333356</v>
      </c>
      <c r="W516" s="449">
        <f>($H516-SUM($L516:V516))/W$694</f>
        <v>2932.618333333332</v>
      </c>
      <c r="X516" s="449"/>
      <c r="Y516" s="449">
        <f t="shared" si="404"/>
        <v>46000</v>
      </c>
      <c r="Z516" s="531"/>
      <c r="AA516" s="449">
        <f t="shared" si="429"/>
        <v>3833.3333333333335</v>
      </c>
      <c r="AB516" s="449">
        <f t="shared" si="429"/>
        <v>3833.3333333333335</v>
      </c>
      <c r="AC516" s="449">
        <f t="shared" si="429"/>
        <v>3833.3333333333335</v>
      </c>
      <c r="AD516" s="449">
        <f t="shared" si="429"/>
        <v>3833.3333333333335</v>
      </c>
      <c r="AE516" s="449">
        <f t="shared" si="429"/>
        <v>3833.3333333333335</v>
      </c>
      <c r="AF516" s="449">
        <f t="shared" si="429"/>
        <v>3833.3333333333335</v>
      </c>
      <c r="AG516" s="449">
        <f t="shared" si="429"/>
        <v>3833.3333333333335</v>
      </c>
      <c r="AH516" s="449">
        <f t="shared" si="429"/>
        <v>3833.3333333333335</v>
      </c>
      <c r="AI516" s="449">
        <f t="shared" si="429"/>
        <v>3833.3333333333335</v>
      </c>
      <c r="AJ516" s="449">
        <f t="shared" si="429"/>
        <v>3833.3333333333335</v>
      </c>
      <c r="AK516" s="449">
        <f t="shared" si="429"/>
        <v>3833.3333333333335</v>
      </c>
      <c r="AL516" s="449">
        <f t="shared" si="429"/>
        <v>3833.3333333333335</v>
      </c>
      <c r="AN516" s="500">
        <f t="shared" si="406"/>
        <v>46000</v>
      </c>
      <c r="AO516" s="449">
        <f t="shared" si="407"/>
        <v>28428</v>
      </c>
      <c r="AP516" s="449">
        <f t="shared" si="408"/>
        <v>-17572</v>
      </c>
      <c r="AQ516" s="453">
        <f t="shared" si="409"/>
        <v>-0.38200000000000001</v>
      </c>
      <c r="AR516" s="449">
        <f t="shared" si="410"/>
        <v>28428</v>
      </c>
      <c r="AS516" s="449">
        <f t="shared" si="411"/>
        <v>0</v>
      </c>
      <c r="AT516" s="426">
        <f t="shared" si="412"/>
        <v>0</v>
      </c>
      <c r="AU516" s="421"/>
      <c r="AV516" s="449">
        <f t="shared" si="416"/>
        <v>2369</v>
      </c>
      <c r="AW516" s="449">
        <f t="shared" si="416"/>
        <v>2369</v>
      </c>
      <c r="AX516" s="449">
        <f t="shared" si="416"/>
        <v>2369</v>
      </c>
      <c r="AY516" s="449">
        <f t="shared" si="416"/>
        <v>2369</v>
      </c>
      <c r="AZ516" s="449">
        <f t="shared" si="416"/>
        <v>2369</v>
      </c>
      <c r="BA516" s="449">
        <f t="shared" si="416"/>
        <v>2369</v>
      </c>
      <c r="BB516" s="449">
        <f t="shared" si="416"/>
        <v>2369</v>
      </c>
      <c r="BC516" s="449">
        <f t="shared" si="416"/>
        <v>2369</v>
      </c>
      <c r="BD516" s="449">
        <f t="shared" si="416"/>
        <v>2369</v>
      </c>
      <c r="BE516" s="449">
        <f t="shared" si="416"/>
        <v>2369</v>
      </c>
      <c r="BF516" s="449">
        <f t="shared" si="416"/>
        <v>2369</v>
      </c>
      <c r="BG516" s="449">
        <f t="shared" si="416"/>
        <v>2369</v>
      </c>
      <c r="BH516" s="400"/>
      <c r="BI516" s="449">
        <f t="shared" ref="BI516:BT516" si="435">IFERROR(($H516*1.03)/12,0)*0.6</f>
        <v>2369</v>
      </c>
      <c r="BJ516" s="449">
        <f t="shared" si="435"/>
        <v>2369</v>
      </c>
      <c r="BK516" s="449">
        <f t="shared" si="435"/>
        <v>2369</v>
      </c>
      <c r="BL516" s="449">
        <f t="shared" si="435"/>
        <v>2369</v>
      </c>
      <c r="BM516" s="449">
        <f t="shared" si="435"/>
        <v>2369</v>
      </c>
      <c r="BN516" s="449">
        <f t="shared" si="435"/>
        <v>2369</v>
      </c>
      <c r="BO516" s="449">
        <f t="shared" si="435"/>
        <v>2369</v>
      </c>
      <c r="BP516" s="449">
        <f t="shared" si="435"/>
        <v>2369</v>
      </c>
      <c r="BQ516" s="449">
        <f t="shared" si="435"/>
        <v>2369</v>
      </c>
      <c r="BR516" s="449">
        <f t="shared" si="435"/>
        <v>2369</v>
      </c>
      <c r="BS516" s="449">
        <f t="shared" si="435"/>
        <v>2369</v>
      </c>
      <c r="BT516" s="449">
        <f t="shared" si="435"/>
        <v>2369</v>
      </c>
    </row>
    <row r="517" spans="1:74" ht="15" customHeight="1" x14ac:dyDescent="0.25">
      <c r="A517" s="537" t="s">
        <v>887</v>
      </c>
      <c r="B517" s="537" t="s">
        <v>888</v>
      </c>
      <c r="C517" s="541"/>
      <c r="D517" s="500">
        <f t="shared" si="399"/>
        <v>0</v>
      </c>
      <c r="E517" s="449">
        <v>0</v>
      </c>
      <c r="F517" s="449">
        <f t="shared" si="400"/>
        <v>0</v>
      </c>
      <c r="G517" s="421">
        <f t="shared" si="401"/>
        <v>0</v>
      </c>
      <c r="H517" s="449">
        <v>0</v>
      </c>
      <c r="I517" s="449">
        <f t="shared" si="402"/>
        <v>0</v>
      </c>
      <c r="J517" s="426">
        <f t="shared" si="403"/>
        <v>0</v>
      </c>
      <c r="K517" s="421"/>
      <c r="L517" s="449">
        <v>0</v>
      </c>
      <c r="M517" s="449">
        <v>0</v>
      </c>
      <c r="N517" s="449">
        <v>0</v>
      </c>
      <c r="O517" s="449">
        <v>0</v>
      </c>
      <c r="P517" s="449">
        <v>0</v>
      </c>
      <c r="Q517" s="449">
        <v>0</v>
      </c>
      <c r="R517" s="449">
        <f>($H517-SUM($L517:Q517))/R$694</f>
        <v>0</v>
      </c>
      <c r="S517" s="449">
        <f>($H517-SUM($L517:R517))/S$694</f>
        <v>0</v>
      </c>
      <c r="T517" s="449">
        <f>($H517-SUM($L517:S517))/T$694</f>
        <v>0</v>
      </c>
      <c r="U517" s="449">
        <f>($H517-SUM($L517:T517))/U$694</f>
        <v>0</v>
      </c>
      <c r="V517" s="449">
        <f>($H517-SUM($L517:U517))/V$694</f>
        <v>0</v>
      </c>
      <c r="W517" s="449">
        <f>($H517-SUM($L517:V517))/W$694</f>
        <v>0</v>
      </c>
      <c r="X517" s="449"/>
      <c r="Y517" s="449">
        <f t="shared" si="404"/>
        <v>0</v>
      </c>
      <c r="Z517" s="449"/>
      <c r="AA517" s="449">
        <f t="shared" si="429"/>
        <v>0</v>
      </c>
      <c r="AB517" s="449">
        <f t="shared" si="429"/>
        <v>0</v>
      </c>
      <c r="AC517" s="449">
        <f t="shared" si="429"/>
        <v>0</v>
      </c>
      <c r="AD517" s="449">
        <f t="shared" si="429"/>
        <v>0</v>
      </c>
      <c r="AE517" s="449">
        <f t="shared" si="429"/>
        <v>0</v>
      </c>
      <c r="AF517" s="449">
        <f t="shared" si="429"/>
        <v>0</v>
      </c>
      <c r="AG517" s="449">
        <f t="shared" si="429"/>
        <v>0</v>
      </c>
      <c r="AH517" s="449">
        <f t="shared" si="429"/>
        <v>0</v>
      </c>
      <c r="AI517" s="449">
        <f t="shared" si="429"/>
        <v>0</v>
      </c>
      <c r="AJ517" s="449">
        <f t="shared" si="429"/>
        <v>0</v>
      </c>
      <c r="AK517" s="449">
        <f t="shared" si="429"/>
        <v>0</v>
      </c>
      <c r="AL517" s="449">
        <f t="shared" si="429"/>
        <v>0</v>
      </c>
      <c r="AN517" s="500">
        <f t="shared" si="406"/>
        <v>0</v>
      </c>
      <c r="AO517" s="449">
        <f t="shared" si="407"/>
        <v>18952.000000000004</v>
      </c>
      <c r="AP517" s="449">
        <f t="shared" si="408"/>
        <v>18952.000000000004</v>
      </c>
      <c r="AQ517" s="453" t="str">
        <f t="shared" si="409"/>
        <v>-</v>
      </c>
      <c r="AR517" s="449">
        <f t="shared" si="410"/>
        <v>18952.000000000004</v>
      </c>
      <c r="AS517" s="449">
        <f t="shared" si="411"/>
        <v>0</v>
      </c>
      <c r="AT517" s="426">
        <f t="shared" si="412"/>
        <v>0</v>
      </c>
      <c r="AU517" s="421"/>
      <c r="AV517" s="449">
        <f t="shared" si="416"/>
        <v>1579.3333333333335</v>
      </c>
      <c r="AW517" s="449">
        <f t="shared" si="416"/>
        <v>1579.3333333333335</v>
      </c>
      <c r="AX517" s="449">
        <f t="shared" si="416"/>
        <v>1579.3333333333335</v>
      </c>
      <c r="AY517" s="449">
        <f t="shared" si="416"/>
        <v>1579.3333333333335</v>
      </c>
      <c r="AZ517" s="449">
        <f t="shared" si="416"/>
        <v>1579.3333333333335</v>
      </c>
      <c r="BA517" s="449">
        <f t="shared" si="416"/>
        <v>1579.3333333333335</v>
      </c>
      <c r="BB517" s="449">
        <f t="shared" si="416"/>
        <v>1579.3333333333335</v>
      </c>
      <c r="BC517" s="449">
        <f t="shared" si="416"/>
        <v>1579.3333333333335</v>
      </c>
      <c r="BD517" s="449">
        <f t="shared" si="416"/>
        <v>1579.3333333333335</v>
      </c>
      <c r="BE517" s="449">
        <f t="shared" si="416"/>
        <v>1579.3333333333335</v>
      </c>
      <c r="BF517" s="449">
        <f t="shared" si="416"/>
        <v>1579.3333333333335</v>
      </c>
      <c r="BG517" s="449">
        <f t="shared" si="416"/>
        <v>1579.3333333333335</v>
      </c>
      <c r="BH517" s="400"/>
      <c r="BI517" s="449">
        <f t="shared" ref="BI517:BT517" si="436">IFERROR(($H516*1.03)/12,0)*0.4</f>
        <v>1579.3333333333335</v>
      </c>
      <c r="BJ517" s="449">
        <f t="shared" si="436"/>
        <v>1579.3333333333335</v>
      </c>
      <c r="BK517" s="449">
        <f t="shared" si="436"/>
        <v>1579.3333333333335</v>
      </c>
      <c r="BL517" s="449">
        <f t="shared" si="436"/>
        <v>1579.3333333333335</v>
      </c>
      <c r="BM517" s="449">
        <f t="shared" si="436"/>
        <v>1579.3333333333335</v>
      </c>
      <c r="BN517" s="449">
        <f t="shared" si="436"/>
        <v>1579.3333333333335</v>
      </c>
      <c r="BO517" s="449">
        <f t="shared" si="436"/>
        <v>1579.3333333333335</v>
      </c>
      <c r="BP517" s="449">
        <f t="shared" si="436"/>
        <v>1579.3333333333335</v>
      </c>
      <c r="BQ517" s="449">
        <f t="shared" si="436"/>
        <v>1579.3333333333335</v>
      </c>
      <c r="BR517" s="449">
        <f t="shared" si="436"/>
        <v>1579.3333333333335</v>
      </c>
      <c r="BS517" s="449">
        <f t="shared" si="436"/>
        <v>1579.3333333333335</v>
      </c>
      <c r="BT517" s="449">
        <f t="shared" si="436"/>
        <v>1579.3333333333335</v>
      </c>
    </row>
    <row r="518" spans="1:74" ht="15" x14ac:dyDescent="0.25">
      <c r="A518" s="502" t="s">
        <v>889</v>
      </c>
      <c r="B518" s="502" t="s">
        <v>890</v>
      </c>
      <c r="C518" s="538"/>
      <c r="D518" s="500">
        <f t="shared" si="399"/>
        <v>201000</v>
      </c>
      <c r="E518" s="449">
        <v>174750</v>
      </c>
      <c r="F518" s="449">
        <f t="shared" si="400"/>
        <v>26250</v>
      </c>
      <c r="G518" s="421">
        <f t="shared" si="401"/>
        <v>0.15021459227467812</v>
      </c>
      <c r="H518" s="449">
        <v>201000</v>
      </c>
      <c r="I518" s="449">
        <f t="shared" si="402"/>
        <v>0</v>
      </c>
      <c r="J518" s="426">
        <f t="shared" si="403"/>
        <v>0</v>
      </c>
      <c r="K518" s="421"/>
      <c r="L518" s="449">
        <v>0</v>
      </c>
      <c r="M518" s="449">
        <v>21766.98</v>
      </c>
      <c r="N518" s="449">
        <v>19985.969999999998</v>
      </c>
      <c r="O518" s="449">
        <v>37256.569999999992</v>
      </c>
      <c r="P518" s="449">
        <v>0</v>
      </c>
      <c r="Q518" s="449">
        <v>12070.660000000003</v>
      </c>
      <c r="R518" s="449">
        <f>($H518-SUM($L518:Q518))/R$694</f>
        <v>18319.97</v>
      </c>
      <c r="S518" s="449">
        <f>($H518-SUM($L518:R518))/S$694</f>
        <v>18319.97</v>
      </c>
      <c r="T518" s="449">
        <f>($H518-SUM($L518:S518))/T$694</f>
        <v>18319.97</v>
      </c>
      <c r="U518" s="449">
        <f>($H518-SUM($L518:T518))/U$694</f>
        <v>18319.97</v>
      </c>
      <c r="V518" s="449">
        <f>($H518-SUM($L518:U518))/V$694</f>
        <v>18319.97</v>
      </c>
      <c r="W518" s="449">
        <f>($H518-SUM($L518:V518))/W$694</f>
        <v>18319.97</v>
      </c>
      <c r="X518" s="449"/>
      <c r="Y518" s="449">
        <f t="shared" si="404"/>
        <v>201000</v>
      </c>
      <c r="Z518" s="531"/>
      <c r="AA518" s="449">
        <f t="shared" si="429"/>
        <v>16750</v>
      </c>
      <c r="AB518" s="449">
        <f t="shared" si="429"/>
        <v>16750</v>
      </c>
      <c r="AC518" s="449">
        <f t="shared" si="429"/>
        <v>16750</v>
      </c>
      <c r="AD518" s="449">
        <f t="shared" si="429"/>
        <v>16750</v>
      </c>
      <c r="AE518" s="449">
        <f t="shared" si="429"/>
        <v>16750</v>
      </c>
      <c r="AF518" s="449">
        <f t="shared" si="429"/>
        <v>16750</v>
      </c>
      <c r="AG518" s="449">
        <f t="shared" si="429"/>
        <v>16750</v>
      </c>
      <c r="AH518" s="449">
        <f t="shared" si="429"/>
        <v>16750</v>
      </c>
      <c r="AI518" s="449">
        <f t="shared" si="429"/>
        <v>16750</v>
      </c>
      <c r="AJ518" s="449">
        <f t="shared" si="429"/>
        <v>16750</v>
      </c>
      <c r="AK518" s="449">
        <f t="shared" si="429"/>
        <v>16750</v>
      </c>
      <c r="AL518" s="449">
        <f t="shared" si="429"/>
        <v>16750</v>
      </c>
      <c r="AN518" s="500">
        <f t="shared" si="406"/>
        <v>201000</v>
      </c>
      <c r="AO518" s="449">
        <f t="shared" si="407"/>
        <v>124218</v>
      </c>
      <c r="AP518" s="449">
        <f t="shared" si="408"/>
        <v>-76782</v>
      </c>
      <c r="AQ518" s="453">
        <f t="shared" si="409"/>
        <v>-0.38200000000000001</v>
      </c>
      <c r="AR518" s="449">
        <f t="shared" si="410"/>
        <v>124218</v>
      </c>
      <c r="AS518" s="449">
        <f t="shared" si="411"/>
        <v>0</v>
      </c>
      <c r="AT518" s="426">
        <f t="shared" si="412"/>
        <v>0</v>
      </c>
      <c r="AU518" s="421"/>
      <c r="AV518" s="449">
        <f t="shared" si="416"/>
        <v>10351.5</v>
      </c>
      <c r="AW518" s="449">
        <f t="shared" si="416"/>
        <v>10351.5</v>
      </c>
      <c r="AX518" s="449">
        <f t="shared" si="416"/>
        <v>10351.5</v>
      </c>
      <c r="AY518" s="449">
        <f t="shared" si="416"/>
        <v>10351.5</v>
      </c>
      <c r="AZ518" s="449">
        <f t="shared" si="416"/>
        <v>10351.5</v>
      </c>
      <c r="BA518" s="449">
        <f t="shared" si="416"/>
        <v>10351.5</v>
      </c>
      <c r="BB518" s="449">
        <f t="shared" si="416"/>
        <v>10351.5</v>
      </c>
      <c r="BC518" s="449">
        <f t="shared" si="416"/>
        <v>10351.5</v>
      </c>
      <c r="BD518" s="449">
        <f t="shared" si="416"/>
        <v>10351.5</v>
      </c>
      <c r="BE518" s="449">
        <f t="shared" si="416"/>
        <v>10351.5</v>
      </c>
      <c r="BF518" s="449">
        <f t="shared" si="416"/>
        <v>10351.5</v>
      </c>
      <c r="BG518" s="449">
        <f t="shared" si="416"/>
        <v>10351.5</v>
      </c>
      <c r="BH518" s="400"/>
      <c r="BI518" s="449">
        <f t="shared" ref="BI518:BT518" si="437">IFERROR(($H518*1.03)/12,0)*0.6</f>
        <v>10351.5</v>
      </c>
      <c r="BJ518" s="449">
        <f t="shared" si="437"/>
        <v>10351.5</v>
      </c>
      <c r="BK518" s="449">
        <f t="shared" si="437"/>
        <v>10351.5</v>
      </c>
      <c r="BL518" s="449">
        <f t="shared" si="437"/>
        <v>10351.5</v>
      </c>
      <c r="BM518" s="449">
        <f t="shared" si="437"/>
        <v>10351.5</v>
      </c>
      <c r="BN518" s="449">
        <f t="shared" si="437"/>
        <v>10351.5</v>
      </c>
      <c r="BO518" s="449">
        <f t="shared" si="437"/>
        <v>10351.5</v>
      </c>
      <c r="BP518" s="449">
        <f t="shared" si="437"/>
        <v>10351.5</v>
      </c>
      <c r="BQ518" s="449">
        <f t="shared" si="437"/>
        <v>10351.5</v>
      </c>
      <c r="BR518" s="449">
        <f t="shared" si="437"/>
        <v>10351.5</v>
      </c>
      <c r="BS518" s="449">
        <f t="shared" si="437"/>
        <v>10351.5</v>
      </c>
      <c r="BT518" s="449">
        <f t="shared" si="437"/>
        <v>10351.5</v>
      </c>
    </row>
    <row r="519" spans="1:74" ht="15" customHeight="1" x14ac:dyDescent="0.25">
      <c r="A519" s="537" t="s">
        <v>891</v>
      </c>
      <c r="B519" s="537" t="s">
        <v>892</v>
      </c>
      <c r="C519" s="541"/>
      <c r="D519" s="500">
        <f>SUM(L519:W519)</f>
        <v>0</v>
      </c>
      <c r="E519" s="449">
        <v>0</v>
      </c>
      <c r="F519" s="449">
        <f t="shared" si="400"/>
        <v>0</v>
      </c>
      <c r="G519" s="421">
        <f t="shared" si="401"/>
        <v>0</v>
      </c>
      <c r="H519" s="449">
        <v>0</v>
      </c>
      <c r="I519" s="449">
        <f t="shared" si="402"/>
        <v>0</v>
      </c>
      <c r="J519" s="426">
        <f t="shared" si="403"/>
        <v>0</v>
      </c>
      <c r="K519" s="421"/>
      <c r="L519" s="449">
        <v>0</v>
      </c>
      <c r="M519" s="449">
        <v>0</v>
      </c>
      <c r="N519" s="449">
        <v>0</v>
      </c>
      <c r="O519" s="449">
        <v>0</v>
      </c>
      <c r="P519" s="449">
        <v>0</v>
      </c>
      <c r="Q519" s="449">
        <v>0</v>
      </c>
      <c r="R519" s="449">
        <f>($H519-SUM($L519:Q519))/R$694</f>
        <v>0</v>
      </c>
      <c r="S519" s="449">
        <f>($H519-SUM($L519:R519))/S$694</f>
        <v>0</v>
      </c>
      <c r="T519" s="449">
        <f>($H519-SUM($L519:S519))/T$694</f>
        <v>0</v>
      </c>
      <c r="U519" s="449">
        <f>($H519-SUM($L519:T519))/U$694</f>
        <v>0</v>
      </c>
      <c r="V519" s="449">
        <f>($H519-SUM($L519:U519))/V$694</f>
        <v>0</v>
      </c>
      <c r="W519" s="449">
        <f>($H519-SUM($L519:V519))/W$694</f>
        <v>0</v>
      </c>
      <c r="X519" s="449"/>
      <c r="Y519" s="449">
        <f t="shared" si="404"/>
        <v>0</v>
      </c>
      <c r="Z519" s="449"/>
      <c r="AA519" s="449">
        <f t="shared" si="429"/>
        <v>0</v>
      </c>
      <c r="AB519" s="449">
        <f t="shared" si="429"/>
        <v>0</v>
      </c>
      <c r="AC519" s="449">
        <f t="shared" si="429"/>
        <v>0</v>
      </c>
      <c r="AD519" s="449">
        <f t="shared" si="429"/>
        <v>0</v>
      </c>
      <c r="AE519" s="449">
        <f t="shared" si="429"/>
        <v>0</v>
      </c>
      <c r="AF519" s="449">
        <f t="shared" si="429"/>
        <v>0</v>
      </c>
      <c r="AG519" s="449">
        <f t="shared" si="429"/>
        <v>0</v>
      </c>
      <c r="AH519" s="449">
        <f t="shared" si="429"/>
        <v>0</v>
      </c>
      <c r="AI519" s="449">
        <f t="shared" si="429"/>
        <v>0</v>
      </c>
      <c r="AJ519" s="449">
        <f t="shared" si="429"/>
        <v>0</v>
      </c>
      <c r="AK519" s="449">
        <f t="shared" si="429"/>
        <v>0</v>
      </c>
      <c r="AL519" s="449">
        <f t="shared" si="429"/>
        <v>0</v>
      </c>
      <c r="AN519" s="500">
        <f>SUM(L519:W519)</f>
        <v>0</v>
      </c>
      <c r="AO519" s="449">
        <f>SUM(BI519:BT519)</f>
        <v>82812</v>
      </c>
      <c r="AP519" s="449">
        <f t="shared" si="408"/>
        <v>82812</v>
      </c>
      <c r="AQ519" s="453" t="str">
        <f t="shared" si="409"/>
        <v>-</v>
      </c>
      <c r="AR519" s="449">
        <f t="shared" si="410"/>
        <v>82812</v>
      </c>
      <c r="AS519" s="449">
        <f t="shared" si="411"/>
        <v>0</v>
      </c>
      <c r="AT519" s="426">
        <f t="shared" si="412"/>
        <v>0</v>
      </c>
      <c r="AU519" s="421"/>
      <c r="AV519" s="449">
        <f t="shared" si="416"/>
        <v>6901</v>
      </c>
      <c r="AW519" s="449">
        <f t="shared" si="416"/>
        <v>6901</v>
      </c>
      <c r="AX519" s="449">
        <f t="shared" si="416"/>
        <v>6901</v>
      </c>
      <c r="AY519" s="449">
        <f t="shared" si="416"/>
        <v>6901</v>
      </c>
      <c r="AZ519" s="449">
        <f t="shared" si="416"/>
        <v>6901</v>
      </c>
      <c r="BA519" s="449">
        <f t="shared" si="416"/>
        <v>6901</v>
      </c>
      <c r="BB519" s="449">
        <f t="shared" si="416"/>
        <v>6901</v>
      </c>
      <c r="BC519" s="449">
        <f t="shared" si="416"/>
        <v>6901</v>
      </c>
      <c r="BD519" s="449">
        <f t="shared" si="416"/>
        <v>6901</v>
      </c>
      <c r="BE519" s="449">
        <f t="shared" si="416"/>
        <v>6901</v>
      </c>
      <c r="BF519" s="449">
        <f t="shared" si="416"/>
        <v>6901</v>
      </c>
      <c r="BG519" s="449">
        <f t="shared" si="416"/>
        <v>6901</v>
      </c>
      <c r="BH519" s="400"/>
      <c r="BI519" s="449">
        <f t="shared" ref="BI519:BT519" si="438">IFERROR(($H518*1.03)/12,0)*0.4</f>
        <v>6901</v>
      </c>
      <c r="BJ519" s="449">
        <f t="shared" si="438"/>
        <v>6901</v>
      </c>
      <c r="BK519" s="449">
        <f t="shared" si="438"/>
        <v>6901</v>
      </c>
      <c r="BL519" s="449">
        <f t="shared" si="438"/>
        <v>6901</v>
      </c>
      <c r="BM519" s="449">
        <f t="shared" si="438"/>
        <v>6901</v>
      </c>
      <c r="BN519" s="449">
        <f t="shared" si="438"/>
        <v>6901</v>
      </c>
      <c r="BO519" s="449">
        <f t="shared" si="438"/>
        <v>6901</v>
      </c>
      <c r="BP519" s="449">
        <f t="shared" si="438"/>
        <v>6901</v>
      </c>
      <c r="BQ519" s="449">
        <f t="shared" si="438"/>
        <v>6901</v>
      </c>
      <c r="BR519" s="449">
        <f t="shared" si="438"/>
        <v>6901</v>
      </c>
      <c r="BS519" s="449">
        <f t="shared" si="438"/>
        <v>6901</v>
      </c>
      <c r="BT519" s="449">
        <f t="shared" si="438"/>
        <v>6901</v>
      </c>
    </row>
    <row r="520" spans="1:74" ht="15" x14ac:dyDescent="0.25">
      <c r="A520" s="502" t="s">
        <v>893</v>
      </c>
      <c r="B520" s="502" t="s">
        <v>894</v>
      </c>
      <c r="C520" s="596"/>
      <c r="D520" s="500">
        <f t="shared" si="399"/>
        <v>10000</v>
      </c>
      <c r="E520" s="449">
        <v>3000</v>
      </c>
      <c r="F520" s="449">
        <f t="shared" si="400"/>
        <v>7000</v>
      </c>
      <c r="G520" s="421">
        <f t="shared" si="401"/>
        <v>2.3333333333333335</v>
      </c>
      <c r="H520" s="449">
        <v>10000</v>
      </c>
      <c r="I520" s="449">
        <f t="shared" si="402"/>
        <v>0</v>
      </c>
      <c r="J520" s="426">
        <f t="shared" si="403"/>
        <v>0</v>
      </c>
      <c r="K520" s="421"/>
      <c r="L520" s="449">
        <v>0</v>
      </c>
      <c r="M520" s="449">
        <v>0</v>
      </c>
      <c r="N520" s="449">
        <v>0</v>
      </c>
      <c r="O520" s="449">
        <v>0</v>
      </c>
      <c r="P520" s="449">
        <v>0</v>
      </c>
      <c r="Q520" s="449">
        <v>8093.85</v>
      </c>
      <c r="R520" s="449">
        <f>($H520-SUM($L520:Q520))/R$694</f>
        <v>317.69166666666661</v>
      </c>
      <c r="S520" s="449">
        <f>($H520-SUM($L520:R520))/S$694</f>
        <v>317.69166666666644</v>
      </c>
      <c r="T520" s="449">
        <f>($H520-SUM($L520:S520))/T$694</f>
        <v>317.69166666666661</v>
      </c>
      <c r="U520" s="449">
        <f>($H520-SUM($L520:T520))/U$694</f>
        <v>317.69166666666689</v>
      </c>
      <c r="V520" s="449">
        <f>($H520-SUM($L520:U520))/V$694</f>
        <v>317.69166666666661</v>
      </c>
      <c r="W520" s="449">
        <f>($H520-SUM($L520:V520))/W$694</f>
        <v>317.6916666666657</v>
      </c>
      <c r="X520" s="449"/>
      <c r="Y520" s="449">
        <f t="shared" si="404"/>
        <v>10000</v>
      </c>
      <c r="Z520" s="531"/>
      <c r="AA520" s="449">
        <f t="shared" si="429"/>
        <v>833.33333333333337</v>
      </c>
      <c r="AB520" s="449">
        <f t="shared" si="429"/>
        <v>833.33333333333337</v>
      </c>
      <c r="AC520" s="449">
        <f t="shared" si="429"/>
        <v>833.33333333333337</v>
      </c>
      <c r="AD520" s="449">
        <f t="shared" si="429"/>
        <v>833.33333333333337</v>
      </c>
      <c r="AE520" s="449">
        <f t="shared" si="429"/>
        <v>833.33333333333337</v>
      </c>
      <c r="AF520" s="449">
        <f t="shared" si="429"/>
        <v>833.33333333333337</v>
      </c>
      <c r="AG520" s="449">
        <f t="shared" si="429"/>
        <v>833.33333333333337</v>
      </c>
      <c r="AH520" s="449">
        <f t="shared" si="429"/>
        <v>833.33333333333337</v>
      </c>
      <c r="AI520" s="449">
        <f t="shared" si="429"/>
        <v>833.33333333333337</v>
      </c>
      <c r="AJ520" s="449">
        <f t="shared" si="429"/>
        <v>833.33333333333337</v>
      </c>
      <c r="AK520" s="449">
        <f t="shared" si="429"/>
        <v>833.33333333333337</v>
      </c>
      <c r="AL520" s="449">
        <f t="shared" si="429"/>
        <v>833.33333333333337</v>
      </c>
      <c r="AN520" s="500">
        <f t="shared" si="406"/>
        <v>10000</v>
      </c>
      <c r="AO520" s="449">
        <f t="shared" si="407"/>
        <v>10300</v>
      </c>
      <c r="AP520" s="449">
        <f t="shared" si="408"/>
        <v>300</v>
      </c>
      <c r="AQ520" s="453">
        <f t="shared" si="409"/>
        <v>0.03</v>
      </c>
      <c r="AR520" s="449">
        <f t="shared" si="410"/>
        <v>10300</v>
      </c>
      <c r="AS520" s="449">
        <f t="shared" si="411"/>
        <v>0</v>
      </c>
      <c r="AT520" s="426">
        <f t="shared" si="412"/>
        <v>0</v>
      </c>
      <c r="AU520" s="421"/>
      <c r="AV520" s="449">
        <f t="shared" si="416"/>
        <v>858.33333333333337</v>
      </c>
      <c r="AW520" s="449">
        <f t="shared" si="416"/>
        <v>858.33333333333337</v>
      </c>
      <c r="AX520" s="449">
        <f t="shared" si="416"/>
        <v>858.33333333333337</v>
      </c>
      <c r="AY520" s="449">
        <f t="shared" si="416"/>
        <v>858.33333333333337</v>
      </c>
      <c r="AZ520" s="449">
        <f t="shared" si="416"/>
        <v>858.33333333333337</v>
      </c>
      <c r="BA520" s="449">
        <f t="shared" si="416"/>
        <v>858.33333333333337</v>
      </c>
      <c r="BB520" s="449">
        <f t="shared" si="416"/>
        <v>858.33333333333337</v>
      </c>
      <c r="BC520" s="449">
        <f t="shared" si="416"/>
        <v>858.33333333333337</v>
      </c>
      <c r="BD520" s="449">
        <f t="shared" si="416"/>
        <v>858.33333333333337</v>
      </c>
      <c r="BE520" s="449">
        <f t="shared" si="416"/>
        <v>858.33333333333337</v>
      </c>
      <c r="BF520" s="449">
        <f t="shared" si="416"/>
        <v>858.33333333333337</v>
      </c>
      <c r="BG520" s="449">
        <f t="shared" si="416"/>
        <v>858.33333333333337</v>
      </c>
      <c r="BH520" s="400"/>
      <c r="BI520" s="449">
        <f t="shared" ref="BI520:BT520" si="439">IFERROR(($H520*1.03)/12,0)</f>
        <v>858.33333333333337</v>
      </c>
      <c r="BJ520" s="449">
        <f t="shared" si="439"/>
        <v>858.33333333333337</v>
      </c>
      <c r="BK520" s="449">
        <f t="shared" si="439"/>
        <v>858.33333333333337</v>
      </c>
      <c r="BL520" s="449">
        <f t="shared" si="439"/>
        <v>858.33333333333337</v>
      </c>
      <c r="BM520" s="449">
        <f t="shared" si="439"/>
        <v>858.33333333333337</v>
      </c>
      <c r="BN520" s="449">
        <f t="shared" si="439"/>
        <v>858.33333333333337</v>
      </c>
      <c r="BO520" s="449">
        <f t="shared" si="439"/>
        <v>858.33333333333337</v>
      </c>
      <c r="BP520" s="449">
        <f t="shared" si="439"/>
        <v>858.33333333333337</v>
      </c>
      <c r="BQ520" s="449">
        <f t="shared" si="439"/>
        <v>858.33333333333337</v>
      </c>
      <c r="BR520" s="449">
        <f t="shared" si="439"/>
        <v>858.33333333333337</v>
      </c>
      <c r="BS520" s="449">
        <f t="shared" si="439"/>
        <v>858.33333333333337</v>
      </c>
      <c r="BT520" s="449">
        <f t="shared" si="439"/>
        <v>858.33333333333337</v>
      </c>
    </row>
    <row r="521" spans="1:74" ht="15" x14ac:dyDescent="0.25">
      <c r="A521" s="502" t="s">
        <v>895</v>
      </c>
      <c r="B521" s="537" t="s">
        <v>896</v>
      </c>
      <c r="C521" s="630"/>
      <c r="D521" s="500">
        <f t="shared" si="399"/>
        <v>11214</v>
      </c>
      <c r="E521" s="449">
        <v>11214</v>
      </c>
      <c r="F521" s="449">
        <f t="shared" si="400"/>
        <v>0</v>
      </c>
      <c r="G521" s="421">
        <f t="shared" si="401"/>
        <v>0</v>
      </c>
      <c r="H521" s="449">
        <v>11214</v>
      </c>
      <c r="I521" s="449">
        <f t="shared" si="402"/>
        <v>0</v>
      </c>
      <c r="J521" s="426">
        <f t="shared" si="403"/>
        <v>0</v>
      </c>
      <c r="K521" s="421"/>
      <c r="L521" s="449">
        <v>0</v>
      </c>
      <c r="M521" s="449">
        <v>892.92</v>
      </c>
      <c r="N521" s="449">
        <v>442.4</v>
      </c>
      <c r="O521" s="449">
        <v>497.28</v>
      </c>
      <c r="P521" s="449">
        <v>447.59999999999991</v>
      </c>
      <c r="Q521" s="449">
        <v>2841.6000000000004</v>
      </c>
      <c r="R521" s="449">
        <f>($H521-SUM($L521:Q521))/R$694</f>
        <v>1015.3666666666667</v>
      </c>
      <c r="S521" s="449">
        <f>($H521-SUM($L521:R521))/S$694</f>
        <v>1015.3666666666666</v>
      </c>
      <c r="T521" s="449">
        <f>($H521-SUM($L521:S521))/T$694</f>
        <v>1015.3666666666666</v>
      </c>
      <c r="U521" s="449">
        <f>($H521-SUM($L521:T521))/U$694</f>
        <v>1015.3666666666664</v>
      </c>
      <c r="V521" s="449">
        <f>($H521-SUM($L521:U521))/V$694</f>
        <v>1015.3666666666668</v>
      </c>
      <c r="W521" s="449">
        <f>($H521-SUM($L521:V521))/W$694</f>
        <v>1015.3666666666668</v>
      </c>
      <c r="X521" s="449"/>
      <c r="Y521" s="449">
        <f t="shared" si="404"/>
        <v>11214</v>
      </c>
      <c r="Z521" s="531"/>
      <c r="AA521" s="449">
        <f t="shared" si="429"/>
        <v>934.5</v>
      </c>
      <c r="AB521" s="449">
        <f t="shared" si="429"/>
        <v>934.5</v>
      </c>
      <c r="AC521" s="449">
        <f t="shared" si="429"/>
        <v>934.5</v>
      </c>
      <c r="AD521" s="449">
        <f t="shared" si="429"/>
        <v>934.5</v>
      </c>
      <c r="AE521" s="449">
        <f t="shared" si="429"/>
        <v>934.5</v>
      </c>
      <c r="AF521" s="449">
        <f t="shared" si="429"/>
        <v>934.5</v>
      </c>
      <c r="AG521" s="449">
        <f t="shared" si="429"/>
        <v>934.5</v>
      </c>
      <c r="AH521" s="449">
        <f t="shared" si="429"/>
        <v>934.5</v>
      </c>
      <c r="AI521" s="449">
        <f t="shared" si="429"/>
        <v>934.5</v>
      </c>
      <c r="AJ521" s="449">
        <f t="shared" si="429"/>
        <v>934.5</v>
      </c>
      <c r="AK521" s="449">
        <f t="shared" si="429"/>
        <v>934.5</v>
      </c>
      <c r="AL521" s="449">
        <f t="shared" si="429"/>
        <v>934.5</v>
      </c>
      <c r="AN521" s="500">
        <f t="shared" si="406"/>
        <v>11214</v>
      </c>
      <c r="AO521" s="449">
        <f t="shared" si="407"/>
        <v>14636.712000000005</v>
      </c>
      <c r="AP521" s="449">
        <f t="shared" si="408"/>
        <v>3422.712000000005</v>
      </c>
      <c r="AQ521" s="453">
        <f t="shared" si="409"/>
        <v>0.30521776350989877</v>
      </c>
      <c r="AR521" s="449">
        <f t="shared" si="410"/>
        <v>14636.712000000005</v>
      </c>
      <c r="AS521" s="449">
        <f t="shared" si="411"/>
        <v>0</v>
      </c>
      <c r="AT521" s="426">
        <f t="shared" si="412"/>
        <v>0</v>
      </c>
      <c r="AU521" s="421"/>
      <c r="AV521" s="449">
        <f t="shared" si="416"/>
        <v>1219.7260000000001</v>
      </c>
      <c r="AW521" s="449">
        <f t="shared" si="416"/>
        <v>1219.7260000000001</v>
      </c>
      <c r="AX521" s="449">
        <f t="shared" si="416"/>
        <v>1219.7260000000001</v>
      </c>
      <c r="AY521" s="449">
        <f t="shared" si="416"/>
        <v>1219.7260000000001</v>
      </c>
      <c r="AZ521" s="449">
        <f t="shared" si="416"/>
        <v>1219.7260000000001</v>
      </c>
      <c r="BA521" s="449">
        <f t="shared" si="416"/>
        <v>1219.7260000000001</v>
      </c>
      <c r="BB521" s="449">
        <f t="shared" si="416"/>
        <v>1219.7260000000001</v>
      </c>
      <c r="BC521" s="449">
        <f t="shared" si="416"/>
        <v>1219.7260000000001</v>
      </c>
      <c r="BD521" s="449">
        <f t="shared" si="416"/>
        <v>1219.7260000000001</v>
      </c>
      <c r="BE521" s="449">
        <f t="shared" si="416"/>
        <v>1219.7260000000001</v>
      </c>
      <c r="BF521" s="449">
        <f t="shared" si="416"/>
        <v>1219.7260000000001</v>
      </c>
      <c r="BG521" s="449">
        <f t="shared" si="416"/>
        <v>1219.7260000000001</v>
      </c>
      <c r="BH521" s="400"/>
      <c r="BI521" s="449">
        <f>SUM('FY19 Staffing V1-1 (3)'!$P$182:$P$185)/12</f>
        <v>1219.7260000000001</v>
      </c>
      <c r="BJ521" s="449">
        <f>SUM('FY19 Staffing V1-1 (3)'!$P$182:$P$185)/12</f>
        <v>1219.7260000000001</v>
      </c>
      <c r="BK521" s="449">
        <f>SUM('FY19 Staffing V1-1 (3)'!$P$182:$P$185)/12</f>
        <v>1219.7260000000001</v>
      </c>
      <c r="BL521" s="449">
        <f>SUM('FY19 Staffing V1-1 (3)'!$P$182:$P$185)/12</f>
        <v>1219.7260000000001</v>
      </c>
      <c r="BM521" s="449">
        <f>SUM('FY19 Staffing V1-1 (3)'!$P$182:$P$185)/12</f>
        <v>1219.7260000000001</v>
      </c>
      <c r="BN521" s="449">
        <f>SUM('FY19 Staffing V1-1 (3)'!$P$182:$P$185)/12</f>
        <v>1219.7260000000001</v>
      </c>
      <c r="BO521" s="449">
        <f>SUM('FY19 Staffing V1-1 (3)'!$P$182:$P$185)/12</f>
        <v>1219.7260000000001</v>
      </c>
      <c r="BP521" s="449">
        <f>SUM('FY19 Staffing V1-1 (3)'!$P$182:$P$185)/12</f>
        <v>1219.7260000000001</v>
      </c>
      <c r="BQ521" s="449">
        <f>SUM('FY19 Staffing V1-1 (3)'!$P$182:$P$185)/12</f>
        <v>1219.7260000000001</v>
      </c>
      <c r="BR521" s="449">
        <f>SUM('FY19 Staffing V1-1 (3)'!$P$182:$P$185)/12</f>
        <v>1219.7260000000001</v>
      </c>
      <c r="BS521" s="449">
        <f>SUM('FY19 Staffing V1-1 (3)'!$P$182:$P$185)/12</f>
        <v>1219.7260000000001</v>
      </c>
      <c r="BT521" s="449">
        <f>SUM('FY19 Staffing V1-1 (3)'!$P$182:$P$185)/12</f>
        <v>1219.7260000000001</v>
      </c>
    </row>
    <row r="522" spans="1:74" ht="15" x14ac:dyDescent="0.25">
      <c r="A522" s="502" t="s">
        <v>897</v>
      </c>
      <c r="B522" s="502" t="s">
        <v>898</v>
      </c>
      <c r="C522" s="541"/>
      <c r="D522" s="500">
        <f t="shared" si="399"/>
        <v>6593</v>
      </c>
      <c r="E522" s="449">
        <v>6593</v>
      </c>
      <c r="F522" s="449">
        <f t="shared" si="400"/>
        <v>0</v>
      </c>
      <c r="G522" s="421">
        <f t="shared" si="401"/>
        <v>0</v>
      </c>
      <c r="H522" s="449">
        <v>6593</v>
      </c>
      <c r="I522" s="449">
        <f t="shared" si="402"/>
        <v>0</v>
      </c>
      <c r="J522" s="426">
        <f t="shared" si="403"/>
        <v>0</v>
      </c>
      <c r="K522" s="421"/>
      <c r="L522" s="449">
        <v>0</v>
      </c>
      <c r="M522" s="449">
        <v>342.02</v>
      </c>
      <c r="N522" s="449">
        <v>-45.629999999999995</v>
      </c>
      <c r="O522" s="449">
        <v>66.889999999999986</v>
      </c>
      <c r="P522" s="449">
        <v>308.09000000000003</v>
      </c>
      <c r="Q522" s="449">
        <v>710.18999999999994</v>
      </c>
      <c r="R522" s="449">
        <f>($H522-SUM($L522:Q522))/R$694</f>
        <v>868.57333333333338</v>
      </c>
      <c r="S522" s="449">
        <f>($H522-SUM($L522:R522))/S$694</f>
        <v>868.57333333333338</v>
      </c>
      <c r="T522" s="449">
        <f>($H522-SUM($L522:S522))/T$694</f>
        <v>868.57333333333338</v>
      </c>
      <c r="U522" s="449">
        <f>($H522-SUM($L522:T522))/U$694</f>
        <v>868.57333333333338</v>
      </c>
      <c r="V522" s="449">
        <f>($H522-SUM($L522:U522))/V$694</f>
        <v>868.57333333333327</v>
      </c>
      <c r="W522" s="449">
        <f>($H522-SUM($L522:V522))/W$694</f>
        <v>868.57333333333372</v>
      </c>
      <c r="X522" s="449"/>
      <c r="Y522" s="449">
        <f t="shared" si="404"/>
        <v>6593</v>
      </c>
      <c r="Z522" s="531"/>
      <c r="AA522" s="449">
        <f t="shared" si="429"/>
        <v>549.41666666666663</v>
      </c>
      <c r="AB522" s="449">
        <f t="shared" si="429"/>
        <v>549.41666666666663</v>
      </c>
      <c r="AC522" s="449">
        <f t="shared" si="429"/>
        <v>549.41666666666663</v>
      </c>
      <c r="AD522" s="449">
        <f t="shared" si="429"/>
        <v>549.41666666666663</v>
      </c>
      <c r="AE522" s="449">
        <f t="shared" si="429"/>
        <v>549.41666666666663</v>
      </c>
      <c r="AF522" s="449">
        <f t="shared" si="429"/>
        <v>549.41666666666663</v>
      </c>
      <c r="AG522" s="449">
        <f t="shared" si="429"/>
        <v>549.41666666666663</v>
      </c>
      <c r="AH522" s="449">
        <f t="shared" si="429"/>
        <v>549.41666666666663</v>
      </c>
      <c r="AI522" s="449">
        <f t="shared" si="429"/>
        <v>549.41666666666663</v>
      </c>
      <c r="AJ522" s="449">
        <f t="shared" si="429"/>
        <v>549.41666666666663</v>
      </c>
      <c r="AK522" s="449">
        <f t="shared" si="429"/>
        <v>549.41666666666663</v>
      </c>
      <c r="AL522" s="449">
        <f t="shared" si="429"/>
        <v>549.41666666666663</v>
      </c>
      <c r="AN522" s="500">
        <f t="shared" si="406"/>
        <v>6593</v>
      </c>
      <c r="AO522" s="449">
        <f t="shared" si="407"/>
        <v>792.20711700000004</v>
      </c>
      <c r="AP522" s="449">
        <f t="shared" si="408"/>
        <v>-5800.7928830000001</v>
      </c>
      <c r="AQ522" s="453">
        <f t="shared" si="409"/>
        <v>-0.87984117746094348</v>
      </c>
      <c r="AR522" s="449">
        <f t="shared" si="410"/>
        <v>792.20711700000004</v>
      </c>
      <c r="AS522" s="449">
        <f t="shared" si="411"/>
        <v>0</v>
      </c>
      <c r="AT522" s="426">
        <f t="shared" si="412"/>
        <v>0</v>
      </c>
      <c r="AU522" s="421"/>
      <c r="AV522" s="449">
        <f t="shared" si="416"/>
        <v>66.017259750000008</v>
      </c>
      <c r="AW522" s="449">
        <f t="shared" si="416"/>
        <v>66.017259750000008</v>
      </c>
      <c r="AX522" s="449">
        <f t="shared" si="416"/>
        <v>66.017259750000008</v>
      </c>
      <c r="AY522" s="449">
        <f t="shared" si="416"/>
        <v>66.017259750000008</v>
      </c>
      <c r="AZ522" s="449">
        <f t="shared" si="416"/>
        <v>66.017259750000008</v>
      </c>
      <c r="BA522" s="449">
        <f t="shared" si="416"/>
        <v>66.017259750000008</v>
      </c>
      <c r="BB522" s="449">
        <f t="shared" si="416"/>
        <v>66.017259750000008</v>
      </c>
      <c r="BC522" s="449">
        <f t="shared" si="416"/>
        <v>66.017259750000008</v>
      </c>
      <c r="BD522" s="449">
        <f t="shared" si="416"/>
        <v>66.017259750000008</v>
      </c>
      <c r="BE522" s="449">
        <f t="shared" si="416"/>
        <v>66.017259750000008</v>
      </c>
      <c r="BF522" s="449">
        <f t="shared" si="416"/>
        <v>66.017259750000008</v>
      </c>
      <c r="BG522" s="449">
        <f t="shared" si="416"/>
        <v>66.017259750000008</v>
      </c>
      <c r="BH522" s="400"/>
      <c r="BI522" s="449">
        <f>SUM('FY19 Staffing V1-1 (3)'!$Q$182:$R$185,'FY19 Staffing V1-1 (3)'!$T$182:$U$185)/12</f>
        <v>66.017259750000008</v>
      </c>
      <c r="BJ522" s="449">
        <f>SUM('FY19 Staffing V1-1 (3)'!$Q$182:$R$185,'FY19 Staffing V1-1 (3)'!$T$182:$U$185)/12</f>
        <v>66.017259750000008</v>
      </c>
      <c r="BK522" s="449">
        <f>SUM('FY19 Staffing V1-1 (3)'!$Q$182:$R$185,'FY19 Staffing V1-1 (3)'!$T$182:$U$185)/12</f>
        <v>66.017259750000008</v>
      </c>
      <c r="BL522" s="449">
        <f>SUM('FY19 Staffing V1-1 (3)'!$Q$182:$R$185,'FY19 Staffing V1-1 (3)'!$T$182:$U$185)/12</f>
        <v>66.017259750000008</v>
      </c>
      <c r="BM522" s="449">
        <f>SUM('FY19 Staffing V1-1 (3)'!$Q$182:$R$185,'FY19 Staffing V1-1 (3)'!$T$182:$U$185)/12</f>
        <v>66.017259750000008</v>
      </c>
      <c r="BN522" s="449">
        <f>SUM('FY19 Staffing V1-1 (3)'!$Q$182:$R$185,'FY19 Staffing V1-1 (3)'!$T$182:$U$185)/12</f>
        <v>66.017259750000008</v>
      </c>
      <c r="BO522" s="449">
        <f>SUM('FY19 Staffing V1-1 (3)'!$Q$182:$R$185,'FY19 Staffing V1-1 (3)'!$T$182:$U$185)/12</f>
        <v>66.017259750000008</v>
      </c>
      <c r="BP522" s="449">
        <f>SUM('FY19 Staffing V1-1 (3)'!$Q$182:$R$185,'FY19 Staffing V1-1 (3)'!$T$182:$U$185)/12</f>
        <v>66.017259750000008</v>
      </c>
      <c r="BQ522" s="449">
        <f>SUM('FY19 Staffing V1-1 (3)'!$Q$182:$R$185,'FY19 Staffing V1-1 (3)'!$T$182:$U$185)/12</f>
        <v>66.017259750000008</v>
      </c>
      <c r="BR522" s="449">
        <f>SUM('FY19 Staffing V1-1 (3)'!$Q$182:$R$185,'FY19 Staffing V1-1 (3)'!$T$182:$U$185)/12</f>
        <v>66.017259750000008</v>
      </c>
      <c r="BS522" s="449">
        <f>SUM('FY19 Staffing V1-1 (3)'!$Q$182:$R$185,'FY19 Staffing V1-1 (3)'!$T$182:$U$185)/12</f>
        <v>66.017259750000008</v>
      </c>
      <c r="BT522" s="449">
        <f>SUM('FY19 Staffing V1-1 (3)'!$Q$182:$R$185,'FY19 Staffing V1-1 (3)'!$T$182:$U$185)/12</f>
        <v>66.017259750000008</v>
      </c>
    </row>
    <row r="523" spans="1:74" ht="15" x14ac:dyDescent="0.25">
      <c r="A523" s="502" t="s">
        <v>899</v>
      </c>
      <c r="B523" s="502" t="s">
        <v>900</v>
      </c>
      <c r="C523" s="541"/>
      <c r="D523" s="500">
        <f t="shared" si="399"/>
        <v>444</v>
      </c>
      <c r="E523" s="449">
        <v>447</v>
      </c>
      <c r="F523" s="449">
        <f t="shared" si="400"/>
        <v>-3</v>
      </c>
      <c r="G523" s="421">
        <f t="shared" si="401"/>
        <v>-6.7114093959731542E-3</v>
      </c>
      <c r="H523" s="449">
        <v>444</v>
      </c>
      <c r="I523" s="449">
        <f t="shared" si="402"/>
        <v>0</v>
      </c>
      <c r="J523" s="426">
        <f t="shared" si="403"/>
        <v>0</v>
      </c>
      <c r="K523" s="421"/>
      <c r="L523" s="449">
        <v>0</v>
      </c>
      <c r="M523" s="449">
        <v>0</v>
      </c>
      <c r="N523" s="449">
        <v>0</v>
      </c>
      <c r="O523" s="449">
        <v>0</v>
      </c>
      <c r="P523" s="449">
        <v>0</v>
      </c>
      <c r="Q523" s="449">
        <v>95.76</v>
      </c>
      <c r="R523" s="449">
        <f>($H523-SUM($L523:Q523))/R$694</f>
        <v>58.04</v>
      </c>
      <c r="S523" s="449">
        <f>($H523-SUM($L523:R523))/S$694</f>
        <v>58.04</v>
      </c>
      <c r="T523" s="449">
        <f>($H523-SUM($L523:S523))/T$694</f>
        <v>58.04</v>
      </c>
      <c r="U523" s="449">
        <f>($H523-SUM($L523:T523))/U$694</f>
        <v>58.04</v>
      </c>
      <c r="V523" s="449">
        <f>($H523-SUM($L523:U523))/V$694</f>
        <v>58.039999999999992</v>
      </c>
      <c r="W523" s="449">
        <f>($H523-SUM($L523:V523))/W$694</f>
        <v>58.039999999999964</v>
      </c>
      <c r="X523" s="449"/>
      <c r="Y523" s="449">
        <f t="shared" si="404"/>
        <v>444</v>
      </c>
      <c r="Z523" s="531"/>
      <c r="AA523" s="449">
        <f t="shared" si="429"/>
        <v>37</v>
      </c>
      <c r="AB523" s="449">
        <f t="shared" si="429"/>
        <v>37</v>
      </c>
      <c r="AC523" s="449">
        <f t="shared" si="429"/>
        <v>37</v>
      </c>
      <c r="AD523" s="449">
        <f t="shared" si="429"/>
        <v>37</v>
      </c>
      <c r="AE523" s="449">
        <f t="shared" si="429"/>
        <v>37</v>
      </c>
      <c r="AF523" s="449">
        <f t="shared" si="429"/>
        <v>37</v>
      </c>
      <c r="AG523" s="449">
        <f t="shared" si="429"/>
        <v>37</v>
      </c>
      <c r="AH523" s="449">
        <f t="shared" si="429"/>
        <v>37</v>
      </c>
      <c r="AI523" s="449">
        <f t="shared" si="429"/>
        <v>37</v>
      </c>
      <c r="AJ523" s="449">
        <f t="shared" si="429"/>
        <v>37</v>
      </c>
      <c r="AK523" s="449">
        <f t="shared" si="429"/>
        <v>37</v>
      </c>
      <c r="AL523" s="449">
        <f t="shared" si="429"/>
        <v>37</v>
      </c>
      <c r="AN523" s="500">
        <f t="shared" si="406"/>
        <v>444</v>
      </c>
      <c r="AO523" s="449">
        <f t="shared" si="407"/>
        <v>439.10000000000014</v>
      </c>
      <c r="AP523" s="449">
        <f t="shared" si="408"/>
        <v>-4.8999999999998636</v>
      </c>
      <c r="AQ523" s="453">
        <f t="shared" si="409"/>
        <v>-1.1036036036035729E-2</v>
      </c>
      <c r="AR523" s="449">
        <f t="shared" si="410"/>
        <v>439.10000000000014</v>
      </c>
      <c r="AS523" s="449">
        <f t="shared" si="411"/>
        <v>0</v>
      </c>
      <c r="AT523" s="426">
        <f t="shared" si="412"/>
        <v>0</v>
      </c>
      <c r="AU523" s="421"/>
      <c r="AV523" s="449">
        <f t="shared" si="416"/>
        <v>36.591666666666669</v>
      </c>
      <c r="AW523" s="449">
        <f t="shared" si="416"/>
        <v>36.591666666666669</v>
      </c>
      <c r="AX523" s="449">
        <f t="shared" si="416"/>
        <v>36.591666666666669</v>
      </c>
      <c r="AY523" s="449">
        <f t="shared" si="416"/>
        <v>36.591666666666669</v>
      </c>
      <c r="AZ523" s="449">
        <f t="shared" si="416"/>
        <v>36.591666666666669</v>
      </c>
      <c r="BA523" s="449">
        <f t="shared" si="416"/>
        <v>36.591666666666669</v>
      </c>
      <c r="BB523" s="449">
        <f t="shared" si="416"/>
        <v>36.591666666666669</v>
      </c>
      <c r="BC523" s="449">
        <f t="shared" si="416"/>
        <v>36.591666666666669</v>
      </c>
      <c r="BD523" s="449">
        <f t="shared" si="416"/>
        <v>36.591666666666669</v>
      </c>
      <c r="BE523" s="449">
        <f t="shared" si="416"/>
        <v>36.591666666666669</v>
      </c>
      <c r="BF523" s="449">
        <f t="shared" si="416"/>
        <v>36.591666666666669</v>
      </c>
      <c r="BG523" s="449">
        <f t="shared" si="416"/>
        <v>36.591666666666669</v>
      </c>
      <c r="BH523" s="400"/>
      <c r="BI523" s="449">
        <f>SUM('FY19 Staffing V1-1 (3)'!$S$182:$S$185)/12</f>
        <v>36.591666666666669</v>
      </c>
      <c r="BJ523" s="449">
        <f>SUM('FY19 Staffing V1-1 (3)'!$S$182:$S$185)/12</f>
        <v>36.591666666666669</v>
      </c>
      <c r="BK523" s="449">
        <f>SUM('FY19 Staffing V1-1 (3)'!$S$182:$S$185)/12</f>
        <v>36.591666666666669</v>
      </c>
      <c r="BL523" s="449">
        <f>SUM('FY19 Staffing V1-1 (3)'!$S$182:$S$185)/12</f>
        <v>36.591666666666669</v>
      </c>
      <c r="BM523" s="449">
        <f>SUM('FY19 Staffing V1-1 (3)'!$S$182:$S$185)/12</f>
        <v>36.591666666666669</v>
      </c>
      <c r="BN523" s="449">
        <f>SUM('FY19 Staffing V1-1 (3)'!$S$182:$S$185)/12</f>
        <v>36.591666666666669</v>
      </c>
      <c r="BO523" s="449">
        <f>SUM('FY19 Staffing V1-1 (3)'!$S$182:$S$185)/12</f>
        <v>36.591666666666669</v>
      </c>
      <c r="BP523" s="449">
        <f>SUM('FY19 Staffing V1-1 (3)'!$S$182:$S$185)/12</f>
        <v>36.591666666666669</v>
      </c>
      <c r="BQ523" s="449">
        <f>SUM('FY19 Staffing V1-1 (3)'!$S$182:$S$185)/12</f>
        <v>36.591666666666669</v>
      </c>
      <c r="BR523" s="449">
        <f>SUM('FY19 Staffing V1-1 (3)'!$S$182:$S$185)/12</f>
        <v>36.591666666666669</v>
      </c>
      <c r="BS523" s="449">
        <f>SUM('FY19 Staffing V1-1 (3)'!$S$182:$S$185)/12</f>
        <v>36.591666666666669</v>
      </c>
      <c r="BT523" s="449">
        <f>SUM('FY19 Staffing V1-1 (3)'!$S$182:$S$185)/12</f>
        <v>36.591666666666669</v>
      </c>
    </row>
    <row r="524" spans="1:74" ht="15" x14ac:dyDescent="0.25">
      <c r="A524" s="502" t="s">
        <v>901</v>
      </c>
      <c r="B524" s="502" t="s">
        <v>902</v>
      </c>
      <c r="C524" s="538"/>
      <c r="D524" s="500">
        <f t="shared" si="399"/>
        <v>4911</v>
      </c>
      <c r="E524" s="449">
        <v>4270</v>
      </c>
      <c r="F524" s="449">
        <f t="shared" si="400"/>
        <v>641</v>
      </c>
      <c r="G524" s="421">
        <f t="shared" si="401"/>
        <v>0.15011709601873535</v>
      </c>
      <c r="H524" s="449">
        <v>4911</v>
      </c>
      <c r="I524" s="449">
        <f t="shared" si="402"/>
        <v>0</v>
      </c>
      <c r="J524" s="426">
        <f t="shared" si="403"/>
        <v>0</v>
      </c>
      <c r="K524" s="421"/>
      <c r="L524" s="449">
        <v>0</v>
      </c>
      <c r="M524" s="449">
        <v>499.5</v>
      </c>
      <c r="N524" s="449">
        <v>0</v>
      </c>
      <c r="O524" s="449">
        <v>22.82000000000005</v>
      </c>
      <c r="P524" s="449">
        <v>-22.82000000000005</v>
      </c>
      <c r="Q524" s="449">
        <v>522.39</v>
      </c>
      <c r="R524" s="449">
        <f>($H524-SUM($L524:Q524))/R$694</f>
        <v>648.18500000000006</v>
      </c>
      <c r="S524" s="449">
        <f>($H524-SUM($L524:R524))/S$694</f>
        <v>648.18500000000006</v>
      </c>
      <c r="T524" s="449">
        <f>($H524-SUM($L524:S524))/T$694</f>
        <v>648.18499999999995</v>
      </c>
      <c r="U524" s="449">
        <f>($H524-SUM($L524:T524))/U$694</f>
        <v>648.18499999999995</v>
      </c>
      <c r="V524" s="449">
        <f>($H524-SUM($L524:U524))/V$694</f>
        <v>648.18499999999995</v>
      </c>
      <c r="W524" s="449">
        <f>($H524-SUM($L524:V524))/W$694</f>
        <v>648.18499999999949</v>
      </c>
      <c r="X524" s="449"/>
      <c r="Y524" s="449">
        <f t="shared" si="404"/>
        <v>4911</v>
      </c>
      <c r="Z524" s="531"/>
      <c r="AA524" s="449">
        <f t="shared" si="429"/>
        <v>409.25</v>
      </c>
      <c r="AB524" s="449">
        <f t="shared" si="429"/>
        <v>409.25</v>
      </c>
      <c r="AC524" s="449">
        <f t="shared" si="429"/>
        <v>409.25</v>
      </c>
      <c r="AD524" s="449">
        <f t="shared" si="429"/>
        <v>409.25</v>
      </c>
      <c r="AE524" s="449">
        <f t="shared" si="429"/>
        <v>409.25</v>
      </c>
      <c r="AF524" s="449">
        <f t="shared" si="429"/>
        <v>409.25</v>
      </c>
      <c r="AG524" s="449">
        <f t="shared" si="429"/>
        <v>409.25</v>
      </c>
      <c r="AH524" s="449">
        <f t="shared" si="429"/>
        <v>409.25</v>
      </c>
      <c r="AI524" s="449">
        <f t="shared" si="429"/>
        <v>409.25</v>
      </c>
      <c r="AJ524" s="449">
        <f t="shared" si="429"/>
        <v>409.25</v>
      </c>
      <c r="AK524" s="449">
        <f t="shared" si="429"/>
        <v>409.25</v>
      </c>
      <c r="AL524" s="449">
        <f t="shared" si="429"/>
        <v>409.25</v>
      </c>
      <c r="AN524" s="500">
        <f t="shared" si="406"/>
        <v>4911</v>
      </c>
      <c r="AO524" s="449">
        <f t="shared" si="407"/>
        <v>5058.3300000000008</v>
      </c>
      <c r="AP524" s="449">
        <f t="shared" si="408"/>
        <v>147.33000000000084</v>
      </c>
      <c r="AQ524" s="453">
        <f t="shared" si="409"/>
        <v>3.0000000000000169E-2</v>
      </c>
      <c r="AR524" s="449">
        <f t="shared" si="410"/>
        <v>5058.3300000000008</v>
      </c>
      <c r="AS524" s="449">
        <f t="shared" si="411"/>
        <v>0</v>
      </c>
      <c r="AT524" s="426">
        <f t="shared" si="412"/>
        <v>0</v>
      </c>
      <c r="AU524" s="421"/>
      <c r="AV524" s="449">
        <f t="shared" si="416"/>
        <v>421.52749999999997</v>
      </c>
      <c r="AW524" s="449">
        <f t="shared" si="416"/>
        <v>421.52749999999997</v>
      </c>
      <c r="AX524" s="449">
        <f t="shared" si="416"/>
        <v>421.52749999999997</v>
      </c>
      <c r="AY524" s="449">
        <f t="shared" si="416"/>
        <v>421.52749999999997</v>
      </c>
      <c r="AZ524" s="449">
        <f t="shared" si="416"/>
        <v>421.52749999999997</v>
      </c>
      <c r="BA524" s="449">
        <f t="shared" si="416"/>
        <v>421.52749999999997</v>
      </c>
      <c r="BB524" s="449">
        <f t="shared" si="416"/>
        <v>421.52749999999997</v>
      </c>
      <c r="BC524" s="449">
        <f t="shared" si="416"/>
        <v>421.52749999999997</v>
      </c>
      <c r="BD524" s="449">
        <f t="shared" si="416"/>
        <v>421.52749999999997</v>
      </c>
      <c r="BE524" s="449">
        <f t="shared" si="416"/>
        <v>421.52749999999997</v>
      </c>
      <c r="BF524" s="449">
        <f t="shared" si="416"/>
        <v>421.52749999999997</v>
      </c>
      <c r="BG524" s="449">
        <f t="shared" si="416"/>
        <v>421.52749999999997</v>
      </c>
      <c r="BH524" s="400"/>
      <c r="BI524" s="449">
        <f t="shared" ref="BI524:BT524" si="440">IFERROR(($H524*1.03)/12,0)</f>
        <v>421.52749999999997</v>
      </c>
      <c r="BJ524" s="449">
        <f t="shared" si="440"/>
        <v>421.52749999999997</v>
      </c>
      <c r="BK524" s="449">
        <f t="shared" si="440"/>
        <v>421.52749999999997</v>
      </c>
      <c r="BL524" s="449">
        <f t="shared" si="440"/>
        <v>421.52749999999997</v>
      </c>
      <c r="BM524" s="449">
        <f t="shared" si="440"/>
        <v>421.52749999999997</v>
      </c>
      <c r="BN524" s="449">
        <f t="shared" si="440"/>
        <v>421.52749999999997</v>
      </c>
      <c r="BO524" s="449">
        <f t="shared" si="440"/>
        <v>421.52749999999997</v>
      </c>
      <c r="BP524" s="449">
        <f t="shared" si="440"/>
        <v>421.52749999999997</v>
      </c>
      <c r="BQ524" s="449">
        <f t="shared" si="440"/>
        <v>421.52749999999997</v>
      </c>
      <c r="BR524" s="449">
        <f t="shared" si="440"/>
        <v>421.52749999999997</v>
      </c>
      <c r="BS524" s="449">
        <f t="shared" si="440"/>
        <v>421.52749999999997</v>
      </c>
      <c r="BT524" s="449">
        <f t="shared" si="440"/>
        <v>421.52749999999997</v>
      </c>
    </row>
    <row r="525" spans="1:74" ht="15" customHeight="1" x14ac:dyDescent="0.25">
      <c r="A525" s="502" t="s">
        <v>903</v>
      </c>
      <c r="B525" s="502" t="s">
        <v>904</v>
      </c>
      <c r="C525" s="597"/>
      <c r="D525" s="500">
        <f t="shared" si="399"/>
        <v>16000</v>
      </c>
      <c r="E525" s="449">
        <v>0</v>
      </c>
      <c r="F525" s="449">
        <f t="shared" si="400"/>
        <v>16000</v>
      </c>
      <c r="G525" s="421">
        <f t="shared" si="401"/>
        <v>0</v>
      </c>
      <c r="H525" s="449">
        <v>16000</v>
      </c>
      <c r="I525" s="449">
        <f t="shared" si="402"/>
        <v>0</v>
      </c>
      <c r="J525" s="426">
        <f t="shared" si="403"/>
        <v>0</v>
      </c>
      <c r="K525" s="421"/>
      <c r="L525" s="449">
        <v>0</v>
      </c>
      <c r="M525" s="449">
        <v>0</v>
      </c>
      <c r="N525" s="449">
        <v>0</v>
      </c>
      <c r="O525" s="449">
        <v>0</v>
      </c>
      <c r="P525" s="449">
        <v>0</v>
      </c>
      <c r="Q525" s="449">
        <v>0</v>
      </c>
      <c r="R525" s="449">
        <f>($H525-SUM($L525:Q525))/R$694</f>
        <v>2666.6666666666665</v>
      </c>
      <c r="S525" s="449">
        <f>($H525-SUM($L525:R525))/S$694</f>
        <v>2666.666666666667</v>
      </c>
      <c r="T525" s="449">
        <f>($H525-SUM($L525:S525))/T$694</f>
        <v>2666.6666666666665</v>
      </c>
      <c r="U525" s="449">
        <f>($H525-SUM($L525:T525))/U$694</f>
        <v>2666.6666666666665</v>
      </c>
      <c r="V525" s="449">
        <f>($H525-SUM($L525:U525))/V$694</f>
        <v>2666.666666666667</v>
      </c>
      <c r="W525" s="449">
        <f>($H525-SUM($L525:V525))/W$694</f>
        <v>2666.6666666666679</v>
      </c>
      <c r="X525" s="449"/>
      <c r="Y525" s="449">
        <f t="shared" si="404"/>
        <v>16000</v>
      </c>
      <c r="Z525" s="531"/>
      <c r="AA525" s="449">
        <f t="shared" si="429"/>
        <v>1333.3333333333333</v>
      </c>
      <c r="AB525" s="449">
        <f t="shared" si="429"/>
        <v>1333.3333333333333</v>
      </c>
      <c r="AC525" s="449">
        <f t="shared" si="429"/>
        <v>1333.3333333333333</v>
      </c>
      <c r="AD525" s="449">
        <f t="shared" si="429"/>
        <v>1333.3333333333333</v>
      </c>
      <c r="AE525" s="449">
        <f t="shared" si="429"/>
        <v>1333.3333333333333</v>
      </c>
      <c r="AF525" s="449">
        <f t="shared" si="429"/>
        <v>1333.3333333333333</v>
      </c>
      <c r="AG525" s="449">
        <f t="shared" si="429"/>
        <v>1333.3333333333333</v>
      </c>
      <c r="AH525" s="449">
        <f t="shared" si="429"/>
        <v>1333.3333333333333</v>
      </c>
      <c r="AI525" s="449">
        <f t="shared" si="429"/>
        <v>1333.3333333333333</v>
      </c>
      <c r="AJ525" s="449">
        <f t="shared" si="429"/>
        <v>1333.3333333333333</v>
      </c>
      <c r="AK525" s="449">
        <f t="shared" si="429"/>
        <v>1333.3333333333333</v>
      </c>
      <c r="AL525" s="449">
        <f t="shared" si="429"/>
        <v>1333.3333333333333</v>
      </c>
      <c r="AN525" s="500">
        <f t="shared" si="406"/>
        <v>16000</v>
      </c>
      <c r="AO525" s="449">
        <f t="shared" si="407"/>
        <v>3295.9999999999995</v>
      </c>
      <c r="AP525" s="449">
        <f t="shared" si="408"/>
        <v>-12704</v>
      </c>
      <c r="AQ525" s="453">
        <f t="shared" si="409"/>
        <v>-0.79400000000000004</v>
      </c>
      <c r="AR525" s="449">
        <f t="shared" si="410"/>
        <v>3295.9999999999995</v>
      </c>
      <c r="AS525" s="449">
        <f t="shared" si="411"/>
        <v>0</v>
      </c>
      <c r="AT525" s="426">
        <f t="shared" si="412"/>
        <v>0</v>
      </c>
      <c r="AU525" s="421"/>
      <c r="AV525" s="449">
        <f t="shared" si="416"/>
        <v>274.66666666666669</v>
      </c>
      <c r="AW525" s="449">
        <f t="shared" si="416"/>
        <v>274.66666666666669</v>
      </c>
      <c r="AX525" s="449">
        <f t="shared" si="416"/>
        <v>274.66666666666669</v>
      </c>
      <c r="AY525" s="449">
        <f t="shared" si="416"/>
        <v>274.66666666666669</v>
      </c>
      <c r="AZ525" s="449">
        <f t="shared" si="416"/>
        <v>274.66666666666669</v>
      </c>
      <c r="BA525" s="449">
        <f t="shared" si="416"/>
        <v>274.66666666666669</v>
      </c>
      <c r="BB525" s="449">
        <f t="shared" si="416"/>
        <v>274.66666666666669</v>
      </c>
      <c r="BC525" s="449">
        <f t="shared" si="416"/>
        <v>274.66666666666669</v>
      </c>
      <c r="BD525" s="449">
        <f t="shared" si="416"/>
        <v>274.66666666666669</v>
      </c>
      <c r="BE525" s="449">
        <f t="shared" si="416"/>
        <v>274.66666666666669</v>
      </c>
      <c r="BF525" s="449">
        <f t="shared" si="416"/>
        <v>274.66666666666669</v>
      </c>
      <c r="BG525" s="449">
        <f t="shared" si="416"/>
        <v>274.66666666666669</v>
      </c>
      <c r="BH525" s="400"/>
      <c r="BI525" s="449">
        <f>IFERROR(($H525*1.03)/12,0)*0.2</f>
        <v>274.66666666666669</v>
      </c>
      <c r="BJ525" s="449">
        <f t="shared" ref="BJ525:BT525" si="441">IFERROR(($H525*1.03)/12,0)*0.2</f>
        <v>274.66666666666669</v>
      </c>
      <c r="BK525" s="449">
        <f t="shared" si="441"/>
        <v>274.66666666666669</v>
      </c>
      <c r="BL525" s="449">
        <f t="shared" si="441"/>
        <v>274.66666666666669</v>
      </c>
      <c r="BM525" s="449">
        <f t="shared" si="441"/>
        <v>274.66666666666669</v>
      </c>
      <c r="BN525" s="449">
        <f t="shared" si="441"/>
        <v>274.66666666666669</v>
      </c>
      <c r="BO525" s="449">
        <f t="shared" si="441"/>
        <v>274.66666666666669</v>
      </c>
      <c r="BP525" s="449">
        <f t="shared" si="441"/>
        <v>274.66666666666669</v>
      </c>
      <c r="BQ525" s="449">
        <f t="shared" si="441"/>
        <v>274.66666666666669</v>
      </c>
      <c r="BR525" s="449">
        <f t="shared" si="441"/>
        <v>274.66666666666669</v>
      </c>
      <c r="BS525" s="449">
        <f t="shared" si="441"/>
        <v>274.66666666666669</v>
      </c>
      <c r="BT525" s="449">
        <f t="shared" si="441"/>
        <v>274.66666666666669</v>
      </c>
    </row>
    <row r="526" spans="1:74" s="536" customFormat="1" ht="15" customHeight="1" x14ac:dyDescent="0.25">
      <c r="A526" s="587"/>
      <c r="B526" s="502"/>
      <c r="C526" s="597"/>
      <c r="D526" s="500"/>
      <c r="E526" s="449"/>
      <c r="F526" s="449"/>
      <c r="G526" s="421"/>
      <c r="H526" s="449"/>
      <c r="I526" s="449"/>
      <c r="J526" s="426"/>
      <c r="K526" s="421"/>
      <c r="L526" s="449"/>
      <c r="M526" s="449"/>
      <c r="N526" s="449"/>
      <c r="O526" s="449"/>
      <c r="P526" s="449"/>
      <c r="Q526" s="449"/>
      <c r="R526" s="449"/>
      <c r="S526" s="449"/>
      <c r="T526" s="449"/>
      <c r="U526" s="449"/>
      <c r="V526" s="449"/>
      <c r="W526" s="449"/>
      <c r="X526" s="449"/>
      <c r="Y526" s="449"/>
      <c r="Z526" s="531"/>
      <c r="AA526" s="449"/>
      <c r="AB526" s="449"/>
      <c r="AC526" s="449"/>
      <c r="AD526" s="449"/>
      <c r="AE526" s="449"/>
      <c r="AF526" s="449"/>
      <c r="AG526" s="449"/>
      <c r="AH526" s="449"/>
      <c r="AI526" s="449"/>
      <c r="AJ526" s="449"/>
      <c r="AK526" s="449"/>
      <c r="AL526" s="449"/>
      <c r="AN526" s="500"/>
      <c r="AO526" s="449"/>
      <c r="AP526" s="449"/>
      <c r="AQ526" s="453"/>
      <c r="AR526" s="449"/>
      <c r="AS526" s="449"/>
      <c r="AT526" s="426"/>
      <c r="AU526" s="421"/>
      <c r="AV526" s="449"/>
      <c r="AW526" s="449"/>
      <c r="AX526" s="449"/>
      <c r="AY526" s="449"/>
      <c r="AZ526" s="449"/>
      <c r="BA526" s="449"/>
      <c r="BB526" s="449"/>
      <c r="BC526" s="449"/>
      <c r="BD526" s="449"/>
      <c r="BE526" s="449"/>
      <c r="BF526" s="449"/>
      <c r="BG526" s="449"/>
      <c r="BH526" s="531"/>
      <c r="BI526" s="449"/>
      <c r="BJ526" s="449"/>
      <c r="BK526" s="449"/>
      <c r="BL526" s="449"/>
      <c r="BM526" s="449"/>
      <c r="BN526" s="449"/>
      <c r="BO526" s="449"/>
      <c r="BP526" s="449"/>
      <c r="BQ526" s="449"/>
      <c r="BR526" s="449"/>
      <c r="BS526" s="449"/>
      <c r="BT526" s="449"/>
      <c r="BV526" s="400"/>
    </row>
    <row r="527" spans="1:74" s="536" customFormat="1" ht="15" customHeight="1" thickBot="1" x14ac:dyDescent="0.3">
      <c r="A527" s="526"/>
      <c r="B527" s="524" t="s">
        <v>905</v>
      </c>
      <c r="C527" s="599"/>
      <c r="D527" s="532">
        <f>SUM(D477:D526)</f>
        <v>2111663</v>
      </c>
      <c r="E527" s="533">
        <f>SUM(E477:E526)</f>
        <v>2171546</v>
      </c>
      <c r="F527" s="533">
        <f>IFERROR(D527-E527,0)</f>
        <v>-59883</v>
      </c>
      <c r="G527" s="520">
        <f>IFERROR(F527/ABS(E527),0)</f>
        <v>-2.7576206076224036E-2</v>
      </c>
      <c r="H527" s="533">
        <f>SUM(H477:H526)</f>
        <v>2108518</v>
      </c>
      <c r="I527" s="533">
        <f>IFERROR(D527-H527,0)</f>
        <v>3145</v>
      </c>
      <c r="J527" s="521">
        <f>IFERROR(I527/ABS(H527),0)</f>
        <v>1.4915689598096861E-3</v>
      </c>
      <c r="K527" s="507"/>
      <c r="L527" s="533">
        <f>SUM(L477:L526)</f>
        <v>115557.27</v>
      </c>
      <c r="M527" s="533">
        <f t="shared" ref="M527:W527" si="442">SUM(M477:M526)</f>
        <v>161898.20000000004</v>
      </c>
      <c r="N527" s="533">
        <f t="shared" si="442"/>
        <v>130695.59999999999</v>
      </c>
      <c r="O527" s="533">
        <f t="shared" si="442"/>
        <v>147073.65000000002</v>
      </c>
      <c r="P527" s="533">
        <f t="shared" si="442"/>
        <v>111246.76999999999</v>
      </c>
      <c r="Q527" s="533">
        <f t="shared" si="442"/>
        <v>195187.70999999996</v>
      </c>
      <c r="R527" s="533">
        <f t="shared" si="442"/>
        <v>208333.9666666667</v>
      </c>
      <c r="S527" s="533">
        <f t="shared" si="442"/>
        <v>208333.96666666676</v>
      </c>
      <c r="T527" s="533">
        <f t="shared" si="442"/>
        <v>208333.96666666676</v>
      </c>
      <c r="U527" s="533">
        <f t="shared" si="442"/>
        <v>208333.9666666667</v>
      </c>
      <c r="V527" s="533">
        <f t="shared" si="442"/>
        <v>208333.9666666667</v>
      </c>
      <c r="W527" s="533">
        <f t="shared" si="442"/>
        <v>208333.96666666667</v>
      </c>
      <c r="X527" s="533"/>
      <c r="Y527" s="533">
        <f>SUM(L527:W527)</f>
        <v>2111663.0000000005</v>
      </c>
      <c r="Z527" s="508"/>
      <c r="AA527" s="533">
        <f t="shared" ref="AA527:AL527" si="443">SUM(AA477:AA526)</f>
        <v>175709.83333333334</v>
      </c>
      <c r="AB527" s="533">
        <f t="shared" si="443"/>
        <v>175709.83333333334</v>
      </c>
      <c r="AC527" s="533">
        <f t="shared" si="443"/>
        <v>175709.83333333334</v>
      </c>
      <c r="AD527" s="533">
        <f t="shared" si="443"/>
        <v>175709.83333333334</v>
      </c>
      <c r="AE527" s="533">
        <f t="shared" si="443"/>
        <v>175709.83333333334</v>
      </c>
      <c r="AF527" s="533">
        <f t="shared" si="443"/>
        <v>175709.83333333334</v>
      </c>
      <c r="AG527" s="533">
        <f t="shared" si="443"/>
        <v>175709.83333333334</v>
      </c>
      <c r="AH527" s="533">
        <f t="shared" si="443"/>
        <v>175709.83333333334</v>
      </c>
      <c r="AI527" s="533">
        <f t="shared" si="443"/>
        <v>175709.83333333334</v>
      </c>
      <c r="AJ527" s="533">
        <f t="shared" si="443"/>
        <v>175709.83333333334</v>
      </c>
      <c r="AK527" s="533">
        <f t="shared" si="443"/>
        <v>175709.83333333334</v>
      </c>
      <c r="AL527" s="533">
        <f t="shared" si="443"/>
        <v>175709.83333333334</v>
      </c>
      <c r="AN527" s="532">
        <f>SUM(AN477:AN526)</f>
        <v>2111663</v>
      </c>
      <c r="AO527" s="533">
        <f>SUM(AO477:AO526)</f>
        <v>2625767.4469472803</v>
      </c>
      <c r="AP527" s="533">
        <f>IFERROR(AO527-AN527,0)</f>
        <v>514104.44694728032</v>
      </c>
      <c r="AQ527" s="523">
        <f>IFERROR(AP527/ABS(AN527),"-")</f>
        <v>0.24345951363796225</v>
      </c>
      <c r="AR527" s="533">
        <f>SUM(AR477:AR526)</f>
        <v>2625767.4469472803</v>
      </c>
      <c r="AS527" s="533">
        <f>IFERROR(AO527-AR527,0)</f>
        <v>0</v>
      </c>
      <c r="AT527" s="521">
        <f>IFERROR(AS527/ABS(AR527),0)</f>
        <v>0</v>
      </c>
      <c r="AU527" s="507"/>
      <c r="AV527" s="533">
        <f>SUM(AV477:AV526)</f>
        <v>218563.95391227331</v>
      </c>
      <c r="AW527" s="533">
        <f t="shared" ref="AW527:BG527" si="444">SUM(AW477:AW526)</f>
        <v>218563.95391227331</v>
      </c>
      <c r="AX527" s="533">
        <f t="shared" si="444"/>
        <v>218563.95391227331</v>
      </c>
      <c r="AY527" s="533">
        <f t="shared" si="444"/>
        <v>221563.95391227331</v>
      </c>
      <c r="AZ527" s="533">
        <f t="shared" si="444"/>
        <v>218563.95391227331</v>
      </c>
      <c r="BA527" s="533">
        <f t="shared" si="444"/>
        <v>218563.95391227331</v>
      </c>
      <c r="BB527" s="533">
        <f t="shared" si="444"/>
        <v>218563.95391227331</v>
      </c>
      <c r="BC527" s="533">
        <f t="shared" si="444"/>
        <v>218563.95391227331</v>
      </c>
      <c r="BD527" s="533">
        <f t="shared" si="444"/>
        <v>218563.95391227331</v>
      </c>
      <c r="BE527" s="533">
        <f t="shared" si="444"/>
        <v>218563.95391227331</v>
      </c>
      <c r="BF527" s="533">
        <f t="shared" si="444"/>
        <v>218563.95391227331</v>
      </c>
      <c r="BG527" s="533">
        <f t="shared" si="444"/>
        <v>218563.95391227331</v>
      </c>
      <c r="BH527" s="508"/>
      <c r="BI527" s="533">
        <f t="shared" ref="BI527:BT527" si="445">SUM(BI477:BI526)</f>
        <v>218563.95391227331</v>
      </c>
      <c r="BJ527" s="533">
        <f t="shared" si="445"/>
        <v>218563.95391227331</v>
      </c>
      <c r="BK527" s="533">
        <f t="shared" si="445"/>
        <v>218563.95391227331</v>
      </c>
      <c r="BL527" s="533">
        <f t="shared" si="445"/>
        <v>221563.95391227331</v>
      </c>
      <c r="BM527" s="533">
        <f t="shared" si="445"/>
        <v>218563.95391227331</v>
      </c>
      <c r="BN527" s="533">
        <f t="shared" si="445"/>
        <v>218563.95391227331</v>
      </c>
      <c r="BO527" s="533">
        <f t="shared" si="445"/>
        <v>218563.95391227331</v>
      </c>
      <c r="BP527" s="533">
        <f t="shared" si="445"/>
        <v>218563.95391227331</v>
      </c>
      <c r="BQ527" s="533">
        <f t="shared" si="445"/>
        <v>218563.95391227331</v>
      </c>
      <c r="BR527" s="533">
        <f t="shared" si="445"/>
        <v>218563.95391227331</v>
      </c>
      <c r="BS527" s="533">
        <f t="shared" si="445"/>
        <v>218563.95391227331</v>
      </c>
      <c r="BT527" s="533">
        <f t="shared" si="445"/>
        <v>218563.95391227331</v>
      </c>
      <c r="BV527" s="400"/>
    </row>
    <row r="528" spans="1:74" s="536" customFormat="1" ht="15" customHeight="1" thickTop="1" x14ac:dyDescent="0.25">
      <c r="A528" s="587"/>
      <c r="B528" s="502"/>
      <c r="C528" s="597"/>
      <c r="D528" s="500"/>
      <c r="E528" s="449"/>
      <c r="F528" s="449"/>
      <c r="G528" s="421"/>
      <c r="H528" s="449"/>
      <c r="I528" s="449"/>
      <c r="J528" s="426"/>
      <c r="K528" s="421"/>
      <c r="L528" s="449"/>
      <c r="M528" s="449"/>
      <c r="N528" s="449"/>
      <c r="O528" s="449"/>
      <c r="P528" s="449"/>
      <c r="Q528" s="449"/>
      <c r="R528" s="449"/>
      <c r="S528" s="449"/>
      <c r="T528" s="449"/>
      <c r="U528" s="449"/>
      <c r="V528" s="449"/>
      <c r="W528" s="449"/>
      <c r="X528" s="449"/>
      <c r="Y528" s="449"/>
      <c r="Z528" s="531"/>
      <c r="AA528" s="449"/>
      <c r="AB528" s="449"/>
      <c r="AC528" s="449"/>
      <c r="AD528" s="449"/>
      <c r="AE528" s="449"/>
      <c r="AF528" s="449"/>
      <c r="AG528" s="449"/>
      <c r="AH528" s="449"/>
      <c r="AI528" s="449"/>
      <c r="AJ528" s="449"/>
      <c r="AK528" s="449"/>
      <c r="AL528" s="449"/>
      <c r="AN528" s="500"/>
      <c r="AO528" s="449"/>
      <c r="AP528" s="449"/>
      <c r="AQ528" s="453"/>
      <c r="AR528" s="449"/>
      <c r="AS528" s="449"/>
      <c r="AT528" s="426"/>
      <c r="AU528" s="421"/>
      <c r="AV528" s="449"/>
      <c r="AW528" s="449"/>
      <c r="AX528" s="449"/>
      <c r="AY528" s="449"/>
      <c r="AZ528" s="449"/>
      <c r="BA528" s="449"/>
      <c r="BB528" s="449"/>
      <c r="BC528" s="449"/>
      <c r="BD528" s="449"/>
      <c r="BE528" s="449"/>
      <c r="BF528" s="449"/>
      <c r="BG528" s="449"/>
      <c r="BH528" s="531"/>
      <c r="BI528" s="449"/>
      <c r="BJ528" s="449"/>
      <c r="BK528" s="449"/>
      <c r="BL528" s="449"/>
      <c r="BM528" s="449"/>
      <c r="BN528" s="449"/>
      <c r="BO528" s="449"/>
      <c r="BP528" s="449"/>
      <c r="BQ528" s="449"/>
      <c r="BR528" s="449"/>
      <c r="BS528" s="449"/>
      <c r="BT528" s="449"/>
      <c r="BV528" s="400"/>
    </row>
    <row r="529" spans="1:74" s="536" customFormat="1" ht="15" customHeight="1" x14ac:dyDescent="0.25">
      <c r="A529" s="587"/>
      <c r="B529" s="525" t="s">
        <v>906</v>
      </c>
      <c r="C529" s="597"/>
      <c r="D529" s="500"/>
      <c r="E529" s="449"/>
      <c r="F529" s="449"/>
      <c r="G529" s="421"/>
      <c r="H529" s="449"/>
      <c r="I529" s="449"/>
      <c r="J529" s="426"/>
      <c r="K529" s="421"/>
      <c r="L529" s="449"/>
      <c r="M529" s="449"/>
      <c r="N529" s="449"/>
      <c r="O529" s="449"/>
      <c r="P529" s="449"/>
      <c r="Q529" s="449"/>
      <c r="R529" s="449"/>
      <c r="S529" s="449"/>
      <c r="T529" s="449"/>
      <c r="U529" s="449"/>
      <c r="V529" s="449"/>
      <c r="W529" s="449"/>
      <c r="X529" s="449"/>
      <c r="Y529" s="449"/>
      <c r="Z529" s="531"/>
      <c r="AA529" s="449"/>
      <c r="AB529" s="449"/>
      <c r="AC529" s="449"/>
      <c r="AD529" s="449"/>
      <c r="AE529" s="449"/>
      <c r="AF529" s="449"/>
      <c r="AG529" s="449"/>
      <c r="AH529" s="449"/>
      <c r="AI529" s="449"/>
      <c r="AJ529" s="449"/>
      <c r="AK529" s="449"/>
      <c r="AL529" s="449"/>
      <c r="AN529" s="500"/>
      <c r="AO529" s="449"/>
      <c r="AP529" s="449"/>
      <c r="AQ529" s="453"/>
      <c r="AR529" s="449"/>
      <c r="AS529" s="449"/>
      <c r="AT529" s="426"/>
      <c r="AU529" s="421"/>
      <c r="AV529" s="449"/>
      <c r="AW529" s="449"/>
      <c r="AX529" s="449"/>
      <c r="AY529" s="449"/>
      <c r="AZ529" s="449"/>
      <c r="BA529" s="449"/>
      <c r="BB529" s="449"/>
      <c r="BC529" s="449"/>
      <c r="BD529" s="449"/>
      <c r="BE529" s="449"/>
      <c r="BF529" s="449"/>
      <c r="BG529" s="449"/>
      <c r="BH529" s="531"/>
      <c r="BI529" s="449"/>
      <c r="BJ529" s="449"/>
      <c r="BK529" s="449"/>
      <c r="BL529" s="449"/>
      <c r="BM529" s="449"/>
      <c r="BN529" s="449"/>
      <c r="BO529" s="449"/>
      <c r="BP529" s="449"/>
      <c r="BQ529" s="449"/>
      <c r="BR529" s="449"/>
      <c r="BS529" s="449"/>
      <c r="BT529" s="449"/>
      <c r="BV529" s="400"/>
    </row>
    <row r="530" spans="1:74" s="536" customFormat="1" ht="8.25" customHeight="1" x14ac:dyDescent="0.25">
      <c r="A530" s="587"/>
      <c r="B530" s="502"/>
      <c r="C530" s="597"/>
      <c r="D530" s="500"/>
      <c r="E530" s="449"/>
      <c r="F530" s="449"/>
      <c r="G530" s="421"/>
      <c r="H530" s="449"/>
      <c r="I530" s="449"/>
      <c r="J530" s="426"/>
      <c r="K530" s="421"/>
      <c r="L530" s="449"/>
      <c r="M530" s="449"/>
      <c r="N530" s="449"/>
      <c r="O530" s="449"/>
      <c r="P530" s="449"/>
      <c r="Q530" s="449"/>
      <c r="R530" s="449"/>
      <c r="S530" s="449"/>
      <c r="T530" s="449"/>
      <c r="U530" s="449"/>
      <c r="V530" s="449"/>
      <c r="W530" s="449"/>
      <c r="X530" s="449"/>
      <c r="Y530" s="449"/>
      <c r="Z530" s="531"/>
      <c r="AA530" s="449"/>
      <c r="AB530" s="449"/>
      <c r="AC530" s="449"/>
      <c r="AD530" s="449"/>
      <c r="AE530" s="449"/>
      <c r="AF530" s="449"/>
      <c r="AG530" s="449"/>
      <c r="AH530" s="449"/>
      <c r="AI530" s="449"/>
      <c r="AJ530" s="449"/>
      <c r="AK530" s="449"/>
      <c r="AL530" s="449"/>
      <c r="AN530" s="500"/>
      <c r="AO530" s="449"/>
      <c r="AP530" s="449"/>
      <c r="AQ530" s="453"/>
      <c r="AR530" s="449"/>
      <c r="AS530" s="449"/>
      <c r="AT530" s="426"/>
      <c r="AU530" s="421"/>
      <c r="AV530" s="449"/>
      <c r="AW530" s="449"/>
      <c r="AX530" s="449"/>
      <c r="AY530" s="449"/>
      <c r="AZ530" s="449"/>
      <c r="BA530" s="449"/>
      <c r="BB530" s="449"/>
      <c r="BC530" s="449"/>
      <c r="BD530" s="449"/>
      <c r="BE530" s="449"/>
      <c r="BF530" s="449"/>
      <c r="BG530" s="449"/>
      <c r="BH530" s="531"/>
      <c r="BI530" s="449"/>
      <c r="BJ530" s="449"/>
      <c r="BK530" s="449"/>
      <c r="BL530" s="449"/>
      <c r="BM530" s="449"/>
      <c r="BN530" s="449"/>
      <c r="BO530" s="449"/>
      <c r="BP530" s="449"/>
      <c r="BQ530" s="449"/>
      <c r="BR530" s="449"/>
      <c r="BS530" s="449"/>
      <c r="BT530" s="449"/>
      <c r="BV530" s="400"/>
    </row>
    <row r="531" spans="1:74" ht="15" customHeight="1" x14ac:dyDescent="0.25">
      <c r="A531" s="502" t="s">
        <v>907</v>
      </c>
      <c r="B531" s="502" t="s">
        <v>908</v>
      </c>
      <c r="C531" s="538"/>
      <c r="D531" s="500">
        <f t="shared" ref="D531:D541" si="446">SUM(L531:W531)</f>
        <v>20000</v>
      </c>
      <c r="E531" s="449">
        <v>10000</v>
      </c>
      <c r="F531" s="449">
        <f t="shared" ref="F531:F541" si="447">IFERROR(D531-E531,0)</f>
        <v>10000</v>
      </c>
      <c r="G531" s="421">
        <f t="shared" ref="G531:G541" si="448">IFERROR(F531/ABS(E531),0)</f>
        <v>1</v>
      </c>
      <c r="H531" s="449">
        <v>20000</v>
      </c>
      <c r="I531" s="449">
        <f t="shared" ref="I531:I541" si="449">IFERROR(D531-H531,0)</f>
        <v>0</v>
      </c>
      <c r="J531" s="426">
        <f t="shared" ref="J531:J541" si="450">IFERROR(I531/ABS(H531),0)</f>
        <v>0</v>
      </c>
      <c r="K531" s="421"/>
      <c r="L531" s="449">
        <v>4277.1499999999996</v>
      </c>
      <c r="M531" s="449">
        <v>-1605.9999999999995</v>
      </c>
      <c r="N531" s="449">
        <v>198.79999999999973</v>
      </c>
      <c r="O531" s="449">
        <v>10890.879999999997</v>
      </c>
      <c r="P531" s="449">
        <v>-10740.929999999998</v>
      </c>
      <c r="Q531" s="449">
        <v>11306.859999999999</v>
      </c>
      <c r="R531" s="449">
        <f>($H531-SUM($L531:Q531))/R$694</f>
        <v>945.5400000000003</v>
      </c>
      <c r="S531" s="449">
        <f>($H531-SUM($L531:R531))/S$694</f>
        <v>945.54000000000019</v>
      </c>
      <c r="T531" s="449">
        <f>($H531-SUM($L531:S531))/T$694</f>
        <v>945.54</v>
      </c>
      <c r="U531" s="449">
        <f>($H531-SUM($L531:T531))/U$694</f>
        <v>945.53999999999962</v>
      </c>
      <c r="V531" s="449">
        <f>($H531-SUM($L531:U531))/V$694</f>
        <v>945.53999999999905</v>
      </c>
      <c r="W531" s="449">
        <f>($H531-SUM($L531:V531))/W$694</f>
        <v>945.54000000000087</v>
      </c>
      <c r="X531" s="449"/>
      <c r="Y531" s="449">
        <f t="shared" ref="Y531:Y541" si="451">SUM(L531:W531)</f>
        <v>20000</v>
      </c>
      <c r="Z531" s="531"/>
      <c r="AA531" s="449">
        <f t="shared" ref="AA531:AL541" si="452">IFERROR($H531/12,0)</f>
        <v>1666.6666666666667</v>
      </c>
      <c r="AB531" s="449">
        <f t="shared" si="452"/>
        <v>1666.6666666666667</v>
      </c>
      <c r="AC531" s="449">
        <f t="shared" si="452"/>
        <v>1666.6666666666667</v>
      </c>
      <c r="AD531" s="449">
        <f t="shared" si="452"/>
        <v>1666.6666666666667</v>
      </c>
      <c r="AE531" s="449">
        <f t="shared" si="452"/>
        <v>1666.6666666666667</v>
      </c>
      <c r="AF531" s="449">
        <f t="shared" si="452"/>
        <v>1666.6666666666667</v>
      </c>
      <c r="AG531" s="449">
        <f t="shared" si="452"/>
        <v>1666.6666666666667</v>
      </c>
      <c r="AH531" s="449">
        <f t="shared" si="452"/>
        <v>1666.6666666666667</v>
      </c>
      <c r="AI531" s="449">
        <f t="shared" si="452"/>
        <v>1666.6666666666667</v>
      </c>
      <c r="AJ531" s="449">
        <f t="shared" si="452"/>
        <v>1666.6666666666667</v>
      </c>
      <c r="AK531" s="449">
        <f t="shared" si="452"/>
        <v>1666.6666666666667</v>
      </c>
      <c r="AL531" s="449">
        <f t="shared" si="452"/>
        <v>1666.6666666666667</v>
      </c>
      <c r="AN531" s="500">
        <f t="shared" ref="AN531:AN541" si="453">SUM(L531:W531)</f>
        <v>20000</v>
      </c>
      <c r="AO531" s="449">
        <f t="shared" ref="AO531:AO541" si="454">SUM(BI531:BT531)</f>
        <v>20000</v>
      </c>
      <c r="AP531" s="449">
        <f t="shared" ref="AP531:AP541" si="455">IFERROR(AO531-AN531,0)</f>
        <v>0</v>
      </c>
      <c r="AQ531" s="453">
        <f t="shared" ref="AQ531:AQ541" si="456">IFERROR(AP531/ABS(AN531),"-")</f>
        <v>0</v>
      </c>
      <c r="AR531" s="449">
        <f t="shared" ref="AR531:AR541" si="457">SUM(BI531:BT531)</f>
        <v>20000</v>
      </c>
      <c r="AS531" s="449">
        <f t="shared" ref="AS531:AS541" si="458">IFERROR(AO531-AR531,0)</f>
        <v>0</v>
      </c>
      <c r="AT531" s="426">
        <f t="shared" ref="AT531:AT541" si="459">IFERROR(AS531/ABS(AR531),0)</f>
        <v>0</v>
      </c>
      <c r="AU531" s="421"/>
      <c r="AV531" s="449">
        <f t="shared" ref="AV531:BG541" si="460">BI531</f>
        <v>1666.6666666666667</v>
      </c>
      <c r="AW531" s="449">
        <f t="shared" si="460"/>
        <v>1666.6666666666667</v>
      </c>
      <c r="AX531" s="449">
        <f t="shared" si="460"/>
        <v>1666.6666666666667</v>
      </c>
      <c r="AY531" s="449">
        <f t="shared" si="460"/>
        <v>1666.6666666666667</v>
      </c>
      <c r="AZ531" s="449">
        <f t="shared" si="460"/>
        <v>1666.6666666666667</v>
      </c>
      <c r="BA531" s="449">
        <f t="shared" si="460"/>
        <v>1666.6666666666667</v>
      </c>
      <c r="BB531" s="449">
        <f t="shared" si="460"/>
        <v>1666.6666666666667</v>
      </c>
      <c r="BC531" s="449">
        <f t="shared" si="460"/>
        <v>1666.6666666666667</v>
      </c>
      <c r="BD531" s="449">
        <f t="shared" si="460"/>
        <v>1666.6666666666667</v>
      </c>
      <c r="BE531" s="449">
        <f t="shared" si="460"/>
        <v>1666.6666666666667</v>
      </c>
      <c r="BF531" s="449">
        <f t="shared" si="460"/>
        <v>1666.6666666666667</v>
      </c>
      <c r="BG531" s="449">
        <f t="shared" si="460"/>
        <v>1666.6666666666667</v>
      </c>
      <c r="BH531" s="400"/>
      <c r="BI531" s="449">
        <f>IFERROR(($AN531)/12,0)</f>
        <v>1666.6666666666667</v>
      </c>
      <c r="BJ531" s="449">
        <f t="shared" ref="BJ531:BT531" si="461">IFERROR(($AN531)/12,0)</f>
        <v>1666.6666666666667</v>
      </c>
      <c r="BK531" s="449">
        <f t="shared" si="461"/>
        <v>1666.6666666666667</v>
      </c>
      <c r="BL531" s="449">
        <f t="shared" si="461"/>
        <v>1666.6666666666667</v>
      </c>
      <c r="BM531" s="449">
        <f t="shared" si="461"/>
        <v>1666.6666666666667</v>
      </c>
      <c r="BN531" s="449">
        <f t="shared" si="461"/>
        <v>1666.6666666666667</v>
      </c>
      <c r="BO531" s="449">
        <f t="shared" si="461"/>
        <v>1666.6666666666667</v>
      </c>
      <c r="BP531" s="449">
        <f t="shared" si="461"/>
        <v>1666.6666666666667</v>
      </c>
      <c r="BQ531" s="449">
        <f t="shared" si="461"/>
        <v>1666.6666666666667</v>
      </c>
      <c r="BR531" s="449">
        <f t="shared" si="461"/>
        <v>1666.6666666666667</v>
      </c>
      <c r="BS531" s="449">
        <f t="shared" si="461"/>
        <v>1666.6666666666667</v>
      </c>
      <c r="BT531" s="449">
        <f t="shared" si="461"/>
        <v>1666.6666666666667</v>
      </c>
    </row>
    <row r="532" spans="1:74" ht="15" customHeight="1" x14ac:dyDescent="0.25">
      <c r="A532" s="502" t="s">
        <v>909</v>
      </c>
      <c r="B532" s="502" t="s">
        <v>910</v>
      </c>
      <c r="C532" s="538"/>
      <c r="D532" s="500">
        <f t="shared" si="446"/>
        <v>0</v>
      </c>
      <c r="E532" s="449">
        <v>0</v>
      </c>
      <c r="F532" s="449">
        <f t="shared" si="447"/>
        <v>0</v>
      </c>
      <c r="G532" s="421">
        <f t="shared" si="448"/>
        <v>0</v>
      </c>
      <c r="H532" s="449"/>
      <c r="I532" s="449">
        <f t="shared" si="449"/>
        <v>0</v>
      </c>
      <c r="J532" s="426">
        <f t="shared" si="450"/>
        <v>0</v>
      </c>
      <c r="K532" s="421"/>
      <c r="L532" s="449">
        <v>0</v>
      </c>
      <c r="M532" s="449">
        <v>0</v>
      </c>
      <c r="N532" s="449">
        <v>0</v>
      </c>
      <c r="O532" s="449">
        <v>0</v>
      </c>
      <c r="P532" s="449">
        <v>74.98</v>
      </c>
      <c r="Q532" s="449">
        <v>-74.98</v>
      </c>
      <c r="R532" s="449">
        <f>($H532-SUM($L532:Q532))/R$694</f>
        <v>0</v>
      </c>
      <c r="S532" s="449">
        <f>($H532-SUM($L532:R532))/S$694</f>
        <v>0</v>
      </c>
      <c r="T532" s="449">
        <f>($H532-SUM($L532:S532))/T$694</f>
        <v>0</v>
      </c>
      <c r="U532" s="449">
        <f>($H532-SUM($L532:T532))/U$694</f>
        <v>0</v>
      </c>
      <c r="V532" s="449">
        <f>($H532-SUM($L532:U532))/V$694</f>
        <v>0</v>
      </c>
      <c r="W532" s="449">
        <f>($H532-SUM($L532:V532))/W$694</f>
        <v>0</v>
      </c>
      <c r="X532" s="449"/>
      <c r="Y532" s="449">
        <f t="shared" si="451"/>
        <v>0</v>
      </c>
      <c r="Z532" s="531"/>
      <c r="AA532" s="449">
        <f t="shared" si="452"/>
        <v>0</v>
      </c>
      <c r="AB532" s="449">
        <f t="shared" si="452"/>
        <v>0</v>
      </c>
      <c r="AC532" s="449">
        <f t="shared" si="452"/>
        <v>0</v>
      </c>
      <c r="AD532" s="449">
        <f t="shared" si="452"/>
        <v>0</v>
      </c>
      <c r="AE532" s="449">
        <f t="shared" si="452"/>
        <v>0</v>
      </c>
      <c r="AF532" s="449">
        <f t="shared" si="452"/>
        <v>0</v>
      </c>
      <c r="AG532" s="449">
        <f t="shared" si="452"/>
        <v>0</v>
      </c>
      <c r="AH532" s="449">
        <f t="shared" si="452"/>
        <v>0</v>
      </c>
      <c r="AI532" s="449">
        <f t="shared" si="452"/>
        <v>0</v>
      </c>
      <c r="AJ532" s="449">
        <f t="shared" si="452"/>
        <v>0</v>
      </c>
      <c r="AK532" s="449">
        <f t="shared" si="452"/>
        <v>0</v>
      </c>
      <c r="AL532" s="449">
        <f t="shared" si="452"/>
        <v>0</v>
      </c>
      <c r="AN532" s="500">
        <f t="shared" si="453"/>
        <v>0</v>
      </c>
      <c r="AO532" s="449">
        <f t="shared" si="454"/>
        <v>0</v>
      </c>
      <c r="AP532" s="449">
        <f t="shared" si="455"/>
        <v>0</v>
      </c>
      <c r="AQ532" s="453" t="str">
        <f t="shared" si="456"/>
        <v>-</v>
      </c>
      <c r="AR532" s="449">
        <f t="shared" si="457"/>
        <v>0</v>
      </c>
      <c r="AS532" s="449">
        <f t="shared" si="458"/>
        <v>0</v>
      </c>
      <c r="AT532" s="426">
        <f t="shared" si="459"/>
        <v>0</v>
      </c>
      <c r="AU532" s="421"/>
      <c r="AV532" s="449">
        <f t="shared" si="460"/>
        <v>0</v>
      </c>
      <c r="AW532" s="449">
        <f t="shared" si="460"/>
        <v>0</v>
      </c>
      <c r="AX532" s="449">
        <f t="shared" si="460"/>
        <v>0</v>
      </c>
      <c r="AY532" s="449">
        <f t="shared" si="460"/>
        <v>0</v>
      </c>
      <c r="AZ532" s="449">
        <f t="shared" si="460"/>
        <v>0</v>
      </c>
      <c r="BA532" s="449">
        <f t="shared" si="460"/>
        <v>0</v>
      </c>
      <c r="BB532" s="449">
        <f t="shared" si="460"/>
        <v>0</v>
      </c>
      <c r="BC532" s="449">
        <f t="shared" si="460"/>
        <v>0</v>
      </c>
      <c r="BD532" s="449">
        <f t="shared" si="460"/>
        <v>0</v>
      </c>
      <c r="BE532" s="449">
        <f t="shared" si="460"/>
        <v>0</v>
      </c>
      <c r="BF532" s="449">
        <f t="shared" si="460"/>
        <v>0</v>
      </c>
      <c r="BG532" s="449">
        <f t="shared" si="460"/>
        <v>0</v>
      </c>
      <c r="BH532" s="400"/>
      <c r="BI532" s="449">
        <f t="shared" ref="BI532:BT532" si="462">IFERROR((($H532/$H$5)*BI$5)/12,0)</f>
        <v>0</v>
      </c>
      <c r="BJ532" s="449">
        <f t="shared" si="462"/>
        <v>0</v>
      </c>
      <c r="BK532" s="449">
        <f t="shared" si="462"/>
        <v>0</v>
      </c>
      <c r="BL532" s="449">
        <f t="shared" si="462"/>
        <v>0</v>
      </c>
      <c r="BM532" s="449">
        <f t="shared" si="462"/>
        <v>0</v>
      </c>
      <c r="BN532" s="449">
        <f t="shared" si="462"/>
        <v>0</v>
      </c>
      <c r="BO532" s="449">
        <f t="shared" si="462"/>
        <v>0</v>
      </c>
      <c r="BP532" s="449">
        <f t="shared" si="462"/>
        <v>0</v>
      </c>
      <c r="BQ532" s="449">
        <f t="shared" si="462"/>
        <v>0</v>
      </c>
      <c r="BR532" s="449">
        <f t="shared" si="462"/>
        <v>0</v>
      </c>
      <c r="BS532" s="449">
        <f t="shared" si="462"/>
        <v>0</v>
      </c>
      <c r="BT532" s="449">
        <f t="shared" si="462"/>
        <v>0</v>
      </c>
    </row>
    <row r="533" spans="1:74" ht="15" customHeight="1" x14ac:dyDescent="0.25">
      <c r="A533" s="502" t="s">
        <v>911</v>
      </c>
      <c r="B533" s="502" t="s">
        <v>912</v>
      </c>
      <c r="C533" s="543"/>
      <c r="D533" s="500">
        <f t="shared" si="446"/>
        <v>1000</v>
      </c>
      <c r="E533" s="449">
        <v>1000</v>
      </c>
      <c r="F533" s="449">
        <f t="shared" si="447"/>
        <v>0</v>
      </c>
      <c r="G533" s="421">
        <f t="shared" si="448"/>
        <v>0</v>
      </c>
      <c r="H533" s="449">
        <v>1000</v>
      </c>
      <c r="I533" s="449">
        <f t="shared" si="449"/>
        <v>0</v>
      </c>
      <c r="J533" s="426">
        <f t="shared" si="450"/>
        <v>0</v>
      </c>
      <c r="K533" s="421"/>
      <c r="L533" s="449">
        <v>0</v>
      </c>
      <c r="M533" s="449">
        <v>7500</v>
      </c>
      <c r="N533" s="449">
        <v>3390.8799999999992</v>
      </c>
      <c r="O533" s="449">
        <v>-10890.88</v>
      </c>
      <c r="P533" s="449">
        <v>11231.88</v>
      </c>
      <c r="Q533" s="449">
        <v>-11231.88</v>
      </c>
      <c r="R533" s="449">
        <f>($H533-SUM($L533:Q533))/R$694</f>
        <v>166.66666666666666</v>
      </c>
      <c r="S533" s="449">
        <f>($H533-SUM($L533:R533))/S$694</f>
        <v>166.66666666666669</v>
      </c>
      <c r="T533" s="449">
        <f>($H533-SUM($L533:S533))/T$694</f>
        <v>166.66666666666666</v>
      </c>
      <c r="U533" s="449">
        <f>($H533-SUM($L533:T533))/U$694</f>
        <v>166.66666666666666</v>
      </c>
      <c r="V533" s="449">
        <f>($H533-SUM($L533:U533))/V$694</f>
        <v>166.66666666666669</v>
      </c>
      <c r="W533" s="449">
        <f>($H533-SUM($L533:V533))/W$694</f>
        <v>166.66666666666674</v>
      </c>
      <c r="X533" s="449"/>
      <c r="Y533" s="449">
        <f t="shared" si="451"/>
        <v>1000</v>
      </c>
      <c r="Z533" s="531"/>
      <c r="AA533" s="449">
        <f t="shared" si="452"/>
        <v>83.333333333333329</v>
      </c>
      <c r="AB533" s="449">
        <f t="shared" si="452"/>
        <v>83.333333333333329</v>
      </c>
      <c r="AC533" s="449">
        <f t="shared" si="452"/>
        <v>83.333333333333329</v>
      </c>
      <c r="AD533" s="449">
        <f t="shared" si="452"/>
        <v>83.333333333333329</v>
      </c>
      <c r="AE533" s="449">
        <f t="shared" si="452"/>
        <v>83.333333333333329</v>
      </c>
      <c r="AF533" s="449">
        <f t="shared" si="452"/>
        <v>83.333333333333329</v>
      </c>
      <c r="AG533" s="449">
        <f t="shared" si="452"/>
        <v>83.333333333333329</v>
      </c>
      <c r="AH533" s="449">
        <f t="shared" si="452"/>
        <v>83.333333333333329</v>
      </c>
      <c r="AI533" s="449">
        <f t="shared" si="452"/>
        <v>83.333333333333329</v>
      </c>
      <c r="AJ533" s="449">
        <f t="shared" si="452"/>
        <v>83.333333333333329</v>
      </c>
      <c r="AK533" s="449">
        <f t="shared" si="452"/>
        <v>83.333333333333329</v>
      </c>
      <c r="AL533" s="449">
        <f t="shared" si="452"/>
        <v>83.333333333333329</v>
      </c>
      <c r="AN533" s="500">
        <f t="shared" si="453"/>
        <v>1000</v>
      </c>
      <c r="AO533" s="449">
        <f t="shared" si="454"/>
        <v>1000.0000000000001</v>
      </c>
      <c r="AP533" s="449">
        <f t="shared" si="455"/>
        <v>1.1368683772161603E-13</v>
      </c>
      <c r="AQ533" s="453">
        <f t="shared" si="456"/>
        <v>1.1368683772161603E-16</v>
      </c>
      <c r="AR533" s="449">
        <f t="shared" si="457"/>
        <v>1000.0000000000001</v>
      </c>
      <c r="AS533" s="449">
        <f t="shared" si="458"/>
        <v>0</v>
      </c>
      <c r="AT533" s="426">
        <f t="shared" si="459"/>
        <v>0</v>
      </c>
      <c r="AU533" s="421"/>
      <c r="AV533" s="449">
        <f t="shared" si="460"/>
        <v>83.333333333333329</v>
      </c>
      <c r="AW533" s="449">
        <f t="shared" si="460"/>
        <v>83.333333333333329</v>
      </c>
      <c r="AX533" s="449">
        <f t="shared" si="460"/>
        <v>83.333333333333329</v>
      </c>
      <c r="AY533" s="449">
        <f t="shared" si="460"/>
        <v>83.333333333333329</v>
      </c>
      <c r="AZ533" s="449">
        <f t="shared" si="460"/>
        <v>83.333333333333329</v>
      </c>
      <c r="BA533" s="449">
        <f t="shared" si="460"/>
        <v>83.333333333333329</v>
      </c>
      <c r="BB533" s="449">
        <f t="shared" si="460"/>
        <v>83.333333333333329</v>
      </c>
      <c r="BC533" s="449">
        <f t="shared" si="460"/>
        <v>83.333333333333329</v>
      </c>
      <c r="BD533" s="449">
        <f t="shared" si="460"/>
        <v>83.333333333333329</v>
      </c>
      <c r="BE533" s="449">
        <f t="shared" si="460"/>
        <v>83.333333333333329</v>
      </c>
      <c r="BF533" s="449">
        <f t="shared" si="460"/>
        <v>83.333333333333329</v>
      </c>
      <c r="BG533" s="449">
        <f t="shared" si="460"/>
        <v>83.333333333333329</v>
      </c>
      <c r="BH533" s="400"/>
      <c r="BI533" s="449">
        <f t="shared" ref="BI533:BT533" si="463">IFERROR($H533/12,0)</f>
        <v>83.333333333333329</v>
      </c>
      <c r="BJ533" s="449">
        <f t="shared" si="463"/>
        <v>83.333333333333329</v>
      </c>
      <c r="BK533" s="449">
        <f t="shared" si="463"/>
        <v>83.333333333333329</v>
      </c>
      <c r="BL533" s="449">
        <f t="shared" si="463"/>
        <v>83.333333333333329</v>
      </c>
      <c r="BM533" s="449">
        <f t="shared" si="463"/>
        <v>83.333333333333329</v>
      </c>
      <c r="BN533" s="449">
        <f t="shared" si="463"/>
        <v>83.333333333333329</v>
      </c>
      <c r="BO533" s="449">
        <f t="shared" si="463"/>
        <v>83.333333333333329</v>
      </c>
      <c r="BP533" s="449">
        <f t="shared" si="463"/>
        <v>83.333333333333329</v>
      </c>
      <c r="BQ533" s="449">
        <f t="shared" si="463"/>
        <v>83.333333333333329</v>
      </c>
      <c r="BR533" s="449">
        <f t="shared" si="463"/>
        <v>83.333333333333329</v>
      </c>
      <c r="BS533" s="449">
        <f t="shared" si="463"/>
        <v>83.333333333333329</v>
      </c>
      <c r="BT533" s="449">
        <f t="shared" si="463"/>
        <v>83.333333333333329</v>
      </c>
    </row>
    <row r="534" spans="1:74" ht="15" x14ac:dyDescent="0.25">
      <c r="A534" s="612" t="s">
        <v>913</v>
      </c>
      <c r="B534" s="612" t="s">
        <v>914</v>
      </c>
      <c r="C534" s="538"/>
      <c r="D534" s="500">
        <f t="shared" si="446"/>
        <v>3215</v>
      </c>
      <c r="E534" s="449">
        <v>3215</v>
      </c>
      <c r="F534" s="449">
        <f t="shared" si="447"/>
        <v>0</v>
      </c>
      <c r="G534" s="421">
        <f t="shared" si="448"/>
        <v>0</v>
      </c>
      <c r="H534" s="449">
        <v>3215</v>
      </c>
      <c r="I534" s="449">
        <f t="shared" si="449"/>
        <v>0</v>
      </c>
      <c r="J534" s="426">
        <f t="shared" si="450"/>
        <v>0</v>
      </c>
      <c r="K534" s="421"/>
      <c r="L534" s="449">
        <v>0</v>
      </c>
      <c r="M534" s="449">
        <v>0</v>
      </c>
      <c r="N534" s="449">
        <v>0</v>
      </c>
      <c r="O534" s="449">
        <v>0</v>
      </c>
      <c r="P534" s="449">
        <v>0</v>
      </c>
      <c r="Q534" s="449">
        <v>0</v>
      </c>
      <c r="R534" s="449">
        <f>($H534-SUM($L534:Q534))/R$694</f>
        <v>535.83333333333337</v>
      </c>
      <c r="S534" s="449">
        <f>($H534-SUM($L534:R534))/S$694</f>
        <v>535.83333333333326</v>
      </c>
      <c r="T534" s="449">
        <f>($H534-SUM($L534:S534))/T$694</f>
        <v>535.83333333333337</v>
      </c>
      <c r="U534" s="449">
        <f>($H534-SUM($L534:T534))/U$694</f>
        <v>535.83333333333337</v>
      </c>
      <c r="V534" s="449">
        <f>($H534-SUM($L534:U534))/V$694</f>
        <v>535.83333333333326</v>
      </c>
      <c r="W534" s="449">
        <f>($H534-SUM($L534:V534))/W$694</f>
        <v>535.83333333333303</v>
      </c>
      <c r="X534" s="449"/>
      <c r="Y534" s="449">
        <f t="shared" si="451"/>
        <v>3215</v>
      </c>
      <c r="Z534" s="531"/>
      <c r="AA534" s="449">
        <f t="shared" si="452"/>
        <v>267.91666666666669</v>
      </c>
      <c r="AB534" s="449">
        <f t="shared" si="452"/>
        <v>267.91666666666669</v>
      </c>
      <c r="AC534" s="449">
        <f t="shared" si="452"/>
        <v>267.91666666666669</v>
      </c>
      <c r="AD534" s="449">
        <f t="shared" si="452"/>
        <v>267.91666666666669</v>
      </c>
      <c r="AE534" s="449">
        <f t="shared" si="452"/>
        <v>267.91666666666669</v>
      </c>
      <c r="AF534" s="449">
        <f t="shared" si="452"/>
        <v>267.91666666666669</v>
      </c>
      <c r="AG534" s="449">
        <f t="shared" si="452"/>
        <v>267.91666666666669</v>
      </c>
      <c r="AH534" s="449">
        <f t="shared" si="452"/>
        <v>267.91666666666669</v>
      </c>
      <c r="AI534" s="449">
        <f t="shared" si="452"/>
        <v>267.91666666666669</v>
      </c>
      <c r="AJ534" s="449">
        <f t="shared" si="452"/>
        <v>267.91666666666669</v>
      </c>
      <c r="AK534" s="449">
        <f t="shared" si="452"/>
        <v>267.91666666666669</v>
      </c>
      <c r="AL534" s="449">
        <f t="shared" si="452"/>
        <v>267.91666666666669</v>
      </c>
      <c r="AN534" s="500">
        <f t="shared" si="453"/>
        <v>3215</v>
      </c>
      <c r="AO534" s="449">
        <f t="shared" si="454"/>
        <v>3535.2088353413656</v>
      </c>
      <c r="AP534" s="449">
        <f t="shared" si="455"/>
        <v>320.20883534136556</v>
      </c>
      <c r="AQ534" s="453">
        <f t="shared" si="456"/>
        <v>9.9598393574297214E-2</v>
      </c>
      <c r="AR534" s="449">
        <f t="shared" si="457"/>
        <v>3535.2088353413656</v>
      </c>
      <c r="AS534" s="449">
        <f t="shared" si="458"/>
        <v>0</v>
      </c>
      <c r="AT534" s="426">
        <f t="shared" si="459"/>
        <v>0</v>
      </c>
      <c r="AU534" s="421"/>
      <c r="AV534" s="449">
        <f t="shared" si="460"/>
        <v>294.60073627844713</v>
      </c>
      <c r="AW534" s="449">
        <f t="shared" si="460"/>
        <v>294.60073627844713</v>
      </c>
      <c r="AX534" s="449">
        <f t="shared" si="460"/>
        <v>294.60073627844713</v>
      </c>
      <c r="AY534" s="449">
        <f t="shared" si="460"/>
        <v>294.60073627844713</v>
      </c>
      <c r="AZ534" s="449">
        <f t="shared" si="460"/>
        <v>294.60073627844713</v>
      </c>
      <c r="BA534" s="449">
        <f t="shared" si="460"/>
        <v>294.60073627844713</v>
      </c>
      <c r="BB534" s="449">
        <f t="shared" si="460"/>
        <v>294.60073627844713</v>
      </c>
      <c r="BC534" s="449">
        <f t="shared" si="460"/>
        <v>294.60073627844713</v>
      </c>
      <c r="BD534" s="449">
        <f t="shared" si="460"/>
        <v>294.60073627844713</v>
      </c>
      <c r="BE534" s="449">
        <f t="shared" si="460"/>
        <v>294.60073627844713</v>
      </c>
      <c r="BF534" s="449">
        <f t="shared" si="460"/>
        <v>294.60073627844713</v>
      </c>
      <c r="BG534" s="449">
        <f t="shared" si="460"/>
        <v>294.60073627844713</v>
      </c>
      <c r="BH534" s="400"/>
      <c r="BI534" s="449">
        <f t="shared" ref="BI534:BT534" si="464">IFERROR((($H534/$H$5)*BI$5)/12,0)</f>
        <v>294.60073627844713</v>
      </c>
      <c r="BJ534" s="449">
        <f t="shared" si="464"/>
        <v>294.60073627844713</v>
      </c>
      <c r="BK534" s="449">
        <f t="shared" si="464"/>
        <v>294.60073627844713</v>
      </c>
      <c r="BL534" s="449">
        <f t="shared" si="464"/>
        <v>294.60073627844713</v>
      </c>
      <c r="BM534" s="449">
        <f t="shared" si="464"/>
        <v>294.60073627844713</v>
      </c>
      <c r="BN534" s="449">
        <f t="shared" si="464"/>
        <v>294.60073627844713</v>
      </c>
      <c r="BO534" s="449">
        <f t="shared" si="464"/>
        <v>294.60073627844713</v>
      </c>
      <c r="BP534" s="449">
        <f t="shared" si="464"/>
        <v>294.60073627844713</v>
      </c>
      <c r="BQ534" s="449">
        <f t="shared" si="464"/>
        <v>294.60073627844713</v>
      </c>
      <c r="BR534" s="449">
        <f t="shared" si="464"/>
        <v>294.60073627844713</v>
      </c>
      <c r="BS534" s="449">
        <f t="shared" si="464"/>
        <v>294.60073627844713</v>
      </c>
      <c r="BT534" s="449">
        <f t="shared" si="464"/>
        <v>294.60073627844713</v>
      </c>
    </row>
    <row r="535" spans="1:74" ht="15" hidden="1" x14ac:dyDescent="0.25">
      <c r="A535" s="614" t="s">
        <v>915</v>
      </c>
      <c r="B535" s="614" t="s">
        <v>916</v>
      </c>
      <c r="C535" s="630"/>
      <c r="D535" s="500">
        <f t="shared" si="446"/>
        <v>0</v>
      </c>
      <c r="E535" s="449">
        <v>0</v>
      </c>
      <c r="F535" s="449">
        <f t="shared" si="447"/>
        <v>0</v>
      </c>
      <c r="G535" s="421">
        <f t="shared" si="448"/>
        <v>0</v>
      </c>
      <c r="H535" s="449">
        <v>0</v>
      </c>
      <c r="I535" s="449">
        <f t="shared" si="449"/>
        <v>0</v>
      </c>
      <c r="J535" s="426">
        <f t="shared" si="450"/>
        <v>0</v>
      </c>
      <c r="K535" s="421"/>
      <c r="L535" s="449">
        <v>0</v>
      </c>
      <c r="M535" s="449">
        <v>0</v>
      </c>
      <c r="N535" s="449">
        <v>0</v>
      </c>
      <c r="O535" s="449">
        <v>0</v>
      </c>
      <c r="P535" s="449">
        <v>0</v>
      </c>
      <c r="Q535" s="449">
        <v>0</v>
      </c>
      <c r="R535" s="449">
        <f>($H535-SUM($L535:Q535))/R$694</f>
        <v>0</v>
      </c>
      <c r="S535" s="449">
        <f>($H535-SUM($L535:R535))/S$694</f>
        <v>0</v>
      </c>
      <c r="T535" s="449">
        <f>($H535-SUM($L535:S535))/T$694</f>
        <v>0</v>
      </c>
      <c r="U535" s="449">
        <f>($H535-SUM($L535:T535))/U$694</f>
        <v>0</v>
      </c>
      <c r="V535" s="449">
        <f>($H535-SUM($L535:U535))/V$694</f>
        <v>0</v>
      </c>
      <c r="W535" s="449">
        <f>($H535-SUM($L535:V535))/W$694</f>
        <v>0</v>
      </c>
      <c r="X535" s="449"/>
      <c r="Y535" s="449">
        <f t="shared" si="451"/>
        <v>0</v>
      </c>
      <c r="Z535" s="531"/>
      <c r="AA535" s="449">
        <f t="shared" si="452"/>
        <v>0</v>
      </c>
      <c r="AB535" s="449">
        <f t="shared" si="452"/>
        <v>0</v>
      </c>
      <c r="AC535" s="449">
        <f t="shared" si="452"/>
        <v>0</v>
      </c>
      <c r="AD535" s="449">
        <f t="shared" si="452"/>
        <v>0</v>
      </c>
      <c r="AE535" s="449">
        <f t="shared" si="452"/>
        <v>0</v>
      </c>
      <c r="AF535" s="449">
        <f t="shared" si="452"/>
        <v>0</v>
      </c>
      <c r="AG535" s="449">
        <f t="shared" si="452"/>
        <v>0</v>
      </c>
      <c r="AH535" s="449">
        <f t="shared" si="452"/>
        <v>0</v>
      </c>
      <c r="AI535" s="449">
        <f t="shared" si="452"/>
        <v>0</v>
      </c>
      <c r="AJ535" s="449">
        <f t="shared" si="452"/>
        <v>0</v>
      </c>
      <c r="AK535" s="449">
        <f t="shared" si="452"/>
        <v>0</v>
      </c>
      <c r="AL535" s="449">
        <f t="shared" si="452"/>
        <v>0</v>
      </c>
      <c r="AN535" s="500">
        <f t="shared" si="453"/>
        <v>0</v>
      </c>
      <c r="AO535" s="449">
        <f t="shared" si="454"/>
        <v>0</v>
      </c>
      <c r="AP535" s="449">
        <f t="shared" si="455"/>
        <v>0</v>
      </c>
      <c r="AQ535" s="453" t="str">
        <f t="shared" si="456"/>
        <v>-</v>
      </c>
      <c r="AR535" s="449">
        <f t="shared" si="457"/>
        <v>0</v>
      </c>
      <c r="AS535" s="449">
        <f t="shared" si="458"/>
        <v>0</v>
      </c>
      <c r="AT535" s="426">
        <f t="shared" si="459"/>
        <v>0</v>
      </c>
      <c r="AU535" s="421"/>
      <c r="AV535" s="449">
        <f t="shared" si="460"/>
        <v>0</v>
      </c>
      <c r="AW535" s="449">
        <f t="shared" si="460"/>
        <v>0</v>
      </c>
      <c r="AX535" s="449">
        <f t="shared" si="460"/>
        <v>0</v>
      </c>
      <c r="AY535" s="449">
        <f t="shared" si="460"/>
        <v>0</v>
      </c>
      <c r="AZ535" s="449">
        <f t="shared" si="460"/>
        <v>0</v>
      </c>
      <c r="BA535" s="449">
        <f t="shared" si="460"/>
        <v>0</v>
      </c>
      <c r="BB535" s="449">
        <f t="shared" si="460"/>
        <v>0</v>
      </c>
      <c r="BC535" s="449">
        <f t="shared" si="460"/>
        <v>0</v>
      </c>
      <c r="BD535" s="449">
        <f t="shared" si="460"/>
        <v>0</v>
      </c>
      <c r="BE535" s="449">
        <f t="shared" si="460"/>
        <v>0</v>
      </c>
      <c r="BF535" s="449">
        <f t="shared" si="460"/>
        <v>0</v>
      </c>
      <c r="BG535" s="449">
        <f t="shared" si="460"/>
        <v>0</v>
      </c>
      <c r="BH535" s="400"/>
      <c r="BI535" s="449">
        <v>0</v>
      </c>
      <c r="BJ535" s="449">
        <v>0</v>
      </c>
      <c r="BK535" s="449">
        <v>0</v>
      </c>
      <c r="BL535" s="449">
        <v>0</v>
      </c>
      <c r="BM535" s="449">
        <v>0</v>
      </c>
      <c r="BN535" s="449">
        <v>0</v>
      </c>
      <c r="BO535" s="449">
        <v>0</v>
      </c>
      <c r="BP535" s="449">
        <v>0</v>
      </c>
      <c r="BQ535" s="449">
        <v>0</v>
      </c>
      <c r="BR535" s="449">
        <v>0</v>
      </c>
      <c r="BS535" s="449">
        <v>0</v>
      </c>
      <c r="BT535" s="449">
        <v>0</v>
      </c>
    </row>
    <row r="536" spans="1:74" ht="15" hidden="1" x14ac:dyDescent="0.25">
      <c r="A536" s="614" t="s">
        <v>917</v>
      </c>
      <c r="B536" s="614" t="s">
        <v>918</v>
      </c>
      <c r="C536" s="541"/>
      <c r="D536" s="500">
        <f t="shared" si="446"/>
        <v>0</v>
      </c>
      <c r="E536" s="449">
        <v>0</v>
      </c>
      <c r="F536" s="449">
        <f t="shared" si="447"/>
        <v>0</v>
      </c>
      <c r="G536" s="421">
        <f t="shared" si="448"/>
        <v>0</v>
      </c>
      <c r="H536" s="449">
        <v>0</v>
      </c>
      <c r="I536" s="449">
        <f t="shared" si="449"/>
        <v>0</v>
      </c>
      <c r="J536" s="426">
        <f t="shared" si="450"/>
        <v>0</v>
      </c>
      <c r="K536" s="421"/>
      <c r="L536" s="449">
        <v>0</v>
      </c>
      <c r="M536" s="449">
        <v>0</v>
      </c>
      <c r="N536" s="449">
        <v>0</v>
      </c>
      <c r="O536" s="449">
        <v>0</v>
      </c>
      <c r="P536" s="449">
        <v>0</v>
      </c>
      <c r="Q536" s="449">
        <v>0</v>
      </c>
      <c r="R536" s="449">
        <f>($H536-SUM($L536:Q536))/R$694</f>
        <v>0</v>
      </c>
      <c r="S536" s="449">
        <f>($H536-SUM($L536:R536))/S$694</f>
        <v>0</v>
      </c>
      <c r="T536" s="449">
        <f>($H536-SUM($L536:S536))/T$694</f>
        <v>0</v>
      </c>
      <c r="U536" s="449">
        <f>($H536-SUM($L536:T536))/U$694</f>
        <v>0</v>
      </c>
      <c r="V536" s="449">
        <f>($H536-SUM($L536:U536))/V$694</f>
        <v>0</v>
      </c>
      <c r="W536" s="449">
        <f>($H536-SUM($L536:V536))/W$694</f>
        <v>0</v>
      </c>
      <c r="X536" s="449"/>
      <c r="Y536" s="449">
        <f t="shared" si="451"/>
        <v>0</v>
      </c>
      <c r="Z536" s="531"/>
      <c r="AA536" s="449">
        <f t="shared" si="452"/>
        <v>0</v>
      </c>
      <c r="AB536" s="449">
        <f t="shared" si="452"/>
        <v>0</v>
      </c>
      <c r="AC536" s="449">
        <f t="shared" si="452"/>
        <v>0</v>
      </c>
      <c r="AD536" s="449">
        <f t="shared" si="452"/>
        <v>0</v>
      </c>
      <c r="AE536" s="449">
        <f t="shared" si="452"/>
        <v>0</v>
      </c>
      <c r="AF536" s="449">
        <f t="shared" si="452"/>
        <v>0</v>
      </c>
      <c r="AG536" s="449">
        <f t="shared" si="452"/>
        <v>0</v>
      </c>
      <c r="AH536" s="449">
        <f t="shared" si="452"/>
        <v>0</v>
      </c>
      <c r="AI536" s="449">
        <f t="shared" si="452"/>
        <v>0</v>
      </c>
      <c r="AJ536" s="449">
        <f t="shared" si="452"/>
        <v>0</v>
      </c>
      <c r="AK536" s="449">
        <f t="shared" si="452"/>
        <v>0</v>
      </c>
      <c r="AL536" s="449">
        <f t="shared" si="452"/>
        <v>0</v>
      </c>
      <c r="AN536" s="500">
        <f t="shared" si="453"/>
        <v>0</v>
      </c>
      <c r="AO536" s="449">
        <f t="shared" si="454"/>
        <v>0</v>
      </c>
      <c r="AP536" s="449">
        <f t="shared" si="455"/>
        <v>0</v>
      </c>
      <c r="AQ536" s="453" t="str">
        <f t="shared" si="456"/>
        <v>-</v>
      </c>
      <c r="AR536" s="449">
        <f t="shared" si="457"/>
        <v>0</v>
      </c>
      <c r="AS536" s="449">
        <f t="shared" si="458"/>
        <v>0</v>
      </c>
      <c r="AT536" s="426">
        <f t="shared" si="459"/>
        <v>0</v>
      </c>
      <c r="AU536" s="421"/>
      <c r="AV536" s="449">
        <f t="shared" si="460"/>
        <v>0</v>
      </c>
      <c r="AW536" s="449">
        <f t="shared" si="460"/>
        <v>0</v>
      </c>
      <c r="AX536" s="449">
        <f t="shared" si="460"/>
        <v>0</v>
      </c>
      <c r="AY536" s="449">
        <f t="shared" si="460"/>
        <v>0</v>
      </c>
      <c r="AZ536" s="449">
        <f t="shared" si="460"/>
        <v>0</v>
      </c>
      <c r="BA536" s="449">
        <f t="shared" si="460"/>
        <v>0</v>
      </c>
      <c r="BB536" s="449">
        <f t="shared" si="460"/>
        <v>0</v>
      </c>
      <c r="BC536" s="449">
        <f t="shared" si="460"/>
        <v>0</v>
      </c>
      <c r="BD536" s="449">
        <f t="shared" si="460"/>
        <v>0</v>
      </c>
      <c r="BE536" s="449">
        <f t="shared" si="460"/>
        <v>0</v>
      </c>
      <c r="BF536" s="449">
        <f t="shared" si="460"/>
        <v>0</v>
      </c>
      <c r="BG536" s="449">
        <f t="shared" si="460"/>
        <v>0</v>
      </c>
      <c r="BH536" s="400"/>
      <c r="BI536" s="449">
        <v>0</v>
      </c>
      <c r="BJ536" s="449">
        <v>0</v>
      </c>
      <c r="BK536" s="449">
        <v>0</v>
      </c>
      <c r="BL536" s="449">
        <v>0</v>
      </c>
      <c r="BM536" s="449">
        <v>0</v>
      </c>
      <c r="BN536" s="449">
        <v>0</v>
      </c>
      <c r="BO536" s="449">
        <v>0</v>
      </c>
      <c r="BP536" s="449">
        <v>0</v>
      </c>
      <c r="BQ536" s="449">
        <v>0</v>
      </c>
      <c r="BR536" s="449">
        <v>0</v>
      </c>
      <c r="BS536" s="449">
        <v>0</v>
      </c>
      <c r="BT536" s="449">
        <v>0</v>
      </c>
    </row>
    <row r="537" spans="1:74" ht="15" hidden="1" x14ac:dyDescent="0.25">
      <c r="A537" s="614" t="s">
        <v>919</v>
      </c>
      <c r="B537" s="614" t="s">
        <v>920</v>
      </c>
      <c r="C537" s="541"/>
      <c r="D537" s="500">
        <f t="shared" si="446"/>
        <v>0</v>
      </c>
      <c r="E537" s="449">
        <v>0</v>
      </c>
      <c r="F537" s="449">
        <f t="shared" si="447"/>
        <v>0</v>
      </c>
      <c r="G537" s="421">
        <f t="shared" si="448"/>
        <v>0</v>
      </c>
      <c r="H537" s="449">
        <v>0</v>
      </c>
      <c r="I537" s="449">
        <f t="shared" si="449"/>
        <v>0</v>
      </c>
      <c r="J537" s="426">
        <f t="shared" si="450"/>
        <v>0</v>
      </c>
      <c r="K537" s="421"/>
      <c r="L537" s="449">
        <v>0</v>
      </c>
      <c r="M537" s="449">
        <v>0</v>
      </c>
      <c r="N537" s="449">
        <v>0</v>
      </c>
      <c r="O537" s="449">
        <v>0</v>
      </c>
      <c r="P537" s="449">
        <v>0</v>
      </c>
      <c r="Q537" s="449">
        <v>0</v>
      </c>
      <c r="R537" s="449">
        <f>($H537-SUM($L537:Q537))/R$694</f>
        <v>0</v>
      </c>
      <c r="S537" s="449">
        <f>($H537-SUM($L537:R537))/S$694</f>
        <v>0</v>
      </c>
      <c r="T537" s="449">
        <f>($H537-SUM($L537:S537))/T$694</f>
        <v>0</v>
      </c>
      <c r="U537" s="449">
        <f>($H537-SUM($L537:T537))/U$694</f>
        <v>0</v>
      </c>
      <c r="V537" s="449">
        <f>($H537-SUM($L537:U537))/V$694</f>
        <v>0</v>
      </c>
      <c r="W537" s="449">
        <f>($H537-SUM($L537:V537))/W$694</f>
        <v>0</v>
      </c>
      <c r="X537" s="449"/>
      <c r="Y537" s="449">
        <f t="shared" si="451"/>
        <v>0</v>
      </c>
      <c r="Z537" s="531"/>
      <c r="AA537" s="449">
        <f t="shared" si="452"/>
        <v>0</v>
      </c>
      <c r="AB537" s="449">
        <f t="shared" si="452"/>
        <v>0</v>
      </c>
      <c r="AC537" s="449">
        <f t="shared" si="452"/>
        <v>0</v>
      </c>
      <c r="AD537" s="449">
        <f t="shared" si="452"/>
        <v>0</v>
      </c>
      <c r="AE537" s="449">
        <f t="shared" si="452"/>
        <v>0</v>
      </c>
      <c r="AF537" s="449">
        <f t="shared" si="452"/>
        <v>0</v>
      </c>
      <c r="AG537" s="449">
        <f t="shared" si="452"/>
        <v>0</v>
      </c>
      <c r="AH537" s="449">
        <f t="shared" si="452"/>
        <v>0</v>
      </c>
      <c r="AI537" s="449">
        <f t="shared" si="452"/>
        <v>0</v>
      </c>
      <c r="AJ537" s="449">
        <f t="shared" si="452"/>
        <v>0</v>
      </c>
      <c r="AK537" s="449">
        <f t="shared" si="452"/>
        <v>0</v>
      </c>
      <c r="AL537" s="449">
        <f t="shared" si="452"/>
        <v>0</v>
      </c>
      <c r="AN537" s="500">
        <f t="shared" si="453"/>
        <v>0</v>
      </c>
      <c r="AO537" s="449">
        <f t="shared" si="454"/>
        <v>0</v>
      </c>
      <c r="AP537" s="449">
        <f t="shared" si="455"/>
        <v>0</v>
      </c>
      <c r="AQ537" s="453" t="str">
        <f t="shared" si="456"/>
        <v>-</v>
      </c>
      <c r="AR537" s="449">
        <f t="shared" si="457"/>
        <v>0</v>
      </c>
      <c r="AS537" s="449">
        <f t="shared" si="458"/>
        <v>0</v>
      </c>
      <c r="AT537" s="426">
        <f t="shared" si="459"/>
        <v>0</v>
      </c>
      <c r="AU537" s="421"/>
      <c r="AV537" s="449">
        <f t="shared" si="460"/>
        <v>0</v>
      </c>
      <c r="AW537" s="449">
        <f t="shared" si="460"/>
        <v>0</v>
      </c>
      <c r="AX537" s="449">
        <f t="shared" si="460"/>
        <v>0</v>
      </c>
      <c r="AY537" s="449">
        <f t="shared" si="460"/>
        <v>0</v>
      </c>
      <c r="AZ537" s="449">
        <f t="shared" si="460"/>
        <v>0</v>
      </c>
      <c r="BA537" s="449">
        <f t="shared" si="460"/>
        <v>0</v>
      </c>
      <c r="BB537" s="449">
        <f t="shared" si="460"/>
        <v>0</v>
      </c>
      <c r="BC537" s="449">
        <f t="shared" si="460"/>
        <v>0</v>
      </c>
      <c r="BD537" s="449">
        <f t="shared" si="460"/>
        <v>0</v>
      </c>
      <c r="BE537" s="449">
        <f t="shared" si="460"/>
        <v>0</v>
      </c>
      <c r="BF537" s="449">
        <f t="shared" si="460"/>
        <v>0</v>
      </c>
      <c r="BG537" s="449">
        <f t="shared" si="460"/>
        <v>0</v>
      </c>
      <c r="BH537" s="400"/>
      <c r="BI537" s="449">
        <v>0</v>
      </c>
      <c r="BJ537" s="449">
        <v>0</v>
      </c>
      <c r="BK537" s="449">
        <v>0</v>
      </c>
      <c r="BL537" s="449">
        <v>0</v>
      </c>
      <c r="BM537" s="449">
        <v>0</v>
      </c>
      <c r="BN537" s="449">
        <v>0</v>
      </c>
      <c r="BO537" s="449">
        <v>0</v>
      </c>
      <c r="BP537" s="449">
        <v>0</v>
      </c>
      <c r="BQ537" s="449">
        <v>0</v>
      </c>
      <c r="BR537" s="449">
        <v>0</v>
      </c>
      <c r="BS537" s="449">
        <v>0</v>
      </c>
      <c r="BT537" s="449">
        <v>0</v>
      </c>
    </row>
    <row r="538" spans="1:74" ht="15" hidden="1" x14ac:dyDescent="0.25">
      <c r="A538" s="614" t="s">
        <v>921</v>
      </c>
      <c r="B538" s="614" t="s">
        <v>922</v>
      </c>
      <c r="C538" s="541"/>
      <c r="D538" s="500">
        <f t="shared" si="446"/>
        <v>0</v>
      </c>
      <c r="E538" s="449">
        <v>0</v>
      </c>
      <c r="F538" s="449">
        <f t="shared" si="447"/>
        <v>0</v>
      </c>
      <c r="G538" s="421">
        <f t="shared" si="448"/>
        <v>0</v>
      </c>
      <c r="H538" s="449">
        <v>0</v>
      </c>
      <c r="I538" s="449">
        <f t="shared" si="449"/>
        <v>0</v>
      </c>
      <c r="J538" s="426">
        <f t="shared" si="450"/>
        <v>0</v>
      </c>
      <c r="K538" s="421"/>
      <c r="L538" s="449">
        <v>0</v>
      </c>
      <c r="M538" s="449">
        <v>0</v>
      </c>
      <c r="N538" s="449">
        <v>0</v>
      </c>
      <c r="O538" s="449">
        <v>0</v>
      </c>
      <c r="P538" s="449">
        <v>0</v>
      </c>
      <c r="Q538" s="449">
        <v>0</v>
      </c>
      <c r="R538" s="449">
        <f>($H538-SUM($L538:Q538))/R$694</f>
        <v>0</v>
      </c>
      <c r="S538" s="449">
        <f>($H538-SUM($L538:R538))/S$694</f>
        <v>0</v>
      </c>
      <c r="T538" s="449">
        <f>($H538-SUM($L538:S538))/T$694</f>
        <v>0</v>
      </c>
      <c r="U538" s="449">
        <f>($H538-SUM($L538:T538))/U$694</f>
        <v>0</v>
      </c>
      <c r="V538" s="449">
        <f>($H538-SUM($L538:U538))/V$694</f>
        <v>0</v>
      </c>
      <c r="W538" s="449">
        <f>($H538-SUM($L538:V538))/W$694</f>
        <v>0</v>
      </c>
      <c r="X538" s="449"/>
      <c r="Y538" s="449">
        <f t="shared" si="451"/>
        <v>0</v>
      </c>
      <c r="Z538" s="531"/>
      <c r="AA538" s="449">
        <f t="shared" si="452"/>
        <v>0</v>
      </c>
      <c r="AB538" s="449">
        <f t="shared" si="452"/>
        <v>0</v>
      </c>
      <c r="AC538" s="449">
        <f t="shared" si="452"/>
        <v>0</v>
      </c>
      <c r="AD538" s="449">
        <f t="shared" si="452"/>
        <v>0</v>
      </c>
      <c r="AE538" s="449">
        <f t="shared" si="452"/>
        <v>0</v>
      </c>
      <c r="AF538" s="449">
        <f t="shared" si="452"/>
        <v>0</v>
      </c>
      <c r="AG538" s="449">
        <f t="shared" si="452"/>
        <v>0</v>
      </c>
      <c r="AH538" s="449">
        <f t="shared" si="452"/>
        <v>0</v>
      </c>
      <c r="AI538" s="449">
        <f t="shared" si="452"/>
        <v>0</v>
      </c>
      <c r="AJ538" s="449">
        <f t="shared" si="452"/>
        <v>0</v>
      </c>
      <c r="AK538" s="449">
        <f t="shared" si="452"/>
        <v>0</v>
      </c>
      <c r="AL538" s="449">
        <f t="shared" si="452"/>
        <v>0</v>
      </c>
      <c r="AN538" s="500">
        <f t="shared" si="453"/>
        <v>0</v>
      </c>
      <c r="AO538" s="449">
        <f t="shared" si="454"/>
        <v>0</v>
      </c>
      <c r="AP538" s="449">
        <f t="shared" si="455"/>
        <v>0</v>
      </c>
      <c r="AQ538" s="453" t="str">
        <f t="shared" si="456"/>
        <v>-</v>
      </c>
      <c r="AR538" s="449">
        <f t="shared" si="457"/>
        <v>0</v>
      </c>
      <c r="AS538" s="449">
        <f t="shared" si="458"/>
        <v>0</v>
      </c>
      <c r="AT538" s="426">
        <f t="shared" si="459"/>
        <v>0</v>
      </c>
      <c r="AU538" s="421"/>
      <c r="AV538" s="449">
        <f t="shared" si="460"/>
        <v>0</v>
      </c>
      <c r="AW538" s="449">
        <f t="shared" si="460"/>
        <v>0</v>
      </c>
      <c r="AX538" s="449">
        <f t="shared" si="460"/>
        <v>0</v>
      </c>
      <c r="AY538" s="449">
        <f t="shared" si="460"/>
        <v>0</v>
      </c>
      <c r="AZ538" s="449">
        <f t="shared" si="460"/>
        <v>0</v>
      </c>
      <c r="BA538" s="449">
        <f t="shared" si="460"/>
        <v>0</v>
      </c>
      <c r="BB538" s="449">
        <f t="shared" si="460"/>
        <v>0</v>
      </c>
      <c r="BC538" s="449">
        <f t="shared" si="460"/>
        <v>0</v>
      </c>
      <c r="BD538" s="449">
        <f t="shared" si="460"/>
        <v>0</v>
      </c>
      <c r="BE538" s="449">
        <f t="shared" si="460"/>
        <v>0</v>
      </c>
      <c r="BF538" s="449">
        <f t="shared" si="460"/>
        <v>0</v>
      </c>
      <c r="BG538" s="449">
        <f t="shared" si="460"/>
        <v>0</v>
      </c>
      <c r="BH538" s="400"/>
      <c r="BI538" s="449">
        <v>0</v>
      </c>
      <c r="BJ538" s="449">
        <v>0</v>
      </c>
      <c r="BK538" s="449">
        <v>0</v>
      </c>
      <c r="BL538" s="449">
        <v>0</v>
      </c>
      <c r="BM538" s="449">
        <v>0</v>
      </c>
      <c r="BN538" s="449">
        <v>0</v>
      </c>
      <c r="BO538" s="449">
        <v>0</v>
      </c>
      <c r="BP538" s="449">
        <v>0</v>
      </c>
      <c r="BQ538" s="449">
        <v>0</v>
      </c>
      <c r="BR538" s="449">
        <v>0</v>
      </c>
      <c r="BS538" s="449">
        <v>0</v>
      </c>
      <c r="BT538" s="449">
        <v>0</v>
      </c>
    </row>
    <row r="539" spans="1:74" ht="15" x14ac:dyDescent="0.25">
      <c r="A539" s="502" t="s">
        <v>923</v>
      </c>
      <c r="B539" s="502" t="s">
        <v>924</v>
      </c>
      <c r="C539" s="538" t="s">
        <v>925</v>
      </c>
      <c r="D539" s="500">
        <f t="shared" si="446"/>
        <v>75397</v>
      </c>
      <c r="E539" s="449">
        <v>75396</v>
      </c>
      <c r="F539" s="449">
        <f t="shared" si="447"/>
        <v>1</v>
      </c>
      <c r="G539" s="421">
        <f t="shared" si="448"/>
        <v>1.3263303093002282E-5</v>
      </c>
      <c r="H539" s="449">
        <v>75397</v>
      </c>
      <c r="I539" s="449">
        <f t="shared" si="449"/>
        <v>0</v>
      </c>
      <c r="J539" s="426">
        <f t="shared" si="450"/>
        <v>0</v>
      </c>
      <c r="K539" s="421"/>
      <c r="L539" s="449">
        <v>100</v>
      </c>
      <c r="M539" s="449">
        <v>47111</v>
      </c>
      <c r="N539" s="449">
        <v>0</v>
      </c>
      <c r="O539" s="449">
        <v>0</v>
      </c>
      <c r="P539" s="449">
        <v>0</v>
      </c>
      <c r="Q539" s="449">
        <v>0</v>
      </c>
      <c r="R539" s="449">
        <f>($H539-SUM($L539:Q539))/R$694</f>
        <v>4697.666666666667</v>
      </c>
      <c r="S539" s="449">
        <f>($H539-SUM($L539:R539))/S$694</f>
        <v>4697.666666666667</v>
      </c>
      <c r="T539" s="449">
        <f>($H539-SUM($L539:S539))/T$694</f>
        <v>4697.6666666666679</v>
      </c>
      <c r="U539" s="449">
        <f>($H539-SUM($L539:T539))/U$694</f>
        <v>4697.666666666667</v>
      </c>
      <c r="V539" s="449">
        <f>($H539-SUM($L539:U539))/V$694</f>
        <v>4697.6666666666642</v>
      </c>
      <c r="W539" s="449">
        <f>($H539-SUM($L539:V539))/W$694</f>
        <v>4697.666666666657</v>
      </c>
      <c r="X539" s="449"/>
      <c r="Y539" s="449">
        <f t="shared" si="451"/>
        <v>75397</v>
      </c>
      <c r="Z539" s="531"/>
      <c r="AA539" s="449">
        <f t="shared" si="452"/>
        <v>6283.083333333333</v>
      </c>
      <c r="AB539" s="449">
        <f t="shared" si="452"/>
        <v>6283.083333333333</v>
      </c>
      <c r="AC539" s="449">
        <f t="shared" si="452"/>
        <v>6283.083333333333</v>
      </c>
      <c r="AD539" s="449">
        <f t="shared" si="452"/>
        <v>6283.083333333333</v>
      </c>
      <c r="AE539" s="449">
        <f t="shared" si="452"/>
        <v>6283.083333333333</v>
      </c>
      <c r="AF539" s="449">
        <f t="shared" si="452"/>
        <v>6283.083333333333</v>
      </c>
      <c r="AG539" s="449">
        <f t="shared" si="452"/>
        <v>6283.083333333333</v>
      </c>
      <c r="AH539" s="449">
        <f t="shared" si="452"/>
        <v>6283.083333333333</v>
      </c>
      <c r="AI539" s="449">
        <f t="shared" si="452"/>
        <v>6283.083333333333</v>
      </c>
      <c r="AJ539" s="449">
        <f t="shared" si="452"/>
        <v>6283.083333333333</v>
      </c>
      <c r="AK539" s="449">
        <f t="shared" si="452"/>
        <v>6283.083333333333</v>
      </c>
      <c r="AL539" s="449">
        <f t="shared" si="452"/>
        <v>6283.083333333333</v>
      </c>
      <c r="AN539" s="500">
        <f t="shared" si="453"/>
        <v>75397</v>
      </c>
      <c r="AO539" s="449">
        <f t="shared" si="454"/>
        <v>82906.420080321303</v>
      </c>
      <c r="AP539" s="449">
        <f t="shared" si="455"/>
        <v>7509.4200803213025</v>
      </c>
      <c r="AQ539" s="453">
        <f t="shared" si="456"/>
        <v>9.9598393574297422E-2</v>
      </c>
      <c r="AR539" s="449">
        <f t="shared" si="457"/>
        <v>82906.420080321303</v>
      </c>
      <c r="AS539" s="449">
        <f t="shared" si="458"/>
        <v>0</v>
      </c>
      <c r="AT539" s="426">
        <f t="shared" si="459"/>
        <v>0</v>
      </c>
      <c r="AU539" s="421"/>
      <c r="AV539" s="449">
        <f t="shared" si="460"/>
        <v>6908.8683400267737</v>
      </c>
      <c r="AW539" s="449">
        <f t="shared" si="460"/>
        <v>6908.8683400267737</v>
      </c>
      <c r="AX539" s="449">
        <f t="shared" si="460"/>
        <v>6908.8683400267737</v>
      </c>
      <c r="AY539" s="449">
        <f t="shared" si="460"/>
        <v>6908.8683400267737</v>
      </c>
      <c r="AZ539" s="449">
        <f t="shared" si="460"/>
        <v>6908.8683400267737</v>
      </c>
      <c r="BA539" s="449">
        <f t="shared" si="460"/>
        <v>6908.8683400267737</v>
      </c>
      <c r="BB539" s="449">
        <f t="shared" si="460"/>
        <v>6908.8683400267737</v>
      </c>
      <c r="BC539" s="449">
        <f t="shared" si="460"/>
        <v>6908.8683400267737</v>
      </c>
      <c r="BD539" s="449">
        <f t="shared" si="460"/>
        <v>6908.8683400267737</v>
      </c>
      <c r="BE539" s="449">
        <f t="shared" si="460"/>
        <v>6908.8683400267737</v>
      </c>
      <c r="BF539" s="449">
        <f t="shared" si="460"/>
        <v>6908.8683400267737</v>
      </c>
      <c r="BG539" s="449">
        <f t="shared" si="460"/>
        <v>6908.8683400267737</v>
      </c>
      <c r="BH539" s="400"/>
      <c r="BI539" s="449">
        <f t="shared" ref="BI539:BT540" si="465">IFERROR((($H539/$H$5)*BI$5)/12,0)</f>
        <v>6908.8683400267737</v>
      </c>
      <c r="BJ539" s="449">
        <f t="shared" si="465"/>
        <v>6908.8683400267737</v>
      </c>
      <c r="BK539" s="449">
        <f t="shared" si="465"/>
        <v>6908.8683400267737</v>
      </c>
      <c r="BL539" s="449">
        <f t="shared" si="465"/>
        <v>6908.8683400267737</v>
      </c>
      <c r="BM539" s="449">
        <f t="shared" si="465"/>
        <v>6908.8683400267737</v>
      </c>
      <c r="BN539" s="449">
        <f t="shared" si="465"/>
        <v>6908.8683400267737</v>
      </c>
      <c r="BO539" s="449">
        <f t="shared" si="465"/>
        <v>6908.8683400267737</v>
      </c>
      <c r="BP539" s="449">
        <f t="shared" si="465"/>
        <v>6908.8683400267737</v>
      </c>
      <c r="BQ539" s="449">
        <f t="shared" si="465"/>
        <v>6908.8683400267737</v>
      </c>
      <c r="BR539" s="449">
        <f t="shared" si="465"/>
        <v>6908.8683400267737</v>
      </c>
      <c r="BS539" s="449">
        <f t="shared" si="465"/>
        <v>6908.8683400267737</v>
      </c>
      <c r="BT539" s="449">
        <f t="shared" si="465"/>
        <v>6908.8683400267737</v>
      </c>
    </row>
    <row r="540" spans="1:74" ht="15" x14ac:dyDescent="0.25">
      <c r="A540" s="502" t="s">
        <v>926</v>
      </c>
      <c r="B540" s="502" t="s">
        <v>927</v>
      </c>
      <c r="C540" s="603">
        <v>5.0000000000000001E-3</v>
      </c>
      <c r="D540" s="500">
        <f t="shared" si="446"/>
        <v>0</v>
      </c>
      <c r="E540" s="449">
        <v>0</v>
      </c>
      <c r="F540" s="449">
        <f t="shared" si="447"/>
        <v>0</v>
      </c>
      <c r="G540" s="421">
        <f t="shared" si="448"/>
        <v>0</v>
      </c>
      <c r="H540" s="449">
        <v>0</v>
      </c>
      <c r="I540" s="449">
        <f t="shared" si="449"/>
        <v>0</v>
      </c>
      <c r="J540" s="426">
        <f t="shared" si="450"/>
        <v>0</v>
      </c>
      <c r="K540" s="421"/>
      <c r="L540" s="449">
        <v>0</v>
      </c>
      <c r="M540" s="449">
        <v>0</v>
      </c>
      <c r="N540" s="449">
        <v>0</v>
      </c>
      <c r="O540" s="449">
        <v>0</v>
      </c>
      <c r="P540" s="449">
        <v>0</v>
      </c>
      <c r="Q540" s="449">
        <v>0</v>
      </c>
      <c r="R540" s="449">
        <f>($H540-SUM($L540:Q540))/R$694</f>
        <v>0</v>
      </c>
      <c r="S540" s="449">
        <f>($H540-SUM($L540:R540))/S$694</f>
        <v>0</v>
      </c>
      <c r="T540" s="449">
        <f>($H540-SUM($L540:S540))/T$694</f>
        <v>0</v>
      </c>
      <c r="U540" s="449">
        <f>($H540-SUM($L540:T540))/U$694</f>
        <v>0</v>
      </c>
      <c r="V540" s="449">
        <f>($H540-SUM($L540:U540))/V$694</f>
        <v>0</v>
      </c>
      <c r="W540" s="449">
        <f>($H540-SUM($L540:V540))/W$694</f>
        <v>0</v>
      </c>
      <c r="X540" s="449"/>
      <c r="Y540" s="449">
        <f t="shared" si="451"/>
        <v>0</v>
      </c>
      <c r="Z540" s="531"/>
      <c r="AA540" s="449">
        <f t="shared" si="452"/>
        <v>0</v>
      </c>
      <c r="AB540" s="449">
        <f t="shared" si="452"/>
        <v>0</v>
      </c>
      <c r="AC540" s="449">
        <f t="shared" si="452"/>
        <v>0</v>
      </c>
      <c r="AD540" s="449">
        <f t="shared" si="452"/>
        <v>0</v>
      </c>
      <c r="AE540" s="449">
        <f t="shared" si="452"/>
        <v>0</v>
      </c>
      <c r="AF540" s="449">
        <f t="shared" si="452"/>
        <v>0</v>
      </c>
      <c r="AG540" s="449">
        <f t="shared" si="452"/>
        <v>0</v>
      </c>
      <c r="AH540" s="449">
        <f t="shared" si="452"/>
        <v>0</v>
      </c>
      <c r="AI540" s="449">
        <f t="shared" si="452"/>
        <v>0</v>
      </c>
      <c r="AJ540" s="449">
        <f t="shared" si="452"/>
        <v>0</v>
      </c>
      <c r="AK540" s="449">
        <f t="shared" si="452"/>
        <v>0</v>
      </c>
      <c r="AL540" s="449">
        <f t="shared" si="452"/>
        <v>0</v>
      </c>
      <c r="AN540" s="500">
        <f t="shared" si="453"/>
        <v>0</v>
      </c>
      <c r="AO540" s="449">
        <f t="shared" si="454"/>
        <v>0</v>
      </c>
      <c r="AP540" s="449">
        <f t="shared" si="455"/>
        <v>0</v>
      </c>
      <c r="AQ540" s="453" t="str">
        <f t="shared" si="456"/>
        <v>-</v>
      </c>
      <c r="AR540" s="449">
        <f t="shared" si="457"/>
        <v>0</v>
      </c>
      <c r="AS540" s="449">
        <f t="shared" si="458"/>
        <v>0</v>
      </c>
      <c r="AT540" s="426">
        <f t="shared" si="459"/>
        <v>0</v>
      </c>
      <c r="AU540" s="421"/>
      <c r="AV540" s="449">
        <f t="shared" si="460"/>
        <v>0</v>
      </c>
      <c r="AW540" s="449">
        <f t="shared" si="460"/>
        <v>0</v>
      </c>
      <c r="AX540" s="449">
        <f t="shared" si="460"/>
        <v>0</v>
      </c>
      <c r="AY540" s="449">
        <f t="shared" si="460"/>
        <v>0</v>
      </c>
      <c r="AZ540" s="449">
        <f t="shared" si="460"/>
        <v>0</v>
      </c>
      <c r="BA540" s="449">
        <f t="shared" si="460"/>
        <v>0</v>
      </c>
      <c r="BB540" s="449">
        <f t="shared" si="460"/>
        <v>0</v>
      </c>
      <c r="BC540" s="449">
        <f t="shared" si="460"/>
        <v>0</v>
      </c>
      <c r="BD540" s="449">
        <f t="shared" si="460"/>
        <v>0</v>
      </c>
      <c r="BE540" s="449">
        <f t="shared" si="460"/>
        <v>0</v>
      </c>
      <c r="BF540" s="449">
        <f t="shared" si="460"/>
        <v>0</v>
      </c>
      <c r="BG540" s="449">
        <f t="shared" si="460"/>
        <v>0</v>
      </c>
      <c r="BH540" s="400"/>
      <c r="BI540" s="449">
        <f t="shared" si="465"/>
        <v>0</v>
      </c>
      <c r="BJ540" s="449">
        <f t="shared" si="465"/>
        <v>0</v>
      </c>
      <c r="BK540" s="449">
        <f t="shared" si="465"/>
        <v>0</v>
      </c>
      <c r="BL540" s="449">
        <f t="shared" si="465"/>
        <v>0</v>
      </c>
      <c r="BM540" s="449">
        <f t="shared" si="465"/>
        <v>0</v>
      </c>
      <c r="BN540" s="449">
        <f t="shared" si="465"/>
        <v>0</v>
      </c>
      <c r="BO540" s="449">
        <f t="shared" si="465"/>
        <v>0</v>
      </c>
      <c r="BP540" s="449">
        <f t="shared" si="465"/>
        <v>0</v>
      </c>
      <c r="BQ540" s="449">
        <f t="shared" si="465"/>
        <v>0</v>
      </c>
      <c r="BR540" s="449">
        <f t="shared" si="465"/>
        <v>0</v>
      </c>
      <c r="BS540" s="449">
        <f t="shared" si="465"/>
        <v>0</v>
      </c>
      <c r="BT540" s="449">
        <f t="shared" si="465"/>
        <v>0</v>
      </c>
    </row>
    <row r="541" spans="1:74" ht="15" x14ac:dyDescent="0.25">
      <c r="A541" s="502" t="s">
        <v>928</v>
      </c>
      <c r="B541" s="502" t="s">
        <v>929</v>
      </c>
      <c r="C541" s="603">
        <v>6.7000000000000002E-3</v>
      </c>
      <c r="D541" s="500">
        <f t="shared" si="446"/>
        <v>55173</v>
      </c>
      <c r="E541" s="449">
        <v>56385</v>
      </c>
      <c r="F541" s="449">
        <f t="shared" si="447"/>
        <v>-1212</v>
      </c>
      <c r="G541" s="421">
        <f t="shared" si="448"/>
        <v>-2.1495078478318701E-2</v>
      </c>
      <c r="H541" s="449">
        <v>55173</v>
      </c>
      <c r="I541" s="449">
        <f t="shared" si="449"/>
        <v>0</v>
      </c>
      <c r="J541" s="426">
        <f t="shared" si="450"/>
        <v>0</v>
      </c>
      <c r="K541" s="421"/>
      <c r="L541" s="449">
        <v>3480.46</v>
      </c>
      <c r="M541" s="449">
        <v>7106.6600000000008</v>
      </c>
      <c r="N541" s="449">
        <v>6183.24</v>
      </c>
      <c r="O541" s="449">
        <v>7987.8999999999978</v>
      </c>
      <c r="P541" s="449">
        <v>7616.4500000000007</v>
      </c>
      <c r="Q541" s="449">
        <v>7315.5200000000041</v>
      </c>
      <c r="R541" s="449">
        <f>($H541-SUM($L541:Q541))/R$694</f>
        <v>2580.4616666666661</v>
      </c>
      <c r="S541" s="449">
        <f>($H541-SUM($L541:R541))/S$694</f>
        <v>2580.461666666667</v>
      </c>
      <c r="T541" s="449">
        <f>($H541-SUM($L541:S541))/T$694</f>
        <v>2580.4616666666661</v>
      </c>
      <c r="U541" s="449">
        <f>($H541-SUM($L541:T541))/U$694</f>
        <v>2580.4616666666648</v>
      </c>
      <c r="V541" s="449">
        <f>($H541-SUM($L541:U541))/V$694</f>
        <v>2580.4616666666661</v>
      </c>
      <c r="W541" s="449">
        <f>($H541-SUM($L541:V541))/W$694</f>
        <v>2580.4616666666698</v>
      </c>
      <c r="X541" s="449"/>
      <c r="Y541" s="449">
        <f t="shared" si="451"/>
        <v>55173</v>
      </c>
      <c r="Z541" s="531"/>
      <c r="AA541" s="449">
        <f t="shared" si="452"/>
        <v>4597.75</v>
      </c>
      <c r="AB541" s="449">
        <f t="shared" si="452"/>
        <v>4597.75</v>
      </c>
      <c r="AC541" s="449">
        <f t="shared" si="452"/>
        <v>4597.75</v>
      </c>
      <c r="AD541" s="449">
        <f t="shared" si="452"/>
        <v>4597.75</v>
      </c>
      <c r="AE541" s="449">
        <f t="shared" si="452"/>
        <v>4597.75</v>
      </c>
      <c r="AF541" s="449">
        <f t="shared" si="452"/>
        <v>4597.75</v>
      </c>
      <c r="AG541" s="449">
        <f t="shared" si="452"/>
        <v>4597.75</v>
      </c>
      <c r="AH541" s="449">
        <f t="shared" si="452"/>
        <v>4597.75</v>
      </c>
      <c r="AI541" s="449">
        <f t="shared" si="452"/>
        <v>4597.75</v>
      </c>
      <c r="AJ541" s="449">
        <f t="shared" si="452"/>
        <v>4597.75</v>
      </c>
      <c r="AK541" s="449">
        <f t="shared" si="452"/>
        <v>4597.75</v>
      </c>
      <c r="AL541" s="449">
        <f t="shared" si="452"/>
        <v>4597.75</v>
      </c>
      <c r="AN541" s="500">
        <f t="shared" si="453"/>
        <v>55173</v>
      </c>
      <c r="AO541" s="449">
        <f t="shared" si="454"/>
        <v>57918.110000000015</v>
      </c>
      <c r="AP541" s="449">
        <f t="shared" si="455"/>
        <v>2745.1100000000151</v>
      </c>
      <c r="AQ541" s="453">
        <f t="shared" si="456"/>
        <v>4.975459010748038E-2</v>
      </c>
      <c r="AR541" s="449">
        <f t="shared" si="457"/>
        <v>57918.110000000015</v>
      </c>
      <c r="AS541" s="449">
        <f t="shared" si="458"/>
        <v>0</v>
      </c>
      <c r="AT541" s="426">
        <f t="shared" si="459"/>
        <v>0</v>
      </c>
      <c r="AU541" s="421"/>
      <c r="AV541" s="449">
        <f t="shared" si="460"/>
        <v>4826.5091666666667</v>
      </c>
      <c r="AW541" s="449">
        <f t="shared" si="460"/>
        <v>4826.5091666666667</v>
      </c>
      <c r="AX541" s="449">
        <f t="shared" si="460"/>
        <v>4826.5091666666667</v>
      </c>
      <c r="AY541" s="449">
        <f t="shared" si="460"/>
        <v>4826.5091666666667</v>
      </c>
      <c r="AZ541" s="449">
        <f t="shared" si="460"/>
        <v>4826.5091666666667</v>
      </c>
      <c r="BA541" s="449">
        <f t="shared" si="460"/>
        <v>4826.5091666666667</v>
      </c>
      <c r="BB541" s="449">
        <f t="shared" si="460"/>
        <v>4826.5091666666667</v>
      </c>
      <c r="BC541" s="449">
        <f t="shared" si="460"/>
        <v>4826.5091666666667</v>
      </c>
      <c r="BD541" s="449">
        <f t="shared" si="460"/>
        <v>4826.5091666666667</v>
      </c>
      <c r="BE541" s="449">
        <f t="shared" si="460"/>
        <v>4826.5091666666667</v>
      </c>
      <c r="BF541" s="449">
        <f t="shared" si="460"/>
        <v>4826.5091666666667</v>
      </c>
      <c r="BG541" s="449">
        <f t="shared" si="460"/>
        <v>4826.5091666666667</v>
      </c>
      <c r="BH541" s="400"/>
      <c r="BI541" s="449">
        <f>'FY19 Staffing V1-1 (3)'!$AB$305/12</f>
        <v>4826.5091666666667</v>
      </c>
      <c r="BJ541" s="449">
        <f>'FY19 Staffing V1-1 (3)'!$AB$305/12</f>
        <v>4826.5091666666667</v>
      </c>
      <c r="BK541" s="449">
        <f>'FY19 Staffing V1-1 (3)'!$AB$305/12</f>
        <v>4826.5091666666667</v>
      </c>
      <c r="BL541" s="449">
        <f>'FY19 Staffing V1-1 (3)'!$AB$305/12</f>
        <v>4826.5091666666667</v>
      </c>
      <c r="BM541" s="449">
        <f>'FY19 Staffing V1-1 (3)'!$AB$305/12</f>
        <v>4826.5091666666667</v>
      </c>
      <c r="BN541" s="449">
        <f>'FY19 Staffing V1-1 (3)'!$AB$305/12</f>
        <v>4826.5091666666667</v>
      </c>
      <c r="BO541" s="449">
        <f>'FY19 Staffing V1-1 (3)'!$AB$305/12</f>
        <v>4826.5091666666667</v>
      </c>
      <c r="BP541" s="449">
        <f>'FY19 Staffing V1-1 (3)'!$AB$305/12</f>
        <v>4826.5091666666667</v>
      </c>
      <c r="BQ541" s="449">
        <f>'FY19 Staffing V1-1 (3)'!$AB$305/12</f>
        <v>4826.5091666666667</v>
      </c>
      <c r="BR541" s="449">
        <f>'FY19 Staffing V1-1 (3)'!$AB$305/12</f>
        <v>4826.5091666666667</v>
      </c>
      <c r="BS541" s="449">
        <f>'FY19 Staffing V1-1 (3)'!$AB$305/12</f>
        <v>4826.5091666666667</v>
      </c>
      <c r="BT541" s="449">
        <f>'FY19 Staffing V1-1 (3)'!$AB$305/12</f>
        <v>4826.5091666666667</v>
      </c>
    </row>
    <row r="542" spans="1:74" s="536" customFormat="1" ht="15" hidden="1" x14ac:dyDescent="0.25">
      <c r="A542" s="613" t="s">
        <v>930</v>
      </c>
      <c r="B542" s="613" t="s">
        <v>931</v>
      </c>
      <c r="C542" s="595"/>
      <c r="D542" s="527"/>
      <c r="E542" s="528"/>
      <c r="F542" s="528"/>
      <c r="G542" s="507"/>
      <c r="H542" s="528"/>
      <c r="I542" s="528"/>
      <c r="J542" s="529"/>
      <c r="K542" s="507"/>
      <c r="L542" s="528"/>
      <c r="M542" s="528"/>
      <c r="N542" s="528"/>
      <c r="O542" s="528"/>
      <c r="P542" s="528"/>
      <c r="Q542" s="528"/>
      <c r="R542" s="528"/>
      <c r="S542" s="528"/>
      <c r="T542" s="528"/>
      <c r="U542" s="528"/>
      <c r="V542" s="528"/>
      <c r="W542" s="528"/>
      <c r="X542" s="528"/>
      <c r="Y542" s="528">
        <v>0</v>
      </c>
      <c r="Z542" s="530"/>
      <c r="AA542" s="528"/>
      <c r="AB542" s="528"/>
      <c r="AC542" s="528"/>
      <c r="AD542" s="528"/>
      <c r="AE542" s="528"/>
      <c r="AF542" s="528"/>
      <c r="AG542" s="528"/>
      <c r="AH542" s="528"/>
      <c r="AI542" s="528"/>
      <c r="AJ542" s="528"/>
      <c r="AK542" s="528"/>
      <c r="AL542" s="528"/>
      <c r="AN542" s="527"/>
      <c r="AO542" s="528"/>
      <c r="AP542" s="528"/>
      <c r="AQ542" s="499"/>
      <c r="AR542" s="528"/>
      <c r="AS542" s="528"/>
      <c r="AT542" s="529"/>
      <c r="AU542" s="507"/>
      <c r="AV542" s="528"/>
      <c r="AW542" s="528"/>
      <c r="AX542" s="528"/>
      <c r="AY542" s="528"/>
      <c r="AZ542" s="528"/>
      <c r="BA542" s="528"/>
      <c r="BB542" s="528"/>
      <c r="BC542" s="528"/>
      <c r="BD542" s="528"/>
      <c r="BE542" s="528"/>
      <c r="BF542" s="528"/>
      <c r="BG542" s="528"/>
      <c r="BH542" s="530"/>
      <c r="BI542" s="528"/>
      <c r="BJ542" s="528"/>
      <c r="BK542" s="528"/>
      <c r="BL542" s="528"/>
      <c r="BM542" s="528"/>
      <c r="BN542" s="528"/>
      <c r="BO542" s="528"/>
      <c r="BP542" s="528"/>
      <c r="BQ542" s="528"/>
      <c r="BR542" s="528"/>
      <c r="BS542" s="528"/>
      <c r="BT542" s="528"/>
      <c r="BV542" s="400"/>
    </row>
    <row r="543" spans="1:74" s="536" customFormat="1" ht="15" hidden="1" x14ac:dyDescent="0.25">
      <c r="A543" s="613" t="s">
        <v>932</v>
      </c>
      <c r="B543" s="613" t="s">
        <v>933</v>
      </c>
      <c r="C543" s="595"/>
      <c r="D543" s="527"/>
      <c r="E543" s="528"/>
      <c r="F543" s="528"/>
      <c r="G543" s="507"/>
      <c r="H543" s="528"/>
      <c r="I543" s="528"/>
      <c r="J543" s="529"/>
      <c r="K543" s="507"/>
      <c r="L543" s="528"/>
      <c r="M543" s="528"/>
      <c r="N543" s="528"/>
      <c r="O543" s="528"/>
      <c r="P543" s="528"/>
      <c r="Q543" s="528"/>
      <c r="R543" s="528"/>
      <c r="S543" s="528"/>
      <c r="T543" s="528"/>
      <c r="U543" s="528"/>
      <c r="V543" s="528"/>
      <c r="W543" s="528"/>
      <c r="X543" s="528"/>
      <c r="Y543" s="528">
        <v>0</v>
      </c>
      <c r="Z543" s="530"/>
      <c r="AA543" s="528"/>
      <c r="AB543" s="528"/>
      <c r="AC543" s="528"/>
      <c r="AD543" s="528"/>
      <c r="AE543" s="528"/>
      <c r="AF543" s="528"/>
      <c r="AG543" s="528"/>
      <c r="AH543" s="528"/>
      <c r="AI543" s="528"/>
      <c r="AJ543" s="528"/>
      <c r="AK543" s="528"/>
      <c r="AL543" s="528"/>
      <c r="AN543" s="527"/>
      <c r="AO543" s="528"/>
      <c r="AP543" s="528"/>
      <c r="AQ543" s="499"/>
      <c r="AR543" s="528"/>
      <c r="AS543" s="528"/>
      <c r="AT543" s="529"/>
      <c r="AU543" s="507"/>
      <c r="AV543" s="528"/>
      <c r="AW543" s="528"/>
      <c r="AX543" s="528"/>
      <c r="AY543" s="528"/>
      <c r="AZ543" s="528"/>
      <c r="BA543" s="528"/>
      <c r="BB543" s="528"/>
      <c r="BC543" s="528"/>
      <c r="BD543" s="528"/>
      <c r="BE543" s="528"/>
      <c r="BF543" s="528"/>
      <c r="BG543" s="528"/>
      <c r="BH543" s="530"/>
      <c r="BI543" s="528"/>
      <c r="BJ543" s="528"/>
      <c r="BK543" s="528"/>
      <c r="BL543" s="528"/>
      <c r="BM543" s="528"/>
      <c r="BN543" s="528"/>
      <c r="BO543" s="528"/>
      <c r="BP543" s="528"/>
      <c r="BQ543" s="528"/>
      <c r="BR543" s="528"/>
      <c r="BS543" s="528"/>
      <c r="BT543" s="528"/>
      <c r="BV543" s="400"/>
    </row>
    <row r="544" spans="1:74" ht="15" hidden="1" x14ac:dyDescent="0.25">
      <c r="A544" s="614" t="s">
        <v>934</v>
      </c>
      <c r="B544" s="614" t="s">
        <v>935</v>
      </c>
      <c r="C544" s="541"/>
      <c r="D544" s="500"/>
      <c r="E544" s="449"/>
      <c r="F544" s="449"/>
      <c r="G544" s="421"/>
      <c r="H544" s="449"/>
      <c r="I544" s="449"/>
      <c r="J544" s="426"/>
      <c r="K544" s="421"/>
      <c r="L544" s="449"/>
      <c r="M544" s="449"/>
      <c r="N544" s="449"/>
      <c r="O544" s="449"/>
      <c r="P544" s="449"/>
      <c r="Q544" s="449"/>
      <c r="R544" s="449"/>
      <c r="S544" s="449"/>
      <c r="T544" s="449"/>
      <c r="U544" s="449"/>
      <c r="V544" s="449"/>
      <c r="W544" s="449"/>
      <c r="X544" s="449"/>
      <c r="Y544" s="449">
        <v>0</v>
      </c>
      <c r="Z544" s="531"/>
      <c r="AA544" s="449"/>
      <c r="AB544" s="449"/>
      <c r="AC544" s="449"/>
      <c r="AD544" s="449"/>
      <c r="AE544" s="449"/>
      <c r="AF544" s="449"/>
      <c r="AG544" s="449"/>
      <c r="AH544" s="449"/>
      <c r="AI544" s="449"/>
      <c r="AJ544" s="449"/>
      <c r="AK544" s="449"/>
      <c r="AL544" s="449"/>
      <c r="AN544" s="500"/>
      <c r="AO544" s="449"/>
      <c r="AP544" s="449"/>
      <c r="AQ544" s="453"/>
      <c r="AR544" s="449"/>
      <c r="AS544" s="449"/>
      <c r="AT544" s="426"/>
      <c r="AU544" s="421"/>
      <c r="AV544" s="449"/>
      <c r="AW544" s="449"/>
      <c r="AX544" s="449"/>
      <c r="AY544" s="449"/>
      <c r="AZ544" s="449"/>
      <c r="BA544" s="449"/>
      <c r="BB544" s="449"/>
      <c r="BC544" s="449"/>
      <c r="BD544" s="449"/>
      <c r="BE544" s="449"/>
      <c r="BF544" s="449"/>
      <c r="BG544" s="449"/>
      <c r="BH544" s="531"/>
      <c r="BI544" s="449"/>
      <c r="BJ544" s="449"/>
      <c r="BK544" s="449"/>
      <c r="BL544" s="449"/>
      <c r="BM544" s="449"/>
      <c r="BN544" s="449"/>
      <c r="BO544" s="449"/>
      <c r="BP544" s="449"/>
      <c r="BQ544" s="449"/>
      <c r="BR544" s="449"/>
      <c r="BS544" s="449"/>
      <c r="BT544" s="449"/>
    </row>
    <row r="545" spans="1:74" ht="15" hidden="1" x14ac:dyDescent="0.25">
      <c r="A545" s="614" t="s">
        <v>936</v>
      </c>
      <c r="B545" s="614" t="s">
        <v>937</v>
      </c>
      <c r="C545" s="541"/>
      <c r="D545" s="500"/>
      <c r="E545" s="449"/>
      <c r="F545" s="449"/>
      <c r="G545" s="421"/>
      <c r="H545" s="449"/>
      <c r="I545" s="449"/>
      <c r="J545" s="426"/>
      <c r="K545" s="421"/>
      <c r="L545" s="449"/>
      <c r="M545" s="449"/>
      <c r="N545" s="449"/>
      <c r="O545" s="449"/>
      <c r="P545" s="449"/>
      <c r="Q545" s="449"/>
      <c r="R545" s="449"/>
      <c r="S545" s="449"/>
      <c r="T545" s="449"/>
      <c r="U545" s="449"/>
      <c r="V545" s="449"/>
      <c r="W545" s="449"/>
      <c r="X545" s="449"/>
      <c r="Y545" s="449">
        <v>0</v>
      </c>
      <c r="Z545" s="531"/>
      <c r="AA545" s="449"/>
      <c r="AB545" s="449"/>
      <c r="AC545" s="449"/>
      <c r="AD545" s="449"/>
      <c r="AE545" s="449"/>
      <c r="AF545" s="449"/>
      <c r="AG545" s="449"/>
      <c r="AH545" s="449"/>
      <c r="AI545" s="449"/>
      <c r="AJ545" s="449"/>
      <c r="AK545" s="449"/>
      <c r="AL545" s="449"/>
      <c r="AN545" s="500"/>
      <c r="AO545" s="449"/>
      <c r="AP545" s="449"/>
      <c r="AQ545" s="453"/>
      <c r="AR545" s="449"/>
      <c r="AS545" s="449"/>
      <c r="AT545" s="426"/>
      <c r="AU545" s="421"/>
      <c r="AV545" s="449"/>
      <c r="AW545" s="449"/>
      <c r="AX545" s="449"/>
      <c r="AY545" s="449"/>
      <c r="AZ545" s="449"/>
      <c r="BA545" s="449"/>
      <c r="BB545" s="449"/>
      <c r="BC545" s="449"/>
      <c r="BD545" s="449"/>
      <c r="BE545" s="449"/>
      <c r="BF545" s="449"/>
      <c r="BG545" s="449"/>
      <c r="BH545" s="531"/>
      <c r="BI545" s="449"/>
      <c r="BJ545" s="449"/>
      <c r="BK545" s="449"/>
      <c r="BL545" s="449"/>
      <c r="BM545" s="449"/>
      <c r="BN545" s="449"/>
      <c r="BO545" s="449"/>
      <c r="BP545" s="449"/>
      <c r="BQ545" s="449"/>
      <c r="BR545" s="449"/>
      <c r="BS545" s="449"/>
      <c r="BT545" s="449"/>
    </row>
    <row r="546" spans="1:74" ht="15" x14ac:dyDescent="0.25">
      <c r="A546" s="502"/>
      <c r="B546" s="502"/>
      <c r="C546" s="541"/>
      <c r="D546" s="500"/>
      <c r="E546" s="449"/>
      <c r="F546" s="449"/>
      <c r="G546" s="421"/>
      <c r="H546" s="449"/>
      <c r="I546" s="449"/>
      <c r="J546" s="426"/>
      <c r="K546" s="421"/>
      <c r="L546" s="449"/>
      <c r="M546" s="449"/>
      <c r="N546" s="449"/>
      <c r="O546" s="449"/>
      <c r="P546" s="449"/>
      <c r="Q546" s="449"/>
      <c r="R546" s="449"/>
      <c r="S546" s="449"/>
      <c r="T546" s="449"/>
      <c r="U546" s="449"/>
      <c r="V546" s="449"/>
      <c r="W546" s="449"/>
      <c r="X546" s="449"/>
      <c r="Y546" s="449"/>
      <c r="Z546" s="531"/>
      <c r="AA546" s="449"/>
      <c r="AB546" s="449"/>
      <c r="AC546" s="449"/>
      <c r="AD546" s="449"/>
      <c r="AE546" s="449"/>
      <c r="AF546" s="449"/>
      <c r="AG546" s="449"/>
      <c r="AH546" s="449"/>
      <c r="AI546" s="449"/>
      <c r="AJ546" s="449"/>
      <c r="AK546" s="449"/>
      <c r="AL546" s="449"/>
      <c r="AN546" s="500"/>
      <c r="AO546" s="449"/>
      <c r="AP546" s="449"/>
      <c r="AQ546" s="453"/>
      <c r="AR546" s="449"/>
      <c r="AS546" s="449"/>
      <c r="AT546" s="426"/>
      <c r="AU546" s="421"/>
      <c r="AV546" s="449"/>
      <c r="AW546" s="449"/>
      <c r="AX546" s="449"/>
      <c r="AY546" s="449"/>
      <c r="AZ546" s="449"/>
      <c r="BA546" s="449"/>
      <c r="BB546" s="449"/>
      <c r="BC546" s="449"/>
      <c r="BD546" s="449"/>
      <c r="BE546" s="449"/>
      <c r="BF546" s="449"/>
      <c r="BG546" s="449"/>
      <c r="BH546" s="531"/>
      <c r="BI546" s="449"/>
      <c r="BJ546" s="449"/>
      <c r="BK546" s="449"/>
      <c r="BL546" s="449"/>
      <c r="BM546" s="449"/>
      <c r="BN546" s="449"/>
      <c r="BO546" s="449"/>
      <c r="BP546" s="449"/>
      <c r="BQ546" s="449"/>
      <c r="BR546" s="449"/>
      <c r="BS546" s="449"/>
      <c r="BT546" s="449"/>
    </row>
    <row r="547" spans="1:74" s="536" customFormat="1" ht="15.75" thickBot="1" x14ac:dyDescent="0.3">
      <c r="A547" s="524"/>
      <c r="B547" s="524" t="s">
        <v>938</v>
      </c>
      <c r="C547" s="539"/>
      <c r="D547" s="532">
        <f>SUM(D531:D546)</f>
        <v>154785</v>
      </c>
      <c r="E547" s="533">
        <f>SUM(E531:E546)</f>
        <v>145996</v>
      </c>
      <c r="F547" s="533">
        <f>IFERROR(D547-E547,0)</f>
        <v>8789</v>
      </c>
      <c r="G547" s="520">
        <f>IFERROR(F547/ABS(E547),0)</f>
        <v>6.0200279459711223E-2</v>
      </c>
      <c r="H547" s="533">
        <f>SUM(H531:H546)</f>
        <v>154785</v>
      </c>
      <c r="I547" s="533">
        <f>IFERROR(D547-H547,0)</f>
        <v>0</v>
      </c>
      <c r="J547" s="521">
        <f>IFERROR(I547/ABS(H547),0)</f>
        <v>0</v>
      </c>
      <c r="K547" s="507"/>
      <c r="L547" s="533">
        <f>SUM(L531:L546)</f>
        <v>7857.61</v>
      </c>
      <c r="M547" s="533">
        <f t="shared" ref="M547:W547" si="466">SUM(M531:M546)</f>
        <v>60111.66</v>
      </c>
      <c r="N547" s="533">
        <f t="shared" si="466"/>
        <v>9772.9199999999983</v>
      </c>
      <c r="O547" s="533">
        <f t="shared" si="466"/>
        <v>7987.899999999996</v>
      </c>
      <c r="P547" s="533">
        <f t="shared" si="466"/>
        <v>8182.380000000001</v>
      </c>
      <c r="Q547" s="533">
        <f t="shared" si="466"/>
        <v>7315.5200000000041</v>
      </c>
      <c r="R547" s="533">
        <f t="shared" si="466"/>
        <v>8926.1683333333331</v>
      </c>
      <c r="S547" s="533">
        <f t="shared" si="466"/>
        <v>8926.1683333333349</v>
      </c>
      <c r="T547" s="533">
        <f t="shared" si="466"/>
        <v>8926.1683333333349</v>
      </c>
      <c r="U547" s="533">
        <f t="shared" si="466"/>
        <v>8926.1683333333312</v>
      </c>
      <c r="V547" s="533">
        <f t="shared" si="466"/>
        <v>8926.1683333333294</v>
      </c>
      <c r="W547" s="533">
        <f t="shared" si="466"/>
        <v>8926.1683333333276</v>
      </c>
      <c r="X547" s="533"/>
      <c r="Y547" s="533">
        <f>SUM(L547:W547)</f>
        <v>154785</v>
      </c>
      <c r="Z547" s="508"/>
      <c r="AA547" s="533">
        <f t="shared" ref="AA547:AL547" si="467">SUM(AA531:AA546)</f>
        <v>12898.75</v>
      </c>
      <c r="AB547" s="533">
        <f t="shared" si="467"/>
        <v>12898.75</v>
      </c>
      <c r="AC547" s="533">
        <f t="shared" si="467"/>
        <v>12898.75</v>
      </c>
      <c r="AD547" s="533">
        <f t="shared" si="467"/>
        <v>12898.75</v>
      </c>
      <c r="AE547" s="533">
        <f t="shared" si="467"/>
        <v>12898.75</v>
      </c>
      <c r="AF547" s="533">
        <f t="shared" si="467"/>
        <v>12898.75</v>
      </c>
      <c r="AG547" s="533">
        <f t="shared" si="467"/>
        <v>12898.75</v>
      </c>
      <c r="AH547" s="533">
        <f t="shared" si="467"/>
        <v>12898.75</v>
      </c>
      <c r="AI547" s="533">
        <f t="shared" si="467"/>
        <v>12898.75</v>
      </c>
      <c r="AJ547" s="533">
        <f t="shared" si="467"/>
        <v>12898.75</v>
      </c>
      <c r="AK547" s="533">
        <f t="shared" si="467"/>
        <v>12898.75</v>
      </c>
      <c r="AL547" s="533">
        <f t="shared" si="467"/>
        <v>12898.75</v>
      </c>
      <c r="AN547" s="532">
        <f>SUM(AN531:AN546)</f>
        <v>154785</v>
      </c>
      <c r="AO547" s="533">
        <f>SUM(AO531:AO546)</f>
        <v>165359.73891566269</v>
      </c>
      <c r="AP547" s="533">
        <f>IFERROR(AO547-AN547,0)</f>
        <v>10574.738915662689</v>
      </c>
      <c r="AQ547" s="523">
        <f>IFERROR(AP547/ABS(AN547),"-")</f>
        <v>6.8318886944230314E-2</v>
      </c>
      <c r="AR547" s="533">
        <f>SUM(AR531:AR546)</f>
        <v>165359.73891566269</v>
      </c>
      <c r="AS547" s="533">
        <f>IFERROR(AO547-AR547,0)</f>
        <v>0</v>
      </c>
      <c r="AT547" s="521">
        <f>IFERROR(AS547/ABS(AR547),0)</f>
        <v>0</v>
      </c>
      <c r="AU547" s="507"/>
      <c r="AV547" s="533">
        <f>SUM(AV531:AV546)</f>
        <v>13779.978242971887</v>
      </c>
      <c r="AW547" s="533">
        <f t="shared" ref="AW547:BG547" si="468">SUM(AW531:AW546)</f>
        <v>13779.978242971887</v>
      </c>
      <c r="AX547" s="533">
        <f t="shared" si="468"/>
        <v>13779.978242971887</v>
      </c>
      <c r="AY547" s="533">
        <f t="shared" si="468"/>
        <v>13779.978242971887</v>
      </c>
      <c r="AZ547" s="533">
        <f t="shared" si="468"/>
        <v>13779.978242971887</v>
      </c>
      <c r="BA547" s="533">
        <f t="shared" si="468"/>
        <v>13779.978242971887</v>
      </c>
      <c r="BB547" s="533">
        <f t="shared" si="468"/>
        <v>13779.978242971887</v>
      </c>
      <c r="BC547" s="533">
        <f t="shared" si="468"/>
        <v>13779.978242971887</v>
      </c>
      <c r="BD547" s="533">
        <f t="shared" si="468"/>
        <v>13779.978242971887</v>
      </c>
      <c r="BE547" s="533">
        <f t="shared" si="468"/>
        <v>13779.978242971887</v>
      </c>
      <c r="BF547" s="533">
        <f t="shared" si="468"/>
        <v>13779.978242971887</v>
      </c>
      <c r="BG547" s="533">
        <f t="shared" si="468"/>
        <v>13779.978242971887</v>
      </c>
      <c r="BH547" s="508"/>
      <c r="BI547" s="533">
        <f t="shared" ref="BI547:BT547" si="469">SUM(BI531:BI546)</f>
        <v>13779.978242971887</v>
      </c>
      <c r="BJ547" s="533">
        <f t="shared" si="469"/>
        <v>13779.978242971887</v>
      </c>
      <c r="BK547" s="533">
        <f t="shared" si="469"/>
        <v>13779.978242971887</v>
      </c>
      <c r="BL547" s="533">
        <f t="shared" si="469"/>
        <v>13779.978242971887</v>
      </c>
      <c r="BM547" s="533">
        <f t="shared" si="469"/>
        <v>13779.978242971887</v>
      </c>
      <c r="BN547" s="533">
        <f t="shared" si="469"/>
        <v>13779.978242971887</v>
      </c>
      <c r="BO547" s="533">
        <f t="shared" si="469"/>
        <v>13779.978242971887</v>
      </c>
      <c r="BP547" s="533">
        <f t="shared" si="469"/>
        <v>13779.978242971887</v>
      </c>
      <c r="BQ547" s="533">
        <f t="shared" si="469"/>
        <v>13779.978242971887</v>
      </c>
      <c r="BR547" s="533">
        <f t="shared" si="469"/>
        <v>13779.978242971887</v>
      </c>
      <c r="BS547" s="533">
        <f t="shared" si="469"/>
        <v>13779.978242971887</v>
      </c>
      <c r="BT547" s="533">
        <f t="shared" si="469"/>
        <v>13779.978242971887</v>
      </c>
      <c r="BV547" s="400"/>
    </row>
    <row r="548" spans="1:74" s="536" customFormat="1" ht="15.75" thickTop="1" x14ac:dyDescent="0.25">
      <c r="A548" s="524"/>
      <c r="B548" s="524"/>
      <c r="C548" s="539"/>
      <c r="D548" s="527"/>
      <c r="E548" s="528"/>
      <c r="F548" s="528"/>
      <c r="G548" s="507"/>
      <c r="H548" s="528"/>
      <c r="I548" s="528"/>
      <c r="J548" s="529"/>
      <c r="K548" s="507"/>
      <c r="L548" s="528"/>
      <c r="M548" s="528"/>
      <c r="N548" s="528"/>
      <c r="O548" s="528"/>
      <c r="P548" s="528"/>
      <c r="Q548" s="528"/>
      <c r="R548" s="528"/>
      <c r="S548" s="528"/>
      <c r="T548" s="528"/>
      <c r="U548" s="528"/>
      <c r="V548" s="528"/>
      <c r="W548" s="528"/>
      <c r="X548" s="528"/>
      <c r="Y548" s="528"/>
      <c r="Z548" s="530"/>
      <c r="AA548" s="528"/>
      <c r="AB548" s="528"/>
      <c r="AC548" s="528"/>
      <c r="AD548" s="528"/>
      <c r="AE548" s="528"/>
      <c r="AF548" s="528"/>
      <c r="AG548" s="528"/>
      <c r="AH548" s="528"/>
      <c r="AI548" s="528"/>
      <c r="AJ548" s="528"/>
      <c r="AK548" s="528"/>
      <c r="AL548" s="528"/>
      <c r="AN548" s="527"/>
      <c r="AO548" s="528"/>
      <c r="AP548" s="528"/>
      <c r="AQ548" s="499"/>
      <c r="AR548" s="528"/>
      <c r="AS548" s="528"/>
      <c r="AT548" s="529"/>
      <c r="AU548" s="507"/>
      <c r="AV548" s="528"/>
      <c r="AW548" s="528"/>
      <c r="AX548" s="528"/>
      <c r="AY548" s="528"/>
      <c r="AZ548" s="528"/>
      <c r="BA548" s="528"/>
      <c r="BB548" s="528"/>
      <c r="BC548" s="528"/>
      <c r="BD548" s="528"/>
      <c r="BE548" s="528"/>
      <c r="BF548" s="528"/>
      <c r="BG548" s="528"/>
      <c r="BH548" s="530"/>
      <c r="BI548" s="528"/>
      <c r="BJ548" s="528"/>
      <c r="BK548" s="528"/>
      <c r="BL548" s="528"/>
      <c r="BM548" s="528"/>
      <c r="BN548" s="528"/>
      <c r="BO548" s="528"/>
      <c r="BP548" s="528"/>
      <c r="BQ548" s="528"/>
      <c r="BR548" s="528"/>
      <c r="BS548" s="528"/>
      <c r="BT548" s="528"/>
      <c r="BV548" s="400"/>
    </row>
    <row r="549" spans="1:74" ht="15.75" x14ac:dyDescent="0.25">
      <c r="A549" s="502"/>
      <c r="B549" s="525" t="s">
        <v>939</v>
      </c>
      <c r="C549" s="541"/>
      <c r="D549" s="500"/>
      <c r="E549" s="449"/>
      <c r="F549" s="449"/>
      <c r="G549" s="421"/>
      <c r="H549" s="449"/>
      <c r="I549" s="449"/>
      <c r="J549" s="426"/>
      <c r="K549" s="421"/>
      <c r="L549" s="449"/>
      <c r="M549" s="449"/>
      <c r="N549" s="449"/>
      <c r="O549" s="449"/>
      <c r="P549" s="449"/>
      <c r="Q549" s="449"/>
      <c r="R549" s="449"/>
      <c r="S549" s="449"/>
      <c r="T549" s="449"/>
      <c r="U549" s="449"/>
      <c r="V549" s="449"/>
      <c r="W549" s="449"/>
      <c r="X549" s="449"/>
      <c r="Y549" s="449"/>
      <c r="Z549" s="531"/>
      <c r="AA549" s="449"/>
      <c r="AB549" s="449"/>
      <c r="AC549" s="449"/>
      <c r="AD549" s="449"/>
      <c r="AE549" s="449"/>
      <c r="AF549" s="449"/>
      <c r="AG549" s="449"/>
      <c r="AH549" s="449"/>
      <c r="AI549" s="449"/>
      <c r="AJ549" s="449"/>
      <c r="AK549" s="449"/>
      <c r="AL549" s="449"/>
      <c r="AN549" s="500"/>
      <c r="AO549" s="449"/>
      <c r="AP549" s="449"/>
      <c r="AQ549" s="453"/>
      <c r="AR549" s="449"/>
      <c r="AS549" s="449"/>
      <c r="AT549" s="426"/>
      <c r="AU549" s="421"/>
      <c r="AV549" s="449"/>
      <c r="AW549" s="449"/>
      <c r="AX549" s="449"/>
      <c r="AY549" s="449"/>
      <c r="AZ549" s="449"/>
      <c r="BA549" s="449"/>
      <c r="BB549" s="449"/>
      <c r="BC549" s="449"/>
      <c r="BD549" s="449"/>
      <c r="BE549" s="449"/>
      <c r="BF549" s="449"/>
      <c r="BG549" s="449"/>
      <c r="BH549" s="531"/>
      <c r="BI549" s="449"/>
      <c r="BJ549" s="449"/>
      <c r="BK549" s="449"/>
      <c r="BL549" s="449"/>
      <c r="BM549" s="449"/>
      <c r="BN549" s="449"/>
      <c r="BO549" s="449"/>
      <c r="BP549" s="449"/>
      <c r="BQ549" s="449"/>
      <c r="BR549" s="449"/>
      <c r="BS549" s="449"/>
      <c r="BT549" s="449"/>
    </row>
    <row r="550" spans="1:74" ht="9.75" customHeight="1" x14ac:dyDescent="0.25">
      <c r="A550" s="502"/>
      <c r="B550" s="502"/>
      <c r="C550" s="541"/>
      <c r="D550" s="500"/>
      <c r="E550" s="449"/>
      <c r="F550" s="449"/>
      <c r="G550" s="421"/>
      <c r="H550" s="449"/>
      <c r="I550" s="449"/>
      <c r="J550" s="426"/>
      <c r="K550" s="421"/>
      <c r="L550" s="449"/>
      <c r="M550" s="449"/>
      <c r="N550" s="449"/>
      <c r="O550" s="449"/>
      <c r="P550" s="449"/>
      <c r="Q550" s="449"/>
      <c r="R550" s="449"/>
      <c r="S550" s="449"/>
      <c r="T550" s="449"/>
      <c r="U550" s="449"/>
      <c r="V550" s="449"/>
      <c r="W550" s="449"/>
      <c r="X550" s="449"/>
      <c r="Y550" s="449"/>
      <c r="Z550" s="531"/>
      <c r="AA550" s="449"/>
      <c r="AB550" s="449"/>
      <c r="AC550" s="449"/>
      <c r="AD550" s="449"/>
      <c r="AE550" s="449"/>
      <c r="AF550" s="449"/>
      <c r="AG550" s="449"/>
      <c r="AH550" s="449"/>
      <c r="AI550" s="449"/>
      <c r="AJ550" s="449"/>
      <c r="AK550" s="449"/>
      <c r="AL550" s="449"/>
      <c r="AN550" s="500"/>
      <c r="AO550" s="449"/>
      <c r="AP550" s="449"/>
      <c r="AQ550" s="453"/>
      <c r="AR550" s="449"/>
      <c r="AS550" s="449"/>
      <c r="AT550" s="426"/>
      <c r="AU550" s="421"/>
      <c r="AV550" s="449"/>
      <c r="AW550" s="449"/>
      <c r="AX550" s="449"/>
      <c r="AY550" s="449"/>
      <c r="AZ550" s="449"/>
      <c r="BA550" s="449"/>
      <c r="BB550" s="449"/>
      <c r="BC550" s="449"/>
      <c r="BD550" s="449"/>
      <c r="BE550" s="449"/>
      <c r="BF550" s="449"/>
      <c r="BG550" s="449"/>
      <c r="BH550" s="531"/>
      <c r="BI550" s="449"/>
      <c r="BJ550" s="449"/>
      <c r="BK550" s="449"/>
      <c r="BL550" s="449"/>
      <c r="BM550" s="449"/>
      <c r="BN550" s="449"/>
      <c r="BO550" s="449"/>
      <c r="BP550" s="449"/>
      <c r="BQ550" s="449"/>
      <c r="BR550" s="449"/>
      <c r="BS550" s="449"/>
      <c r="BT550" s="449"/>
    </row>
    <row r="551" spans="1:74" ht="15" customHeight="1" x14ac:dyDescent="0.25">
      <c r="A551" s="502" t="s">
        <v>940</v>
      </c>
      <c r="B551" s="502" t="s">
        <v>941</v>
      </c>
      <c r="C551" s="538"/>
      <c r="D551" s="500">
        <f t="shared" ref="D551:D561" si="470">SUM(L551:W551)</f>
        <v>364491</v>
      </c>
      <c r="E551" s="449">
        <v>444000</v>
      </c>
      <c r="F551" s="449">
        <f t="shared" ref="F551:F561" si="471">IFERROR(D551-E551,0)</f>
        <v>-79509</v>
      </c>
      <c r="G551" s="421">
        <f t="shared" ref="G551:G561" si="472">IFERROR(F551/ABS(E551),0)</f>
        <v>-0.17907432432432432</v>
      </c>
      <c r="H551" s="449">
        <v>364491</v>
      </c>
      <c r="I551" s="449">
        <f t="shared" ref="I551:I561" si="473">IFERROR(D551-H551,0)</f>
        <v>0</v>
      </c>
      <c r="J551" s="426">
        <f t="shared" ref="J551:J561" si="474">IFERROR(I551/ABS(H551),0)</f>
        <v>0</v>
      </c>
      <c r="K551" s="421"/>
      <c r="L551" s="449">
        <v>6272</v>
      </c>
      <c r="M551" s="449">
        <v>104506.86</v>
      </c>
      <c r="N551" s="449">
        <v>6053</v>
      </c>
      <c r="O551" s="449">
        <v>0</v>
      </c>
      <c r="P551" s="449">
        <v>11244.990000000005</v>
      </c>
      <c r="Q551" s="449">
        <v>-11244.990000000005</v>
      </c>
      <c r="R551" s="449">
        <f>($H551-SUM($L551:Q551))/R$694</f>
        <v>41276.523333333338</v>
      </c>
      <c r="S551" s="449">
        <f>($H551-SUM($L551:R551))/S$694</f>
        <v>41276.523333333331</v>
      </c>
      <c r="T551" s="449">
        <f>($H551-SUM($L551:S551))/T$694</f>
        <v>41276.523333333331</v>
      </c>
      <c r="U551" s="449">
        <f>($H551-SUM($L551:T551))/U$694</f>
        <v>41276.523333333338</v>
      </c>
      <c r="V551" s="449">
        <f>($H551-SUM($L551:U551))/V$694</f>
        <v>41276.523333333345</v>
      </c>
      <c r="W551" s="449">
        <f>($H551-SUM($L551:V551))/W$694</f>
        <v>41276.523333333316</v>
      </c>
      <c r="X551" s="449"/>
      <c r="Y551" s="449">
        <f t="shared" ref="Y551:Y561" si="475">SUM(L551:W551)</f>
        <v>364491</v>
      </c>
      <c r="Z551" s="531"/>
      <c r="AA551" s="449">
        <f t="shared" ref="AA551:AL561" si="476">IFERROR($H551/12,0)</f>
        <v>30374.25</v>
      </c>
      <c r="AB551" s="449">
        <f t="shared" si="476"/>
        <v>30374.25</v>
      </c>
      <c r="AC551" s="449">
        <f t="shared" si="476"/>
        <v>30374.25</v>
      </c>
      <c r="AD551" s="449">
        <f t="shared" si="476"/>
        <v>30374.25</v>
      </c>
      <c r="AE551" s="449">
        <f t="shared" si="476"/>
        <v>30374.25</v>
      </c>
      <c r="AF551" s="449">
        <f t="shared" si="476"/>
        <v>30374.25</v>
      </c>
      <c r="AG551" s="449">
        <f t="shared" si="476"/>
        <v>30374.25</v>
      </c>
      <c r="AH551" s="449">
        <f t="shared" si="476"/>
        <v>30374.25</v>
      </c>
      <c r="AI551" s="449">
        <f t="shared" si="476"/>
        <v>30374.25</v>
      </c>
      <c r="AJ551" s="449">
        <f t="shared" si="476"/>
        <v>30374.25</v>
      </c>
      <c r="AK551" s="449">
        <f t="shared" si="476"/>
        <v>30374.25</v>
      </c>
      <c r="AL551" s="449">
        <f t="shared" si="476"/>
        <v>30374.25</v>
      </c>
      <c r="AN551" s="500">
        <f t="shared" ref="AN551:AN561" si="477">SUM(L551:W551)</f>
        <v>364491</v>
      </c>
      <c r="AO551" s="449">
        <f t="shared" ref="AO551:AO561" si="478">SUM(BI551:BT551)</f>
        <v>0</v>
      </c>
      <c r="AP551" s="449">
        <f t="shared" ref="AP551:AP561" si="479">IFERROR(AO551-AN551,0)</f>
        <v>-364491</v>
      </c>
      <c r="AQ551" s="453">
        <f t="shared" ref="AQ551:AQ561" si="480">IFERROR(AP551/ABS(AN551),"-")</f>
        <v>-1</v>
      </c>
      <c r="AR551" s="449">
        <f t="shared" ref="AR551:AR562" si="481">SUM(BI551:BT551)</f>
        <v>0</v>
      </c>
      <c r="AS551" s="449">
        <f t="shared" ref="AS551:AS561" si="482">IFERROR(AO551-AR551,0)</f>
        <v>0</v>
      </c>
      <c r="AT551" s="426">
        <f t="shared" ref="AT551:AT561" si="483">IFERROR(AS551/ABS(AR551),0)</f>
        <v>0</v>
      </c>
      <c r="AU551" s="421"/>
      <c r="AV551" s="449">
        <f t="shared" ref="AV551:BG561" si="484">BI551</f>
        <v>0</v>
      </c>
      <c r="AW551" s="449">
        <f t="shared" si="484"/>
        <v>0</v>
      </c>
      <c r="AX551" s="449">
        <f t="shared" si="484"/>
        <v>0</v>
      </c>
      <c r="AY551" s="449">
        <f t="shared" si="484"/>
        <v>0</v>
      </c>
      <c r="AZ551" s="449">
        <f t="shared" si="484"/>
        <v>0</v>
      </c>
      <c r="BA551" s="449">
        <f t="shared" si="484"/>
        <v>0</v>
      </c>
      <c r="BB551" s="449">
        <f t="shared" si="484"/>
        <v>0</v>
      </c>
      <c r="BC551" s="449">
        <f t="shared" si="484"/>
        <v>0</v>
      </c>
      <c r="BD551" s="449">
        <f t="shared" si="484"/>
        <v>0</v>
      </c>
      <c r="BE551" s="449">
        <f t="shared" si="484"/>
        <v>0</v>
      </c>
      <c r="BF551" s="449">
        <f t="shared" si="484"/>
        <v>0</v>
      </c>
      <c r="BG551" s="449">
        <f t="shared" si="484"/>
        <v>0</v>
      </c>
      <c r="BH551" s="400"/>
      <c r="BI551" s="449">
        <v>0</v>
      </c>
      <c r="BJ551" s="449">
        <v>0</v>
      </c>
      <c r="BK551" s="449">
        <v>0</v>
      </c>
      <c r="BL551" s="449">
        <v>0</v>
      </c>
      <c r="BM551" s="449">
        <v>0</v>
      </c>
      <c r="BN551" s="449">
        <v>0</v>
      </c>
      <c r="BO551" s="449">
        <v>0</v>
      </c>
      <c r="BP551" s="449">
        <v>0</v>
      </c>
      <c r="BQ551" s="449">
        <v>0</v>
      </c>
      <c r="BR551" s="449">
        <v>0</v>
      </c>
      <c r="BS551" s="449">
        <v>0</v>
      </c>
      <c r="BT551" s="449">
        <v>0</v>
      </c>
    </row>
    <row r="552" spans="1:74" ht="15" customHeight="1" x14ac:dyDescent="0.25">
      <c r="A552" s="537" t="s">
        <v>942</v>
      </c>
      <c r="B552" s="537" t="s">
        <v>943</v>
      </c>
      <c r="C552" s="604"/>
      <c r="D552" s="500">
        <f>SUM(L552:W552)</f>
        <v>0</v>
      </c>
      <c r="E552" s="449">
        <v>0</v>
      </c>
      <c r="F552" s="449">
        <f t="shared" si="471"/>
        <v>0</v>
      </c>
      <c r="G552" s="421">
        <f t="shared" si="472"/>
        <v>0</v>
      </c>
      <c r="H552" s="449">
        <v>0</v>
      </c>
      <c r="I552" s="449">
        <f t="shared" si="473"/>
        <v>0</v>
      </c>
      <c r="J552" s="426">
        <f t="shared" si="474"/>
        <v>0</v>
      </c>
      <c r="K552" s="421"/>
      <c r="L552" s="449">
        <v>0</v>
      </c>
      <c r="M552" s="449">
        <v>0</v>
      </c>
      <c r="N552" s="449">
        <v>0</v>
      </c>
      <c r="O552" s="449">
        <v>0</v>
      </c>
      <c r="P552" s="449">
        <v>0</v>
      </c>
      <c r="Q552" s="449">
        <v>0</v>
      </c>
      <c r="R552" s="449">
        <f>($H552-SUM($L552:Q552))/R$694</f>
        <v>0</v>
      </c>
      <c r="S552" s="449">
        <f>($H552-SUM($L552:R552))/S$694</f>
        <v>0</v>
      </c>
      <c r="T552" s="449">
        <f>($H552-SUM($L552:S552))/T$694</f>
        <v>0</v>
      </c>
      <c r="U552" s="449">
        <f>($H552-SUM($L552:T552))/U$694</f>
        <v>0</v>
      </c>
      <c r="V552" s="449">
        <f>($H552-SUM($L552:U552))/V$694</f>
        <v>0</v>
      </c>
      <c r="W552" s="449">
        <f>($H552-SUM($L552:V552))/W$694</f>
        <v>0</v>
      </c>
      <c r="X552" s="449"/>
      <c r="Y552" s="449">
        <f t="shared" si="475"/>
        <v>0</v>
      </c>
      <c r="Z552" s="501"/>
      <c r="AA552" s="449">
        <f t="shared" si="476"/>
        <v>0</v>
      </c>
      <c r="AB552" s="449">
        <f t="shared" si="476"/>
        <v>0</v>
      </c>
      <c r="AC552" s="449">
        <f t="shared" si="476"/>
        <v>0</v>
      </c>
      <c r="AD552" s="449">
        <f t="shared" si="476"/>
        <v>0</v>
      </c>
      <c r="AE552" s="449">
        <f t="shared" si="476"/>
        <v>0</v>
      </c>
      <c r="AF552" s="449">
        <f t="shared" si="476"/>
        <v>0</v>
      </c>
      <c r="AG552" s="449">
        <f t="shared" si="476"/>
        <v>0</v>
      </c>
      <c r="AH552" s="449">
        <f t="shared" si="476"/>
        <v>0</v>
      </c>
      <c r="AI552" s="449">
        <f t="shared" si="476"/>
        <v>0</v>
      </c>
      <c r="AJ552" s="449">
        <f t="shared" si="476"/>
        <v>0</v>
      </c>
      <c r="AK552" s="449">
        <f t="shared" si="476"/>
        <v>0</v>
      </c>
      <c r="AL552" s="449">
        <f t="shared" si="476"/>
        <v>0</v>
      </c>
      <c r="AN552" s="500">
        <f>SUM(L552:W552)</f>
        <v>0</v>
      </c>
      <c r="AO552" s="449">
        <f>SUM(BI552:BT552)</f>
        <v>200980.22</v>
      </c>
      <c r="AP552" s="449">
        <f t="shared" si="479"/>
        <v>200980.22</v>
      </c>
      <c r="AQ552" s="453" t="str">
        <f t="shared" si="480"/>
        <v>-</v>
      </c>
      <c r="AR552" s="449">
        <f t="shared" si="481"/>
        <v>200980.22</v>
      </c>
      <c r="AS552" s="449">
        <f t="shared" si="482"/>
        <v>0</v>
      </c>
      <c r="AT552" s="426">
        <f t="shared" si="483"/>
        <v>0</v>
      </c>
      <c r="AU552" s="421"/>
      <c r="AV552" s="449">
        <f t="shared" si="484"/>
        <v>100490.11</v>
      </c>
      <c r="AW552" s="449">
        <f t="shared" si="484"/>
        <v>0</v>
      </c>
      <c r="AX552" s="449">
        <f t="shared" si="484"/>
        <v>0</v>
      </c>
      <c r="AY552" s="449">
        <f t="shared" si="484"/>
        <v>0</v>
      </c>
      <c r="AZ552" s="449">
        <f t="shared" si="484"/>
        <v>0</v>
      </c>
      <c r="BA552" s="449">
        <f t="shared" si="484"/>
        <v>0</v>
      </c>
      <c r="BB552" s="449">
        <f t="shared" si="484"/>
        <v>100490.11</v>
      </c>
      <c r="BC552" s="449">
        <f t="shared" si="484"/>
        <v>0</v>
      </c>
      <c r="BD552" s="449">
        <f t="shared" si="484"/>
        <v>0</v>
      </c>
      <c r="BE552" s="449">
        <f t="shared" si="484"/>
        <v>0</v>
      </c>
      <c r="BF552" s="449">
        <f t="shared" si="484"/>
        <v>0</v>
      </c>
      <c r="BG552" s="449">
        <f t="shared" si="484"/>
        <v>0</v>
      </c>
      <c r="BH552" s="400"/>
      <c r="BI552" s="449">
        <f>0.5*200980.22</f>
        <v>100490.11</v>
      </c>
      <c r="BJ552" s="449">
        <f t="shared" ref="BI552:BT554" si="485">IFERROR((($H552/$H$5)*BJ$5)/12,0)</f>
        <v>0</v>
      </c>
      <c r="BK552" s="449">
        <f t="shared" si="485"/>
        <v>0</v>
      </c>
      <c r="BL552" s="449">
        <f t="shared" si="485"/>
        <v>0</v>
      </c>
      <c r="BM552" s="449">
        <f t="shared" si="485"/>
        <v>0</v>
      </c>
      <c r="BN552" s="449">
        <f t="shared" si="485"/>
        <v>0</v>
      </c>
      <c r="BO552" s="449">
        <f>0.5*200980.22</f>
        <v>100490.11</v>
      </c>
      <c r="BP552" s="449">
        <f t="shared" si="485"/>
        <v>0</v>
      </c>
      <c r="BQ552" s="449">
        <f t="shared" si="485"/>
        <v>0</v>
      </c>
      <c r="BR552" s="449">
        <f t="shared" si="485"/>
        <v>0</v>
      </c>
      <c r="BS552" s="449">
        <f t="shared" si="485"/>
        <v>0</v>
      </c>
      <c r="BT552" s="449">
        <f t="shared" si="485"/>
        <v>0</v>
      </c>
    </row>
    <row r="553" spans="1:74" ht="15" customHeight="1" x14ac:dyDescent="0.25">
      <c r="A553" s="618" t="s">
        <v>944</v>
      </c>
      <c r="B553" s="537" t="s">
        <v>945</v>
      </c>
      <c r="C553" s="604"/>
      <c r="D553" s="500">
        <f>SUM(L553:W553)</f>
        <v>0</v>
      </c>
      <c r="E553" s="449">
        <v>0</v>
      </c>
      <c r="F553" s="449">
        <f t="shared" si="471"/>
        <v>0</v>
      </c>
      <c r="G553" s="421">
        <f t="shared" si="472"/>
        <v>0</v>
      </c>
      <c r="H553" s="449">
        <v>0</v>
      </c>
      <c r="I553" s="449">
        <f t="shared" si="473"/>
        <v>0</v>
      </c>
      <c r="J553" s="426">
        <f t="shared" si="474"/>
        <v>0</v>
      </c>
      <c r="K553" s="421"/>
      <c r="L553" s="449">
        <v>0</v>
      </c>
      <c r="M553" s="449">
        <v>0</v>
      </c>
      <c r="N553" s="449">
        <v>0</v>
      </c>
      <c r="O553" s="449">
        <v>0</v>
      </c>
      <c r="P553" s="449">
        <v>0</v>
      </c>
      <c r="Q553" s="449">
        <v>0</v>
      </c>
      <c r="R553" s="449">
        <f>($H553-SUM($L553:Q553))/R$694</f>
        <v>0</v>
      </c>
      <c r="S553" s="449">
        <f>($H553-SUM($L553:R553))/S$694</f>
        <v>0</v>
      </c>
      <c r="T553" s="449">
        <f>($H553-SUM($L553:S553))/T$694</f>
        <v>0</v>
      </c>
      <c r="U553" s="449">
        <f>($H553-SUM($L553:T553))/U$694</f>
        <v>0</v>
      </c>
      <c r="V553" s="449">
        <f>($H553-SUM($L553:U553))/V$694</f>
        <v>0</v>
      </c>
      <c r="W553" s="449">
        <f>($H553-SUM($L553:V553))/W$694</f>
        <v>0</v>
      </c>
      <c r="X553" s="449"/>
      <c r="Y553" s="449">
        <f t="shared" si="475"/>
        <v>0</v>
      </c>
      <c r="Z553" s="501"/>
      <c r="AA553" s="449">
        <f t="shared" si="476"/>
        <v>0</v>
      </c>
      <c r="AB553" s="449">
        <f t="shared" si="476"/>
        <v>0</v>
      </c>
      <c r="AC553" s="449">
        <f t="shared" si="476"/>
        <v>0</v>
      </c>
      <c r="AD553" s="449">
        <f t="shared" si="476"/>
        <v>0</v>
      </c>
      <c r="AE553" s="449">
        <f t="shared" si="476"/>
        <v>0</v>
      </c>
      <c r="AF553" s="449">
        <f t="shared" si="476"/>
        <v>0</v>
      </c>
      <c r="AG553" s="449">
        <f t="shared" si="476"/>
        <v>0</v>
      </c>
      <c r="AH553" s="449">
        <f t="shared" si="476"/>
        <v>0</v>
      </c>
      <c r="AI553" s="449">
        <f t="shared" si="476"/>
        <v>0</v>
      </c>
      <c r="AJ553" s="449">
        <f t="shared" si="476"/>
        <v>0</v>
      </c>
      <c r="AK553" s="449">
        <f t="shared" si="476"/>
        <v>0</v>
      </c>
      <c r="AL553" s="449">
        <f t="shared" si="476"/>
        <v>0</v>
      </c>
      <c r="AN553" s="500">
        <f>SUM(L553:W553)</f>
        <v>0</v>
      </c>
      <c r="AO553" s="449">
        <f>SUM(BI553:BT553)</f>
        <v>0</v>
      </c>
      <c r="AP553" s="449">
        <f t="shared" si="479"/>
        <v>0</v>
      </c>
      <c r="AQ553" s="453" t="str">
        <f t="shared" si="480"/>
        <v>-</v>
      </c>
      <c r="AR553" s="449">
        <f t="shared" si="481"/>
        <v>0</v>
      </c>
      <c r="AS553" s="449">
        <f t="shared" si="482"/>
        <v>0</v>
      </c>
      <c r="AT553" s="426">
        <f t="shared" si="483"/>
        <v>0</v>
      </c>
      <c r="AU553" s="421"/>
      <c r="AV553" s="449">
        <f t="shared" si="484"/>
        <v>0</v>
      </c>
      <c r="AW553" s="449">
        <f t="shared" si="484"/>
        <v>0</v>
      </c>
      <c r="AX553" s="449">
        <f t="shared" si="484"/>
        <v>0</v>
      </c>
      <c r="AY553" s="449">
        <f t="shared" si="484"/>
        <v>0</v>
      </c>
      <c r="AZ553" s="449">
        <f t="shared" si="484"/>
        <v>0</v>
      </c>
      <c r="BA553" s="449">
        <f t="shared" si="484"/>
        <v>0</v>
      </c>
      <c r="BB553" s="449">
        <f t="shared" si="484"/>
        <v>0</v>
      </c>
      <c r="BC553" s="449">
        <f t="shared" si="484"/>
        <v>0</v>
      </c>
      <c r="BD553" s="449">
        <f t="shared" si="484"/>
        <v>0</v>
      </c>
      <c r="BE553" s="449">
        <f t="shared" si="484"/>
        <v>0</v>
      </c>
      <c r="BF553" s="449">
        <f t="shared" si="484"/>
        <v>0</v>
      </c>
      <c r="BG553" s="449">
        <f t="shared" si="484"/>
        <v>0</v>
      </c>
      <c r="BH553" s="400"/>
      <c r="BI553" s="449">
        <f t="shared" si="485"/>
        <v>0</v>
      </c>
      <c r="BJ553" s="449">
        <f t="shared" si="485"/>
        <v>0</v>
      </c>
      <c r="BK553" s="449">
        <f t="shared" si="485"/>
        <v>0</v>
      </c>
      <c r="BL553" s="449">
        <f t="shared" si="485"/>
        <v>0</v>
      </c>
      <c r="BM553" s="449">
        <f t="shared" si="485"/>
        <v>0</v>
      </c>
      <c r="BN553" s="449">
        <f t="shared" si="485"/>
        <v>0</v>
      </c>
      <c r="BO553" s="449">
        <f t="shared" si="485"/>
        <v>0</v>
      </c>
      <c r="BP553" s="449">
        <f t="shared" si="485"/>
        <v>0</v>
      </c>
      <c r="BQ553" s="449">
        <f t="shared" si="485"/>
        <v>0</v>
      </c>
      <c r="BR553" s="449">
        <f t="shared" si="485"/>
        <v>0</v>
      </c>
      <c r="BS553" s="449">
        <f t="shared" si="485"/>
        <v>0</v>
      </c>
      <c r="BT553" s="449">
        <f t="shared" si="485"/>
        <v>0</v>
      </c>
    </row>
    <row r="554" spans="1:74" ht="15" customHeight="1" x14ac:dyDescent="0.25">
      <c r="A554" s="618" t="s">
        <v>946</v>
      </c>
      <c r="B554" s="537" t="s">
        <v>947</v>
      </c>
      <c r="C554" s="604"/>
      <c r="D554" s="500">
        <f>SUM(L554:W554)</f>
        <v>0</v>
      </c>
      <c r="E554" s="449">
        <v>0</v>
      </c>
      <c r="F554" s="449">
        <f t="shared" si="471"/>
        <v>0</v>
      </c>
      <c r="G554" s="421">
        <f t="shared" si="472"/>
        <v>0</v>
      </c>
      <c r="H554" s="449">
        <v>0</v>
      </c>
      <c r="I554" s="449">
        <f t="shared" si="473"/>
        <v>0</v>
      </c>
      <c r="J554" s="426">
        <f t="shared" si="474"/>
        <v>0</v>
      </c>
      <c r="K554" s="421"/>
      <c r="L554" s="449">
        <v>0</v>
      </c>
      <c r="M554" s="449">
        <v>0</v>
      </c>
      <c r="N554" s="449">
        <v>0</v>
      </c>
      <c r="O554" s="449">
        <v>0</v>
      </c>
      <c r="P554" s="449">
        <v>0</v>
      </c>
      <c r="Q554" s="449">
        <v>0</v>
      </c>
      <c r="R554" s="449">
        <f>($H554-SUM($L554:Q554))/R$694</f>
        <v>0</v>
      </c>
      <c r="S554" s="449">
        <f>($H554-SUM($L554:R554))/S$694</f>
        <v>0</v>
      </c>
      <c r="T554" s="449">
        <f>($H554-SUM($L554:S554))/T$694</f>
        <v>0</v>
      </c>
      <c r="U554" s="449">
        <f>($H554-SUM($L554:T554))/U$694</f>
        <v>0</v>
      </c>
      <c r="V554" s="449">
        <f>($H554-SUM($L554:U554))/V$694</f>
        <v>0</v>
      </c>
      <c r="W554" s="449">
        <f>($H554-SUM($L554:V554))/W$694</f>
        <v>0</v>
      </c>
      <c r="X554" s="449"/>
      <c r="Y554" s="449">
        <f t="shared" si="475"/>
        <v>0</v>
      </c>
      <c r="Z554" s="501"/>
      <c r="AA554" s="449">
        <f t="shared" si="476"/>
        <v>0</v>
      </c>
      <c r="AB554" s="449">
        <f t="shared" si="476"/>
        <v>0</v>
      </c>
      <c r="AC554" s="449">
        <f t="shared" si="476"/>
        <v>0</v>
      </c>
      <c r="AD554" s="449">
        <f t="shared" si="476"/>
        <v>0</v>
      </c>
      <c r="AE554" s="449">
        <f t="shared" si="476"/>
        <v>0</v>
      </c>
      <c r="AF554" s="449">
        <f t="shared" si="476"/>
        <v>0</v>
      </c>
      <c r="AG554" s="449">
        <f t="shared" si="476"/>
        <v>0</v>
      </c>
      <c r="AH554" s="449">
        <f t="shared" si="476"/>
        <v>0</v>
      </c>
      <c r="AI554" s="449">
        <f t="shared" si="476"/>
        <v>0</v>
      </c>
      <c r="AJ554" s="449">
        <f t="shared" si="476"/>
        <v>0</v>
      </c>
      <c r="AK554" s="449">
        <f t="shared" si="476"/>
        <v>0</v>
      </c>
      <c r="AL554" s="449">
        <f t="shared" si="476"/>
        <v>0</v>
      </c>
      <c r="AN554" s="500">
        <f>SUM(L554:W554)</f>
        <v>0</v>
      </c>
      <c r="AO554" s="449">
        <f>SUM(BI554:BT554)</f>
        <v>0</v>
      </c>
      <c r="AP554" s="449">
        <f t="shared" si="479"/>
        <v>0</v>
      </c>
      <c r="AQ554" s="453" t="str">
        <f t="shared" si="480"/>
        <v>-</v>
      </c>
      <c r="AR554" s="449">
        <f t="shared" si="481"/>
        <v>0</v>
      </c>
      <c r="AS554" s="449">
        <f t="shared" si="482"/>
        <v>0</v>
      </c>
      <c r="AT554" s="426">
        <f t="shared" si="483"/>
        <v>0</v>
      </c>
      <c r="AU554" s="421"/>
      <c r="AV554" s="449">
        <f t="shared" si="484"/>
        <v>0</v>
      </c>
      <c r="AW554" s="449">
        <f t="shared" si="484"/>
        <v>0</v>
      </c>
      <c r="AX554" s="449">
        <f t="shared" si="484"/>
        <v>0</v>
      </c>
      <c r="AY554" s="449">
        <f t="shared" si="484"/>
        <v>0</v>
      </c>
      <c r="AZ554" s="449">
        <f t="shared" si="484"/>
        <v>0</v>
      </c>
      <c r="BA554" s="449">
        <f t="shared" si="484"/>
        <v>0</v>
      </c>
      <c r="BB554" s="449">
        <f t="shared" si="484"/>
        <v>0</v>
      </c>
      <c r="BC554" s="449">
        <f t="shared" si="484"/>
        <v>0</v>
      </c>
      <c r="BD554" s="449">
        <f t="shared" si="484"/>
        <v>0</v>
      </c>
      <c r="BE554" s="449">
        <f t="shared" si="484"/>
        <v>0</v>
      </c>
      <c r="BF554" s="449">
        <f t="shared" si="484"/>
        <v>0</v>
      </c>
      <c r="BG554" s="449">
        <f t="shared" si="484"/>
        <v>0</v>
      </c>
      <c r="BH554" s="400"/>
      <c r="BI554" s="449">
        <f t="shared" si="485"/>
        <v>0</v>
      </c>
      <c r="BJ554" s="449">
        <f t="shared" si="485"/>
        <v>0</v>
      </c>
      <c r="BK554" s="449">
        <f t="shared" si="485"/>
        <v>0</v>
      </c>
      <c r="BL554" s="449">
        <f t="shared" si="485"/>
        <v>0</v>
      </c>
      <c r="BM554" s="449">
        <f t="shared" si="485"/>
        <v>0</v>
      </c>
      <c r="BN554" s="449">
        <f t="shared" si="485"/>
        <v>0</v>
      </c>
      <c r="BO554" s="449">
        <f t="shared" si="485"/>
        <v>0</v>
      </c>
      <c r="BP554" s="449">
        <f t="shared" si="485"/>
        <v>0</v>
      </c>
      <c r="BQ554" s="449">
        <f t="shared" si="485"/>
        <v>0</v>
      </c>
      <c r="BR554" s="449">
        <f t="shared" si="485"/>
        <v>0</v>
      </c>
      <c r="BS554" s="449">
        <f t="shared" si="485"/>
        <v>0</v>
      </c>
      <c r="BT554" s="449">
        <f t="shared" si="485"/>
        <v>0</v>
      </c>
    </row>
    <row r="555" spans="1:74" ht="15" customHeight="1" x14ac:dyDescent="0.25">
      <c r="A555" s="502" t="s">
        <v>948</v>
      </c>
      <c r="B555" s="502" t="s">
        <v>949</v>
      </c>
      <c r="C555" s="604"/>
      <c r="D555" s="500">
        <f t="shared" si="470"/>
        <v>0</v>
      </c>
      <c r="E555" s="449">
        <v>0</v>
      </c>
      <c r="F555" s="449">
        <f t="shared" si="471"/>
        <v>0</v>
      </c>
      <c r="G555" s="421">
        <f t="shared" si="472"/>
        <v>0</v>
      </c>
      <c r="H555" s="449">
        <v>0</v>
      </c>
      <c r="I555" s="449">
        <f t="shared" si="473"/>
        <v>0</v>
      </c>
      <c r="J555" s="426">
        <f t="shared" si="474"/>
        <v>0</v>
      </c>
      <c r="K555" s="421"/>
      <c r="L555" s="449">
        <v>0</v>
      </c>
      <c r="M555" s="449">
        <v>0</v>
      </c>
      <c r="N555" s="449">
        <v>0</v>
      </c>
      <c r="O555" s="449">
        <v>0</v>
      </c>
      <c r="P555" s="449">
        <v>0</v>
      </c>
      <c r="Q555" s="449">
        <v>0</v>
      </c>
      <c r="R555" s="449">
        <f>($H555-SUM($L555:Q555))/R$694</f>
        <v>0</v>
      </c>
      <c r="S555" s="449">
        <f>($H555-SUM($L555:R555))/S$694</f>
        <v>0</v>
      </c>
      <c r="T555" s="449">
        <f>($H555-SUM($L555:S555))/T$694</f>
        <v>0</v>
      </c>
      <c r="U555" s="449">
        <f>($H555-SUM($L555:T555))/U$694</f>
        <v>0</v>
      </c>
      <c r="V555" s="449">
        <f>($H555-SUM($L555:U555))/V$694</f>
        <v>0</v>
      </c>
      <c r="W555" s="449">
        <f>($H555-SUM($L555:V555))/W$694</f>
        <v>0</v>
      </c>
      <c r="X555" s="449"/>
      <c r="Y555" s="449">
        <f t="shared" si="475"/>
        <v>0</v>
      </c>
      <c r="Z555" s="501"/>
      <c r="AA555" s="449">
        <f t="shared" si="476"/>
        <v>0</v>
      </c>
      <c r="AB555" s="449">
        <f t="shared" si="476"/>
        <v>0</v>
      </c>
      <c r="AC555" s="449">
        <f t="shared" si="476"/>
        <v>0</v>
      </c>
      <c r="AD555" s="449">
        <f t="shared" si="476"/>
        <v>0</v>
      </c>
      <c r="AE555" s="449">
        <f t="shared" si="476"/>
        <v>0</v>
      </c>
      <c r="AF555" s="449">
        <f t="shared" si="476"/>
        <v>0</v>
      </c>
      <c r="AG555" s="449">
        <f t="shared" si="476"/>
        <v>0</v>
      </c>
      <c r="AH555" s="449">
        <f t="shared" si="476"/>
        <v>0</v>
      </c>
      <c r="AI555" s="449">
        <f t="shared" si="476"/>
        <v>0</v>
      </c>
      <c r="AJ555" s="449">
        <f t="shared" si="476"/>
        <v>0</v>
      </c>
      <c r="AK555" s="449">
        <f t="shared" si="476"/>
        <v>0</v>
      </c>
      <c r="AL555" s="449">
        <f t="shared" si="476"/>
        <v>0</v>
      </c>
      <c r="AN555" s="500">
        <f t="shared" si="477"/>
        <v>0</v>
      </c>
      <c r="AO555" s="449">
        <f t="shared" si="478"/>
        <v>13000.000000000002</v>
      </c>
      <c r="AP555" s="449">
        <f t="shared" si="479"/>
        <v>13000.000000000002</v>
      </c>
      <c r="AQ555" s="453" t="str">
        <f t="shared" si="480"/>
        <v>-</v>
      </c>
      <c r="AR555" s="449">
        <f t="shared" si="481"/>
        <v>13000.000000000002</v>
      </c>
      <c r="AS555" s="449">
        <f t="shared" si="482"/>
        <v>0</v>
      </c>
      <c r="AT555" s="426">
        <f t="shared" si="483"/>
        <v>0</v>
      </c>
      <c r="AU555" s="421"/>
      <c r="AV555" s="449">
        <f t="shared" si="484"/>
        <v>1083.3333333333333</v>
      </c>
      <c r="AW555" s="449">
        <f t="shared" si="484"/>
        <v>1083.3333333333333</v>
      </c>
      <c r="AX555" s="449">
        <f t="shared" si="484"/>
        <v>1083.3333333333333</v>
      </c>
      <c r="AY555" s="449">
        <f t="shared" si="484"/>
        <v>1083.3333333333333</v>
      </c>
      <c r="AZ555" s="449">
        <f t="shared" si="484"/>
        <v>1083.3333333333333</v>
      </c>
      <c r="BA555" s="449">
        <f t="shared" si="484"/>
        <v>1083.3333333333333</v>
      </c>
      <c r="BB555" s="449">
        <f t="shared" si="484"/>
        <v>1083.3333333333333</v>
      </c>
      <c r="BC555" s="449">
        <f t="shared" si="484"/>
        <v>1083.3333333333333</v>
      </c>
      <c r="BD555" s="449">
        <f t="shared" si="484"/>
        <v>1083.3333333333333</v>
      </c>
      <c r="BE555" s="449">
        <f t="shared" si="484"/>
        <v>1083.3333333333333</v>
      </c>
      <c r="BF555" s="449">
        <f t="shared" si="484"/>
        <v>1083.3333333333333</v>
      </c>
      <c r="BG555" s="449">
        <f t="shared" si="484"/>
        <v>1083.3333333333333</v>
      </c>
      <c r="BH555" s="400"/>
      <c r="BI555" s="449">
        <f>13000/12</f>
        <v>1083.3333333333333</v>
      </c>
      <c r="BJ555" s="449">
        <f t="shared" ref="BJ555:BT555" si="486">13000/12</f>
        <v>1083.3333333333333</v>
      </c>
      <c r="BK555" s="449">
        <f t="shared" si="486"/>
        <v>1083.3333333333333</v>
      </c>
      <c r="BL555" s="449">
        <f t="shared" si="486"/>
        <v>1083.3333333333333</v>
      </c>
      <c r="BM555" s="449">
        <f t="shared" si="486"/>
        <v>1083.3333333333333</v>
      </c>
      <c r="BN555" s="449">
        <f t="shared" si="486"/>
        <v>1083.3333333333333</v>
      </c>
      <c r="BO555" s="449">
        <f t="shared" si="486"/>
        <v>1083.3333333333333</v>
      </c>
      <c r="BP555" s="449">
        <f t="shared" si="486"/>
        <v>1083.3333333333333</v>
      </c>
      <c r="BQ555" s="449">
        <f t="shared" si="486"/>
        <v>1083.3333333333333</v>
      </c>
      <c r="BR555" s="449">
        <f t="shared" si="486"/>
        <v>1083.3333333333333</v>
      </c>
      <c r="BS555" s="449">
        <f t="shared" si="486"/>
        <v>1083.3333333333333</v>
      </c>
      <c r="BT555" s="449">
        <f t="shared" si="486"/>
        <v>1083.3333333333333</v>
      </c>
    </row>
    <row r="556" spans="1:74" ht="15" customHeight="1" x14ac:dyDescent="0.25">
      <c r="A556" s="502" t="s">
        <v>950</v>
      </c>
      <c r="B556" s="502" t="s">
        <v>951</v>
      </c>
      <c r="C556" s="538"/>
      <c r="D556" s="500">
        <f t="shared" si="470"/>
        <v>31562</v>
      </c>
      <c r="E556" s="449">
        <v>31562.382449999997</v>
      </c>
      <c r="F556" s="449">
        <f t="shared" si="471"/>
        <v>-0.38244999999733409</v>
      </c>
      <c r="G556" s="421">
        <f t="shared" si="472"/>
        <v>-1.2117272851730941E-5</v>
      </c>
      <c r="H556" s="449">
        <v>31562</v>
      </c>
      <c r="I556" s="449">
        <f t="shared" si="473"/>
        <v>0</v>
      </c>
      <c r="J556" s="426">
        <f t="shared" si="474"/>
        <v>0</v>
      </c>
      <c r="K556" s="421"/>
      <c r="L556" s="449">
        <v>0</v>
      </c>
      <c r="M556" s="449">
        <v>0</v>
      </c>
      <c r="N556" s="449">
        <v>0</v>
      </c>
      <c r="O556" s="449">
        <v>0</v>
      </c>
      <c r="P556" s="449">
        <v>0</v>
      </c>
      <c r="Q556" s="449">
        <v>0</v>
      </c>
      <c r="R556" s="449">
        <f>($H556-SUM($L556:Q556))/R$694</f>
        <v>5260.333333333333</v>
      </c>
      <c r="S556" s="449">
        <f>($H556-SUM($L556:R556))/S$694</f>
        <v>5260.3333333333339</v>
      </c>
      <c r="T556" s="449">
        <f>($H556-SUM($L556:S556))/T$694</f>
        <v>5260.333333333333</v>
      </c>
      <c r="U556" s="449">
        <f>($H556-SUM($L556:T556))/U$694</f>
        <v>5260.333333333333</v>
      </c>
      <c r="V556" s="449">
        <f>($H556-SUM($L556:U556))/V$694</f>
        <v>5260.3333333333339</v>
      </c>
      <c r="W556" s="449">
        <f>($H556-SUM($L556:V556))/W$694</f>
        <v>5260.3333333333358</v>
      </c>
      <c r="X556" s="449"/>
      <c r="Y556" s="449">
        <f t="shared" si="475"/>
        <v>31562</v>
      </c>
      <c r="Z556" s="531"/>
      <c r="AA556" s="449">
        <f t="shared" si="476"/>
        <v>2630.1666666666665</v>
      </c>
      <c r="AB556" s="449">
        <f t="shared" si="476"/>
        <v>2630.1666666666665</v>
      </c>
      <c r="AC556" s="449">
        <f t="shared" si="476"/>
        <v>2630.1666666666665</v>
      </c>
      <c r="AD556" s="449">
        <f t="shared" si="476"/>
        <v>2630.1666666666665</v>
      </c>
      <c r="AE556" s="449">
        <f t="shared" si="476"/>
        <v>2630.1666666666665</v>
      </c>
      <c r="AF556" s="449">
        <f t="shared" si="476"/>
        <v>2630.1666666666665</v>
      </c>
      <c r="AG556" s="449">
        <f t="shared" si="476"/>
        <v>2630.1666666666665</v>
      </c>
      <c r="AH556" s="449">
        <f t="shared" si="476"/>
        <v>2630.1666666666665</v>
      </c>
      <c r="AI556" s="449">
        <f t="shared" si="476"/>
        <v>2630.1666666666665</v>
      </c>
      <c r="AJ556" s="449">
        <f t="shared" si="476"/>
        <v>2630.1666666666665</v>
      </c>
      <c r="AK556" s="449">
        <f t="shared" si="476"/>
        <v>2630.1666666666665</v>
      </c>
      <c r="AL556" s="449">
        <f t="shared" si="476"/>
        <v>2630.1666666666665</v>
      </c>
      <c r="AN556" s="500">
        <f t="shared" si="477"/>
        <v>31562</v>
      </c>
      <c r="AO556" s="449">
        <f>SUM(BF556:BQ556)</f>
        <v>44095.561370000003</v>
      </c>
      <c r="AP556" s="449">
        <f t="shared" si="479"/>
        <v>12533.561370000003</v>
      </c>
      <c r="AQ556" s="453">
        <f t="shared" si="480"/>
        <v>0.39710922533426279</v>
      </c>
      <c r="AR556" s="449">
        <f t="shared" si="481"/>
        <v>44095.561370000003</v>
      </c>
      <c r="AS556" s="449">
        <f t="shared" si="482"/>
        <v>0</v>
      </c>
      <c r="AT556" s="426">
        <f t="shared" si="483"/>
        <v>0</v>
      </c>
      <c r="AU556" s="421"/>
      <c r="AV556" s="449">
        <f t="shared" si="484"/>
        <v>0</v>
      </c>
      <c r="AW556" s="449">
        <f t="shared" si="484"/>
        <v>0</v>
      </c>
      <c r="AX556" s="449">
        <f t="shared" si="484"/>
        <v>0</v>
      </c>
      <c r="AY556" s="449">
        <f t="shared" si="484"/>
        <v>0</v>
      </c>
      <c r="AZ556" s="449">
        <f t="shared" si="484"/>
        <v>0</v>
      </c>
      <c r="BA556" s="449">
        <f t="shared" si="484"/>
        <v>0</v>
      </c>
      <c r="BB556" s="449">
        <f t="shared" si="484"/>
        <v>0</v>
      </c>
      <c r="BC556" s="449">
        <f t="shared" si="484"/>
        <v>0</v>
      </c>
      <c r="BD556" s="449">
        <f t="shared" si="484"/>
        <v>0</v>
      </c>
      <c r="BE556" s="449">
        <f t="shared" si="484"/>
        <v>0</v>
      </c>
      <c r="BF556" s="449">
        <f t="shared" si="484"/>
        <v>0</v>
      </c>
      <c r="BG556" s="449">
        <f t="shared" si="484"/>
        <v>44095.561370000003</v>
      </c>
      <c r="BH556" s="400"/>
      <c r="BI556" s="449">
        <v>0</v>
      </c>
      <c r="BJ556" s="449">
        <v>0</v>
      </c>
      <c r="BK556" s="449">
        <v>0</v>
      </c>
      <c r="BL556" s="449">
        <v>0</v>
      </c>
      <c r="BM556" s="449">
        <v>0</v>
      </c>
      <c r="BN556" s="449">
        <v>0</v>
      </c>
      <c r="BO556" s="449">
        <v>0</v>
      </c>
      <c r="BP556" s="449">
        <v>0</v>
      </c>
      <c r="BQ556" s="449">
        <v>0</v>
      </c>
      <c r="BR556" s="449">
        <v>0</v>
      </c>
      <c r="BS556" s="449">
        <v>0</v>
      </c>
      <c r="BT556" s="449">
        <f>AR589+AR592+AR594+AR596</f>
        <v>44095.561370000003</v>
      </c>
    </row>
    <row r="557" spans="1:74" ht="15" x14ac:dyDescent="0.25">
      <c r="A557" s="502" t="s">
        <v>952</v>
      </c>
      <c r="B557" s="502" t="s">
        <v>953</v>
      </c>
      <c r="C557" s="538"/>
      <c r="D557" s="500">
        <f t="shared" si="470"/>
        <v>0</v>
      </c>
      <c r="E557" s="449">
        <v>0</v>
      </c>
      <c r="F557" s="449">
        <f t="shared" si="471"/>
        <v>0</v>
      </c>
      <c r="G557" s="421">
        <f t="shared" si="472"/>
        <v>0</v>
      </c>
      <c r="H557" s="449">
        <v>0</v>
      </c>
      <c r="I557" s="449">
        <f t="shared" si="473"/>
        <v>0</v>
      </c>
      <c r="J557" s="426">
        <f t="shared" si="474"/>
        <v>0</v>
      </c>
      <c r="K557" s="421"/>
      <c r="L557" s="449">
        <v>0</v>
      </c>
      <c r="M557" s="449">
        <v>0</v>
      </c>
      <c r="N557" s="449">
        <v>0</v>
      </c>
      <c r="O557" s="449">
        <v>0</v>
      </c>
      <c r="P557" s="449">
        <v>0</v>
      </c>
      <c r="Q557" s="449">
        <v>0</v>
      </c>
      <c r="R557" s="449">
        <f>($H557-SUM($L557:Q557))/R$694</f>
        <v>0</v>
      </c>
      <c r="S557" s="449">
        <f>($H557-SUM($L557:R557))/S$694</f>
        <v>0</v>
      </c>
      <c r="T557" s="449">
        <f>($H557-SUM($L557:S557))/T$694</f>
        <v>0</v>
      </c>
      <c r="U557" s="449">
        <f>($H557-SUM($L557:T557))/U$694</f>
        <v>0</v>
      </c>
      <c r="V557" s="449">
        <f>($H557-SUM($L557:U557))/V$694</f>
        <v>0</v>
      </c>
      <c r="W557" s="449">
        <f>($H557-SUM($L557:V557))/W$694</f>
        <v>0</v>
      </c>
      <c r="X557" s="449"/>
      <c r="Y557" s="449">
        <f t="shared" si="475"/>
        <v>0</v>
      </c>
      <c r="Z557" s="531"/>
      <c r="AA557" s="449">
        <f t="shared" si="476"/>
        <v>0</v>
      </c>
      <c r="AB557" s="449">
        <f t="shared" si="476"/>
        <v>0</v>
      </c>
      <c r="AC557" s="449">
        <f t="shared" si="476"/>
        <v>0</v>
      </c>
      <c r="AD557" s="449">
        <f t="shared" si="476"/>
        <v>0</v>
      </c>
      <c r="AE557" s="449">
        <f t="shared" si="476"/>
        <v>0</v>
      </c>
      <c r="AF557" s="449">
        <f t="shared" si="476"/>
        <v>0</v>
      </c>
      <c r="AG557" s="449">
        <f t="shared" si="476"/>
        <v>0</v>
      </c>
      <c r="AH557" s="449">
        <f t="shared" si="476"/>
        <v>0</v>
      </c>
      <c r="AI557" s="449">
        <f t="shared" si="476"/>
        <v>0</v>
      </c>
      <c r="AJ557" s="449">
        <f t="shared" si="476"/>
        <v>0</v>
      </c>
      <c r="AK557" s="449">
        <f t="shared" si="476"/>
        <v>0</v>
      </c>
      <c r="AL557" s="449">
        <f t="shared" si="476"/>
        <v>0</v>
      </c>
      <c r="AN557" s="500">
        <f t="shared" si="477"/>
        <v>0</v>
      </c>
      <c r="AO557" s="449">
        <f t="shared" si="478"/>
        <v>0</v>
      </c>
      <c r="AP557" s="449">
        <f t="shared" si="479"/>
        <v>0</v>
      </c>
      <c r="AQ557" s="453" t="str">
        <f t="shared" si="480"/>
        <v>-</v>
      </c>
      <c r="AR557" s="449">
        <f t="shared" si="481"/>
        <v>0</v>
      </c>
      <c r="AS557" s="449">
        <f t="shared" si="482"/>
        <v>0</v>
      </c>
      <c r="AT557" s="426">
        <f t="shared" si="483"/>
        <v>0</v>
      </c>
      <c r="AU557" s="421"/>
      <c r="AV557" s="449">
        <f t="shared" si="484"/>
        <v>0</v>
      </c>
      <c r="AW557" s="449">
        <f t="shared" si="484"/>
        <v>0</v>
      </c>
      <c r="AX557" s="449">
        <f t="shared" si="484"/>
        <v>0</v>
      </c>
      <c r="AY557" s="449">
        <f t="shared" si="484"/>
        <v>0</v>
      </c>
      <c r="AZ557" s="449">
        <f t="shared" si="484"/>
        <v>0</v>
      </c>
      <c r="BA557" s="449">
        <f t="shared" si="484"/>
        <v>0</v>
      </c>
      <c r="BB557" s="449">
        <f t="shared" si="484"/>
        <v>0</v>
      </c>
      <c r="BC557" s="449">
        <f t="shared" si="484"/>
        <v>0</v>
      </c>
      <c r="BD557" s="449">
        <f t="shared" si="484"/>
        <v>0</v>
      </c>
      <c r="BE557" s="449">
        <f t="shared" si="484"/>
        <v>0</v>
      </c>
      <c r="BF557" s="449">
        <f t="shared" si="484"/>
        <v>0</v>
      </c>
      <c r="BG557" s="449">
        <f t="shared" si="484"/>
        <v>0</v>
      </c>
      <c r="BH557" s="400"/>
      <c r="BI557" s="449">
        <f t="shared" ref="BI557:BT560" si="487">IFERROR((($H557/$H$5)*BI$5)/12,0)</f>
        <v>0</v>
      </c>
      <c r="BJ557" s="449">
        <f t="shared" si="487"/>
        <v>0</v>
      </c>
      <c r="BK557" s="449">
        <f t="shared" si="487"/>
        <v>0</v>
      </c>
      <c r="BL557" s="449">
        <f t="shared" si="487"/>
        <v>0</v>
      </c>
      <c r="BM557" s="449">
        <f t="shared" si="487"/>
        <v>0</v>
      </c>
      <c r="BN557" s="449">
        <f t="shared" si="487"/>
        <v>0</v>
      </c>
      <c r="BO557" s="449">
        <f t="shared" si="487"/>
        <v>0</v>
      </c>
      <c r="BP557" s="449">
        <f t="shared" si="487"/>
        <v>0</v>
      </c>
      <c r="BQ557" s="449">
        <f t="shared" si="487"/>
        <v>0</v>
      </c>
      <c r="BR557" s="449">
        <f t="shared" si="487"/>
        <v>0</v>
      </c>
      <c r="BS557" s="449">
        <f t="shared" si="487"/>
        <v>0</v>
      </c>
      <c r="BT557" s="449">
        <f t="shared" si="487"/>
        <v>0</v>
      </c>
    </row>
    <row r="558" spans="1:74" ht="15" x14ac:dyDescent="0.25">
      <c r="A558" s="502" t="s">
        <v>954</v>
      </c>
      <c r="B558" s="502" t="s">
        <v>955</v>
      </c>
      <c r="C558" s="596"/>
      <c r="D558" s="500">
        <f t="shared" si="470"/>
        <v>0</v>
      </c>
      <c r="E558" s="449">
        <v>0</v>
      </c>
      <c r="F558" s="449">
        <f t="shared" si="471"/>
        <v>0</v>
      </c>
      <c r="G558" s="421">
        <f t="shared" si="472"/>
        <v>0</v>
      </c>
      <c r="H558" s="449">
        <v>0</v>
      </c>
      <c r="I558" s="449">
        <f t="shared" si="473"/>
        <v>0</v>
      </c>
      <c r="J558" s="426">
        <f t="shared" si="474"/>
        <v>0</v>
      </c>
      <c r="K558" s="421"/>
      <c r="L558" s="449">
        <v>0</v>
      </c>
      <c r="M558" s="449">
        <v>0</v>
      </c>
      <c r="N558" s="449">
        <v>0</v>
      </c>
      <c r="O558" s="449">
        <v>0</v>
      </c>
      <c r="P558" s="449">
        <v>0</v>
      </c>
      <c r="Q558" s="449">
        <v>0</v>
      </c>
      <c r="R558" s="449">
        <f>($H558-SUM($L558:Q558))/R$694</f>
        <v>0</v>
      </c>
      <c r="S558" s="449">
        <f>($H558-SUM($L558:R558))/S$694</f>
        <v>0</v>
      </c>
      <c r="T558" s="449">
        <f>($H558-SUM($L558:S558))/T$694</f>
        <v>0</v>
      </c>
      <c r="U558" s="449">
        <f>($H558-SUM($L558:T558))/U$694</f>
        <v>0</v>
      </c>
      <c r="V558" s="449">
        <f>($H558-SUM($L558:U558))/V$694</f>
        <v>0</v>
      </c>
      <c r="W558" s="449">
        <f>($H558-SUM($L558:V558))/W$694</f>
        <v>0</v>
      </c>
      <c r="X558" s="449"/>
      <c r="Y558" s="449">
        <f t="shared" si="475"/>
        <v>0</v>
      </c>
      <c r="Z558" s="531"/>
      <c r="AA558" s="449">
        <f t="shared" si="476"/>
        <v>0</v>
      </c>
      <c r="AB558" s="449">
        <f t="shared" si="476"/>
        <v>0</v>
      </c>
      <c r="AC558" s="449">
        <f t="shared" si="476"/>
        <v>0</v>
      </c>
      <c r="AD558" s="449">
        <f t="shared" si="476"/>
        <v>0</v>
      </c>
      <c r="AE558" s="449">
        <f t="shared" si="476"/>
        <v>0</v>
      </c>
      <c r="AF558" s="449">
        <f t="shared" si="476"/>
        <v>0</v>
      </c>
      <c r="AG558" s="449">
        <f t="shared" si="476"/>
        <v>0</v>
      </c>
      <c r="AH558" s="449">
        <f t="shared" si="476"/>
        <v>0</v>
      </c>
      <c r="AI558" s="449">
        <f t="shared" si="476"/>
        <v>0</v>
      </c>
      <c r="AJ558" s="449">
        <f t="shared" si="476"/>
        <v>0</v>
      </c>
      <c r="AK558" s="449">
        <f t="shared" si="476"/>
        <v>0</v>
      </c>
      <c r="AL558" s="449">
        <f t="shared" si="476"/>
        <v>0</v>
      </c>
      <c r="AN558" s="500">
        <f t="shared" si="477"/>
        <v>0</v>
      </c>
      <c r="AO558" s="449">
        <f t="shared" si="478"/>
        <v>0</v>
      </c>
      <c r="AP558" s="449">
        <f t="shared" si="479"/>
        <v>0</v>
      </c>
      <c r="AQ558" s="453" t="str">
        <f t="shared" si="480"/>
        <v>-</v>
      </c>
      <c r="AR558" s="449">
        <f t="shared" si="481"/>
        <v>0</v>
      </c>
      <c r="AS558" s="449">
        <f t="shared" si="482"/>
        <v>0</v>
      </c>
      <c r="AT558" s="426">
        <f t="shared" si="483"/>
        <v>0</v>
      </c>
      <c r="AU558" s="421"/>
      <c r="AV558" s="449">
        <f t="shared" si="484"/>
        <v>0</v>
      </c>
      <c r="AW558" s="449">
        <f t="shared" si="484"/>
        <v>0</v>
      </c>
      <c r="AX558" s="449">
        <f t="shared" si="484"/>
        <v>0</v>
      </c>
      <c r="AY558" s="449">
        <f t="shared" si="484"/>
        <v>0</v>
      </c>
      <c r="AZ558" s="449">
        <f t="shared" si="484"/>
        <v>0</v>
      </c>
      <c r="BA558" s="449">
        <f t="shared" si="484"/>
        <v>0</v>
      </c>
      <c r="BB558" s="449">
        <f t="shared" si="484"/>
        <v>0</v>
      </c>
      <c r="BC558" s="449">
        <f t="shared" si="484"/>
        <v>0</v>
      </c>
      <c r="BD558" s="449">
        <f t="shared" si="484"/>
        <v>0</v>
      </c>
      <c r="BE558" s="449">
        <f t="shared" si="484"/>
        <v>0</v>
      </c>
      <c r="BF558" s="449">
        <f t="shared" si="484"/>
        <v>0</v>
      </c>
      <c r="BG558" s="449">
        <f t="shared" si="484"/>
        <v>0</v>
      </c>
      <c r="BH558" s="400"/>
      <c r="BI558" s="449">
        <f t="shared" si="487"/>
        <v>0</v>
      </c>
      <c r="BJ558" s="449">
        <f t="shared" si="487"/>
        <v>0</v>
      </c>
      <c r="BK558" s="449">
        <f>IFERROR((($H558/$H$5)*BK$5)/12,0)</f>
        <v>0</v>
      </c>
      <c r="BL558" s="449">
        <f t="shared" si="487"/>
        <v>0</v>
      </c>
      <c r="BM558" s="449">
        <f t="shared" si="487"/>
        <v>0</v>
      </c>
      <c r="BN558" s="449">
        <f t="shared" si="487"/>
        <v>0</v>
      </c>
      <c r="BO558" s="449">
        <f t="shared" si="487"/>
        <v>0</v>
      </c>
      <c r="BP558" s="449">
        <f t="shared" si="487"/>
        <v>0</v>
      </c>
      <c r="BQ558" s="449">
        <f t="shared" si="487"/>
        <v>0</v>
      </c>
      <c r="BR558" s="449">
        <f t="shared" si="487"/>
        <v>0</v>
      </c>
      <c r="BS558" s="449">
        <f t="shared" si="487"/>
        <v>0</v>
      </c>
      <c r="BT558" s="449">
        <f t="shared" si="487"/>
        <v>0</v>
      </c>
    </row>
    <row r="559" spans="1:74" ht="15" x14ac:dyDescent="0.25">
      <c r="A559" s="502" t="s">
        <v>956</v>
      </c>
      <c r="B559" s="502" t="s">
        <v>957</v>
      </c>
      <c r="C559" s="596"/>
      <c r="D559" s="500">
        <f t="shared" si="470"/>
        <v>0</v>
      </c>
      <c r="E559" s="449">
        <v>0</v>
      </c>
      <c r="F559" s="449">
        <f t="shared" si="471"/>
        <v>0</v>
      </c>
      <c r="G559" s="421">
        <f t="shared" si="472"/>
        <v>0</v>
      </c>
      <c r="H559" s="449">
        <v>0</v>
      </c>
      <c r="I559" s="449">
        <f t="shared" si="473"/>
        <v>0</v>
      </c>
      <c r="J559" s="426">
        <f t="shared" si="474"/>
        <v>0</v>
      </c>
      <c r="K559" s="421"/>
      <c r="L559" s="449">
        <v>0</v>
      </c>
      <c r="M559" s="449">
        <v>0</v>
      </c>
      <c r="N559" s="449">
        <v>0</v>
      </c>
      <c r="O559" s="449">
        <v>0</v>
      </c>
      <c r="P559" s="449">
        <v>0</v>
      </c>
      <c r="Q559" s="449">
        <v>0</v>
      </c>
      <c r="R559" s="449">
        <f>($H559-SUM($L559:Q559))/R$694</f>
        <v>0</v>
      </c>
      <c r="S559" s="449">
        <f>($H559-SUM($L559:R559))/S$694</f>
        <v>0</v>
      </c>
      <c r="T559" s="449">
        <f>($H559-SUM($L559:S559))/T$694</f>
        <v>0</v>
      </c>
      <c r="U559" s="449">
        <f>($H559-SUM($L559:T559))/U$694</f>
        <v>0</v>
      </c>
      <c r="V559" s="449">
        <f>($H559-SUM($L559:U559))/V$694</f>
        <v>0</v>
      </c>
      <c r="W559" s="449">
        <f>($H559-SUM($L559:V559))/W$694</f>
        <v>0</v>
      </c>
      <c r="X559" s="449"/>
      <c r="Y559" s="449">
        <f t="shared" si="475"/>
        <v>0</v>
      </c>
      <c r="Z559" s="531"/>
      <c r="AA559" s="449">
        <f t="shared" si="476"/>
        <v>0</v>
      </c>
      <c r="AB559" s="449">
        <f t="shared" si="476"/>
        <v>0</v>
      </c>
      <c r="AC559" s="449">
        <f t="shared" si="476"/>
        <v>0</v>
      </c>
      <c r="AD559" s="449">
        <f t="shared" si="476"/>
        <v>0</v>
      </c>
      <c r="AE559" s="449">
        <f t="shared" si="476"/>
        <v>0</v>
      </c>
      <c r="AF559" s="449">
        <f t="shared" si="476"/>
        <v>0</v>
      </c>
      <c r="AG559" s="449">
        <f t="shared" si="476"/>
        <v>0</v>
      </c>
      <c r="AH559" s="449">
        <f t="shared" si="476"/>
        <v>0</v>
      </c>
      <c r="AI559" s="449">
        <f t="shared" si="476"/>
        <v>0</v>
      </c>
      <c r="AJ559" s="449">
        <f t="shared" si="476"/>
        <v>0</v>
      </c>
      <c r="AK559" s="449">
        <f t="shared" si="476"/>
        <v>0</v>
      </c>
      <c r="AL559" s="449">
        <f t="shared" si="476"/>
        <v>0</v>
      </c>
      <c r="AN559" s="500">
        <f t="shared" si="477"/>
        <v>0</v>
      </c>
      <c r="AO559" s="449">
        <f t="shared" si="478"/>
        <v>0</v>
      </c>
      <c r="AP559" s="449">
        <f t="shared" si="479"/>
        <v>0</v>
      </c>
      <c r="AQ559" s="453" t="str">
        <f t="shared" si="480"/>
        <v>-</v>
      </c>
      <c r="AR559" s="449">
        <f t="shared" si="481"/>
        <v>0</v>
      </c>
      <c r="AS559" s="449">
        <f t="shared" si="482"/>
        <v>0</v>
      </c>
      <c r="AT559" s="426">
        <f t="shared" si="483"/>
        <v>0</v>
      </c>
      <c r="AU559" s="421"/>
      <c r="AV559" s="449">
        <f t="shared" si="484"/>
        <v>0</v>
      </c>
      <c r="AW559" s="449">
        <f t="shared" si="484"/>
        <v>0</v>
      </c>
      <c r="AX559" s="449">
        <f t="shared" si="484"/>
        <v>0</v>
      </c>
      <c r="AY559" s="449">
        <f t="shared" si="484"/>
        <v>0</v>
      </c>
      <c r="AZ559" s="449">
        <f t="shared" si="484"/>
        <v>0</v>
      </c>
      <c r="BA559" s="449">
        <f t="shared" si="484"/>
        <v>0</v>
      </c>
      <c r="BB559" s="449">
        <f t="shared" si="484"/>
        <v>0</v>
      </c>
      <c r="BC559" s="449">
        <f t="shared" si="484"/>
        <v>0</v>
      </c>
      <c r="BD559" s="449">
        <f t="shared" si="484"/>
        <v>0</v>
      </c>
      <c r="BE559" s="449">
        <f t="shared" si="484"/>
        <v>0</v>
      </c>
      <c r="BF559" s="449">
        <f t="shared" si="484"/>
        <v>0</v>
      </c>
      <c r="BG559" s="449">
        <f t="shared" si="484"/>
        <v>0</v>
      </c>
      <c r="BH559" s="400"/>
      <c r="BI559" s="449">
        <f t="shared" si="487"/>
        <v>0</v>
      </c>
      <c r="BJ559" s="449">
        <f t="shared" si="487"/>
        <v>0</v>
      </c>
      <c r="BK559" s="449">
        <f t="shared" si="487"/>
        <v>0</v>
      </c>
      <c r="BL559" s="449">
        <f t="shared" si="487"/>
        <v>0</v>
      </c>
      <c r="BM559" s="449">
        <f t="shared" si="487"/>
        <v>0</v>
      </c>
      <c r="BN559" s="449">
        <f t="shared" si="487"/>
        <v>0</v>
      </c>
      <c r="BO559" s="449">
        <f t="shared" si="487"/>
        <v>0</v>
      </c>
      <c r="BP559" s="449">
        <f t="shared" si="487"/>
        <v>0</v>
      </c>
      <c r="BQ559" s="449">
        <f t="shared" si="487"/>
        <v>0</v>
      </c>
      <c r="BR559" s="449">
        <f t="shared" si="487"/>
        <v>0</v>
      </c>
      <c r="BS559" s="449">
        <f t="shared" si="487"/>
        <v>0</v>
      </c>
      <c r="BT559" s="449">
        <f t="shared" si="487"/>
        <v>0</v>
      </c>
    </row>
    <row r="560" spans="1:74" ht="15" x14ac:dyDescent="0.25">
      <c r="A560" s="502" t="s">
        <v>958</v>
      </c>
      <c r="B560" s="502" t="s">
        <v>959</v>
      </c>
      <c r="C560" s="538"/>
      <c r="D560" s="500">
        <f t="shared" si="470"/>
        <v>0</v>
      </c>
      <c r="E560" s="449">
        <v>0</v>
      </c>
      <c r="F560" s="449">
        <f t="shared" si="471"/>
        <v>0</v>
      </c>
      <c r="G560" s="421">
        <f t="shared" si="472"/>
        <v>0</v>
      </c>
      <c r="H560" s="449">
        <v>0</v>
      </c>
      <c r="I560" s="449">
        <f t="shared" si="473"/>
        <v>0</v>
      </c>
      <c r="J560" s="426">
        <f t="shared" si="474"/>
        <v>0</v>
      </c>
      <c r="K560" s="421"/>
      <c r="L560" s="449">
        <v>0</v>
      </c>
      <c r="M560" s="449">
        <v>0</v>
      </c>
      <c r="N560" s="449">
        <v>0</v>
      </c>
      <c r="O560" s="449">
        <v>0</v>
      </c>
      <c r="P560" s="449">
        <v>0</v>
      </c>
      <c r="Q560" s="449">
        <v>0</v>
      </c>
      <c r="R560" s="449">
        <f>($H560-SUM($L560:Q560))/R$694</f>
        <v>0</v>
      </c>
      <c r="S560" s="449">
        <f>($H560-SUM($L560:R560))/S$694</f>
        <v>0</v>
      </c>
      <c r="T560" s="449">
        <f>($H560-SUM($L560:S560))/T$694</f>
        <v>0</v>
      </c>
      <c r="U560" s="449">
        <f>($H560-SUM($L560:T560))/U$694</f>
        <v>0</v>
      </c>
      <c r="V560" s="449">
        <f>($H560-SUM($L560:U560))/V$694</f>
        <v>0</v>
      </c>
      <c r="W560" s="449">
        <f>($H560-SUM($L560:V560))/W$694</f>
        <v>0</v>
      </c>
      <c r="X560" s="449"/>
      <c r="Y560" s="449">
        <f t="shared" si="475"/>
        <v>0</v>
      </c>
      <c r="Z560" s="501"/>
      <c r="AA560" s="449">
        <f t="shared" si="476"/>
        <v>0</v>
      </c>
      <c r="AB560" s="449">
        <f t="shared" si="476"/>
        <v>0</v>
      </c>
      <c r="AC560" s="449">
        <f t="shared" si="476"/>
        <v>0</v>
      </c>
      <c r="AD560" s="449">
        <f t="shared" si="476"/>
        <v>0</v>
      </c>
      <c r="AE560" s="449">
        <f t="shared" si="476"/>
        <v>0</v>
      </c>
      <c r="AF560" s="449">
        <f t="shared" si="476"/>
        <v>0</v>
      </c>
      <c r="AG560" s="449">
        <f t="shared" si="476"/>
        <v>0</v>
      </c>
      <c r="AH560" s="449">
        <f t="shared" si="476"/>
        <v>0</v>
      </c>
      <c r="AI560" s="449">
        <f t="shared" si="476"/>
        <v>0</v>
      </c>
      <c r="AJ560" s="449">
        <f t="shared" si="476"/>
        <v>0</v>
      </c>
      <c r="AK560" s="449">
        <f t="shared" si="476"/>
        <v>0</v>
      </c>
      <c r="AL560" s="449">
        <f t="shared" si="476"/>
        <v>0</v>
      </c>
      <c r="AN560" s="500">
        <f t="shared" si="477"/>
        <v>0</v>
      </c>
      <c r="AO560" s="449">
        <f t="shared" si="478"/>
        <v>0</v>
      </c>
      <c r="AP560" s="449">
        <f t="shared" si="479"/>
        <v>0</v>
      </c>
      <c r="AQ560" s="453" t="str">
        <f t="shared" si="480"/>
        <v>-</v>
      </c>
      <c r="AR560" s="449">
        <f t="shared" si="481"/>
        <v>0</v>
      </c>
      <c r="AS560" s="449">
        <f t="shared" si="482"/>
        <v>0</v>
      </c>
      <c r="AT560" s="426">
        <f t="shared" si="483"/>
        <v>0</v>
      </c>
      <c r="AU560" s="421"/>
      <c r="AV560" s="449">
        <f t="shared" si="484"/>
        <v>0</v>
      </c>
      <c r="AW560" s="449">
        <f t="shared" si="484"/>
        <v>0</v>
      </c>
      <c r="AX560" s="449">
        <f t="shared" si="484"/>
        <v>0</v>
      </c>
      <c r="AY560" s="449">
        <f t="shared" si="484"/>
        <v>0</v>
      </c>
      <c r="AZ560" s="449">
        <f t="shared" si="484"/>
        <v>0</v>
      </c>
      <c r="BA560" s="449">
        <f t="shared" si="484"/>
        <v>0</v>
      </c>
      <c r="BB560" s="449">
        <f t="shared" si="484"/>
        <v>0</v>
      </c>
      <c r="BC560" s="449">
        <f t="shared" si="484"/>
        <v>0</v>
      </c>
      <c r="BD560" s="449">
        <f t="shared" si="484"/>
        <v>0</v>
      </c>
      <c r="BE560" s="449">
        <f t="shared" si="484"/>
        <v>0</v>
      </c>
      <c r="BF560" s="449">
        <f t="shared" si="484"/>
        <v>0</v>
      </c>
      <c r="BG560" s="449">
        <f t="shared" si="484"/>
        <v>0</v>
      </c>
      <c r="BH560" s="400"/>
      <c r="BI560" s="449">
        <f t="shared" si="487"/>
        <v>0</v>
      </c>
      <c r="BJ560" s="449">
        <f t="shared" si="487"/>
        <v>0</v>
      </c>
      <c r="BK560" s="449">
        <f t="shared" si="487"/>
        <v>0</v>
      </c>
      <c r="BL560" s="449">
        <f t="shared" si="487"/>
        <v>0</v>
      </c>
      <c r="BM560" s="449">
        <f t="shared" si="487"/>
        <v>0</v>
      </c>
      <c r="BN560" s="449">
        <f t="shared" si="487"/>
        <v>0</v>
      </c>
      <c r="BO560" s="449">
        <f t="shared" si="487"/>
        <v>0</v>
      </c>
      <c r="BP560" s="449">
        <f t="shared" si="487"/>
        <v>0</v>
      </c>
      <c r="BQ560" s="449">
        <f t="shared" si="487"/>
        <v>0</v>
      </c>
      <c r="BR560" s="449">
        <f t="shared" si="487"/>
        <v>0</v>
      </c>
      <c r="BS560" s="449">
        <f t="shared" si="487"/>
        <v>0</v>
      </c>
      <c r="BT560" s="449">
        <f t="shared" si="487"/>
        <v>0</v>
      </c>
    </row>
    <row r="561" spans="1:74" ht="15" x14ac:dyDescent="0.25">
      <c r="A561" s="502" t="s">
        <v>960</v>
      </c>
      <c r="B561" s="502" t="s">
        <v>961</v>
      </c>
      <c r="C561" s="542"/>
      <c r="D561" s="500">
        <f t="shared" si="470"/>
        <v>115000</v>
      </c>
      <c r="E561" s="449">
        <v>115000</v>
      </c>
      <c r="F561" s="449">
        <f t="shared" si="471"/>
        <v>0</v>
      </c>
      <c r="G561" s="421">
        <f t="shared" si="472"/>
        <v>0</v>
      </c>
      <c r="H561" s="449">
        <v>115000</v>
      </c>
      <c r="I561" s="449">
        <f t="shared" si="473"/>
        <v>0</v>
      </c>
      <c r="J561" s="426">
        <f t="shared" si="474"/>
        <v>0</v>
      </c>
      <c r="K561" s="421"/>
      <c r="L561" s="449">
        <v>0</v>
      </c>
      <c r="M561" s="449">
        <v>0</v>
      </c>
      <c r="N561" s="449">
        <v>0</v>
      </c>
      <c r="O561" s="449">
        <v>0</v>
      </c>
      <c r="P561" s="449">
        <v>0</v>
      </c>
      <c r="Q561" s="449">
        <v>0</v>
      </c>
      <c r="R561" s="449">
        <f>($H561-SUM($L561:Q561))/R$694</f>
        <v>19166.666666666668</v>
      </c>
      <c r="S561" s="449">
        <f>($H561-SUM($L561:R561))/S$694</f>
        <v>19166.666666666664</v>
      </c>
      <c r="T561" s="449">
        <f>($H561-SUM($L561:S561))/T$694</f>
        <v>19166.666666666668</v>
      </c>
      <c r="U561" s="449">
        <f>($H561-SUM($L561:T561))/U$694</f>
        <v>19166.666666666668</v>
      </c>
      <c r="V561" s="449">
        <f>($H561-SUM($L561:U561))/V$694</f>
        <v>19166.666666666664</v>
      </c>
      <c r="W561" s="449">
        <f>($H561-SUM($L561:V561))/W$694</f>
        <v>19166.666666666657</v>
      </c>
      <c r="X561" s="449"/>
      <c r="Y561" s="449">
        <f t="shared" si="475"/>
        <v>115000</v>
      </c>
      <c r="Z561" s="501"/>
      <c r="AA561" s="449">
        <f t="shared" si="476"/>
        <v>9583.3333333333339</v>
      </c>
      <c r="AB561" s="449">
        <f t="shared" si="476"/>
        <v>9583.3333333333339</v>
      </c>
      <c r="AC561" s="449">
        <f t="shared" si="476"/>
        <v>9583.3333333333339</v>
      </c>
      <c r="AD561" s="449">
        <f t="shared" si="476"/>
        <v>9583.3333333333339</v>
      </c>
      <c r="AE561" s="449">
        <f t="shared" si="476"/>
        <v>9583.3333333333339</v>
      </c>
      <c r="AF561" s="449">
        <f t="shared" si="476"/>
        <v>9583.3333333333339</v>
      </c>
      <c r="AG561" s="449">
        <f t="shared" si="476"/>
        <v>9583.3333333333339</v>
      </c>
      <c r="AH561" s="449">
        <f t="shared" si="476"/>
        <v>9583.3333333333339</v>
      </c>
      <c r="AI561" s="449">
        <f t="shared" si="476"/>
        <v>9583.3333333333339</v>
      </c>
      <c r="AJ561" s="449">
        <f t="shared" si="476"/>
        <v>9583.3333333333339</v>
      </c>
      <c r="AK561" s="449">
        <f t="shared" si="476"/>
        <v>9583.3333333333339</v>
      </c>
      <c r="AL561" s="449">
        <f t="shared" si="476"/>
        <v>9583.3333333333339</v>
      </c>
      <c r="AN561" s="500">
        <f t="shared" si="477"/>
        <v>115000</v>
      </c>
      <c r="AO561" s="449">
        <f t="shared" si="478"/>
        <v>12149.763040808028</v>
      </c>
      <c r="AP561" s="449">
        <f t="shared" si="479"/>
        <v>-102850.23695919197</v>
      </c>
      <c r="AQ561" s="453">
        <f t="shared" si="480"/>
        <v>-0.89434988660166936</v>
      </c>
      <c r="AR561" s="449">
        <f t="shared" si="481"/>
        <v>12149.763040808028</v>
      </c>
      <c r="AS561" s="449">
        <f t="shared" si="482"/>
        <v>0</v>
      </c>
      <c r="AT561" s="426">
        <f t="shared" si="483"/>
        <v>0</v>
      </c>
      <c r="AU561" s="421"/>
      <c r="AV561" s="449">
        <f t="shared" si="484"/>
        <v>1012.4802534006691</v>
      </c>
      <c r="AW561" s="449">
        <f t="shared" si="484"/>
        <v>1012.4802534006691</v>
      </c>
      <c r="AX561" s="449">
        <f t="shared" si="484"/>
        <v>1012.4802534006691</v>
      </c>
      <c r="AY561" s="449">
        <f t="shared" si="484"/>
        <v>1012.4802534006691</v>
      </c>
      <c r="AZ561" s="449">
        <f t="shared" si="484"/>
        <v>1012.4802534006691</v>
      </c>
      <c r="BA561" s="449">
        <f t="shared" si="484"/>
        <v>1012.4802534006691</v>
      </c>
      <c r="BB561" s="449">
        <f t="shared" si="484"/>
        <v>1012.4802534006691</v>
      </c>
      <c r="BC561" s="449">
        <f t="shared" si="484"/>
        <v>1012.4802534006691</v>
      </c>
      <c r="BD561" s="449">
        <f t="shared" si="484"/>
        <v>1012.4802534006691</v>
      </c>
      <c r="BE561" s="449">
        <f t="shared" si="484"/>
        <v>1012.4802534006691</v>
      </c>
      <c r="BF561" s="449">
        <f t="shared" si="484"/>
        <v>1012.4802534006691</v>
      </c>
      <c r="BG561" s="449">
        <f t="shared" si="484"/>
        <v>1012.4802534006691</v>
      </c>
      <c r="BH561" s="400"/>
      <c r="BI561" s="449">
        <f t="shared" ref="BI561:BT561" si="488">+$AN731/12</f>
        <v>1012.4802534006691</v>
      </c>
      <c r="BJ561" s="449">
        <f t="shared" si="488"/>
        <v>1012.4802534006691</v>
      </c>
      <c r="BK561" s="449">
        <f t="shared" si="488"/>
        <v>1012.4802534006691</v>
      </c>
      <c r="BL561" s="449">
        <f t="shared" si="488"/>
        <v>1012.4802534006691</v>
      </c>
      <c r="BM561" s="449">
        <f t="shared" si="488"/>
        <v>1012.4802534006691</v>
      </c>
      <c r="BN561" s="449">
        <f t="shared" si="488"/>
        <v>1012.4802534006691</v>
      </c>
      <c r="BO561" s="449">
        <f t="shared" si="488"/>
        <v>1012.4802534006691</v>
      </c>
      <c r="BP561" s="449">
        <f t="shared" si="488"/>
        <v>1012.4802534006691</v>
      </c>
      <c r="BQ561" s="449">
        <f t="shared" si="488"/>
        <v>1012.4802534006691</v>
      </c>
      <c r="BR561" s="449">
        <f t="shared" si="488"/>
        <v>1012.4802534006691</v>
      </c>
      <c r="BS561" s="449">
        <f t="shared" si="488"/>
        <v>1012.4802534006691</v>
      </c>
      <c r="BT561" s="449">
        <f t="shared" si="488"/>
        <v>1012.4802534006691</v>
      </c>
    </row>
    <row r="562" spans="1:74" ht="15" hidden="1" x14ac:dyDescent="0.25">
      <c r="A562" s="502" t="s">
        <v>962</v>
      </c>
      <c r="B562" s="502" t="s">
        <v>963</v>
      </c>
      <c r="C562" s="543"/>
      <c r="D562" s="500"/>
      <c r="E562" s="449">
        <v>0</v>
      </c>
      <c r="F562" s="449"/>
      <c r="G562" s="421"/>
      <c r="H562" s="449">
        <v>0</v>
      </c>
      <c r="I562" s="449"/>
      <c r="J562" s="426"/>
      <c r="K562" s="421"/>
      <c r="L562" s="449"/>
      <c r="M562" s="449"/>
      <c r="N562" s="449"/>
      <c r="O562" s="449"/>
      <c r="P562" s="449"/>
      <c r="Q562" s="449"/>
      <c r="R562" s="449"/>
      <c r="S562" s="449"/>
      <c r="T562" s="449"/>
      <c r="U562" s="449"/>
      <c r="V562" s="449"/>
      <c r="W562" s="449"/>
      <c r="X562" s="449"/>
      <c r="Y562" s="449">
        <v>0</v>
      </c>
      <c r="Z562" s="501"/>
      <c r="AA562" s="449"/>
      <c r="AB562" s="449"/>
      <c r="AC562" s="449"/>
      <c r="AD562" s="449"/>
      <c r="AE562" s="449"/>
      <c r="AF562" s="449"/>
      <c r="AG562" s="449"/>
      <c r="AH562" s="449"/>
      <c r="AI562" s="449"/>
      <c r="AJ562" s="449"/>
      <c r="AK562" s="449"/>
      <c r="AL562" s="449"/>
      <c r="AN562" s="500"/>
      <c r="AO562" s="449"/>
      <c r="AP562" s="449"/>
      <c r="AQ562" s="453"/>
      <c r="AR562" s="449">
        <f t="shared" si="481"/>
        <v>0</v>
      </c>
      <c r="AS562" s="449"/>
      <c r="AT562" s="426"/>
      <c r="AU562" s="421"/>
      <c r="AV562" s="449"/>
      <c r="AW562" s="449"/>
      <c r="AX562" s="449"/>
      <c r="AY562" s="449"/>
      <c r="AZ562" s="449"/>
      <c r="BA562" s="449"/>
      <c r="BB562" s="449"/>
      <c r="BC562" s="449"/>
      <c r="BD562" s="449"/>
      <c r="BE562" s="449"/>
      <c r="BF562" s="449"/>
      <c r="BG562" s="449"/>
      <c r="BH562" s="501"/>
      <c r="BI562" s="449"/>
      <c r="BJ562" s="449"/>
      <c r="BK562" s="449"/>
      <c r="BL562" s="449"/>
      <c r="BM562" s="449"/>
      <c r="BN562" s="449"/>
      <c r="BO562" s="449"/>
      <c r="BP562" s="449"/>
      <c r="BQ562" s="449"/>
      <c r="BR562" s="449"/>
      <c r="BS562" s="449"/>
      <c r="BT562" s="449"/>
    </row>
    <row r="563" spans="1:74" ht="15" x14ac:dyDescent="0.25">
      <c r="A563" s="502"/>
      <c r="B563" s="502"/>
      <c r="C563" s="543"/>
      <c r="D563" s="500"/>
      <c r="E563" s="449"/>
      <c r="F563" s="449"/>
      <c r="G563" s="421"/>
      <c r="H563" s="449"/>
      <c r="I563" s="449"/>
      <c r="J563" s="426"/>
      <c r="K563" s="421"/>
      <c r="L563" s="449"/>
      <c r="M563" s="449"/>
      <c r="N563" s="449"/>
      <c r="O563" s="449"/>
      <c r="P563" s="449"/>
      <c r="Q563" s="449"/>
      <c r="R563" s="449"/>
      <c r="S563" s="449"/>
      <c r="T563" s="449"/>
      <c r="U563" s="449"/>
      <c r="V563" s="449"/>
      <c r="W563" s="449"/>
      <c r="X563" s="449"/>
      <c r="Y563" s="449"/>
      <c r="Z563" s="501"/>
      <c r="AA563" s="449"/>
      <c r="AB563" s="449"/>
      <c r="AC563" s="449"/>
      <c r="AD563" s="449"/>
      <c r="AE563" s="449"/>
      <c r="AF563" s="449"/>
      <c r="AG563" s="449"/>
      <c r="AH563" s="449"/>
      <c r="AI563" s="449"/>
      <c r="AJ563" s="449"/>
      <c r="AK563" s="449"/>
      <c r="AL563" s="449"/>
      <c r="AN563" s="500"/>
      <c r="AO563" s="449"/>
      <c r="AP563" s="449"/>
      <c r="AQ563" s="453"/>
      <c r="AR563" s="449"/>
      <c r="AS563" s="449"/>
      <c r="AT563" s="426"/>
      <c r="AU563" s="421"/>
      <c r="AV563" s="449"/>
      <c r="AW563" s="449"/>
      <c r="AX563" s="449"/>
      <c r="AY563" s="449"/>
      <c r="AZ563" s="449"/>
      <c r="BA563" s="449"/>
      <c r="BB563" s="449"/>
      <c r="BC563" s="449"/>
      <c r="BD563" s="449"/>
      <c r="BE563" s="449"/>
      <c r="BF563" s="449"/>
      <c r="BG563" s="449"/>
      <c r="BH563" s="501"/>
      <c r="BI563" s="449"/>
      <c r="BJ563" s="449"/>
      <c r="BK563" s="449"/>
      <c r="BL563" s="449"/>
      <c r="BM563" s="449"/>
      <c r="BN563" s="449"/>
      <c r="BO563" s="449"/>
      <c r="BP563" s="449"/>
      <c r="BQ563" s="449"/>
      <c r="BR563" s="449"/>
      <c r="BS563" s="449"/>
      <c r="BT563" s="449"/>
    </row>
    <row r="564" spans="1:74" s="536" customFormat="1" ht="15.75" thickBot="1" x14ac:dyDescent="0.3">
      <c r="A564" s="524"/>
      <c r="B564" s="524" t="s">
        <v>964</v>
      </c>
      <c r="C564" s="544"/>
      <c r="D564" s="532">
        <f>SUM(D551:D563)</f>
        <v>511053</v>
      </c>
      <c r="E564" s="533">
        <f>SUM(E551:E563)</f>
        <v>590562.38244999992</v>
      </c>
      <c r="F564" s="533">
        <f>IFERROR(D564-E564,0)</f>
        <v>-79509.382449999917</v>
      </c>
      <c r="G564" s="520">
        <f>IFERROR(F564/ABS(E564),0)</f>
        <v>-0.13463333394204396</v>
      </c>
      <c r="H564" s="533">
        <f>SUM(H551:H563)</f>
        <v>511053</v>
      </c>
      <c r="I564" s="533">
        <f>IFERROR(D564-H564,0)</f>
        <v>0</v>
      </c>
      <c r="J564" s="521">
        <f>IFERROR(I564/ABS(H564),0)</f>
        <v>0</v>
      </c>
      <c r="K564" s="507"/>
      <c r="L564" s="533">
        <f>SUM(L551:L563)</f>
        <v>6272</v>
      </c>
      <c r="M564" s="533">
        <f t="shared" ref="M564:W564" si="489">SUM(M551:M563)</f>
        <v>104506.86</v>
      </c>
      <c r="N564" s="533">
        <f t="shared" si="489"/>
        <v>6053</v>
      </c>
      <c r="O564" s="533">
        <f t="shared" si="489"/>
        <v>0</v>
      </c>
      <c r="P564" s="533">
        <f t="shared" si="489"/>
        <v>11244.990000000005</v>
      </c>
      <c r="Q564" s="533">
        <f t="shared" si="489"/>
        <v>-11244.990000000005</v>
      </c>
      <c r="R564" s="533">
        <f t="shared" si="489"/>
        <v>65703.523333333345</v>
      </c>
      <c r="S564" s="533">
        <f t="shared" si="489"/>
        <v>65703.523333333331</v>
      </c>
      <c r="T564" s="533">
        <f t="shared" si="489"/>
        <v>65703.523333333331</v>
      </c>
      <c r="U564" s="533">
        <f t="shared" si="489"/>
        <v>65703.523333333345</v>
      </c>
      <c r="V564" s="533">
        <f t="shared" si="489"/>
        <v>65703.523333333345</v>
      </c>
      <c r="W564" s="533">
        <f t="shared" si="489"/>
        <v>65703.523333333316</v>
      </c>
      <c r="X564" s="533"/>
      <c r="Y564" s="533">
        <f>SUM(L564:W564)</f>
        <v>511053</v>
      </c>
      <c r="Z564" s="508"/>
      <c r="AA564" s="533">
        <f t="shared" ref="AA564:AL564" si="490">SUM(AA551:AA563)</f>
        <v>42587.75</v>
      </c>
      <c r="AB564" s="533">
        <f t="shared" si="490"/>
        <v>42587.75</v>
      </c>
      <c r="AC564" s="533">
        <f t="shared" si="490"/>
        <v>42587.75</v>
      </c>
      <c r="AD564" s="533">
        <f t="shared" si="490"/>
        <v>42587.75</v>
      </c>
      <c r="AE564" s="533">
        <f t="shared" si="490"/>
        <v>42587.75</v>
      </c>
      <c r="AF564" s="533">
        <f t="shared" si="490"/>
        <v>42587.75</v>
      </c>
      <c r="AG564" s="533">
        <f t="shared" si="490"/>
        <v>42587.75</v>
      </c>
      <c r="AH564" s="533">
        <f t="shared" si="490"/>
        <v>42587.75</v>
      </c>
      <c r="AI564" s="533">
        <f t="shared" si="490"/>
        <v>42587.75</v>
      </c>
      <c r="AJ564" s="533">
        <f t="shared" si="490"/>
        <v>42587.75</v>
      </c>
      <c r="AK564" s="533">
        <f t="shared" si="490"/>
        <v>42587.75</v>
      </c>
      <c r="AL564" s="533">
        <f t="shared" si="490"/>
        <v>42587.75</v>
      </c>
      <c r="AN564" s="532">
        <f>SUM(AN551:AN563)</f>
        <v>511053</v>
      </c>
      <c r="AO564" s="533">
        <f>SUM(AO551:AO563)</f>
        <v>270225.54441080801</v>
      </c>
      <c r="AP564" s="533">
        <f>IFERROR(AO564-AN564,0)</f>
        <v>-240827.45558919199</v>
      </c>
      <c r="AQ564" s="523">
        <f>IFERROR(AP564/ABS(AN564),"-")</f>
        <v>-0.47123772992075574</v>
      </c>
      <c r="AR564" s="533">
        <f>SUM(AR551:AR563)</f>
        <v>270225.54441080801</v>
      </c>
      <c r="AS564" s="533">
        <f>IFERROR(AO564-AR564,0)</f>
        <v>0</v>
      </c>
      <c r="AT564" s="521">
        <f>IFERROR(AS564/ABS(AR564),0)</f>
        <v>0</v>
      </c>
      <c r="AU564" s="507"/>
      <c r="AV564" s="533">
        <f>SUM(AV551:AV563)</f>
        <v>102585.923586734</v>
      </c>
      <c r="AW564" s="533">
        <f t="shared" ref="AW564:BG564" si="491">SUM(AW551:AW563)</f>
        <v>2095.8135867340025</v>
      </c>
      <c r="AX564" s="533">
        <f t="shared" si="491"/>
        <v>2095.8135867340025</v>
      </c>
      <c r="AY564" s="533">
        <f t="shared" si="491"/>
        <v>2095.8135867340025</v>
      </c>
      <c r="AZ564" s="533">
        <f t="shared" si="491"/>
        <v>2095.8135867340025</v>
      </c>
      <c r="BA564" s="533">
        <f t="shared" si="491"/>
        <v>2095.8135867340025</v>
      </c>
      <c r="BB564" s="533">
        <f t="shared" si="491"/>
        <v>102585.923586734</v>
      </c>
      <c r="BC564" s="533">
        <f t="shared" si="491"/>
        <v>2095.8135867340025</v>
      </c>
      <c r="BD564" s="533">
        <f t="shared" si="491"/>
        <v>2095.8135867340025</v>
      </c>
      <c r="BE564" s="533">
        <f t="shared" si="491"/>
        <v>2095.8135867340025</v>
      </c>
      <c r="BF564" s="533">
        <f t="shared" si="491"/>
        <v>2095.8135867340025</v>
      </c>
      <c r="BG564" s="533">
        <f t="shared" si="491"/>
        <v>46191.374956734006</v>
      </c>
      <c r="BH564" s="508"/>
      <c r="BI564" s="533">
        <f t="shared" ref="BI564:BT564" si="492">SUM(BI551:BI563)</f>
        <v>102585.923586734</v>
      </c>
      <c r="BJ564" s="533">
        <f t="shared" si="492"/>
        <v>2095.8135867340025</v>
      </c>
      <c r="BK564" s="533">
        <f t="shared" si="492"/>
        <v>2095.8135867340025</v>
      </c>
      <c r="BL564" s="533">
        <f t="shared" si="492"/>
        <v>2095.8135867340025</v>
      </c>
      <c r="BM564" s="533">
        <f t="shared" si="492"/>
        <v>2095.8135867340025</v>
      </c>
      <c r="BN564" s="533">
        <f t="shared" si="492"/>
        <v>2095.8135867340025</v>
      </c>
      <c r="BO564" s="533">
        <f t="shared" si="492"/>
        <v>102585.923586734</v>
      </c>
      <c r="BP564" s="533">
        <f t="shared" si="492"/>
        <v>2095.8135867340025</v>
      </c>
      <c r="BQ564" s="533">
        <f t="shared" si="492"/>
        <v>2095.8135867340025</v>
      </c>
      <c r="BR564" s="533">
        <f t="shared" si="492"/>
        <v>2095.8135867340025</v>
      </c>
      <c r="BS564" s="533">
        <f t="shared" si="492"/>
        <v>2095.8135867340025</v>
      </c>
      <c r="BT564" s="533">
        <f t="shared" si="492"/>
        <v>46191.374956734006</v>
      </c>
      <c r="BV564" s="400"/>
    </row>
    <row r="565" spans="1:74" ht="15.75" thickTop="1" x14ac:dyDescent="0.25">
      <c r="A565" s="502"/>
      <c r="B565" s="502"/>
      <c r="C565" s="543"/>
      <c r="D565" s="500"/>
      <c r="E565" s="449"/>
      <c r="F565" s="449"/>
      <c r="G565" s="421"/>
      <c r="H565" s="449"/>
      <c r="I565" s="449"/>
      <c r="J565" s="426"/>
      <c r="K565" s="421"/>
      <c r="L565" s="449"/>
      <c r="M565" s="449"/>
      <c r="N565" s="449"/>
      <c r="O565" s="449"/>
      <c r="P565" s="449"/>
      <c r="Q565" s="449"/>
      <c r="R565" s="449"/>
      <c r="S565" s="449"/>
      <c r="T565" s="449"/>
      <c r="U565" s="449"/>
      <c r="V565" s="449"/>
      <c r="W565" s="449"/>
      <c r="X565" s="449"/>
      <c r="Y565" s="449"/>
      <c r="Z565" s="501"/>
      <c r="AA565" s="449"/>
      <c r="AB565" s="449"/>
      <c r="AC565" s="449"/>
      <c r="AD565" s="449"/>
      <c r="AE565" s="449"/>
      <c r="AF565" s="449"/>
      <c r="AG565" s="449"/>
      <c r="AH565" s="449"/>
      <c r="AI565" s="449"/>
      <c r="AJ565" s="449"/>
      <c r="AK565" s="449"/>
      <c r="AL565" s="449"/>
      <c r="AN565" s="500"/>
      <c r="AO565" s="449"/>
      <c r="AP565" s="449"/>
      <c r="AQ565" s="453"/>
      <c r="AR565" s="449"/>
      <c r="AS565" s="449"/>
      <c r="AT565" s="426"/>
      <c r="AU565" s="421"/>
      <c r="AV565" s="449"/>
      <c r="AW565" s="449"/>
      <c r="AX565" s="449"/>
      <c r="AY565" s="449"/>
      <c r="AZ565" s="449"/>
      <c r="BA565" s="449"/>
      <c r="BB565" s="449"/>
      <c r="BC565" s="449"/>
      <c r="BD565" s="449"/>
      <c r="BE565" s="449"/>
      <c r="BF565" s="449"/>
      <c r="BG565" s="449"/>
      <c r="BH565" s="501"/>
      <c r="BI565" s="449"/>
      <c r="BJ565" s="449"/>
      <c r="BK565" s="449"/>
      <c r="BL565" s="449"/>
      <c r="BM565" s="449"/>
      <c r="BN565" s="449"/>
      <c r="BO565" s="449"/>
      <c r="BP565" s="449"/>
      <c r="BQ565" s="449"/>
      <c r="BR565" s="449"/>
      <c r="BS565" s="449"/>
      <c r="BT565" s="449"/>
    </row>
    <row r="566" spans="1:74" s="536" customFormat="1" ht="15.75" thickBot="1" x14ac:dyDescent="0.3">
      <c r="A566" s="804" t="s">
        <v>965</v>
      </c>
      <c r="B566" s="804"/>
      <c r="C566" s="544"/>
      <c r="D566" s="532">
        <f>+D90+D120+D242+D264+D331+D360+D366+D374+D382+D457+D473+D527+D547+D564+D143</f>
        <v>10267173.91</v>
      </c>
      <c r="E566" s="533">
        <f>+E90+E120+E242+E264+E331+E360+E366+E374+E382+E457+E473+E527+E547+E564+E143</f>
        <v>10090214.061573999</v>
      </c>
      <c r="F566" s="533">
        <f>IFERROR(D566-E566,0)</f>
        <v>176959.84842600115</v>
      </c>
      <c r="G566" s="520">
        <f>IFERROR(F566/ABS(E566),0)</f>
        <v>1.7537769500838192E-2</v>
      </c>
      <c r="H566" s="533">
        <f>+H90+H120+H242+H264+H331+H360+H366+H374+H382+H457+H473+H527+H547+H564+H143</f>
        <v>10092062.030000001</v>
      </c>
      <c r="I566" s="533">
        <f>IFERROR(D566-H566,0)</f>
        <v>175111.87999999896</v>
      </c>
      <c r="J566" s="521">
        <f>IFERROR(I566/ABS(H566),0)</f>
        <v>1.735144705605807E-2</v>
      </c>
      <c r="K566" s="507"/>
      <c r="L566" s="533">
        <f t="shared" ref="L566:W566" si="493">+L90+L120+L242+L264+L331+L360+L366+L374+L382+L457+L473+L527+L547+L564+L143</f>
        <v>567894.82999999984</v>
      </c>
      <c r="M566" s="533">
        <f t="shared" si="493"/>
        <v>991256.66</v>
      </c>
      <c r="N566" s="533">
        <f t="shared" si="493"/>
        <v>692636.81000000017</v>
      </c>
      <c r="O566" s="533">
        <f t="shared" si="493"/>
        <v>896332.71</v>
      </c>
      <c r="P566" s="533">
        <f t="shared" si="493"/>
        <v>677247.11</v>
      </c>
      <c r="Q566" s="533">
        <f t="shared" si="493"/>
        <v>747331.85000000009</v>
      </c>
      <c r="R566" s="533">
        <f t="shared" si="493"/>
        <v>949078.99000000011</v>
      </c>
      <c r="S566" s="533">
        <f t="shared" si="493"/>
        <v>949078.99000000022</v>
      </c>
      <c r="T566" s="533">
        <f t="shared" si="493"/>
        <v>949078.99000000022</v>
      </c>
      <c r="U566" s="533">
        <f t="shared" si="493"/>
        <v>949078.99000000011</v>
      </c>
      <c r="V566" s="533">
        <f t="shared" si="493"/>
        <v>949078.99000000011</v>
      </c>
      <c r="W566" s="533">
        <f t="shared" si="493"/>
        <v>949078.99000000011</v>
      </c>
      <c r="X566" s="533"/>
      <c r="Y566" s="533">
        <f>+Y90+Y120+Y242+Y264+Y331+Y360+Y366+Y374+Y382+Y457+Y473+Y527+Y547+Y564+Y143</f>
        <v>10267173.910000002</v>
      </c>
      <c r="Z566" s="508"/>
      <c r="AA566" s="533">
        <f t="shared" ref="AA566:AL566" si="494">+AA90+AA120+AA242+AA264+AA331+AA360+AA366+AA374+AA382+AA457+AA473+AA527+AA547+AA564+AA143</f>
        <v>841005.1691666668</v>
      </c>
      <c r="AB566" s="533">
        <f t="shared" si="494"/>
        <v>841005.1691666668</v>
      </c>
      <c r="AC566" s="533">
        <f t="shared" si="494"/>
        <v>841005.1691666668</v>
      </c>
      <c r="AD566" s="533">
        <f t="shared" si="494"/>
        <v>841005.1691666668</v>
      </c>
      <c r="AE566" s="533">
        <f t="shared" si="494"/>
        <v>841005.1691666668</v>
      </c>
      <c r="AF566" s="533">
        <f t="shared" si="494"/>
        <v>841005.1691666668</v>
      </c>
      <c r="AG566" s="533">
        <f t="shared" si="494"/>
        <v>841005.1691666668</v>
      </c>
      <c r="AH566" s="533">
        <f t="shared" si="494"/>
        <v>841005.1691666668</v>
      </c>
      <c r="AI566" s="533">
        <f t="shared" si="494"/>
        <v>841005.1691666668</v>
      </c>
      <c r="AJ566" s="533">
        <f t="shared" si="494"/>
        <v>841005.1691666668</v>
      </c>
      <c r="AK566" s="533">
        <f t="shared" si="494"/>
        <v>841005.1691666668</v>
      </c>
      <c r="AL566" s="533">
        <f t="shared" si="494"/>
        <v>841005.1691666668</v>
      </c>
      <c r="AN566" s="532">
        <f>+AN90+AN120+AN242+AN264+AN331+AN360+AN366+AN374+AN382+AN457+AN473+AN527+AN547+AN564+AN143</f>
        <v>10267173.91</v>
      </c>
      <c r="AO566" s="533">
        <f>+AO90+AO120+AO242+AO264+AO331+AO360+AO366+AO374+AO382+AO457+AO473+AO527+AO547+AO564+AO143</f>
        <v>11098553.924192082</v>
      </c>
      <c r="AP566" s="533">
        <f>IFERROR(AO566-AN566,0)</f>
        <v>831380.01419208199</v>
      </c>
      <c r="AQ566" s="523">
        <f>IFERROR(AP566/ABS(AN566),"-")</f>
        <v>8.0974572114955248E-2</v>
      </c>
      <c r="AR566" s="533">
        <f>+AR90+AR120+AR242+AR264+AR331+AR360+AR366+AR374+AR382+AR457+AR473+AR527+AR547+AR564+AR143</f>
        <v>11098553.924192082</v>
      </c>
      <c r="AS566" s="533">
        <f>IFERROR(AO566-AR566,0)</f>
        <v>0</v>
      </c>
      <c r="AT566" s="521">
        <f>IFERROR(AS566/ABS(AR566),0)</f>
        <v>0</v>
      </c>
      <c r="AU566" s="507"/>
      <c r="AV566" s="533">
        <f t="shared" ref="AV566:BG566" si="495">+AV90+AV120+AV242+AV264+AV331+AV360+AV366+AV374+AV382+AV457+AV473+AV527+AV547+AV564+AV143</f>
        <v>730649.39739810245</v>
      </c>
      <c r="AW566" s="533">
        <f t="shared" si="495"/>
        <v>909039.19337753637</v>
      </c>
      <c r="AX566" s="533">
        <f t="shared" si="495"/>
        <v>899684.4485606167</v>
      </c>
      <c r="AY566" s="533">
        <f t="shared" si="495"/>
        <v>1159403.9485606167</v>
      </c>
      <c r="AZ566" s="533">
        <f t="shared" si="495"/>
        <v>899684.4485606167</v>
      </c>
      <c r="BA566" s="533">
        <f t="shared" si="495"/>
        <v>857772.55393357517</v>
      </c>
      <c r="BB566" s="533">
        <f t="shared" si="495"/>
        <v>958262.66393357515</v>
      </c>
      <c r="BC566" s="533">
        <f t="shared" si="495"/>
        <v>857772.55393357517</v>
      </c>
      <c r="BD566" s="533">
        <f t="shared" si="495"/>
        <v>857772.55393357517</v>
      </c>
      <c r="BE566" s="533">
        <f t="shared" si="495"/>
        <v>904492.05393357505</v>
      </c>
      <c r="BF566" s="533">
        <f t="shared" si="495"/>
        <v>857772.55393357517</v>
      </c>
      <c r="BG566" s="533">
        <f t="shared" si="495"/>
        <v>1206247.5541331414</v>
      </c>
      <c r="BH566" s="508"/>
      <c r="BI566" s="533">
        <f t="shared" ref="BI566:BT566" si="496">+BI90+BI120+BI242+BI264+BI331+BI360+BI366+BI374+BI382+BI457+BI473+BI527+BI547+BI564+BI143</f>
        <v>730649.39739810245</v>
      </c>
      <c r="BJ566" s="533">
        <f t="shared" si="496"/>
        <v>909039.19337753637</v>
      </c>
      <c r="BK566" s="533">
        <f t="shared" si="496"/>
        <v>899684.4485606167</v>
      </c>
      <c r="BL566" s="533">
        <f t="shared" si="496"/>
        <v>1159403.9485606167</v>
      </c>
      <c r="BM566" s="533">
        <f t="shared" si="496"/>
        <v>899684.4485606167</v>
      </c>
      <c r="BN566" s="533">
        <f t="shared" si="496"/>
        <v>857772.55393357517</v>
      </c>
      <c r="BO566" s="533">
        <f t="shared" si="496"/>
        <v>958262.66393357515</v>
      </c>
      <c r="BP566" s="533">
        <f t="shared" si="496"/>
        <v>857772.55393357517</v>
      </c>
      <c r="BQ566" s="533">
        <f t="shared" si="496"/>
        <v>857772.55393357517</v>
      </c>
      <c r="BR566" s="533">
        <f t="shared" si="496"/>
        <v>904492.05393357505</v>
      </c>
      <c r="BS566" s="533">
        <f t="shared" si="496"/>
        <v>857772.55393357517</v>
      </c>
      <c r="BT566" s="533">
        <f t="shared" si="496"/>
        <v>1206247.5541331414</v>
      </c>
      <c r="BV566" s="400"/>
    </row>
    <row r="567" spans="1:74" ht="15.75" thickTop="1" x14ac:dyDescent="0.25">
      <c r="A567" s="502"/>
      <c r="B567" s="605"/>
      <c r="C567" s="543"/>
      <c r="D567" s="500"/>
      <c r="E567" s="449"/>
      <c r="F567" s="449"/>
      <c r="G567" s="421"/>
      <c r="H567" s="449"/>
      <c r="I567" s="449"/>
      <c r="J567" s="426"/>
      <c r="K567" s="421"/>
      <c r="L567" s="449"/>
      <c r="M567" s="449"/>
      <c r="N567" s="449"/>
      <c r="O567" s="449"/>
      <c r="P567" s="449"/>
      <c r="Q567" s="449"/>
      <c r="R567" s="449"/>
      <c r="S567" s="449"/>
      <c r="T567" s="449"/>
      <c r="U567" s="449"/>
      <c r="V567" s="449"/>
      <c r="W567" s="449"/>
      <c r="X567" s="449"/>
      <c r="Y567" s="449"/>
      <c r="Z567" s="501"/>
      <c r="AA567" s="449"/>
      <c r="AB567" s="449"/>
      <c r="AC567" s="449"/>
      <c r="AD567" s="449"/>
      <c r="AE567" s="449"/>
      <c r="AF567" s="449"/>
      <c r="AG567" s="449"/>
      <c r="AH567" s="449"/>
      <c r="AI567" s="449"/>
      <c r="AJ567" s="449"/>
      <c r="AK567" s="449"/>
      <c r="AL567" s="449"/>
      <c r="AN567" s="500"/>
      <c r="AO567" s="449"/>
      <c r="AP567" s="449"/>
      <c r="AQ567" s="453"/>
      <c r="AR567" s="449"/>
      <c r="AS567" s="449"/>
      <c r="AT567" s="426"/>
      <c r="AU567" s="421"/>
      <c r="AV567" s="449"/>
      <c r="AW567" s="449"/>
      <c r="AX567" s="449"/>
      <c r="AY567" s="449"/>
      <c r="AZ567" s="449"/>
      <c r="BA567" s="449"/>
      <c r="BB567" s="449"/>
      <c r="BC567" s="449"/>
      <c r="BD567" s="449"/>
      <c r="BE567" s="449"/>
      <c r="BF567" s="449"/>
      <c r="BG567" s="449"/>
      <c r="BH567" s="501"/>
      <c r="BI567" s="449"/>
      <c r="BJ567" s="449"/>
      <c r="BK567" s="449"/>
      <c r="BL567" s="449"/>
      <c r="BM567" s="449"/>
      <c r="BN567" s="449"/>
      <c r="BO567" s="449"/>
      <c r="BP567" s="449"/>
      <c r="BQ567" s="449"/>
      <c r="BR567" s="449"/>
      <c r="BS567" s="449"/>
      <c r="BT567" s="449"/>
    </row>
    <row r="568" spans="1:74" s="536" customFormat="1" ht="15" x14ac:dyDescent="0.25">
      <c r="A568" s="804" t="s">
        <v>966</v>
      </c>
      <c r="B568" s="804"/>
      <c r="C568" s="544"/>
      <c r="D568" s="545">
        <f>+D55-D566</f>
        <v>67640.709999999031</v>
      </c>
      <c r="E568" s="546">
        <f>+E55-E566</f>
        <v>25963.682426000014</v>
      </c>
      <c r="F568" s="546">
        <f>IFERROR(D568-E568,0)</f>
        <v>41677.027573999017</v>
      </c>
      <c r="G568" s="547">
        <f>IFERROR(F568/ABS(E568),0)</f>
        <v>1.6052047968459078</v>
      </c>
      <c r="H568" s="546">
        <f>+H55-H566</f>
        <v>175442.96999999881</v>
      </c>
      <c r="I568" s="546">
        <f>IFERROR(D568-H568,0)</f>
        <v>-107802.25999999978</v>
      </c>
      <c r="J568" s="548">
        <f>IFERROR(I568/ABS(H568),0)</f>
        <v>-0.61445756418738529</v>
      </c>
      <c r="K568" s="507"/>
      <c r="L568" s="546">
        <f t="shared" ref="L568:W568" si="497">+L55-L566</f>
        <v>162417.92000000016</v>
      </c>
      <c r="M568" s="546">
        <f t="shared" si="497"/>
        <v>-143180.8600000001</v>
      </c>
      <c r="N568" s="546">
        <f t="shared" si="497"/>
        <v>273165.74</v>
      </c>
      <c r="O568" s="546">
        <f t="shared" si="497"/>
        <v>-54004.590000000084</v>
      </c>
      <c r="P568" s="546">
        <f t="shared" si="497"/>
        <v>84363.649999999674</v>
      </c>
      <c r="Q568" s="546">
        <f t="shared" si="497"/>
        <v>204534.83000000019</v>
      </c>
      <c r="R568" s="546">
        <f t="shared" si="497"/>
        <v>-76609.329999999958</v>
      </c>
      <c r="S568" s="546">
        <f t="shared" si="497"/>
        <v>-76609.330000000075</v>
      </c>
      <c r="T568" s="546">
        <f t="shared" si="497"/>
        <v>-76609.330000000075</v>
      </c>
      <c r="U568" s="546">
        <f t="shared" si="497"/>
        <v>-76609.329999999958</v>
      </c>
      <c r="V568" s="546">
        <f t="shared" si="497"/>
        <v>-76609.329999999958</v>
      </c>
      <c r="W568" s="546">
        <f t="shared" si="497"/>
        <v>-76609.329999999492</v>
      </c>
      <c r="X568" s="546"/>
      <c r="Y568" s="546">
        <f>+Y55-Y566</f>
        <v>67640.709999999031</v>
      </c>
      <c r="Z568" s="508"/>
      <c r="AA568" s="546">
        <f t="shared" ref="AA568:AL568" si="498">+AA55-AA566</f>
        <v>14620.247499999939</v>
      </c>
      <c r="AB568" s="546">
        <f t="shared" si="498"/>
        <v>14620.247499999939</v>
      </c>
      <c r="AC568" s="546">
        <f t="shared" si="498"/>
        <v>14620.247499999939</v>
      </c>
      <c r="AD568" s="546">
        <f t="shared" si="498"/>
        <v>14620.247499999939</v>
      </c>
      <c r="AE568" s="546">
        <f t="shared" si="498"/>
        <v>14620.247499999939</v>
      </c>
      <c r="AF568" s="546">
        <f t="shared" si="498"/>
        <v>14620.247499999939</v>
      </c>
      <c r="AG568" s="546">
        <f t="shared" si="498"/>
        <v>14620.247499999939</v>
      </c>
      <c r="AH568" s="546">
        <f t="shared" si="498"/>
        <v>14620.247499999939</v>
      </c>
      <c r="AI568" s="546">
        <f t="shared" si="498"/>
        <v>14620.247499999939</v>
      </c>
      <c r="AJ568" s="546">
        <f t="shared" si="498"/>
        <v>14620.247499999939</v>
      </c>
      <c r="AK568" s="546">
        <f t="shared" si="498"/>
        <v>14620.247499999939</v>
      </c>
      <c r="AL568" s="546">
        <f t="shared" si="498"/>
        <v>14620.247499999939</v>
      </c>
      <c r="AN568" s="545">
        <f>+AN55-AN566</f>
        <v>67640.709999999031</v>
      </c>
      <c r="AO568" s="546">
        <f>+AO55-AO566</f>
        <v>-356356.84138603322</v>
      </c>
      <c r="AP568" s="546">
        <f>IFERROR(AO568-AN568,0)</f>
        <v>-423997.55138603225</v>
      </c>
      <c r="AQ568" s="549">
        <f>IFERROR(AP568/ABS(AN568),"-")</f>
        <v>-6.2683781909746115</v>
      </c>
      <c r="AR568" s="546">
        <f>+AR55-AR566</f>
        <v>-356356.84138603322</v>
      </c>
      <c r="AS568" s="546">
        <f>IFERROR(AO568-AR568,0)</f>
        <v>0</v>
      </c>
      <c r="AT568" s="548">
        <f>IFERROR(AS568/ABS(AR568),0)</f>
        <v>0</v>
      </c>
      <c r="AU568" s="507"/>
      <c r="AV568" s="546">
        <f t="shared" ref="AV568:BG568" si="499">+AV55-AV566</f>
        <v>169087.70315233467</v>
      </c>
      <c r="AW568" s="546">
        <f t="shared" si="499"/>
        <v>57911.231524854084</v>
      </c>
      <c r="AX568" s="546">
        <f t="shared" si="499"/>
        <v>-19434.292825294542</v>
      </c>
      <c r="AY568" s="546">
        <f t="shared" si="499"/>
        <v>-259153.79282529454</v>
      </c>
      <c r="AZ568" s="546">
        <f t="shared" si="499"/>
        <v>-15430.292825294542</v>
      </c>
      <c r="BA568" s="546">
        <f t="shared" si="499"/>
        <v>22477.601801746991</v>
      </c>
      <c r="BB568" s="546">
        <f t="shared" si="499"/>
        <v>-78012.508198252995</v>
      </c>
      <c r="BC568" s="546">
        <f t="shared" si="499"/>
        <v>26481.601801746991</v>
      </c>
      <c r="BD568" s="546">
        <f t="shared" si="499"/>
        <v>67477.601801746991</v>
      </c>
      <c r="BE568" s="546">
        <f t="shared" si="499"/>
        <v>-24241.898198252893</v>
      </c>
      <c r="BF568" s="546">
        <f t="shared" si="499"/>
        <v>22477.601801746991</v>
      </c>
      <c r="BG568" s="546">
        <f t="shared" si="499"/>
        <v>-325997.39839781926</v>
      </c>
      <c r="BH568" s="508"/>
      <c r="BI568" s="546">
        <f t="shared" ref="BI568:BT568" si="500">+BI55-BI566</f>
        <v>169087.70315233467</v>
      </c>
      <c r="BJ568" s="546">
        <f t="shared" si="500"/>
        <v>57911.231524854084</v>
      </c>
      <c r="BK568" s="546">
        <f t="shared" si="500"/>
        <v>-19434.292825294542</v>
      </c>
      <c r="BL568" s="546">
        <f t="shared" si="500"/>
        <v>-259153.79282529454</v>
      </c>
      <c r="BM568" s="546">
        <f t="shared" si="500"/>
        <v>-15430.292825294542</v>
      </c>
      <c r="BN568" s="546">
        <f t="shared" si="500"/>
        <v>22477.601801746991</v>
      </c>
      <c r="BO568" s="546">
        <f t="shared" si="500"/>
        <v>-78012.508198252995</v>
      </c>
      <c r="BP568" s="546">
        <f t="shared" si="500"/>
        <v>26481.601801746991</v>
      </c>
      <c r="BQ568" s="546">
        <f t="shared" si="500"/>
        <v>67477.601801746991</v>
      </c>
      <c r="BR568" s="546">
        <f t="shared" si="500"/>
        <v>-24241.898198252893</v>
      </c>
      <c r="BS568" s="546">
        <f t="shared" si="500"/>
        <v>22477.601801746991</v>
      </c>
      <c r="BT568" s="546">
        <f t="shared" si="500"/>
        <v>-325997.39839781926</v>
      </c>
      <c r="BV568" s="400"/>
    </row>
    <row r="569" spans="1:74" ht="9" hidden="1" customHeight="1" x14ac:dyDescent="0.25">
      <c r="A569" s="502"/>
      <c r="B569" s="605"/>
      <c r="C569" s="543"/>
      <c r="D569" s="500"/>
      <c r="E569" s="449"/>
      <c r="F569" s="449"/>
      <c r="G569" s="421"/>
      <c r="H569" s="449"/>
      <c r="I569" s="449"/>
      <c r="J569" s="426"/>
      <c r="K569" s="421"/>
      <c r="L569" s="449"/>
      <c r="M569" s="449"/>
      <c r="N569" s="449"/>
      <c r="O569" s="449"/>
      <c r="P569" s="449"/>
      <c r="Q569" s="449"/>
      <c r="R569" s="449"/>
      <c r="S569" s="449"/>
      <c r="T569" s="449"/>
      <c r="U569" s="449"/>
      <c r="V569" s="449"/>
      <c r="W569" s="449"/>
      <c r="X569" s="449"/>
      <c r="Y569" s="449"/>
      <c r="Z569" s="501"/>
      <c r="AA569" s="449"/>
      <c r="AB569" s="449"/>
      <c r="AC569" s="449"/>
      <c r="AD569" s="449"/>
      <c r="AE569" s="449"/>
      <c r="AF569" s="449"/>
      <c r="AG569" s="449"/>
      <c r="AH569" s="449"/>
      <c r="AI569" s="449"/>
      <c r="AJ569" s="449"/>
      <c r="AK569" s="449"/>
      <c r="AL569" s="449"/>
      <c r="AN569" s="500"/>
      <c r="AO569" s="449"/>
      <c r="AP569" s="449"/>
      <c r="AQ569" s="453"/>
      <c r="AR569" s="449"/>
      <c r="AS569" s="449"/>
      <c r="AT569" s="426"/>
      <c r="AU569" s="421"/>
      <c r="AV569" s="449"/>
      <c r="AW569" s="449"/>
      <c r="AX569" s="449"/>
      <c r="AY569" s="449"/>
      <c r="AZ569" s="449"/>
      <c r="BA569" s="449"/>
      <c r="BB569" s="449"/>
      <c r="BC569" s="449"/>
      <c r="BD569" s="449"/>
      <c r="BE569" s="449"/>
      <c r="BF569" s="449"/>
      <c r="BG569" s="449"/>
      <c r="BH569" s="501"/>
      <c r="BI569" s="449"/>
      <c r="BJ569" s="449"/>
      <c r="BK569" s="449"/>
      <c r="BL569" s="449"/>
      <c r="BM569" s="449"/>
      <c r="BN569" s="449"/>
      <c r="BO569" s="449"/>
      <c r="BP569" s="449"/>
      <c r="BQ569" s="449"/>
      <c r="BR569" s="449"/>
      <c r="BS569" s="449"/>
      <c r="BT569" s="449"/>
    </row>
    <row r="570" spans="1:74" s="536" customFormat="1" ht="15" hidden="1" x14ac:dyDescent="0.25">
      <c r="A570" s="804" t="s">
        <v>967</v>
      </c>
      <c r="B570" s="804"/>
      <c r="C570" s="544"/>
      <c r="D570" s="550"/>
      <c r="E570" s="528">
        <v>2076213</v>
      </c>
      <c r="F570" s="551"/>
      <c r="G570" s="507"/>
      <c r="H570" s="528">
        <v>2076213</v>
      </c>
      <c r="I570" s="551"/>
      <c r="J570" s="529"/>
      <c r="K570" s="507"/>
      <c r="L570" s="551"/>
      <c r="M570" s="551"/>
      <c r="N570" s="551"/>
      <c r="O570" s="551"/>
      <c r="P570" s="551"/>
      <c r="Q570" s="551"/>
      <c r="R570" s="551"/>
      <c r="S570" s="551"/>
      <c r="T570" s="551"/>
      <c r="U570" s="551"/>
      <c r="V570" s="551"/>
      <c r="W570" s="551"/>
      <c r="X570" s="551"/>
      <c r="Y570" s="551"/>
      <c r="Z570" s="508"/>
      <c r="AA570" s="551"/>
      <c r="AB570" s="551"/>
      <c r="AC570" s="551"/>
      <c r="AD570" s="551"/>
      <c r="AE570" s="551"/>
      <c r="AF570" s="551"/>
      <c r="AG570" s="551"/>
      <c r="AH570" s="551"/>
      <c r="AI570" s="551"/>
      <c r="AJ570" s="551"/>
      <c r="AK570" s="551"/>
      <c r="AL570" s="551"/>
      <c r="AN570" s="550"/>
      <c r="AO570" s="528"/>
      <c r="AP570" s="551"/>
      <c r="AQ570" s="499"/>
      <c r="AR570" s="528">
        <f>H572</f>
        <v>2251655.9699999988</v>
      </c>
      <c r="AS570" s="551"/>
      <c r="AT570" s="529"/>
      <c r="AU570" s="507"/>
      <c r="AV570" s="551"/>
      <c r="AW570" s="551"/>
      <c r="AX570" s="551"/>
      <c r="AY570" s="551"/>
      <c r="AZ570" s="551"/>
      <c r="BA570" s="551"/>
      <c r="BB570" s="551"/>
      <c r="BC570" s="551"/>
      <c r="BD570" s="551"/>
      <c r="BE570" s="551"/>
      <c r="BF570" s="551"/>
      <c r="BG570" s="551"/>
      <c r="BH570" s="508"/>
      <c r="BI570" s="551"/>
      <c r="BJ570" s="551"/>
      <c r="BK570" s="551"/>
      <c r="BL570" s="551"/>
      <c r="BM570" s="551"/>
      <c r="BN570" s="551"/>
      <c r="BO570" s="551"/>
      <c r="BP570" s="551"/>
      <c r="BQ570" s="551"/>
      <c r="BR570" s="551"/>
      <c r="BS570" s="551"/>
      <c r="BT570" s="551"/>
      <c r="BV570" s="400"/>
    </row>
    <row r="571" spans="1:74" ht="7.5" hidden="1" customHeight="1" x14ac:dyDescent="0.25">
      <c r="A571" s="502"/>
      <c r="B571" s="605"/>
      <c r="C571" s="543"/>
      <c r="D571" s="500"/>
      <c r="E571" s="449"/>
      <c r="F571" s="449"/>
      <c r="G571" s="421"/>
      <c r="H571" s="449"/>
      <c r="I571" s="449"/>
      <c r="J571" s="426"/>
      <c r="K571" s="421"/>
      <c r="L571" s="449"/>
      <c r="M571" s="449"/>
      <c r="N571" s="449"/>
      <c r="O571" s="449"/>
      <c r="P571" s="449"/>
      <c r="Q571" s="449"/>
      <c r="R571" s="449"/>
      <c r="S571" s="449"/>
      <c r="T571" s="449"/>
      <c r="U571" s="449"/>
      <c r="V571" s="449"/>
      <c r="W571" s="449"/>
      <c r="X571" s="449"/>
      <c r="Y571" s="449"/>
      <c r="Z571" s="501"/>
      <c r="AA571" s="449"/>
      <c r="AB571" s="449"/>
      <c r="AC571" s="449"/>
      <c r="AD571" s="449"/>
      <c r="AE571" s="449"/>
      <c r="AF571" s="449"/>
      <c r="AG571" s="449"/>
      <c r="AH571" s="449"/>
      <c r="AI571" s="449"/>
      <c r="AJ571" s="449"/>
      <c r="AK571" s="449"/>
      <c r="AL571" s="449"/>
      <c r="AN571" s="500"/>
      <c r="AO571" s="449"/>
      <c r="AP571" s="449"/>
      <c r="AQ571" s="453"/>
      <c r="AR571" s="449"/>
      <c r="AS571" s="449"/>
      <c r="AT571" s="426"/>
      <c r="AU571" s="421"/>
      <c r="AV571" s="449"/>
      <c r="AW571" s="449"/>
      <c r="AX571" s="449"/>
      <c r="AY571" s="449"/>
      <c r="AZ571" s="449"/>
      <c r="BA571" s="449"/>
      <c r="BB571" s="449"/>
      <c r="BC571" s="449"/>
      <c r="BD571" s="449"/>
      <c r="BE571" s="449"/>
      <c r="BF571" s="449"/>
      <c r="BG571" s="449"/>
      <c r="BH571" s="501"/>
      <c r="BI571" s="449"/>
      <c r="BJ571" s="449"/>
      <c r="BK571" s="449"/>
      <c r="BL571" s="449"/>
      <c r="BM571" s="449"/>
      <c r="BN571" s="449"/>
      <c r="BO571" s="449"/>
      <c r="BP571" s="449"/>
      <c r="BQ571" s="449"/>
      <c r="BR571" s="449"/>
      <c r="BS571" s="449"/>
      <c r="BT571" s="449"/>
    </row>
    <row r="572" spans="1:74" ht="15.75" hidden="1" thickBot="1" x14ac:dyDescent="0.3">
      <c r="A572" s="804" t="s">
        <v>968</v>
      </c>
      <c r="B572" s="804"/>
      <c r="C572" s="543"/>
      <c r="D572" s="550"/>
      <c r="E572" s="533">
        <f>E568+E570</f>
        <v>2102176.682426</v>
      </c>
      <c r="F572" s="551"/>
      <c r="G572" s="507"/>
      <c r="H572" s="533">
        <f>+H568+H570</f>
        <v>2251655.9699999988</v>
      </c>
      <c r="I572" s="551"/>
      <c r="J572" s="529"/>
      <c r="K572" s="507"/>
      <c r="L572" s="551"/>
      <c r="M572" s="551"/>
      <c r="N572" s="551"/>
      <c r="O572" s="551"/>
      <c r="P572" s="551"/>
      <c r="Q572" s="551"/>
      <c r="R572" s="551"/>
      <c r="S572" s="551"/>
      <c r="T572" s="551"/>
      <c r="U572" s="551"/>
      <c r="V572" s="551"/>
      <c r="W572" s="551"/>
      <c r="X572" s="551"/>
      <c r="Y572" s="551"/>
      <c r="Z572" s="508"/>
      <c r="AA572" s="551"/>
      <c r="AB572" s="551"/>
      <c r="AC572" s="551"/>
      <c r="AD572" s="551"/>
      <c r="AE572" s="551"/>
      <c r="AF572" s="551"/>
      <c r="AG572" s="551"/>
      <c r="AH572" s="551"/>
      <c r="AI572" s="551"/>
      <c r="AJ572" s="551"/>
      <c r="AK572" s="551"/>
      <c r="AL572" s="551"/>
      <c r="AN572" s="550"/>
      <c r="AO572" s="551"/>
      <c r="AP572" s="551"/>
      <c r="AQ572" s="499"/>
      <c r="AR572" s="533">
        <f>+AR568+AR570</f>
        <v>1895299.1286139656</v>
      </c>
      <c r="AS572" s="551"/>
      <c r="AT572" s="529"/>
      <c r="AU572" s="507"/>
      <c r="AV572" s="551"/>
      <c r="AW572" s="551"/>
      <c r="AX572" s="551"/>
      <c r="AY572" s="551"/>
      <c r="AZ572" s="551"/>
      <c r="BA572" s="551"/>
      <c r="BB572" s="551"/>
      <c r="BC572" s="551"/>
      <c r="BD572" s="551"/>
      <c r="BE572" s="551"/>
      <c r="BF572" s="551"/>
      <c r="BG572" s="551"/>
      <c r="BH572" s="508"/>
      <c r="BI572" s="551"/>
      <c r="BJ572" s="551"/>
      <c r="BK572" s="551"/>
      <c r="BL572" s="551"/>
      <c r="BM572" s="551"/>
      <c r="BN572" s="551"/>
      <c r="BO572" s="551"/>
      <c r="BP572" s="551"/>
      <c r="BQ572" s="551"/>
      <c r="BR572" s="551"/>
      <c r="BS572" s="551"/>
      <c r="BT572" s="551"/>
    </row>
    <row r="573" spans="1:74" ht="27.75" customHeight="1" x14ac:dyDescent="0.25">
      <c r="A573" s="502"/>
      <c r="B573" s="502"/>
      <c r="C573" s="543"/>
      <c r="D573" s="500"/>
      <c r="E573" s="449"/>
      <c r="F573" s="449"/>
      <c r="G573" s="421"/>
      <c r="H573" s="449"/>
      <c r="I573" s="449"/>
      <c r="J573" s="426"/>
      <c r="K573" s="421"/>
      <c r="L573" s="449"/>
      <c r="M573" s="449"/>
      <c r="N573" s="449"/>
      <c r="O573" s="449"/>
      <c r="P573" s="449"/>
      <c r="Q573" s="449"/>
      <c r="R573" s="449"/>
      <c r="S573" s="449"/>
      <c r="T573" s="449"/>
      <c r="U573" s="449"/>
      <c r="V573" s="449"/>
      <c r="W573" s="449"/>
      <c r="X573" s="449"/>
      <c r="Y573" s="449"/>
      <c r="Z573" s="501"/>
      <c r="AA573" s="449"/>
      <c r="AB573" s="449"/>
      <c r="AC573" s="449"/>
      <c r="AD573" s="449"/>
      <c r="AE573" s="449"/>
      <c r="AF573" s="449"/>
      <c r="AG573" s="449"/>
      <c r="AH573" s="449"/>
      <c r="AI573" s="449"/>
      <c r="AJ573" s="449"/>
      <c r="AK573" s="449"/>
      <c r="AL573" s="449"/>
      <c r="AN573" s="500"/>
      <c r="AO573" s="648">
        <f>(AO568+AO644)/AO644</f>
        <v>0.79789193373408218</v>
      </c>
      <c r="AP573" s="449"/>
      <c r="AQ573" s="453"/>
      <c r="AR573" s="449"/>
      <c r="AS573" s="449"/>
      <c r="AT573" s="426"/>
      <c r="AU573" s="421"/>
      <c r="AV573" s="449"/>
      <c r="AW573" s="449"/>
      <c r="AX573" s="449"/>
      <c r="AY573" s="449"/>
      <c r="AZ573" s="449"/>
      <c r="BA573" s="449"/>
      <c r="BB573" s="449"/>
      <c r="BC573" s="449"/>
      <c r="BD573" s="449"/>
      <c r="BE573" s="449"/>
      <c r="BF573" s="449"/>
      <c r="BG573" s="449"/>
      <c r="BH573" s="501"/>
      <c r="BI573" s="449"/>
      <c r="BJ573" s="449"/>
      <c r="BK573" s="449"/>
      <c r="BL573" s="449"/>
      <c r="BM573" s="449"/>
      <c r="BN573" s="449"/>
      <c r="BO573" s="449"/>
      <c r="BP573" s="449"/>
      <c r="BQ573" s="449"/>
      <c r="BR573" s="449"/>
      <c r="BS573" s="449"/>
      <c r="BT573" s="449"/>
    </row>
    <row r="574" spans="1:74" ht="18.75" x14ac:dyDescent="0.25">
      <c r="A574" s="502"/>
      <c r="B574" s="552" t="s">
        <v>969</v>
      </c>
      <c r="C574" s="543"/>
      <c r="D574" s="500"/>
      <c r="E574" s="449"/>
      <c r="F574" s="449"/>
      <c r="G574" s="421"/>
      <c r="H574" s="449"/>
      <c r="I574" s="449"/>
      <c r="J574" s="426"/>
      <c r="K574" s="421"/>
      <c r="L574" s="449"/>
      <c r="M574" s="449"/>
      <c r="N574" s="449"/>
      <c r="O574" s="449"/>
      <c r="P574" s="449"/>
      <c r="Q574" s="449"/>
      <c r="R574" s="449"/>
      <c r="S574" s="449"/>
      <c r="T574" s="449"/>
      <c r="U574" s="449"/>
      <c r="V574" s="449"/>
      <c r="W574" s="449"/>
      <c r="X574" s="449"/>
      <c r="Y574" s="449"/>
      <c r="Z574" s="501"/>
      <c r="AA574" s="449"/>
      <c r="AB574" s="449"/>
      <c r="AC574" s="449"/>
      <c r="AD574" s="449"/>
      <c r="AE574" s="449"/>
      <c r="AF574" s="449"/>
      <c r="AG574" s="449"/>
      <c r="AH574" s="449"/>
      <c r="AI574" s="449"/>
      <c r="AJ574" s="449"/>
      <c r="AK574" s="449"/>
      <c r="AL574" s="449"/>
      <c r="AN574" s="500"/>
      <c r="AO574" s="449"/>
      <c r="AP574" s="449"/>
      <c r="AQ574" s="453"/>
      <c r="AR574" s="449"/>
      <c r="AS574" s="449"/>
      <c r="AT574" s="426"/>
      <c r="AU574" s="421"/>
      <c r="AV574" s="449"/>
      <c r="AW574" s="449"/>
      <c r="AX574" s="449"/>
      <c r="AY574" s="449"/>
      <c r="AZ574" s="449"/>
      <c r="BA574" s="449"/>
      <c r="BB574" s="449"/>
      <c r="BC574" s="449"/>
      <c r="BD574" s="449"/>
      <c r="BE574" s="449"/>
      <c r="BF574" s="449"/>
      <c r="BG574" s="449"/>
      <c r="BH574" s="501"/>
      <c r="BI574" s="449"/>
      <c r="BJ574" s="449"/>
      <c r="BK574" s="449"/>
      <c r="BL574" s="449"/>
      <c r="BM574" s="449"/>
      <c r="BN574" s="449"/>
      <c r="BO574" s="449"/>
      <c r="BP574" s="449"/>
      <c r="BQ574" s="449"/>
      <c r="BR574" s="449"/>
      <c r="BS574" s="449"/>
      <c r="BT574" s="449"/>
    </row>
    <row r="575" spans="1:74" ht="6.75" customHeight="1" x14ac:dyDescent="0.25">
      <c r="A575" s="502"/>
      <c r="B575" s="502"/>
      <c r="C575" s="543"/>
      <c r="D575" s="500"/>
      <c r="E575" s="449"/>
      <c r="F575" s="449"/>
      <c r="G575" s="421"/>
      <c r="H575" s="449"/>
      <c r="I575" s="449"/>
      <c r="J575" s="426"/>
      <c r="K575" s="421"/>
      <c r="L575" s="449"/>
      <c r="M575" s="449"/>
      <c r="N575" s="449"/>
      <c r="O575" s="449"/>
      <c r="P575" s="449"/>
      <c r="Q575" s="449"/>
      <c r="R575" s="449"/>
      <c r="S575" s="449"/>
      <c r="T575" s="449"/>
      <c r="U575" s="449"/>
      <c r="V575" s="449"/>
      <c r="W575" s="449"/>
      <c r="X575" s="449"/>
      <c r="Y575" s="449"/>
      <c r="Z575" s="501"/>
      <c r="AA575" s="449"/>
      <c r="AB575" s="449"/>
      <c r="AC575" s="449"/>
      <c r="AD575" s="449"/>
      <c r="AE575" s="449"/>
      <c r="AF575" s="449"/>
      <c r="AG575" s="449"/>
      <c r="AH575" s="449"/>
      <c r="AI575" s="449"/>
      <c r="AJ575" s="449"/>
      <c r="AK575" s="449"/>
      <c r="AL575" s="449"/>
      <c r="AN575" s="500"/>
      <c r="AO575" s="449"/>
      <c r="AP575" s="449"/>
      <c r="AQ575" s="453"/>
      <c r="AR575" s="449"/>
      <c r="AS575" s="449"/>
      <c r="AT575" s="426"/>
      <c r="AU575" s="421"/>
      <c r="AV575" s="449"/>
      <c r="AW575" s="449"/>
      <c r="AX575" s="449"/>
      <c r="AY575" s="449"/>
      <c r="AZ575" s="449"/>
      <c r="BA575" s="449"/>
      <c r="BB575" s="449"/>
      <c r="BC575" s="449"/>
      <c r="BD575" s="449"/>
      <c r="BE575" s="449"/>
      <c r="BF575" s="449"/>
      <c r="BG575" s="449"/>
      <c r="BH575" s="501"/>
      <c r="BI575" s="449"/>
      <c r="BJ575" s="449"/>
      <c r="BK575" s="449"/>
      <c r="BL575" s="449"/>
      <c r="BM575" s="449"/>
      <c r="BN575" s="449"/>
      <c r="BO575" s="449"/>
      <c r="BP575" s="449"/>
      <c r="BQ575" s="449"/>
      <c r="BR575" s="449"/>
      <c r="BS575" s="449"/>
      <c r="BT575" s="449"/>
    </row>
    <row r="576" spans="1:74" ht="15" x14ac:dyDescent="0.25">
      <c r="A576" s="502"/>
      <c r="B576" s="524" t="s">
        <v>970</v>
      </c>
      <c r="C576" s="543"/>
      <c r="D576" s="500"/>
      <c r="E576" s="449"/>
      <c r="F576" s="449"/>
      <c r="G576" s="421"/>
      <c r="H576" s="449"/>
      <c r="I576" s="449"/>
      <c r="J576" s="426"/>
      <c r="K576" s="421"/>
      <c r="L576" s="449"/>
      <c r="M576" s="449"/>
      <c r="N576" s="449"/>
      <c r="O576" s="449"/>
      <c r="P576" s="449"/>
      <c r="Q576" s="449"/>
      <c r="R576" s="449"/>
      <c r="S576" s="449"/>
      <c r="T576" s="449"/>
      <c r="U576" s="449"/>
      <c r="V576" s="449"/>
      <c r="W576" s="449"/>
      <c r="X576" s="449"/>
      <c r="Y576" s="449"/>
      <c r="Z576" s="501"/>
      <c r="AA576" s="449"/>
      <c r="AB576" s="449"/>
      <c r="AC576" s="449"/>
      <c r="AD576" s="449"/>
      <c r="AE576" s="449"/>
      <c r="AF576" s="449"/>
      <c r="AG576" s="449"/>
      <c r="AH576" s="449"/>
      <c r="AI576" s="449"/>
      <c r="AJ576" s="449"/>
      <c r="AK576" s="449"/>
      <c r="AL576" s="449"/>
      <c r="AN576" s="500"/>
      <c r="AO576" s="449"/>
      <c r="AP576" s="449"/>
      <c r="AQ576" s="453"/>
      <c r="AR576" s="449"/>
      <c r="AS576" s="449"/>
      <c r="AT576" s="426"/>
      <c r="AU576" s="421"/>
      <c r="AV576" s="449"/>
      <c r="AW576" s="449"/>
      <c r="AX576" s="449"/>
      <c r="AY576" s="449"/>
      <c r="AZ576" s="449"/>
      <c r="BA576" s="449"/>
      <c r="BB576" s="449"/>
      <c r="BC576" s="449"/>
      <c r="BD576" s="449"/>
      <c r="BE576" s="449"/>
      <c r="BF576" s="449"/>
      <c r="BG576" s="449"/>
      <c r="BH576" s="501"/>
      <c r="BI576" s="449"/>
      <c r="BJ576" s="449"/>
      <c r="BK576" s="449"/>
      <c r="BL576" s="449"/>
      <c r="BM576" s="449"/>
      <c r="BN576" s="449"/>
      <c r="BO576" s="449"/>
      <c r="BP576" s="449"/>
      <c r="BQ576" s="449"/>
      <c r="BR576" s="449"/>
      <c r="BS576" s="449"/>
      <c r="BT576" s="449"/>
    </row>
    <row r="577" spans="1:72" ht="6.75" customHeight="1" x14ac:dyDescent="0.25">
      <c r="A577" s="502"/>
      <c r="B577" s="524"/>
      <c r="C577" s="543"/>
      <c r="D577" s="500"/>
      <c r="E577" s="449"/>
      <c r="F577" s="449"/>
      <c r="G577" s="421"/>
      <c r="H577" s="449"/>
      <c r="I577" s="449"/>
      <c r="J577" s="426"/>
      <c r="K577" s="421"/>
      <c r="L577" s="449"/>
      <c r="M577" s="449"/>
      <c r="N577" s="449"/>
      <c r="O577" s="449"/>
      <c r="P577" s="449"/>
      <c r="Q577" s="449"/>
      <c r="R577" s="449"/>
      <c r="S577" s="449"/>
      <c r="T577" s="449"/>
      <c r="U577" s="449"/>
      <c r="V577" s="449"/>
      <c r="W577" s="449"/>
      <c r="X577" s="449"/>
      <c r="Y577" s="449"/>
      <c r="Z577" s="501"/>
      <c r="AA577" s="449"/>
      <c r="AB577" s="449"/>
      <c r="AC577" s="449"/>
      <c r="AD577" s="449"/>
      <c r="AE577" s="449"/>
      <c r="AF577" s="449"/>
      <c r="AG577" s="449"/>
      <c r="AH577" s="449"/>
      <c r="AI577" s="449"/>
      <c r="AJ577" s="449"/>
      <c r="AK577" s="449"/>
      <c r="AL577" s="449"/>
      <c r="AN577" s="500"/>
      <c r="AO577" s="449"/>
      <c r="AP577" s="449"/>
      <c r="AQ577" s="453"/>
      <c r="AR577" s="449"/>
      <c r="AS577" s="449"/>
      <c r="AT577" s="426"/>
      <c r="AU577" s="421"/>
      <c r="AV577" s="449"/>
      <c r="AW577" s="449"/>
      <c r="AX577" s="449"/>
      <c r="AY577" s="449"/>
      <c r="AZ577" s="449"/>
      <c r="BA577" s="449"/>
      <c r="BB577" s="449"/>
      <c r="BC577" s="449"/>
      <c r="BD577" s="449"/>
      <c r="BE577" s="449"/>
      <c r="BF577" s="449"/>
      <c r="BG577" s="449"/>
      <c r="BH577" s="501"/>
      <c r="BI577" s="449"/>
      <c r="BJ577" s="449"/>
      <c r="BK577" s="449"/>
      <c r="BL577" s="449"/>
      <c r="BM577" s="449"/>
      <c r="BN577" s="449"/>
      <c r="BO577" s="449"/>
      <c r="BP577" s="449"/>
      <c r="BQ577" s="449"/>
      <c r="BR577" s="449"/>
      <c r="BS577" s="449"/>
      <c r="BT577" s="449"/>
    </row>
    <row r="578" spans="1:72" ht="15" hidden="1" x14ac:dyDescent="0.25">
      <c r="A578" s="587" t="s">
        <v>971</v>
      </c>
      <c r="B578" s="502" t="s">
        <v>972</v>
      </c>
      <c r="C578" s="400"/>
      <c r="D578" s="500"/>
      <c r="E578" s="449">
        <v>0</v>
      </c>
      <c r="F578" s="449"/>
      <c r="G578" s="421"/>
      <c r="H578" s="449">
        <v>0</v>
      </c>
      <c r="I578" s="449"/>
      <c r="J578" s="426"/>
      <c r="K578" s="421"/>
      <c r="L578" s="449"/>
      <c r="M578" s="449"/>
      <c r="N578" s="449"/>
      <c r="O578" s="449"/>
      <c r="P578" s="449"/>
      <c r="Q578" s="449"/>
      <c r="R578" s="449"/>
      <c r="S578" s="449"/>
      <c r="T578" s="449"/>
      <c r="U578" s="449"/>
      <c r="V578" s="449"/>
      <c r="W578" s="449"/>
      <c r="X578" s="449"/>
      <c r="Y578" s="449">
        <v>0</v>
      </c>
      <c r="Z578" s="501"/>
      <c r="AA578" s="449"/>
      <c r="AB578" s="449"/>
      <c r="AC578" s="449"/>
      <c r="AD578" s="449"/>
      <c r="AE578" s="449"/>
      <c r="AF578" s="449"/>
      <c r="AG578" s="449"/>
      <c r="AH578" s="449"/>
      <c r="AI578" s="449"/>
      <c r="AJ578" s="449"/>
      <c r="AK578" s="449"/>
      <c r="AL578" s="449"/>
      <c r="AN578" s="500"/>
      <c r="AO578" s="449"/>
      <c r="AP578" s="449"/>
      <c r="AQ578" s="453"/>
      <c r="AR578" s="449">
        <v>0</v>
      </c>
      <c r="AS578" s="449"/>
      <c r="AT578" s="426"/>
      <c r="AU578" s="421"/>
      <c r="AV578" s="449"/>
      <c r="AW578" s="449"/>
      <c r="AX578" s="449"/>
      <c r="AY578" s="449"/>
      <c r="AZ578" s="449"/>
      <c r="BA578" s="449"/>
      <c r="BB578" s="449"/>
      <c r="BC578" s="449"/>
      <c r="BD578" s="449"/>
      <c r="BE578" s="449"/>
      <c r="BF578" s="449"/>
      <c r="BG578" s="449"/>
      <c r="BH578" s="501"/>
      <c r="BI578" s="449"/>
      <c r="BJ578" s="449"/>
      <c r="BK578" s="449"/>
      <c r="BL578" s="449"/>
      <c r="BM578" s="449"/>
      <c r="BN578" s="449"/>
      <c r="BO578" s="449"/>
      <c r="BP578" s="449"/>
      <c r="BQ578" s="449"/>
      <c r="BR578" s="449"/>
      <c r="BS578" s="449"/>
      <c r="BT578" s="449"/>
    </row>
    <row r="579" spans="1:72" ht="15" hidden="1" x14ac:dyDescent="0.25">
      <c r="A579" s="587" t="s">
        <v>973</v>
      </c>
      <c r="B579" s="502" t="s">
        <v>974</v>
      </c>
      <c r="C579" s="400"/>
      <c r="D579" s="500"/>
      <c r="E579" s="449">
        <v>0</v>
      </c>
      <c r="F579" s="449"/>
      <c r="G579" s="421"/>
      <c r="H579" s="449">
        <v>0</v>
      </c>
      <c r="I579" s="449"/>
      <c r="J579" s="426"/>
      <c r="K579" s="421"/>
      <c r="L579" s="449"/>
      <c r="M579" s="449"/>
      <c r="N579" s="449"/>
      <c r="O579" s="449"/>
      <c r="P579" s="449"/>
      <c r="Q579" s="449"/>
      <c r="R579" s="449"/>
      <c r="S579" s="449"/>
      <c r="T579" s="449"/>
      <c r="U579" s="449"/>
      <c r="V579" s="449"/>
      <c r="W579" s="449"/>
      <c r="X579" s="449"/>
      <c r="Y579" s="449">
        <v>0</v>
      </c>
      <c r="Z579" s="501"/>
      <c r="AA579" s="449"/>
      <c r="AB579" s="449"/>
      <c r="AC579" s="449"/>
      <c r="AD579" s="449"/>
      <c r="AE579" s="449"/>
      <c r="AF579" s="449"/>
      <c r="AG579" s="449"/>
      <c r="AH579" s="449"/>
      <c r="AI579" s="449"/>
      <c r="AJ579" s="449"/>
      <c r="AK579" s="449"/>
      <c r="AL579" s="449"/>
      <c r="AN579" s="500"/>
      <c r="AO579" s="449"/>
      <c r="AP579" s="449"/>
      <c r="AQ579" s="453"/>
      <c r="AR579" s="449">
        <v>0</v>
      </c>
      <c r="AS579" s="449"/>
      <c r="AT579" s="426"/>
      <c r="AU579" s="421"/>
      <c r="AV579" s="449"/>
      <c r="AW579" s="449"/>
      <c r="AX579" s="449"/>
      <c r="AY579" s="449"/>
      <c r="AZ579" s="449"/>
      <c r="BA579" s="449"/>
      <c r="BB579" s="449"/>
      <c r="BC579" s="449"/>
      <c r="BD579" s="449"/>
      <c r="BE579" s="449"/>
      <c r="BF579" s="449"/>
      <c r="BG579" s="449"/>
      <c r="BH579" s="501"/>
      <c r="BI579" s="449"/>
      <c r="BJ579" s="449"/>
      <c r="BK579" s="449"/>
      <c r="BL579" s="449"/>
      <c r="BM579" s="449"/>
      <c r="BN579" s="449"/>
      <c r="BO579" s="449"/>
      <c r="BP579" s="449"/>
      <c r="BQ579" s="449"/>
      <c r="BR579" s="449"/>
      <c r="BS579" s="449"/>
      <c r="BT579" s="449"/>
    </row>
    <row r="580" spans="1:72" ht="15" hidden="1" x14ac:dyDescent="0.25">
      <c r="A580" s="587" t="s">
        <v>975</v>
      </c>
      <c r="B580" s="502" t="s">
        <v>976</v>
      </c>
      <c r="C580" s="400"/>
      <c r="D580" s="500"/>
      <c r="E580" s="449">
        <v>0</v>
      </c>
      <c r="F580" s="449"/>
      <c r="G580" s="421"/>
      <c r="H580" s="449">
        <v>0</v>
      </c>
      <c r="I580" s="449"/>
      <c r="J580" s="426"/>
      <c r="K580" s="421"/>
      <c r="L580" s="449"/>
      <c r="M580" s="449"/>
      <c r="N580" s="449"/>
      <c r="O580" s="449"/>
      <c r="P580" s="449"/>
      <c r="Q580" s="449"/>
      <c r="R580" s="449"/>
      <c r="S580" s="449"/>
      <c r="T580" s="449"/>
      <c r="U580" s="449"/>
      <c r="V580" s="449"/>
      <c r="W580" s="449"/>
      <c r="X580" s="449"/>
      <c r="Y580" s="449">
        <v>0</v>
      </c>
      <c r="Z580" s="501"/>
      <c r="AA580" s="449"/>
      <c r="AB580" s="449"/>
      <c r="AC580" s="449"/>
      <c r="AD580" s="449"/>
      <c r="AE580" s="449"/>
      <c r="AF580" s="449"/>
      <c r="AG580" s="449"/>
      <c r="AH580" s="449"/>
      <c r="AI580" s="449"/>
      <c r="AJ580" s="449"/>
      <c r="AK580" s="449"/>
      <c r="AL580" s="449"/>
      <c r="AN580" s="500"/>
      <c r="AO580" s="449"/>
      <c r="AP580" s="449"/>
      <c r="AQ580" s="453"/>
      <c r="AR580" s="449">
        <v>0</v>
      </c>
      <c r="AS580" s="449"/>
      <c r="AT580" s="426"/>
      <c r="AU580" s="421"/>
      <c r="AV580" s="449"/>
      <c r="AW580" s="449"/>
      <c r="AX580" s="449"/>
      <c r="AY580" s="449"/>
      <c r="AZ580" s="449"/>
      <c r="BA580" s="449"/>
      <c r="BB580" s="449"/>
      <c r="BC580" s="449"/>
      <c r="BD580" s="449"/>
      <c r="BE580" s="449"/>
      <c r="BF580" s="449"/>
      <c r="BG580" s="449"/>
      <c r="BH580" s="501"/>
      <c r="BI580" s="449"/>
      <c r="BJ580" s="449"/>
      <c r="BK580" s="449"/>
      <c r="BL580" s="449"/>
      <c r="BM580" s="449"/>
      <c r="BN580" s="449"/>
      <c r="BO580" s="449"/>
      <c r="BP580" s="449"/>
      <c r="BQ580" s="449"/>
      <c r="BR580" s="449"/>
      <c r="BS580" s="449"/>
      <c r="BT580" s="449"/>
    </row>
    <row r="581" spans="1:72" ht="15" hidden="1" x14ac:dyDescent="0.25">
      <c r="A581" s="587" t="s">
        <v>977</v>
      </c>
      <c r="B581" s="502" t="s">
        <v>978</v>
      </c>
      <c r="C581" s="400"/>
      <c r="D581" s="500"/>
      <c r="E581" s="449">
        <v>0</v>
      </c>
      <c r="F581" s="449"/>
      <c r="G581" s="421"/>
      <c r="H581" s="449">
        <v>0</v>
      </c>
      <c r="I581" s="449"/>
      <c r="J581" s="426"/>
      <c r="K581" s="421"/>
      <c r="L581" s="449"/>
      <c r="M581" s="449"/>
      <c r="N581" s="449"/>
      <c r="O581" s="449"/>
      <c r="P581" s="449"/>
      <c r="Q581" s="449"/>
      <c r="R581" s="449"/>
      <c r="S581" s="449"/>
      <c r="T581" s="449"/>
      <c r="U581" s="449"/>
      <c r="V581" s="449"/>
      <c r="W581" s="449"/>
      <c r="X581" s="449"/>
      <c r="Y581" s="449">
        <v>0</v>
      </c>
      <c r="Z581" s="501"/>
      <c r="AA581" s="449"/>
      <c r="AB581" s="449"/>
      <c r="AC581" s="449"/>
      <c r="AD581" s="449"/>
      <c r="AE581" s="449"/>
      <c r="AF581" s="449"/>
      <c r="AG581" s="449"/>
      <c r="AH581" s="449"/>
      <c r="AI581" s="449"/>
      <c r="AJ581" s="449"/>
      <c r="AK581" s="449"/>
      <c r="AL581" s="449"/>
      <c r="AN581" s="500"/>
      <c r="AO581" s="449"/>
      <c r="AP581" s="449"/>
      <c r="AQ581" s="453"/>
      <c r="AR581" s="449">
        <v>0</v>
      </c>
      <c r="AS581" s="449"/>
      <c r="AT581" s="426"/>
      <c r="AU581" s="421"/>
      <c r="AV581" s="449"/>
      <c r="AW581" s="449"/>
      <c r="AX581" s="449"/>
      <c r="AY581" s="449"/>
      <c r="AZ581" s="449"/>
      <c r="BA581" s="449"/>
      <c r="BB581" s="449"/>
      <c r="BC581" s="449"/>
      <c r="BD581" s="449"/>
      <c r="BE581" s="449"/>
      <c r="BF581" s="449"/>
      <c r="BG581" s="449"/>
      <c r="BH581" s="501"/>
      <c r="BI581" s="449"/>
      <c r="BJ581" s="449"/>
      <c r="BK581" s="449"/>
      <c r="BL581" s="449"/>
      <c r="BM581" s="449"/>
      <c r="BN581" s="449"/>
      <c r="BO581" s="449"/>
      <c r="BP581" s="449"/>
      <c r="BQ581" s="449"/>
      <c r="BR581" s="449"/>
      <c r="BS581" s="449"/>
      <c r="BT581" s="449"/>
    </row>
    <row r="582" spans="1:72" ht="15" hidden="1" x14ac:dyDescent="0.25">
      <c r="A582" s="587" t="s">
        <v>979</v>
      </c>
      <c r="B582" s="502" t="s">
        <v>980</v>
      </c>
      <c r="C582" s="400"/>
      <c r="D582" s="500"/>
      <c r="E582" s="449">
        <v>0</v>
      </c>
      <c r="F582" s="449"/>
      <c r="G582" s="421"/>
      <c r="H582" s="449">
        <v>0</v>
      </c>
      <c r="I582" s="449"/>
      <c r="J582" s="426"/>
      <c r="K582" s="421"/>
      <c r="L582" s="449"/>
      <c r="M582" s="449"/>
      <c r="N582" s="449"/>
      <c r="O582" s="449"/>
      <c r="P582" s="449"/>
      <c r="Q582" s="449"/>
      <c r="R582" s="449"/>
      <c r="S582" s="449"/>
      <c r="T582" s="449"/>
      <c r="U582" s="449"/>
      <c r="V582" s="449"/>
      <c r="W582" s="449"/>
      <c r="X582" s="449"/>
      <c r="Y582" s="449">
        <v>0</v>
      </c>
      <c r="Z582" s="501"/>
      <c r="AA582" s="449"/>
      <c r="AB582" s="449"/>
      <c r="AC582" s="449"/>
      <c r="AD582" s="449"/>
      <c r="AE582" s="449"/>
      <c r="AF582" s="449"/>
      <c r="AG582" s="449"/>
      <c r="AH582" s="449"/>
      <c r="AI582" s="449"/>
      <c r="AJ582" s="449"/>
      <c r="AK582" s="449"/>
      <c r="AL582" s="449"/>
      <c r="AN582" s="500"/>
      <c r="AO582" s="449"/>
      <c r="AP582" s="449"/>
      <c r="AQ582" s="453"/>
      <c r="AR582" s="449">
        <v>0</v>
      </c>
      <c r="AS582" s="449"/>
      <c r="AT582" s="426"/>
      <c r="AU582" s="421"/>
      <c r="AV582" s="449"/>
      <c r="AW582" s="449"/>
      <c r="AX582" s="449"/>
      <c r="AY582" s="449"/>
      <c r="AZ582" s="449"/>
      <c r="BA582" s="449"/>
      <c r="BB582" s="449"/>
      <c r="BC582" s="449"/>
      <c r="BD582" s="449"/>
      <c r="BE582" s="449"/>
      <c r="BF582" s="449"/>
      <c r="BG582" s="449"/>
      <c r="BH582" s="501"/>
      <c r="BI582" s="449"/>
      <c r="BJ582" s="449"/>
      <c r="BK582" s="449"/>
      <c r="BL582" s="449"/>
      <c r="BM582" s="449"/>
      <c r="BN582" s="449"/>
      <c r="BO582" s="449"/>
      <c r="BP582" s="449"/>
      <c r="BQ582" s="449"/>
      <c r="BR582" s="449"/>
      <c r="BS582" s="449"/>
      <c r="BT582" s="449"/>
    </row>
    <row r="583" spans="1:72" ht="15" customHeight="1" x14ac:dyDescent="0.25">
      <c r="A583" s="502" t="s">
        <v>981</v>
      </c>
      <c r="B583" s="502" t="s">
        <v>982</v>
      </c>
      <c r="C583" s="400"/>
      <c r="D583" s="500">
        <f>SUM(L583:W583)</f>
        <v>31562</v>
      </c>
      <c r="E583" s="449">
        <v>31562</v>
      </c>
      <c r="F583" s="449">
        <f>IFERROR(D583-E583,0)</f>
        <v>0</v>
      </c>
      <c r="G583" s="421">
        <f>IFERROR(F583/ABS(E583),0)</f>
        <v>0</v>
      </c>
      <c r="H583" s="449">
        <v>31562</v>
      </c>
      <c r="I583" s="449">
        <f>IFERROR(D583-H583,0)</f>
        <v>0</v>
      </c>
      <c r="J583" s="426">
        <f>IFERROR(I583/ABS(H583),0)</f>
        <v>0</v>
      </c>
      <c r="K583" s="421"/>
      <c r="L583" s="449">
        <v>0</v>
      </c>
      <c r="M583" s="449">
        <v>0</v>
      </c>
      <c r="N583" s="449">
        <v>0</v>
      </c>
      <c r="O583" s="449">
        <v>0</v>
      </c>
      <c r="P583" s="449">
        <v>0</v>
      </c>
      <c r="Q583" s="449">
        <v>0</v>
      </c>
      <c r="R583" s="449">
        <f>($H583-SUM($L583:Q583))/R$694</f>
        <v>5260.333333333333</v>
      </c>
      <c r="S583" s="449">
        <f>($H583-SUM($L583:R583))/S$694</f>
        <v>5260.3333333333339</v>
      </c>
      <c r="T583" s="449">
        <f>($H583-SUM($L583:S583))/T$694</f>
        <v>5260.333333333333</v>
      </c>
      <c r="U583" s="449">
        <f>($H583-SUM($L583:T583))/U$694</f>
        <v>5260.333333333333</v>
      </c>
      <c r="V583" s="449">
        <f>($H583-SUM($L583:U583))/V$694</f>
        <v>5260.3333333333339</v>
      </c>
      <c r="W583" s="449">
        <f>($H583-SUM($L583:V583))/W$694</f>
        <v>5260.3333333333358</v>
      </c>
      <c r="X583" s="449"/>
      <c r="Y583" s="449">
        <f>SUM(L583:W583)</f>
        <v>31562</v>
      </c>
      <c r="Z583" s="531"/>
      <c r="AA583" s="449">
        <f t="shared" ref="AA583:AL583" si="501">IFERROR($H583/12,0)</f>
        <v>2630.1666666666665</v>
      </c>
      <c r="AB583" s="449">
        <f t="shared" si="501"/>
        <v>2630.1666666666665</v>
      </c>
      <c r="AC583" s="449">
        <f t="shared" si="501"/>
        <v>2630.1666666666665</v>
      </c>
      <c r="AD583" s="449">
        <f t="shared" si="501"/>
        <v>2630.1666666666665</v>
      </c>
      <c r="AE583" s="449">
        <f t="shared" si="501"/>
        <v>2630.1666666666665</v>
      </c>
      <c r="AF583" s="449">
        <f t="shared" si="501"/>
        <v>2630.1666666666665</v>
      </c>
      <c r="AG583" s="449">
        <f t="shared" si="501"/>
        <v>2630.1666666666665</v>
      </c>
      <c r="AH583" s="449">
        <f t="shared" si="501"/>
        <v>2630.1666666666665</v>
      </c>
      <c r="AI583" s="449">
        <f t="shared" si="501"/>
        <v>2630.1666666666665</v>
      </c>
      <c r="AJ583" s="449">
        <f t="shared" si="501"/>
        <v>2630.1666666666665</v>
      </c>
      <c r="AK583" s="449">
        <f t="shared" si="501"/>
        <v>2630.1666666666665</v>
      </c>
      <c r="AL583" s="449">
        <f t="shared" si="501"/>
        <v>2630.1666666666665</v>
      </c>
      <c r="AN583" s="500">
        <f>SUM(L583:W583)</f>
        <v>31562</v>
      </c>
      <c r="AO583" s="449">
        <f>SUM(BI583:BT583)</f>
        <v>44095.561370000003</v>
      </c>
      <c r="AP583" s="449">
        <f>IFERROR(AO583-AN583,0)</f>
        <v>12533.561370000003</v>
      </c>
      <c r="AQ583" s="453">
        <f>IFERROR(AP583/ABS(AN583),"-")</f>
        <v>0.39710922533426279</v>
      </c>
      <c r="AR583" s="449">
        <f>SUM(BI583:BT583)</f>
        <v>44095.561370000003</v>
      </c>
      <c r="AS583" s="449">
        <f>IFERROR(AO583-AR583,0)</f>
        <v>0</v>
      </c>
      <c r="AT583" s="426">
        <f>IFERROR(AS583/ABS(AR583),0)</f>
        <v>0</v>
      </c>
      <c r="AU583" s="421"/>
      <c r="AV583" s="449">
        <f>BI583</f>
        <v>0</v>
      </c>
      <c r="AW583" s="449">
        <f t="shared" ref="AW583:BG583" si="502">BJ583</f>
        <v>0</v>
      </c>
      <c r="AX583" s="449">
        <f t="shared" si="502"/>
        <v>0</v>
      </c>
      <c r="AY583" s="449">
        <f t="shared" si="502"/>
        <v>0</v>
      </c>
      <c r="AZ583" s="449">
        <f t="shared" si="502"/>
        <v>0</v>
      </c>
      <c r="BA583" s="449">
        <f t="shared" si="502"/>
        <v>0</v>
      </c>
      <c r="BB583" s="449">
        <f t="shared" si="502"/>
        <v>0</v>
      </c>
      <c r="BC583" s="449">
        <f t="shared" si="502"/>
        <v>0</v>
      </c>
      <c r="BD583" s="449">
        <f t="shared" si="502"/>
        <v>0</v>
      </c>
      <c r="BE583" s="449">
        <f t="shared" si="502"/>
        <v>0</v>
      </c>
      <c r="BF583" s="449">
        <f t="shared" si="502"/>
        <v>0</v>
      </c>
      <c r="BG583" s="449">
        <f t="shared" si="502"/>
        <v>44095.561370000003</v>
      </c>
      <c r="BH583" s="531"/>
      <c r="BI583" s="449">
        <f>BI556</f>
        <v>0</v>
      </c>
      <c r="BJ583" s="449">
        <f t="shared" ref="BJ583:BT583" si="503">BJ556</f>
        <v>0</v>
      </c>
      <c r="BK583" s="449">
        <f t="shared" si="503"/>
        <v>0</v>
      </c>
      <c r="BL583" s="449">
        <f t="shared" si="503"/>
        <v>0</v>
      </c>
      <c r="BM583" s="449">
        <f t="shared" si="503"/>
        <v>0</v>
      </c>
      <c r="BN583" s="449">
        <f t="shared" si="503"/>
        <v>0</v>
      </c>
      <c r="BO583" s="449">
        <f t="shared" si="503"/>
        <v>0</v>
      </c>
      <c r="BP583" s="449">
        <f t="shared" si="503"/>
        <v>0</v>
      </c>
      <c r="BQ583" s="449">
        <f t="shared" si="503"/>
        <v>0</v>
      </c>
      <c r="BR583" s="449">
        <f t="shared" si="503"/>
        <v>0</v>
      </c>
      <c r="BS583" s="449">
        <f t="shared" si="503"/>
        <v>0</v>
      </c>
      <c r="BT583" s="449">
        <f t="shared" si="503"/>
        <v>44095.561370000003</v>
      </c>
    </row>
    <row r="584" spans="1:72" s="536" customFormat="1" ht="6" customHeight="1" x14ac:dyDescent="0.25">
      <c r="A584" s="587"/>
      <c r="B584" s="502"/>
      <c r="C584" s="400"/>
      <c r="D584" s="500"/>
      <c r="E584" s="449"/>
      <c r="F584" s="449"/>
      <c r="G584" s="421"/>
      <c r="H584" s="449"/>
      <c r="I584" s="449"/>
      <c r="J584" s="426"/>
      <c r="K584" s="421"/>
      <c r="L584" s="449"/>
      <c r="M584" s="449"/>
      <c r="N584" s="449"/>
      <c r="O584" s="449"/>
      <c r="P584" s="449"/>
      <c r="Q584" s="449"/>
      <c r="R584" s="449"/>
      <c r="S584" s="449"/>
      <c r="T584" s="449"/>
      <c r="U584" s="449"/>
      <c r="V584" s="449"/>
      <c r="W584" s="449"/>
      <c r="X584" s="449"/>
      <c r="Y584" s="449">
        <f>SUM(L584:W584)</f>
        <v>0</v>
      </c>
      <c r="Z584" s="501"/>
      <c r="AA584" s="449"/>
      <c r="AB584" s="449"/>
      <c r="AC584" s="449"/>
      <c r="AD584" s="449"/>
      <c r="AE584" s="449"/>
      <c r="AF584" s="449"/>
      <c r="AG584" s="449"/>
      <c r="AH584" s="449"/>
      <c r="AI584" s="449"/>
      <c r="AJ584" s="449"/>
      <c r="AK584" s="449"/>
      <c r="AL584" s="449"/>
      <c r="AN584" s="500"/>
      <c r="AO584" s="449"/>
      <c r="AP584" s="449"/>
      <c r="AQ584" s="453"/>
      <c r="AR584" s="449"/>
      <c r="AS584" s="449"/>
      <c r="AT584" s="426"/>
      <c r="AU584" s="421"/>
      <c r="AV584" s="449"/>
      <c r="AW584" s="449"/>
      <c r="AX584" s="449"/>
      <c r="AY584" s="449"/>
      <c r="AZ584" s="449"/>
      <c r="BA584" s="449"/>
      <c r="BB584" s="449"/>
      <c r="BC584" s="449"/>
      <c r="BD584" s="449"/>
      <c r="BE584" s="449"/>
      <c r="BF584" s="449"/>
      <c r="BG584" s="449"/>
      <c r="BH584" s="501"/>
      <c r="BI584" s="449"/>
      <c r="BJ584" s="449"/>
      <c r="BK584" s="449"/>
      <c r="BL584" s="449"/>
      <c r="BM584" s="449"/>
      <c r="BN584" s="449"/>
      <c r="BO584" s="449"/>
      <c r="BP584" s="449"/>
      <c r="BQ584" s="449"/>
      <c r="BR584" s="449"/>
      <c r="BS584" s="449"/>
      <c r="BT584" s="449"/>
    </row>
    <row r="585" spans="1:72" s="536" customFormat="1" ht="15" customHeight="1" thickBot="1" x14ac:dyDescent="0.3">
      <c r="A585" s="526"/>
      <c r="B585" s="524" t="s">
        <v>983</v>
      </c>
      <c r="D585" s="532">
        <f>SUM(D578:D584)</f>
        <v>31562</v>
      </c>
      <c r="E585" s="533">
        <f>SUM(E578:E584)</f>
        <v>31562</v>
      </c>
      <c r="F585" s="533">
        <f>IFERROR(D585-E585,0)</f>
        <v>0</v>
      </c>
      <c r="G585" s="520">
        <f>IFERROR(F585/ABS(E585),0)</f>
        <v>0</v>
      </c>
      <c r="H585" s="533">
        <f>SUM(H578:H583)</f>
        <v>31562</v>
      </c>
      <c r="I585" s="533">
        <f>IFERROR(D585-H585,0)</f>
        <v>0</v>
      </c>
      <c r="J585" s="521">
        <f>IFERROR(I585/ABS(H585),0)</f>
        <v>0</v>
      </c>
      <c r="K585" s="507"/>
      <c r="L585" s="533">
        <f>SUM(L578:L584)</f>
        <v>0</v>
      </c>
      <c r="M585" s="533">
        <f t="shared" ref="M585:W585" si="504">SUM(M578:M584)</f>
        <v>0</v>
      </c>
      <c r="N585" s="533">
        <f t="shared" si="504"/>
        <v>0</v>
      </c>
      <c r="O585" s="533">
        <f t="shared" si="504"/>
        <v>0</v>
      </c>
      <c r="P585" s="533">
        <f t="shared" si="504"/>
        <v>0</v>
      </c>
      <c r="Q585" s="533">
        <f t="shared" si="504"/>
        <v>0</v>
      </c>
      <c r="R585" s="533">
        <f t="shared" si="504"/>
        <v>5260.333333333333</v>
      </c>
      <c r="S585" s="533">
        <f t="shared" si="504"/>
        <v>5260.3333333333339</v>
      </c>
      <c r="T585" s="533">
        <f t="shared" si="504"/>
        <v>5260.333333333333</v>
      </c>
      <c r="U585" s="533">
        <f t="shared" si="504"/>
        <v>5260.333333333333</v>
      </c>
      <c r="V585" s="533">
        <f t="shared" si="504"/>
        <v>5260.3333333333339</v>
      </c>
      <c r="W585" s="533">
        <f t="shared" si="504"/>
        <v>5260.3333333333358</v>
      </c>
      <c r="X585" s="533"/>
      <c r="Y585" s="533">
        <f>SUM(Y578:Y584)</f>
        <v>31562</v>
      </c>
      <c r="Z585" s="508"/>
      <c r="AA585" s="533">
        <f t="shared" ref="AA585:AL585" si="505">SUM(AA578:AA584)</f>
        <v>2630.1666666666665</v>
      </c>
      <c r="AB585" s="533">
        <f t="shared" si="505"/>
        <v>2630.1666666666665</v>
      </c>
      <c r="AC585" s="533">
        <f t="shared" si="505"/>
        <v>2630.1666666666665</v>
      </c>
      <c r="AD585" s="533">
        <f t="shared" si="505"/>
        <v>2630.1666666666665</v>
      </c>
      <c r="AE585" s="533">
        <f t="shared" si="505"/>
        <v>2630.1666666666665</v>
      </c>
      <c r="AF585" s="533">
        <f t="shared" si="505"/>
        <v>2630.1666666666665</v>
      </c>
      <c r="AG585" s="533">
        <f t="shared" si="505"/>
        <v>2630.1666666666665</v>
      </c>
      <c r="AH585" s="533">
        <f t="shared" si="505"/>
        <v>2630.1666666666665</v>
      </c>
      <c r="AI585" s="533">
        <f t="shared" si="505"/>
        <v>2630.1666666666665</v>
      </c>
      <c r="AJ585" s="533">
        <f t="shared" si="505"/>
        <v>2630.1666666666665</v>
      </c>
      <c r="AK585" s="533">
        <f t="shared" si="505"/>
        <v>2630.1666666666665</v>
      </c>
      <c r="AL585" s="533">
        <f t="shared" si="505"/>
        <v>2630.1666666666665</v>
      </c>
      <c r="AN585" s="532">
        <f>SUM(AN578:AN584)</f>
        <v>31562</v>
      </c>
      <c r="AO585" s="533">
        <f>SUM(AO578:AO584)</f>
        <v>44095.561370000003</v>
      </c>
      <c r="AP585" s="533">
        <f>IFERROR(AO585-AN585,0)</f>
        <v>12533.561370000003</v>
      </c>
      <c r="AQ585" s="523">
        <f>IFERROR(AP585/ABS(AN585),"-")</f>
        <v>0.39710922533426279</v>
      </c>
      <c r="AR585" s="533">
        <f>SUM(AR578:AR583)</f>
        <v>44095.561370000003</v>
      </c>
      <c r="AS585" s="533">
        <f>IFERROR(AO585-AR585,0)</f>
        <v>0</v>
      </c>
      <c r="AT585" s="521">
        <f>IFERROR(AS585/ABS(AR585),0)</f>
        <v>0</v>
      </c>
      <c r="AU585" s="507"/>
      <c r="AV585" s="533">
        <f>SUM(AV578:AV584)</f>
        <v>0</v>
      </c>
      <c r="AW585" s="533">
        <f t="shared" ref="AW585:BG585" si="506">SUM(AW578:AW584)</f>
        <v>0</v>
      </c>
      <c r="AX585" s="533">
        <f t="shared" si="506"/>
        <v>0</v>
      </c>
      <c r="AY585" s="533">
        <f t="shared" si="506"/>
        <v>0</v>
      </c>
      <c r="AZ585" s="533">
        <f t="shared" si="506"/>
        <v>0</v>
      </c>
      <c r="BA585" s="533">
        <f t="shared" si="506"/>
        <v>0</v>
      </c>
      <c r="BB585" s="533">
        <f t="shared" si="506"/>
        <v>0</v>
      </c>
      <c r="BC585" s="533">
        <f t="shared" si="506"/>
        <v>0</v>
      </c>
      <c r="BD585" s="533">
        <f t="shared" si="506"/>
        <v>0</v>
      </c>
      <c r="BE585" s="533">
        <f t="shared" si="506"/>
        <v>0</v>
      </c>
      <c r="BF585" s="533">
        <f t="shared" si="506"/>
        <v>0</v>
      </c>
      <c r="BG585" s="533">
        <f t="shared" si="506"/>
        <v>44095.561370000003</v>
      </c>
      <c r="BH585" s="508"/>
      <c r="BI585" s="533">
        <f t="shared" ref="BI585:BT585" si="507">SUM(BI578:BI584)</f>
        <v>0</v>
      </c>
      <c r="BJ585" s="533">
        <f t="shared" si="507"/>
        <v>0</v>
      </c>
      <c r="BK585" s="533">
        <f t="shared" si="507"/>
        <v>0</v>
      </c>
      <c r="BL585" s="533">
        <f t="shared" si="507"/>
        <v>0</v>
      </c>
      <c r="BM585" s="533">
        <f t="shared" si="507"/>
        <v>0</v>
      </c>
      <c r="BN585" s="533">
        <f t="shared" si="507"/>
        <v>0</v>
      </c>
      <c r="BO585" s="533">
        <f t="shared" si="507"/>
        <v>0</v>
      </c>
      <c r="BP585" s="533">
        <f t="shared" si="507"/>
        <v>0</v>
      </c>
      <c r="BQ585" s="533">
        <f t="shared" si="507"/>
        <v>0</v>
      </c>
      <c r="BR585" s="533">
        <f t="shared" si="507"/>
        <v>0</v>
      </c>
      <c r="BS585" s="533">
        <f t="shared" si="507"/>
        <v>0</v>
      </c>
      <c r="BT585" s="533">
        <f t="shared" si="507"/>
        <v>44095.561370000003</v>
      </c>
    </row>
    <row r="586" spans="1:72" s="536" customFormat="1" ht="15" customHeight="1" thickTop="1" x14ac:dyDescent="0.25">
      <c r="A586" s="587"/>
      <c r="B586" s="502"/>
      <c r="C586" s="400"/>
      <c r="D586" s="500"/>
      <c r="E586" s="449"/>
      <c r="F586" s="449"/>
      <c r="G586" s="421"/>
      <c r="H586" s="449"/>
      <c r="I586" s="449"/>
      <c r="J586" s="426"/>
      <c r="K586" s="421"/>
      <c r="L586" s="449"/>
      <c r="M586" s="449"/>
      <c r="N586" s="449"/>
      <c r="O586" s="449"/>
      <c r="P586" s="449"/>
      <c r="Q586" s="449"/>
      <c r="R586" s="449"/>
      <c r="S586" s="449"/>
      <c r="T586" s="449"/>
      <c r="U586" s="449"/>
      <c r="V586" s="449"/>
      <c r="W586" s="449"/>
      <c r="X586" s="449"/>
      <c r="Y586" s="449"/>
      <c r="Z586" s="501"/>
      <c r="AA586" s="449"/>
      <c r="AB586" s="449"/>
      <c r="AC586" s="449"/>
      <c r="AD586" s="449"/>
      <c r="AE586" s="449"/>
      <c r="AF586" s="449"/>
      <c r="AG586" s="449"/>
      <c r="AH586" s="449"/>
      <c r="AI586" s="449"/>
      <c r="AJ586" s="449"/>
      <c r="AK586" s="449"/>
      <c r="AL586" s="449"/>
      <c r="AN586" s="500"/>
      <c r="AO586" s="449"/>
      <c r="AP586" s="449"/>
      <c r="AQ586" s="453"/>
      <c r="AR586" s="449"/>
      <c r="AS586" s="449"/>
      <c r="AT586" s="426"/>
      <c r="AU586" s="421"/>
      <c r="AV586" s="449"/>
      <c r="AW586" s="449"/>
      <c r="AX586" s="449"/>
      <c r="AY586" s="449"/>
      <c r="AZ586" s="449"/>
      <c r="BA586" s="449"/>
      <c r="BB586" s="449"/>
      <c r="BC586" s="449"/>
      <c r="BD586" s="449"/>
      <c r="BE586" s="449"/>
      <c r="BF586" s="449"/>
      <c r="BG586" s="449"/>
      <c r="BH586" s="501"/>
      <c r="BI586" s="449"/>
      <c r="BJ586" s="449"/>
      <c r="BK586" s="449"/>
      <c r="BL586" s="449"/>
      <c r="BM586" s="449"/>
      <c r="BN586" s="449"/>
      <c r="BO586" s="449"/>
      <c r="BP586" s="449"/>
      <c r="BQ586" s="449"/>
      <c r="BR586" s="449"/>
      <c r="BS586" s="449"/>
      <c r="BT586" s="449"/>
    </row>
    <row r="587" spans="1:72" s="536" customFormat="1" ht="15" customHeight="1" x14ac:dyDescent="0.25">
      <c r="A587" s="587"/>
      <c r="B587" s="524" t="s">
        <v>984</v>
      </c>
      <c r="C587" s="400"/>
      <c r="D587" s="500"/>
      <c r="E587" s="449"/>
      <c r="F587" s="449"/>
      <c r="G587" s="421"/>
      <c r="H587" s="449"/>
      <c r="I587" s="449"/>
      <c r="J587" s="426"/>
      <c r="K587" s="421"/>
      <c r="L587" s="449"/>
      <c r="M587" s="449"/>
      <c r="N587" s="449"/>
      <c r="O587" s="449"/>
      <c r="P587" s="449"/>
      <c r="Q587" s="449"/>
      <c r="R587" s="449"/>
      <c r="S587" s="449"/>
      <c r="T587" s="449"/>
      <c r="U587" s="449"/>
      <c r="V587" s="449"/>
      <c r="W587" s="449"/>
      <c r="X587" s="449"/>
      <c r="Y587" s="449"/>
      <c r="Z587" s="501"/>
      <c r="AA587" s="449"/>
      <c r="AB587" s="449"/>
      <c r="AC587" s="449"/>
      <c r="AD587" s="449"/>
      <c r="AE587" s="449"/>
      <c r="AF587" s="449"/>
      <c r="AG587" s="449"/>
      <c r="AH587" s="449"/>
      <c r="AI587" s="449"/>
      <c r="AJ587" s="449"/>
      <c r="AK587" s="449"/>
      <c r="AL587" s="449"/>
      <c r="AN587" s="500"/>
      <c r="AO587" s="449"/>
      <c r="AP587" s="449"/>
      <c r="AQ587" s="453"/>
      <c r="AR587" s="449"/>
      <c r="AS587" s="449"/>
      <c r="AT587" s="426"/>
      <c r="AU587" s="421"/>
      <c r="AV587" s="449"/>
      <c r="AW587" s="449"/>
      <c r="AX587" s="449"/>
      <c r="AY587" s="449"/>
      <c r="AZ587" s="449"/>
      <c r="BA587" s="449"/>
      <c r="BB587" s="449"/>
      <c r="BC587" s="449"/>
      <c r="BD587" s="449"/>
      <c r="BE587" s="449"/>
      <c r="BF587" s="449"/>
      <c r="BG587" s="449"/>
      <c r="BH587" s="501"/>
      <c r="BI587" s="449"/>
      <c r="BJ587" s="449"/>
      <c r="BK587" s="449"/>
      <c r="BL587" s="449"/>
      <c r="BM587" s="449"/>
      <c r="BN587" s="449"/>
      <c r="BO587" s="449"/>
      <c r="BP587" s="449"/>
      <c r="BQ587" s="449"/>
      <c r="BR587" s="449"/>
      <c r="BS587" s="449"/>
      <c r="BT587" s="449"/>
    </row>
    <row r="588" spans="1:72" s="536" customFormat="1" ht="5.25" customHeight="1" x14ac:dyDescent="0.25">
      <c r="A588" s="587"/>
      <c r="B588" s="524"/>
      <c r="C588" s="400"/>
      <c r="D588" s="500"/>
      <c r="E588" s="449"/>
      <c r="F588" s="449"/>
      <c r="G588" s="421"/>
      <c r="H588" s="449"/>
      <c r="I588" s="449"/>
      <c r="J588" s="426"/>
      <c r="K588" s="421"/>
      <c r="L588" s="449"/>
      <c r="M588" s="449"/>
      <c r="N588" s="449"/>
      <c r="O588" s="449"/>
      <c r="P588" s="449"/>
      <c r="Q588" s="449"/>
      <c r="R588" s="449"/>
      <c r="S588" s="449"/>
      <c r="T588" s="449"/>
      <c r="U588" s="449"/>
      <c r="V588" s="449"/>
      <c r="W588" s="449"/>
      <c r="X588" s="449"/>
      <c r="Y588" s="449"/>
      <c r="Z588" s="501"/>
      <c r="AA588" s="449"/>
      <c r="AB588" s="449"/>
      <c r="AC588" s="449"/>
      <c r="AD588" s="449"/>
      <c r="AE588" s="449"/>
      <c r="AF588" s="449"/>
      <c r="AG588" s="449"/>
      <c r="AH588" s="449"/>
      <c r="AI588" s="449"/>
      <c r="AJ588" s="449"/>
      <c r="AK588" s="449"/>
      <c r="AL588" s="449"/>
      <c r="AN588" s="500"/>
      <c r="AO588" s="449"/>
      <c r="AP588" s="449"/>
      <c r="AQ588" s="453"/>
      <c r="AR588" s="449"/>
      <c r="AS588" s="449"/>
      <c r="AT588" s="426"/>
      <c r="AU588" s="421"/>
      <c r="AV588" s="449"/>
      <c r="AW588" s="449"/>
      <c r="AX588" s="449"/>
      <c r="AY588" s="449"/>
      <c r="AZ588" s="449"/>
      <c r="BA588" s="449"/>
      <c r="BB588" s="449"/>
      <c r="BC588" s="449"/>
      <c r="BD588" s="449"/>
      <c r="BE588" s="449"/>
      <c r="BF588" s="449"/>
      <c r="BG588" s="449"/>
      <c r="BH588" s="501"/>
      <c r="BI588" s="449"/>
      <c r="BJ588" s="449"/>
      <c r="BK588" s="449"/>
      <c r="BL588" s="449"/>
      <c r="BM588" s="449"/>
      <c r="BN588" s="449"/>
      <c r="BO588" s="449"/>
      <c r="BP588" s="449"/>
      <c r="BQ588" s="449"/>
      <c r="BR588" s="449"/>
      <c r="BS588" s="449"/>
      <c r="BT588" s="449"/>
    </row>
    <row r="589" spans="1:72" ht="15" x14ac:dyDescent="0.25">
      <c r="A589" s="502" t="s">
        <v>985</v>
      </c>
      <c r="B589" s="502" t="s">
        <v>986</v>
      </c>
      <c r="C589" s="538"/>
      <c r="D589" s="500">
        <f t="shared" ref="D589:D597" si="508">SUM(L589:W589)</f>
        <v>23803</v>
      </c>
      <c r="E589" s="449">
        <v>11958</v>
      </c>
      <c r="F589" s="449">
        <f t="shared" ref="F589:F597" si="509">IFERROR(D589-E589,0)</f>
        <v>11845</v>
      </c>
      <c r="G589" s="421">
        <f t="shared" ref="G589:G597" si="510">IFERROR(F589/ABS(E589),0)</f>
        <v>0.99055025924067575</v>
      </c>
      <c r="H589" s="449">
        <v>23803</v>
      </c>
      <c r="I589" s="449">
        <f t="shared" ref="I589:I597" si="511">IFERROR(D589-H589,0)</f>
        <v>0</v>
      </c>
      <c r="J589" s="426">
        <f t="shared" ref="J589:J597" si="512">IFERROR(I589/ABS(H589),0)</f>
        <v>0</v>
      </c>
      <c r="K589" s="421"/>
      <c r="L589" s="449">
        <v>0</v>
      </c>
      <c r="M589" s="449">
        <v>1292.7</v>
      </c>
      <c r="N589" s="449">
        <v>2467.2799999999997</v>
      </c>
      <c r="O589" s="449">
        <v>1748.9900000000007</v>
      </c>
      <c r="P589" s="449">
        <v>1637.1099999999997</v>
      </c>
      <c r="Q589" s="449">
        <v>1637.0100000000002</v>
      </c>
      <c r="R589" s="449">
        <f>($H589-SUM($L589:Q589))/R$694</f>
        <v>2503.3183333333332</v>
      </c>
      <c r="S589" s="449">
        <f>($H589-SUM($L589:R589))/S$694</f>
        <v>2503.3183333333336</v>
      </c>
      <c r="T589" s="449">
        <f>($H589-SUM($L589:S589))/T$694</f>
        <v>2503.3183333333336</v>
      </c>
      <c r="U589" s="449">
        <f>($H589-SUM($L589:T589))/U$694</f>
        <v>2503.3183333333341</v>
      </c>
      <c r="V589" s="449">
        <f>($H589-SUM($L589:U589))/V$694</f>
        <v>2503.3183333333345</v>
      </c>
      <c r="W589" s="449">
        <f>($H589-SUM($L589:V589))/W$694</f>
        <v>2503.3183333333363</v>
      </c>
      <c r="X589" s="449"/>
      <c r="Y589" s="449">
        <f t="shared" ref="Y589:Y597" si="513">SUM(L589:W589)</f>
        <v>23803</v>
      </c>
      <c r="Z589" s="531"/>
      <c r="AA589" s="449">
        <f t="shared" ref="AA589:AL597" si="514">IFERROR($H589/12,0)</f>
        <v>1983.5833333333333</v>
      </c>
      <c r="AB589" s="449">
        <f t="shared" si="514"/>
        <v>1983.5833333333333</v>
      </c>
      <c r="AC589" s="449">
        <f t="shared" si="514"/>
        <v>1983.5833333333333</v>
      </c>
      <c r="AD589" s="449">
        <f t="shared" si="514"/>
        <v>1983.5833333333333</v>
      </c>
      <c r="AE589" s="449">
        <f t="shared" si="514"/>
        <v>1983.5833333333333</v>
      </c>
      <c r="AF589" s="449">
        <f t="shared" si="514"/>
        <v>1983.5833333333333</v>
      </c>
      <c r="AG589" s="449">
        <f t="shared" si="514"/>
        <v>1983.5833333333333</v>
      </c>
      <c r="AH589" s="449">
        <f t="shared" si="514"/>
        <v>1983.5833333333333</v>
      </c>
      <c r="AI589" s="449">
        <f t="shared" si="514"/>
        <v>1983.5833333333333</v>
      </c>
      <c r="AJ589" s="449">
        <f t="shared" si="514"/>
        <v>1983.5833333333333</v>
      </c>
      <c r="AK589" s="449">
        <f t="shared" si="514"/>
        <v>1983.5833333333333</v>
      </c>
      <c r="AL589" s="449">
        <f t="shared" si="514"/>
        <v>1983.5833333333333</v>
      </c>
      <c r="AN589" s="500">
        <f t="shared" ref="AN589:AN597" si="515">SUM(L589:W589)</f>
        <v>23803</v>
      </c>
      <c r="AO589" s="449">
        <f t="shared" ref="AO589:AO597" si="516">SUM(BI589:BT589)</f>
        <v>31610.7</v>
      </c>
      <c r="AP589" s="449">
        <f t="shared" ref="AP589:AP597" si="517">IFERROR(AO589-AN589,0)</f>
        <v>7807.7000000000007</v>
      </c>
      <c r="AQ589" s="453">
        <f t="shared" ref="AQ589:AQ597" si="518">IFERROR(AP589/ABS(AN589),"-")</f>
        <v>0.32801327563752469</v>
      </c>
      <c r="AR589" s="449">
        <f t="shared" ref="AR589:AR597" si="519">SUM(BI589:BT589)</f>
        <v>31610.7</v>
      </c>
      <c r="AS589" s="449">
        <f t="shared" ref="AS589:AS597" si="520">IFERROR(AO589-AR589,0)</f>
        <v>0</v>
      </c>
      <c r="AT589" s="426">
        <f t="shared" ref="AT589:AT597" si="521">IFERROR(AS589/ABS(AR589),0)</f>
        <v>0</v>
      </c>
      <c r="AU589" s="421"/>
      <c r="AV589" s="449">
        <f t="shared" ref="AV589:BG597" si="522">BI589</f>
        <v>0</v>
      </c>
      <c r="AW589" s="449">
        <f t="shared" si="522"/>
        <v>3161.07</v>
      </c>
      <c r="AX589" s="449">
        <f t="shared" si="522"/>
        <v>3161.07</v>
      </c>
      <c r="AY589" s="449">
        <f t="shared" si="522"/>
        <v>3161.07</v>
      </c>
      <c r="AZ589" s="449">
        <f t="shared" si="522"/>
        <v>3161.07</v>
      </c>
      <c r="BA589" s="449">
        <f t="shared" si="522"/>
        <v>3161.07</v>
      </c>
      <c r="BB589" s="449">
        <f t="shared" si="522"/>
        <v>3161.07</v>
      </c>
      <c r="BC589" s="449">
        <f t="shared" si="522"/>
        <v>3161.07</v>
      </c>
      <c r="BD589" s="449">
        <f t="shared" si="522"/>
        <v>3161.07</v>
      </c>
      <c r="BE589" s="449">
        <f t="shared" si="522"/>
        <v>3161.07</v>
      </c>
      <c r="BF589" s="449">
        <f t="shared" si="522"/>
        <v>3161.07</v>
      </c>
      <c r="BG589" s="449">
        <f t="shared" si="522"/>
        <v>0</v>
      </c>
      <c r="BH589" s="400"/>
      <c r="BI589" s="449">
        <v>0</v>
      </c>
      <c r="BJ589" s="449">
        <f>SUM('FY19 Staffing V1-1 (3)'!$P$197:$P$201)/10</f>
        <v>3161.07</v>
      </c>
      <c r="BK589" s="449">
        <f>SUM('FY19 Staffing V1-1 (3)'!$P$197:$P$201)/10</f>
        <v>3161.07</v>
      </c>
      <c r="BL589" s="449">
        <f>SUM('FY19 Staffing V1-1 (3)'!$P$197:$P$201)/10</f>
        <v>3161.07</v>
      </c>
      <c r="BM589" s="449">
        <f>SUM('FY19 Staffing V1-1 (3)'!$P$197:$P$201)/10</f>
        <v>3161.07</v>
      </c>
      <c r="BN589" s="449">
        <f>SUM('FY19 Staffing V1-1 (3)'!$P$197:$P$201)/10</f>
        <v>3161.07</v>
      </c>
      <c r="BO589" s="449">
        <f>SUM('FY19 Staffing V1-1 (3)'!$P$197:$P$201)/10</f>
        <v>3161.07</v>
      </c>
      <c r="BP589" s="449">
        <f>SUM('FY19 Staffing V1-1 (3)'!$P$197:$P$201)/10</f>
        <v>3161.07</v>
      </c>
      <c r="BQ589" s="449">
        <f>SUM('FY19 Staffing V1-1 (3)'!$P$197:$P$201)/10</f>
        <v>3161.07</v>
      </c>
      <c r="BR589" s="449">
        <f>SUM('FY19 Staffing V1-1 (3)'!$P$197:$P$201)/10</f>
        <v>3161.07</v>
      </c>
      <c r="BS589" s="449">
        <f>SUM('FY19 Staffing V1-1 (3)'!$P$197:$P$201)/10</f>
        <v>3161.07</v>
      </c>
      <c r="BT589" s="449">
        <v>0</v>
      </c>
    </row>
    <row r="590" spans="1:72" ht="15" x14ac:dyDescent="0.25">
      <c r="A590" s="502" t="s">
        <v>987</v>
      </c>
      <c r="B590" s="502" t="s">
        <v>988</v>
      </c>
      <c r="C590" s="538"/>
      <c r="D590" s="500">
        <f t="shared" si="508"/>
        <v>0</v>
      </c>
      <c r="E590" s="449">
        <v>11845</v>
      </c>
      <c r="F590" s="449">
        <f t="shared" si="509"/>
        <v>-11845</v>
      </c>
      <c r="G590" s="421">
        <f t="shared" si="510"/>
        <v>-1</v>
      </c>
      <c r="H590" s="449">
        <v>0</v>
      </c>
      <c r="I590" s="449">
        <f t="shared" si="511"/>
        <v>0</v>
      </c>
      <c r="J590" s="426">
        <f t="shared" si="512"/>
        <v>0</v>
      </c>
      <c r="K590" s="421"/>
      <c r="L590" s="449">
        <v>0</v>
      </c>
      <c r="M590" s="449">
        <v>0</v>
      </c>
      <c r="N590" s="449">
        <v>0</v>
      </c>
      <c r="O590" s="449">
        <v>0</v>
      </c>
      <c r="P590" s="449">
        <v>0</v>
      </c>
      <c r="Q590" s="449">
        <v>0</v>
      </c>
      <c r="R590" s="449">
        <f>($H590-SUM($L590:Q590))/R$694</f>
        <v>0</v>
      </c>
      <c r="S590" s="449">
        <f>($H590-SUM($L590:R590))/S$694</f>
        <v>0</v>
      </c>
      <c r="T590" s="449">
        <f>($H590-SUM($L590:S590))/T$694</f>
        <v>0</v>
      </c>
      <c r="U590" s="449">
        <f>($H590-SUM($L590:T590))/U$694</f>
        <v>0</v>
      </c>
      <c r="V590" s="449">
        <f>($H590-SUM($L590:U590))/V$694</f>
        <v>0</v>
      </c>
      <c r="W590" s="449">
        <f>($H590-SUM($L590:V590))/W$694</f>
        <v>0</v>
      </c>
      <c r="X590" s="449"/>
      <c r="Y590" s="449">
        <f t="shared" si="513"/>
        <v>0</v>
      </c>
      <c r="Z590" s="531"/>
      <c r="AA590" s="449">
        <f t="shared" si="514"/>
        <v>0</v>
      </c>
      <c r="AB590" s="449">
        <f t="shared" si="514"/>
        <v>0</v>
      </c>
      <c r="AC590" s="449">
        <f t="shared" si="514"/>
        <v>0</v>
      </c>
      <c r="AD590" s="449">
        <f t="shared" si="514"/>
        <v>0</v>
      </c>
      <c r="AE590" s="449">
        <f t="shared" si="514"/>
        <v>0</v>
      </c>
      <c r="AF590" s="449">
        <f t="shared" si="514"/>
        <v>0</v>
      </c>
      <c r="AG590" s="449">
        <f t="shared" si="514"/>
        <v>0</v>
      </c>
      <c r="AH590" s="449">
        <f t="shared" si="514"/>
        <v>0</v>
      </c>
      <c r="AI590" s="449">
        <f t="shared" si="514"/>
        <v>0</v>
      </c>
      <c r="AJ590" s="449">
        <f t="shared" si="514"/>
        <v>0</v>
      </c>
      <c r="AK590" s="449">
        <f t="shared" si="514"/>
        <v>0</v>
      </c>
      <c r="AL590" s="449">
        <f t="shared" si="514"/>
        <v>0</v>
      </c>
      <c r="AN590" s="500">
        <f t="shared" si="515"/>
        <v>0</v>
      </c>
      <c r="AO590" s="449">
        <f t="shared" si="516"/>
        <v>0</v>
      </c>
      <c r="AP590" s="449">
        <f t="shared" si="517"/>
        <v>0</v>
      </c>
      <c r="AQ590" s="453" t="str">
        <f t="shared" si="518"/>
        <v>-</v>
      </c>
      <c r="AR590" s="449">
        <f t="shared" si="519"/>
        <v>0</v>
      </c>
      <c r="AS590" s="449">
        <f t="shared" si="520"/>
        <v>0</v>
      </c>
      <c r="AT590" s="426">
        <f t="shared" si="521"/>
        <v>0</v>
      </c>
      <c r="AU590" s="421"/>
      <c r="AV590" s="449">
        <f t="shared" si="522"/>
        <v>0</v>
      </c>
      <c r="AW590" s="449">
        <f t="shared" si="522"/>
        <v>0</v>
      </c>
      <c r="AX590" s="449">
        <f t="shared" si="522"/>
        <v>0</v>
      </c>
      <c r="AY590" s="449">
        <f t="shared" si="522"/>
        <v>0</v>
      </c>
      <c r="AZ590" s="449">
        <f t="shared" si="522"/>
        <v>0</v>
      </c>
      <c r="BA590" s="449">
        <f t="shared" si="522"/>
        <v>0</v>
      </c>
      <c r="BB590" s="449">
        <f t="shared" si="522"/>
        <v>0</v>
      </c>
      <c r="BC590" s="449">
        <f t="shared" si="522"/>
        <v>0</v>
      </c>
      <c r="BD590" s="449">
        <f t="shared" si="522"/>
        <v>0</v>
      </c>
      <c r="BE590" s="449">
        <f t="shared" si="522"/>
        <v>0</v>
      </c>
      <c r="BF590" s="449">
        <f t="shared" si="522"/>
        <v>0</v>
      </c>
      <c r="BG590" s="449">
        <f t="shared" si="522"/>
        <v>0</v>
      </c>
      <c r="BH590" s="400"/>
      <c r="BI590" s="449">
        <v>0</v>
      </c>
      <c r="BJ590" s="449">
        <v>0</v>
      </c>
      <c r="BK590" s="449">
        <v>0</v>
      </c>
      <c r="BL590" s="449">
        <v>0</v>
      </c>
      <c r="BM590" s="449">
        <v>0</v>
      </c>
      <c r="BN590" s="449">
        <v>0</v>
      </c>
      <c r="BO590" s="449">
        <v>0</v>
      </c>
      <c r="BP590" s="449">
        <v>0</v>
      </c>
      <c r="BQ590" s="449">
        <v>0</v>
      </c>
      <c r="BR590" s="449">
        <v>0</v>
      </c>
      <c r="BS590" s="449">
        <v>0</v>
      </c>
      <c r="BT590" s="449">
        <v>0</v>
      </c>
    </row>
    <row r="591" spans="1:72" ht="15" x14ac:dyDescent="0.25">
      <c r="A591" s="502" t="s">
        <v>989</v>
      </c>
      <c r="B591" s="502" t="s">
        <v>990</v>
      </c>
      <c r="C591" s="538"/>
      <c r="D591" s="500">
        <f t="shared" si="508"/>
        <v>0</v>
      </c>
      <c r="E591" s="449">
        <v>0</v>
      </c>
      <c r="F591" s="449">
        <f t="shared" si="509"/>
        <v>0</v>
      </c>
      <c r="G591" s="421">
        <f t="shared" si="510"/>
        <v>0</v>
      </c>
      <c r="H591" s="449"/>
      <c r="I591" s="449">
        <f t="shared" si="511"/>
        <v>0</v>
      </c>
      <c r="J591" s="426">
        <f t="shared" si="512"/>
        <v>0</v>
      </c>
      <c r="K591" s="421"/>
      <c r="L591" s="449">
        <v>0</v>
      </c>
      <c r="M591" s="449">
        <v>0</v>
      </c>
      <c r="N591" s="449">
        <v>0</v>
      </c>
      <c r="O591" s="449">
        <v>0</v>
      </c>
      <c r="P591" s="449">
        <v>0</v>
      </c>
      <c r="Q591" s="449">
        <v>0</v>
      </c>
      <c r="R591" s="449">
        <f>($H591-SUM($L591:Q591))/R$694</f>
        <v>0</v>
      </c>
      <c r="S591" s="449">
        <f>($H591-SUM($L591:R591))/S$694</f>
        <v>0</v>
      </c>
      <c r="T591" s="449">
        <f>($H591-SUM($L591:S591))/T$694</f>
        <v>0</v>
      </c>
      <c r="U591" s="449">
        <f>($H591-SUM($L591:T591))/U$694</f>
        <v>0</v>
      </c>
      <c r="V591" s="449">
        <f>($H591-SUM($L591:U591))/V$694</f>
        <v>0</v>
      </c>
      <c r="W591" s="449">
        <f>($H591-SUM($L591:V591))/W$694</f>
        <v>0</v>
      </c>
      <c r="X591" s="449"/>
      <c r="Y591" s="449">
        <f t="shared" si="513"/>
        <v>0</v>
      </c>
      <c r="Z591" s="531"/>
      <c r="AA591" s="449">
        <f t="shared" si="514"/>
        <v>0</v>
      </c>
      <c r="AB591" s="449">
        <f t="shared" si="514"/>
        <v>0</v>
      </c>
      <c r="AC591" s="449">
        <f t="shared" si="514"/>
        <v>0</v>
      </c>
      <c r="AD591" s="449">
        <f t="shared" si="514"/>
        <v>0</v>
      </c>
      <c r="AE591" s="449">
        <f t="shared" si="514"/>
        <v>0</v>
      </c>
      <c r="AF591" s="449">
        <f t="shared" si="514"/>
        <v>0</v>
      </c>
      <c r="AG591" s="449">
        <f t="shared" si="514"/>
        <v>0</v>
      </c>
      <c r="AH591" s="449">
        <f t="shared" si="514"/>
        <v>0</v>
      </c>
      <c r="AI591" s="449">
        <f t="shared" si="514"/>
        <v>0</v>
      </c>
      <c r="AJ591" s="449">
        <f t="shared" si="514"/>
        <v>0</v>
      </c>
      <c r="AK591" s="449">
        <f t="shared" si="514"/>
        <v>0</v>
      </c>
      <c r="AL591" s="449">
        <f t="shared" si="514"/>
        <v>0</v>
      </c>
      <c r="AN591" s="500">
        <f t="shared" si="515"/>
        <v>0</v>
      </c>
      <c r="AO591" s="449">
        <f t="shared" si="516"/>
        <v>0</v>
      </c>
      <c r="AP591" s="449">
        <f t="shared" si="517"/>
        <v>0</v>
      </c>
      <c r="AQ591" s="453" t="str">
        <f t="shared" si="518"/>
        <v>-</v>
      </c>
      <c r="AR591" s="449">
        <f t="shared" si="519"/>
        <v>0</v>
      </c>
      <c r="AS591" s="449">
        <f t="shared" si="520"/>
        <v>0</v>
      </c>
      <c r="AT591" s="426">
        <f t="shared" si="521"/>
        <v>0</v>
      </c>
      <c r="AU591" s="421"/>
      <c r="AV591" s="449">
        <f t="shared" si="522"/>
        <v>0</v>
      </c>
      <c r="AW591" s="449">
        <f t="shared" si="522"/>
        <v>0</v>
      </c>
      <c r="AX591" s="449">
        <f t="shared" si="522"/>
        <v>0</v>
      </c>
      <c r="AY591" s="449">
        <f t="shared" si="522"/>
        <v>0</v>
      </c>
      <c r="AZ591" s="449">
        <f t="shared" si="522"/>
        <v>0</v>
      </c>
      <c r="BA591" s="449">
        <f t="shared" si="522"/>
        <v>0</v>
      </c>
      <c r="BB591" s="449">
        <f t="shared" si="522"/>
        <v>0</v>
      </c>
      <c r="BC591" s="449">
        <f t="shared" si="522"/>
        <v>0</v>
      </c>
      <c r="BD591" s="449">
        <f t="shared" si="522"/>
        <v>0</v>
      </c>
      <c r="BE591" s="449">
        <f t="shared" si="522"/>
        <v>0</v>
      </c>
      <c r="BF591" s="449">
        <f t="shared" si="522"/>
        <v>0</v>
      </c>
      <c r="BG591" s="449">
        <f t="shared" si="522"/>
        <v>0</v>
      </c>
      <c r="BH591" s="400"/>
      <c r="BI591" s="449">
        <v>0</v>
      </c>
      <c r="BJ591" s="449">
        <v>0</v>
      </c>
      <c r="BK591" s="449">
        <v>0</v>
      </c>
      <c r="BL591" s="449">
        <v>0</v>
      </c>
      <c r="BM591" s="449">
        <v>0</v>
      </c>
      <c r="BN591" s="449">
        <v>0</v>
      </c>
      <c r="BO591" s="449">
        <v>0</v>
      </c>
      <c r="BP591" s="449">
        <v>0</v>
      </c>
      <c r="BQ591" s="449">
        <v>0</v>
      </c>
      <c r="BR591" s="449">
        <v>0</v>
      </c>
      <c r="BS591" s="449">
        <v>0</v>
      </c>
      <c r="BT591" s="449">
        <v>0</v>
      </c>
    </row>
    <row r="592" spans="1:72" ht="15" x14ac:dyDescent="0.25">
      <c r="A592" s="502" t="s">
        <v>991</v>
      </c>
      <c r="B592" s="502" t="s">
        <v>992</v>
      </c>
      <c r="C592" s="538"/>
      <c r="D592" s="500">
        <f t="shared" si="508"/>
        <v>4798</v>
      </c>
      <c r="E592" s="449">
        <v>2589</v>
      </c>
      <c r="F592" s="449">
        <f t="shared" si="509"/>
        <v>2209</v>
      </c>
      <c r="G592" s="421">
        <f t="shared" si="510"/>
        <v>0.85322518346852061</v>
      </c>
      <c r="H592" s="449">
        <v>4798</v>
      </c>
      <c r="I592" s="449">
        <f t="shared" si="511"/>
        <v>0</v>
      </c>
      <c r="J592" s="426">
        <f t="shared" si="512"/>
        <v>0</v>
      </c>
      <c r="K592" s="421"/>
      <c r="L592" s="449">
        <v>0</v>
      </c>
      <c r="M592" s="449">
        <v>406.89</v>
      </c>
      <c r="N592" s="449">
        <v>221.44000000000005</v>
      </c>
      <c r="O592" s="449">
        <v>235.20999999999992</v>
      </c>
      <c r="P592" s="449">
        <v>220.19000000000005</v>
      </c>
      <c r="Q592" s="449">
        <v>220.17000000000007</v>
      </c>
      <c r="R592" s="449">
        <f>($H592-SUM($L592:Q592))/R$694</f>
        <v>582.35</v>
      </c>
      <c r="S592" s="449">
        <f>($H592-SUM($L592:R592))/S$694</f>
        <v>582.35</v>
      </c>
      <c r="T592" s="449">
        <f>($H592-SUM($L592:S592))/T$694</f>
        <v>582.35</v>
      </c>
      <c r="U592" s="449">
        <f>($H592-SUM($L592:T592))/U$694</f>
        <v>582.35</v>
      </c>
      <c r="V592" s="449">
        <f>($H592-SUM($L592:U592))/V$694</f>
        <v>582.35000000000014</v>
      </c>
      <c r="W592" s="449">
        <f>($H592-SUM($L592:V592))/W$694</f>
        <v>582.35000000000036</v>
      </c>
      <c r="X592" s="449"/>
      <c r="Y592" s="449">
        <f t="shared" si="513"/>
        <v>4798</v>
      </c>
      <c r="Z592" s="531"/>
      <c r="AA592" s="449">
        <f t="shared" si="514"/>
        <v>399.83333333333331</v>
      </c>
      <c r="AB592" s="449">
        <f t="shared" si="514"/>
        <v>399.83333333333331</v>
      </c>
      <c r="AC592" s="449">
        <f t="shared" si="514"/>
        <v>399.83333333333331</v>
      </c>
      <c r="AD592" s="449">
        <f t="shared" si="514"/>
        <v>399.83333333333331</v>
      </c>
      <c r="AE592" s="449">
        <f t="shared" si="514"/>
        <v>399.83333333333331</v>
      </c>
      <c r="AF592" s="449">
        <f t="shared" si="514"/>
        <v>399.83333333333331</v>
      </c>
      <c r="AG592" s="449">
        <f t="shared" si="514"/>
        <v>399.83333333333331</v>
      </c>
      <c r="AH592" s="449">
        <f t="shared" si="514"/>
        <v>399.83333333333331</v>
      </c>
      <c r="AI592" s="449">
        <f t="shared" si="514"/>
        <v>399.83333333333331</v>
      </c>
      <c r="AJ592" s="449">
        <f t="shared" si="514"/>
        <v>399.83333333333331</v>
      </c>
      <c r="AK592" s="449">
        <f t="shared" si="514"/>
        <v>399.83333333333331</v>
      </c>
      <c r="AL592" s="449">
        <f t="shared" si="514"/>
        <v>399.83333333333331</v>
      </c>
      <c r="AN592" s="500">
        <f t="shared" si="515"/>
        <v>4798</v>
      </c>
      <c r="AO592" s="449">
        <f t="shared" si="516"/>
        <v>6396.618550000002</v>
      </c>
      <c r="AP592" s="449">
        <f t="shared" si="517"/>
        <v>1598.618550000002</v>
      </c>
      <c r="AQ592" s="453">
        <f t="shared" si="518"/>
        <v>0.33318435806586116</v>
      </c>
      <c r="AR592" s="449">
        <f t="shared" si="519"/>
        <v>6396.618550000002</v>
      </c>
      <c r="AS592" s="449">
        <f t="shared" si="520"/>
        <v>0</v>
      </c>
      <c r="AT592" s="426">
        <f t="shared" si="521"/>
        <v>0</v>
      </c>
      <c r="AU592" s="421"/>
      <c r="AV592" s="449">
        <f t="shared" si="522"/>
        <v>0</v>
      </c>
      <c r="AW592" s="449">
        <f t="shared" si="522"/>
        <v>639.66185500000006</v>
      </c>
      <c r="AX592" s="449">
        <f t="shared" si="522"/>
        <v>639.66185500000006</v>
      </c>
      <c r="AY592" s="449">
        <f t="shared" si="522"/>
        <v>639.66185500000006</v>
      </c>
      <c r="AZ592" s="449">
        <f t="shared" si="522"/>
        <v>639.66185500000006</v>
      </c>
      <c r="BA592" s="449">
        <f t="shared" si="522"/>
        <v>639.66185500000006</v>
      </c>
      <c r="BB592" s="449">
        <f t="shared" si="522"/>
        <v>639.66185500000006</v>
      </c>
      <c r="BC592" s="449">
        <f t="shared" si="522"/>
        <v>639.66185500000006</v>
      </c>
      <c r="BD592" s="449">
        <f t="shared" si="522"/>
        <v>639.66185500000006</v>
      </c>
      <c r="BE592" s="449">
        <f t="shared" si="522"/>
        <v>639.66185500000006</v>
      </c>
      <c r="BF592" s="449">
        <f t="shared" si="522"/>
        <v>639.66185500000006</v>
      </c>
      <c r="BG592" s="449">
        <f t="shared" si="522"/>
        <v>0</v>
      </c>
      <c r="BH592" s="400"/>
      <c r="BI592" s="449">
        <v>0</v>
      </c>
      <c r="BJ592" s="449">
        <f>SUM('FY19 Staffing V1-1 (3)'!$Q$197:$R$201,'FY19 Staffing V1-1 (3)'!$T$197:$U$201)/10</f>
        <v>639.66185500000006</v>
      </c>
      <c r="BK592" s="449">
        <f>SUM('FY19 Staffing V1-1 (3)'!$Q$197:$R$201,'FY19 Staffing V1-1 (3)'!$T$197:$U$201)/10</f>
        <v>639.66185500000006</v>
      </c>
      <c r="BL592" s="449">
        <f>SUM('FY19 Staffing V1-1 (3)'!$Q$197:$R$201,'FY19 Staffing V1-1 (3)'!$T$197:$U$201)/10</f>
        <v>639.66185500000006</v>
      </c>
      <c r="BM592" s="449">
        <f>SUM('FY19 Staffing V1-1 (3)'!$Q$197:$R$201,'FY19 Staffing V1-1 (3)'!$T$197:$U$201)/10</f>
        <v>639.66185500000006</v>
      </c>
      <c r="BN592" s="449">
        <f>SUM('FY19 Staffing V1-1 (3)'!$Q$197:$R$201,'FY19 Staffing V1-1 (3)'!$T$197:$U$201)/10</f>
        <v>639.66185500000006</v>
      </c>
      <c r="BO592" s="449">
        <f>SUM('FY19 Staffing V1-1 (3)'!$Q$197:$R$201,'FY19 Staffing V1-1 (3)'!$T$197:$U$201)/10</f>
        <v>639.66185500000006</v>
      </c>
      <c r="BP592" s="449">
        <f>SUM('FY19 Staffing V1-1 (3)'!$Q$197:$R$201,'FY19 Staffing V1-1 (3)'!$T$197:$U$201)/10</f>
        <v>639.66185500000006</v>
      </c>
      <c r="BQ592" s="449">
        <f>SUM('FY19 Staffing V1-1 (3)'!$Q$197:$R$201,'FY19 Staffing V1-1 (3)'!$T$197:$U$201)/10</f>
        <v>639.66185500000006</v>
      </c>
      <c r="BR592" s="449">
        <f>SUM('FY19 Staffing V1-1 (3)'!$Q$197:$R$201,'FY19 Staffing V1-1 (3)'!$T$197:$U$201)/10</f>
        <v>639.66185500000006</v>
      </c>
      <c r="BS592" s="449">
        <f>SUM('FY19 Staffing V1-1 (3)'!$Q$197:$R$201,'FY19 Staffing V1-1 (3)'!$T$197:$U$201)/10</f>
        <v>639.66185500000006</v>
      </c>
      <c r="BT592" s="449">
        <v>0</v>
      </c>
    </row>
    <row r="593" spans="1:72" ht="15" x14ac:dyDescent="0.25">
      <c r="A593" s="502" t="s">
        <v>993</v>
      </c>
      <c r="B593" s="502" t="s">
        <v>994</v>
      </c>
      <c r="C593" s="538"/>
      <c r="D593" s="500">
        <f t="shared" si="508"/>
        <v>0</v>
      </c>
      <c r="E593" s="449">
        <v>2209</v>
      </c>
      <c r="F593" s="449">
        <f t="shared" si="509"/>
        <v>-2209</v>
      </c>
      <c r="G593" s="421">
        <f t="shared" si="510"/>
        <v>-1</v>
      </c>
      <c r="H593" s="449">
        <v>0</v>
      </c>
      <c r="I593" s="449">
        <f t="shared" si="511"/>
        <v>0</v>
      </c>
      <c r="J593" s="426">
        <f t="shared" si="512"/>
        <v>0</v>
      </c>
      <c r="K593" s="421"/>
      <c r="L593" s="449">
        <v>0</v>
      </c>
      <c r="M593" s="449">
        <v>0</v>
      </c>
      <c r="N593" s="449">
        <v>0</v>
      </c>
      <c r="O593" s="449">
        <v>0</v>
      </c>
      <c r="P593" s="449">
        <v>0</v>
      </c>
      <c r="Q593" s="449">
        <v>0</v>
      </c>
      <c r="R593" s="449">
        <f>($H593-SUM($L593:Q593))/R$694</f>
        <v>0</v>
      </c>
      <c r="S593" s="449">
        <f>($H593-SUM($L593:R593))/S$694</f>
        <v>0</v>
      </c>
      <c r="T593" s="449">
        <f>($H593-SUM($L593:S593))/T$694</f>
        <v>0</v>
      </c>
      <c r="U593" s="449">
        <f>($H593-SUM($L593:T593))/U$694</f>
        <v>0</v>
      </c>
      <c r="V593" s="449">
        <f>($H593-SUM($L593:U593))/V$694</f>
        <v>0</v>
      </c>
      <c r="W593" s="449">
        <f>($H593-SUM($L593:V593))/W$694</f>
        <v>0</v>
      </c>
      <c r="X593" s="449"/>
      <c r="Y593" s="449">
        <f t="shared" si="513"/>
        <v>0</v>
      </c>
      <c r="Z593" s="531"/>
      <c r="AA593" s="449">
        <f t="shared" si="514"/>
        <v>0</v>
      </c>
      <c r="AB593" s="449">
        <f t="shared" si="514"/>
        <v>0</v>
      </c>
      <c r="AC593" s="449">
        <f t="shared" si="514"/>
        <v>0</v>
      </c>
      <c r="AD593" s="449">
        <f t="shared" si="514"/>
        <v>0</v>
      </c>
      <c r="AE593" s="449">
        <f t="shared" si="514"/>
        <v>0</v>
      </c>
      <c r="AF593" s="449">
        <f t="shared" si="514"/>
        <v>0</v>
      </c>
      <c r="AG593" s="449">
        <f t="shared" si="514"/>
        <v>0</v>
      </c>
      <c r="AH593" s="449">
        <f t="shared" si="514"/>
        <v>0</v>
      </c>
      <c r="AI593" s="449">
        <f t="shared" si="514"/>
        <v>0</v>
      </c>
      <c r="AJ593" s="449">
        <f t="shared" si="514"/>
        <v>0</v>
      </c>
      <c r="AK593" s="449">
        <f t="shared" si="514"/>
        <v>0</v>
      </c>
      <c r="AL593" s="449">
        <f t="shared" si="514"/>
        <v>0</v>
      </c>
      <c r="AN593" s="500">
        <f t="shared" si="515"/>
        <v>0</v>
      </c>
      <c r="AO593" s="449">
        <f t="shared" si="516"/>
        <v>0</v>
      </c>
      <c r="AP593" s="449">
        <f t="shared" si="517"/>
        <v>0</v>
      </c>
      <c r="AQ593" s="453" t="str">
        <f t="shared" si="518"/>
        <v>-</v>
      </c>
      <c r="AR593" s="449">
        <f t="shared" si="519"/>
        <v>0</v>
      </c>
      <c r="AS593" s="449">
        <f t="shared" si="520"/>
        <v>0</v>
      </c>
      <c r="AT593" s="426">
        <f t="shared" si="521"/>
        <v>0</v>
      </c>
      <c r="AU593" s="421"/>
      <c r="AV593" s="449">
        <f t="shared" si="522"/>
        <v>0</v>
      </c>
      <c r="AW593" s="449">
        <f t="shared" si="522"/>
        <v>0</v>
      </c>
      <c r="AX593" s="449">
        <f t="shared" si="522"/>
        <v>0</v>
      </c>
      <c r="AY593" s="449">
        <f t="shared" si="522"/>
        <v>0</v>
      </c>
      <c r="AZ593" s="449">
        <f t="shared" si="522"/>
        <v>0</v>
      </c>
      <c r="BA593" s="449">
        <f t="shared" si="522"/>
        <v>0</v>
      </c>
      <c r="BB593" s="449">
        <f t="shared" si="522"/>
        <v>0</v>
      </c>
      <c r="BC593" s="449">
        <f t="shared" si="522"/>
        <v>0</v>
      </c>
      <c r="BD593" s="449">
        <f t="shared" si="522"/>
        <v>0</v>
      </c>
      <c r="BE593" s="449">
        <f t="shared" si="522"/>
        <v>0</v>
      </c>
      <c r="BF593" s="449">
        <f t="shared" si="522"/>
        <v>0</v>
      </c>
      <c r="BG593" s="449">
        <f t="shared" si="522"/>
        <v>0</v>
      </c>
      <c r="BH593" s="400"/>
      <c r="BI593" s="449">
        <v>0</v>
      </c>
      <c r="BJ593" s="449">
        <v>0</v>
      </c>
      <c r="BK593" s="449">
        <v>0</v>
      </c>
      <c r="BL593" s="449">
        <v>0</v>
      </c>
      <c r="BM593" s="449">
        <v>0</v>
      </c>
      <c r="BN593" s="449">
        <v>0</v>
      </c>
      <c r="BO593" s="449">
        <v>0</v>
      </c>
      <c r="BP593" s="449">
        <v>0</v>
      </c>
      <c r="BQ593" s="449">
        <v>0</v>
      </c>
      <c r="BR593" s="449">
        <v>0</v>
      </c>
      <c r="BS593" s="449">
        <v>0</v>
      </c>
      <c r="BT593" s="449">
        <v>0</v>
      </c>
    </row>
    <row r="594" spans="1:72" ht="15" x14ac:dyDescent="0.25">
      <c r="A594" s="502" t="s">
        <v>995</v>
      </c>
      <c r="B594" s="502" t="s">
        <v>996</v>
      </c>
      <c r="C594" s="538"/>
      <c r="D594" s="500">
        <f t="shared" si="508"/>
        <v>2009</v>
      </c>
      <c r="E594" s="449">
        <v>1004</v>
      </c>
      <c r="F594" s="449">
        <f t="shared" si="509"/>
        <v>1005</v>
      </c>
      <c r="G594" s="421">
        <f t="shared" si="510"/>
        <v>1.000996015936255</v>
      </c>
      <c r="H594" s="449">
        <v>2009</v>
      </c>
      <c r="I594" s="449">
        <f t="shared" si="511"/>
        <v>0</v>
      </c>
      <c r="J594" s="426">
        <f t="shared" si="512"/>
        <v>0</v>
      </c>
      <c r="K594" s="421"/>
      <c r="L594" s="449">
        <v>0</v>
      </c>
      <c r="M594" s="449">
        <v>0</v>
      </c>
      <c r="N594" s="449">
        <v>0</v>
      </c>
      <c r="O594" s="449">
        <v>411.76</v>
      </c>
      <c r="P594" s="449">
        <v>414.03</v>
      </c>
      <c r="Q594" s="449">
        <v>413.96000000000004</v>
      </c>
      <c r="R594" s="449">
        <f>($H594-SUM($L594:Q594))/R$694</f>
        <v>128.20833333333334</v>
      </c>
      <c r="S594" s="449">
        <f>($H594-SUM($L594:R594))/S$694</f>
        <v>128.20833333333334</v>
      </c>
      <c r="T594" s="449">
        <f>($H594-SUM($L594:S594))/T$694</f>
        <v>128.20833333333337</v>
      </c>
      <c r="U594" s="449">
        <f>($H594-SUM($L594:T594))/U$694</f>
        <v>128.20833333333334</v>
      </c>
      <c r="V594" s="449">
        <f>($H594-SUM($L594:U594))/V$694</f>
        <v>128.20833333333337</v>
      </c>
      <c r="W594" s="449">
        <f>($H594-SUM($L594:V594))/W$694</f>
        <v>128.20833333333348</v>
      </c>
      <c r="X594" s="449"/>
      <c r="Y594" s="449">
        <f t="shared" si="513"/>
        <v>2009</v>
      </c>
      <c r="Z594" s="531"/>
      <c r="AA594" s="449">
        <f t="shared" si="514"/>
        <v>167.41666666666666</v>
      </c>
      <c r="AB594" s="449">
        <f t="shared" si="514"/>
        <v>167.41666666666666</v>
      </c>
      <c r="AC594" s="449">
        <f t="shared" si="514"/>
        <v>167.41666666666666</v>
      </c>
      <c r="AD594" s="449">
        <f t="shared" si="514"/>
        <v>167.41666666666666</v>
      </c>
      <c r="AE594" s="449">
        <f t="shared" si="514"/>
        <v>167.41666666666666</v>
      </c>
      <c r="AF594" s="449">
        <f t="shared" si="514"/>
        <v>167.41666666666666</v>
      </c>
      <c r="AG594" s="449">
        <f t="shared" si="514"/>
        <v>167.41666666666666</v>
      </c>
      <c r="AH594" s="449">
        <f t="shared" si="514"/>
        <v>167.41666666666666</v>
      </c>
      <c r="AI594" s="449">
        <f t="shared" si="514"/>
        <v>167.41666666666666</v>
      </c>
      <c r="AJ594" s="449">
        <f t="shared" si="514"/>
        <v>167.41666666666666</v>
      </c>
      <c r="AK594" s="449">
        <f t="shared" si="514"/>
        <v>167.41666666666666</v>
      </c>
      <c r="AL594" s="449">
        <f t="shared" si="514"/>
        <v>167.41666666666666</v>
      </c>
      <c r="AN594" s="500">
        <f t="shared" si="515"/>
        <v>2009</v>
      </c>
      <c r="AO594" s="449">
        <f t="shared" si="516"/>
        <v>4823.7928199999997</v>
      </c>
      <c r="AP594" s="449">
        <f t="shared" si="517"/>
        <v>2814.7928199999997</v>
      </c>
      <c r="AQ594" s="453">
        <f t="shared" si="518"/>
        <v>1.4010914982578395</v>
      </c>
      <c r="AR594" s="449">
        <f t="shared" si="519"/>
        <v>4823.7928199999997</v>
      </c>
      <c r="AS594" s="449">
        <f t="shared" si="520"/>
        <v>0</v>
      </c>
      <c r="AT594" s="426">
        <f t="shared" si="521"/>
        <v>0</v>
      </c>
      <c r="AU594" s="421"/>
      <c r="AV594" s="449">
        <f t="shared" si="522"/>
        <v>0</v>
      </c>
      <c r="AW594" s="449">
        <f t="shared" si="522"/>
        <v>482.37928200000005</v>
      </c>
      <c r="AX594" s="449">
        <f t="shared" si="522"/>
        <v>482.37928200000005</v>
      </c>
      <c r="AY594" s="449">
        <f t="shared" si="522"/>
        <v>482.37928200000005</v>
      </c>
      <c r="AZ594" s="449">
        <f t="shared" si="522"/>
        <v>482.37928200000005</v>
      </c>
      <c r="BA594" s="449">
        <f t="shared" si="522"/>
        <v>482.37928200000005</v>
      </c>
      <c r="BB594" s="449">
        <f t="shared" si="522"/>
        <v>482.37928200000005</v>
      </c>
      <c r="BC594" s="449">
        <f t="shared" si="522"/>
        <v>482.37928200000005</v>
      </c>
      <c r="BD594" s="449">
        <f t="shared" si="522"/>
        <v>482.37928200000005</v>
      </c>
      <c r="BE594" s="449">
        <f t="shared" si="522"/>
        <v>482.37928200000005</v>
      </c>
      <c r="BF594" s="449">
        <f t="shared" si="522"/>
        <v>482.37928200000005</v>
      </c>
      <c r="BG594" s="449">
        <f t="shared" si="522"/>
        <v>0</v>
      </c>
      <c r="BH594" s="400"/>
      <c r="BI594" s="449">
        <v>0</v>
      </c>
      <c r="BJ594" s="449">
        <f>SUM('FY19 Staffing V1-1 (3)'!$W$197:$W$201)/10</f>
        <v>482.37928200000005</v>
      </c>
      <c r="BK594" s="449">
        <f>SUM('FY19 Staffing V1-1 (3)'!$W$197:$W$201)/10</f>
        <v>482.37928200000005</v>
      </c>
      <c r="BL594" s="449">
        <f>SUM('FY19 Staffing V1-1 (3)'!$W$197:$W$201)/10</f>
        <v>482.37928200000005</v>
      </c>
      <c r="BM594" s="449">
        <f>SUM('FY19 Staffing V1-1 (3)'!$W$197:$W$201)/10</f>
        <v>482.37928200000005</v>
      </c>
      <c r="BN594" s="449">
        <f>SUM('FY19 Staffing V1-1 (3)'!$W$197:$W$201)/10</f>
        <v>482.37928200000005</v>
      </c>
      <c r="BO594" s="449">
        <f>SUM('FY19 Staffing V1-1 (3)'!$W$197:$W$201)/10</f>
        <v>482.37928200000005</v>
      </c>
      <c r="BP594" s="449">
        <f>SUM('FY19 Staffing V1-1 (3)'!$W$197:$W$201)/10</f>
        <v>482.37928200000005</v>
      </c>
      <c r="BQ594" s="449">
        <f>SUM('FY19 Staffing V1-1 (3)'!$W$197:$W$201)/10</f>
        <v>482.37928200000005</v>
      </c>
      <c r="BR594" s="449">
        <f>SUM('FY19 Staffing V1-1 (3)'!$W$197:$W$201)/10</f>
        <v>482.37928200000005</v>
      </c>
      <c r="BS594" s="449">
        <f>SUM('FY19 Staffing V1-1 (3)'!$W$197:$W$201)/10</f>
        <v>482.37928200000005</v>
      </c>
      <c r="BT594" s="449">
        <v>0</v>
      </c>
    </row>
    <row r="595" spans="1:72" ht="15" x14ac:dyDescent="0.25">
      <c r="A595" s="502" t="s">
        <v>997</v>
      </c>
      <c r="B595" s="502" t="s">
        <v>998</v>
      </c>
      <c r="C595" s="538"/>
      <c r="D595" s="500">
        <f t="shared" si="508"/>
        <v>0</v>
      </c>
      <c r="E595" s="449">
        <v>1005</v>
      </c>
      <c r="F595" s="449">
        <f t="shared" si="509"/>
        <v>-1005</v>
      </c>
      <c r="G595" s="421">
        <f t="shared" si="510"/>
        <v>-1</v>
      </c>
      <c r="H595" s="449">
        <v>0</v>
      </c>
      <c r="I595" s="449">
        <f t="shared" si="511"/>
        <v>0</v>
      </c>
      <c r="J595" s="426">
        <f t="shared" si="512"/>
        <v>0</v>
      </c>
      <c r="K595" s="421"/>
      <c r="L595" s="449">
        <v>0</v>
      </c>
      <c r="M595" s="449">
        <v>0</v>
      </c>
      <c r="N595" s="449">
        <v>0</v>
      </c>
      <c r="O595" s="449">
        <v>0</v>
      </c>
      <c r="P595" s="449">
        <v>0</v>
      </c>
      <c r="Q595" s="449">
        <v>0</v>
      </c>
      <c r="R595" s="449">
        <f>($H595-SUM($L595:Q595))/R$694</f>
        <v>0</v>
      </c>
      <c r="S595" s="449">
        <f>($H595-SUM($L595:R595))/S$694</f>
        <v>0</v>
      </c>
      <c r="T595" s="449">
        <f>($H595-SUM($L595:S595))/T$694</f>
        <v>0</v>
      </c>
      <c r="U595" s="449">
        <f>($H595-SUM($L595:T595))/U$694</f>
        <v>0</v>
      </c>
      <c r="V595" s="449">
        <f>($H595-SUM($L595:U595))/V$694</f>
        <v>0</v>
      </c>
      <c r="W595" s="449">
        <f>($H595-SUM($L595:V595))/W$694</f>
        <v>0</v>
      </c>
      <c r="X595" s="449"/>
      <c r="Y595" s="449">
        <f t="shared" si="513"/>
        <v>0</v>
      </c>
      <c r="Z595" s="531"/>
      <c r="AA595" s="449">
        <f t="shared" si="514"/>
        <v>0</v>
      </c>
      <c r="AB595" s="449">
        <f t="shared" si="514"/>
        <v>0</v>
      </c>
      <c r="AC595" s="449">
        <f t="shared" si="514"/>
        <v>0</v>
      </c>
      <c r="AD595" s="449">
        <f t="shared" si="514"/>
        <v>0</v>
      </c>
      <c r="AE595" s="449">
        <f t="shared" si="514"/>
        <v>0</v>
      </c>
      <c r="AF595" s="449">
        <f t="shared" si="514"/>
        <v>0</v>
      </c>
      <c r="AG595" s="449">
        <f t="shared" si="514"/>
        <v>0</v>
      </c>
      <c r="AH595" s="449">
        <f t="shared" si="514"/>
        <v>0</v>
      </c>
      <c r="AI595" s="449">
        <f t="shared" si="514"/>
        <v>0</v>
      </c>
      <c r="AJ595" s="449">
        <f t="shared" si="514"/>
        <v>0</v>
      </c>
      <c r="AK595" s="449">
        <f t="shared" si="514"/>
        <v>0</v>
      </c>
      <c r="AL595" s="449">
        <f t="shared" si="514"/>
        <v>0</v>
      </c>
      <c r="AN595" s="500">
        <f t="shared" si="515"/>
        <v>0</v>
      </c>
      <c r="AO595" s="449">
        <f t="shared" si="516"/>
        <v>0</v>
      </c>
      <c r="AP595" s="449">
        <f t="shared" si="517"/>
        <v>0</v>
      </c>
      <c r="AQ595" s="553" t="str">
        <f t="shared" si="518"/>
        <v>-</v>
      </c>
      <c r="AR595" s="449">
        <f t="shared" si="519"/>
        <v>0</v>
      </c>
      <c r="AS595" s="449">
        <f t="shared" si="520"/>
        <v>0</v>
      </c>
      <c r="AT595" s="426">
        <f t="shared" si="521"/>
        <v>0</v>
      </c>
      <c r="AU595" s="421"/>
      <c r="AV595" s="449">
        <f t="shared" si="522"/>
        <v>0</v>
      </c>
      <c r="AW595" s="449">
        <f t="shared" si="522"/>
        <v>0</v>
      </c>
      <c r="AX595" s="449">
        <f t="shared" si="522"/>
        <v>0</v>
      </c>
      <c r="AY595" s="449">
        <f t="shared" si="522"/>
        <v>0</v>
      </c>
      <c r="AZ595" s="449">
        <f t="shared" si="522"/>
        <v>0</v>
      </c>
      <c r="BA595" s="449">
        <f t="shared" si="522"/>
        <v>0</v>
      </c>
      <c r="BB595" s="449">
        <f t="shared" si="522"/>
        <v>0</v>
      </c>
      <c r="BC595" s="449">
        <f t="shared" si="522"/>
        <v>0</v>
      </c>
      <c r="BD595" s="449">
        <f t="shared" si="522"/>
        <v>0</v>
      </c>
      <c r="BE595" s="449">
        <f t="shared" si="522"/>
        <v>0</v>
      </c>
      <c r="BF595" s="449">
        <f t="shared" si="522"/>
        <v>0</v>
      </c>
      <c r="BG595" s="449">
        <f t="shared" si="522"/>
        <v>0</v>
      </c>
      <c r="BH595" s="400"/>
      <c r="BI595" s="449">
        <v>0</v>
      </c>
      <c r="BJ595" s="449">
        <v>0</v>
      </c>
      <c r="BK595" s="449">
        <v>0</v>
      </c>
      <c r="BL595" s="449">
        <v>0</v>
      </c>
      <c r="BM595" s="449">
        <v>0</v>
      </c>
      <c r="BN595" s="449">
        <v>0</v>
      </c>
      <c r="BO595" s="449">
        <v>0</v>
      </c>
      <c r="BP595" s="449">
        <v>0</v>
      </c>
      <c r="BQ595" s="449">
        <v>0</v>
      </c>
      <c r="BR595" s="449">
        <v>0</v>
      </c>
      <c r="BS595" s="449">
        <v>0</v>
      </c>
      <c r="BT595" s="449">
        <v>0</v>
      </c>
    </row>
    <row r="596" spans="1:72" ht="15" x14ac:dyDescent="0.25">
      <c r="A596" s="502" t="s">
        <v>999</v>
      </c>
      <c r="B596" s="502" t="s">
        <v>1000</v>
      </c>
      <c r="C596" s="538"/>
      <c r="D596" s="500">
        <f t="shared" si="508"/>
        <v>478</v>
      </c>
      <c r="E596" s="449">
        <v>478</v>
      </c>
      <c r="F596" s="449">
        <f t="shared" si="509"/>
        <v>0</v>
      </c>
      <c r="G596" s="421">
        <f t="shared" si="510"/>
        <v>0</v>
      </c>
      <c r="H596" s="449">
        <v>478</v>
      </c>
      <c r="I596" s="449">
        <f t="shared" si="511"/>
        <v>0</v>
      </c>
      <c r="J596" s="426">
        <f t="shared" si="512"/>
        <v>0</v>
      </c>
      <c r="K596" s="421"/>
      <c r="L596" s="449">
        <v>0</v>
      </c>
      <c r="M596" s="449">
        <v>0</v>
      </c>
      <c r="N596" s="449">
        <v>0</v>
      </c>
      <c r="O596" s="449">
        <v>0</v>
      </c>
      <c r="P596" s="449">
        <v>0</v>
      </c>
      <c r="Q596" s="449">
        <v>0</v>
      </c>
      <c r="R596" s="449">
        <f>($H596-SUM($L596:Q596))/R$694</f>
        <v>79.666666666666671</v>
      </c>
      <c r="S596" s="449">
        <f>($H596-SUM($L596:R596))/S$694</f>
        <v>79.666666666666657</v>
      </c>
      <c r="T596" s="449">
        <f>($H596-SUM($L596:S596))/T$694</f>
        <v>79.666666666666671</v>
      </c>
      <c r="U596" s="449">
        <f>($H596-SUM($L596:T596))/U$694</f>
        <v>79.666666666666671</v>
      </c>
      <c r="V596" s="449">
        <f>($H596-SUM($L596:U596))/V$694</f>
        <v>79.666666666666657</v>
      </c>
      <c r="W596" s="449">
        <f>($H596-SUM($L596:V596))/W$694</f>
        <v>79.666666666666629</v>
      </c>
      <c r="X596" s="449"/>
      <c r="Y596" s="449">
        <f t="shared" si="513"/>
        <v>478</v>
      </c>
      <c r="Z596" s="531"/>
      <c r="AA596" s="449">
        <f t="shared" si="514"/>
        <v>39.833333333333336</v>
      </c>
      <c r="AB596" s="449">
        <f t="shared" si="514"/>
        <v>39.833333333333336</v>
      </c>
      <c r="AC596" s="449">
        <f t="shared" si="514"/>
        <v>39.833333333333336</v>
      </c>
      <c r="AD596" s="449">
        <f t="shared" si="514"/>
        <v>39.833333333333336</v>
      </c>
      <c r="AE596" s="449">
        <f t="shared" si="514"/>
        <v>39.833333333333336</v>
      </c>
      <c r="AF596" s="449">
        <f t="shared" si="514"/>
        <v>39.833333333333336</v>
      </c>
      <c r="AG596" s="449">
        <f t="shared" si="514"/>
        <v>39.833333333333336</v>
      </c>
      <c r="AH596" s="449">
        <f t="shared" si="514"/>
        <v>39.833333333333336</v>
      </c>
      <c r="AI596" s="449">
        <f t="shared" si="514"/>
        <v>39.833333333333336</v>
      </c>
      <c r="AJ596" s="449">
        <f t="shared" si="514"/>
        <v>39.833333333333336</v>
      </c>
      <c r="AK596" s="449">
        <f t="shared" si="514"/>
        <v>39.833333333333336</v>
      </c>
      <c r="AL596" s="449">
        <f t="shared" si="514"/>
        <v>39.833333333333336</v>
      </c>
      <c r="AN596" s="500">
        <f t="shared" si="515"/>
        <v>478</v>
      </c>
      <c r="AO596" s="449">
        <f t="shared" si="516"/>
        <v>1264.4499999999996</v>
      </c>
      <c r="AP596" s="449">
        <f t="shared" si="517"/>
        <v>786.44999999999959</v>
      </c>
      <c r="AQ596" s="453">
        <f t="shared" si="518"/>
        <v>1.6452928870292878</v>
      </c>
      <c r="AR596" s="449">
        <f t="shared" si="519"/>
        <v>1264.4499999999996</v>
      </c>
      <c r="AS596" s="449">
        <f t="shared" si="520"/>
        <v>0</v>
      </c>
      <c r="AT596" s="426">
        <f t="shared" si="521"/>
        <v>0</v>
      </c>
      <c r="AU596" s="421"/>
      <c r="AV596" s="449">
        <f t="shared" si="522"/>
        <v>0</v>
      </c>
      <c r="AW596" s="449">
        <f t="shared" si="522"/>
        <v>126.44499999999998</v>
      </c>
      <c r="AX596" s="449">
        <f t="shared" si="522"/>
        <v>126.44499999999998</v>
      </c>
      <c r="AY596" s="449">
        <f t="shared" si="522"/>
        <v>126.44499999999998</v>
      </c>
      <c r="AZ596" s="449">
        <f t="shared" si="522"/>
        <v>126.44499999999998</v>
      </c>
      <c r="BA596" s="449">
        <f t="shared" si="522"/>
        <v>126.44499999999998</v>
      </c>
      <c r="BB596" s="449">
        <f t="shared" si="522"/>
        <v>126.44499999999998</v>
      </c>
      <c r="BC596" s="449">
        <f t="shared" si="522"/>
        <v>126.44499999999998</v>
      </c>
      <c r="BD596" s="449">
        <f t="shared" si="522"/>
        <v>126.44499999999998</v>
      </c>
      <c r="BE596" s="449">
        <f t="shared" si="522"/>
        <v>126.44499999999998</v>
      </c>
      <c r="BF596" s="449">
        <f t="shared" si="522"/>
        <v>126.44499999999998</v>
      </c>
      <c r="BG596" s="449">
        <f t="shared" si="522"/>
        <v>0</v>
      </c>
      <c r="BH596" s="400"/>
      <c r="BI596" s="449">
        <v>0</v>
      </c>
      <c r="BJ596" s="449">
        <f>SUM('FY19 Staffing V1-1 (3)'!$S$197:$S$201)/10</f>
        <v>126.44499999999998</v>
      </c>
      <c r="BK596" s="449">
        <f>SUM('FY19 Staffing V1-1 (3)'!$S$197:$S$201)/10</f>
        <v>126.44499999999998</v>
      </c>
      <c r="BL596" s="449">
        <f>SUM('FY19 Staffing V1-1 (3)'!$S$197:$S$201)/10</f>
        <v>126.44499999999998</v>
      </c>
      <c r="BM596" s="449">
        <f>SUM('FY19 Staffing V1-1 (3)'!$S$197:$S$201)/10</f>
        <v>126.44499999999998</v>
      </c>
      <c r="BN596" s="449">
        <f>SUM('FY19 Staffing V1-1 (3)'!$S$197:$S$201)/10</f>
        <v>126.44499999999998</v>
      </c>
      <c r="BO596" s="449">
        <f>SUM('FY19 Staffing V1-1 (3)'!$S$197:$S$201)/10</f>
        <v>126.44499999999998</v>
      </c>
      <c r="BP596" s="449">
        <f>SUM('FY19 Staffing V1-1 (3)'!$S$197:$S$201)/10</f>
        <v>126.44499999999998</v>
      </c>
      <c r="BQ596" s="449">
        <f>SUM('FY19 Staffing V1-1 (3)'!$S$197:$S$201)/10</f>
        <v>126.44499999999998</v>
      </c>
      <c r="BR596" s="449">
        <f>SUM('FY19 Staffing V1-1 (3)'!$S$197:$S$201)/10</f>
        <v>126.44499999999998</v>
      </c>
      <c r="BS596" s="449">
        <f>SUM('FY19 Staffing V1-1 (3)'!$S$197:$S$201)/10</f>
        <v>126.44499999999998</v>
      </c>
      <c r="BT596" s="449">
        <v>0</v>
      </c>
    </row>
    <row r="597" spans="1:72" ht="15" x14ac:dyDescent="0.25">
      <c r="A597" s="502" t="s">
        <v>1001</v>
      </c>
      <c r="B597" s="502" t="s">
        <v>1002</v>
      </c>
      <c r="C597" s="538"/>
      <c r="D597" s="500">
        <f t="shared" si="508"/>
        <v>474</v>
      </c>
      <c r="E597" s="449">
        <v>474</v>
      </c>
      <c r="F597" s="449">
        <f t="shared" si="509"/>
        <v>0</v>
      </c>
      <c r="G597" s="421">
        <f t="shared" si="510"/>
        <v>0</v>
      </c>
      <c r="H597" s="449">
        <v>474</v>
      </c>
      <c r="I597" s="449">
        <f t="shared" si="511"/>
        <v>0</v>
      </c>
      <c r="J597" s="426">
        <f t="shared" si="512"/>
        <v>0</v>
      </c>
      <c r="K597" s="421"/>
      <c r="L597" s="449">
        <v>0</v>
      </c>
      <c r="M597" s="449">
        <v>0</v>
      </c>
      <c r="N597" s="449">
        <v>0</v>
      </c>
      <c r="O597" s="449">
        <v>0</v>
      </c>
      <c r="P597" s="449">
        <v>0</v>
      </c>
      <c r="Q597" s="449">
        <v>0</v>
      </c>
      <c r="R597" s="449">
        <f>($H597-SUM($L597:Q597))/R$694</f>
        <v>79</v>
      </c>
      <c r="S597" s="449">
        <f>($H597-SUM($L597:R597))/S$694</f>
        <v>79</v>
      </c>
      <c r="T597" s="449">
        <f>($H597-SUM($L597:S597))/T$694</f>
        <v>79</v>
      </c>
      <c r="U597" s="449">
        <f>($H597-SUM($L597:T597))/U$694</f>
        <v>79</v>
      </c>
      <c r="V597" s="449">
        <f>($H597-SUM($L597:U597))/V$694</f>
        <v>79</v>
      </c>
      <c r="W597" s="449">
        <f>($H597-SUM($L597:V597))/W$694</f>
        <v>79</v>
      </c>
      <c r="X597" s="449"/>
      <c r="Y597" s="449">
        <f t="shared" si="513"/>
        <v>474</v>
      </c>
      <c r="Z597" s="531"/>
      <c r="AA597" s="449">
        <f t="shared" si="514"/>
        <v>39.5</v>
      </c>
      <c r="AB597" s="449">
        <f t="shared" si="514"/>
        <v>39.5</v>
      </c>
      <c r="AC597" s="449">
        <f t="shared" si="514"/>
        <v>39.5</v>
      </c>
      <c r="AD597" s="449">
        <f t="shared" si="514"/>
        <v>39.5</v>
      </c>
      <c r="AE597" s="449">
        <f t="shared" si="514"/>
        <v>39.5</v>
      </c>
      <c r="AF597" s="449">
        <f t="shared" si="514"/>
        <v>39.5</v>
      </c>
      <c r="AG597" s="449">
        <f t="shared" si="514"/>
        <v>39.5</v>
      </c>
      <c r="AH597" s="449">
        <f t="shared" si="514"/>
        <v>39.5</v>
      </c>
      <c r="AI597" s="449">
        <f t="shared" si="514"/>
        <v>39.5</v>
      </c>
      <c r="AJ597" s="449">
        <f t="shared" si="514"/>
        <v>39.5</v>
      </c>
      <c r="AK597" s="449">
        <f t="shared" si="514"/>
        <v>39.5</v>
      </c>
      <c r="AL597" s="449">
        <f t="shared" si="514"/>
        <v>39.5</v>
      </c>
      <c r="AN597" s="500">
        <f t="shared" si="515"/>
        <v>474</v>
      </c>
      <c r="AO597" s="449">
        <f t="shared" si="516"/>
        <v>0</v>
      </c>
      <c r="AP597" s="449">
        <f t="shared" si="517"/>
        <v>-474</v>
      </c>
      <c r="AQ597" s="453">
        <f t="shared" si="518"/>
        <v>-1</v>
      </c>
      <c r="AR597" s="449">
        <f t="shared" si="519"/>
        <v>0</v>
      </c>
      <c r="AS597" s="449">
        <f t="shared" si="520"/>
        <v>0</v>
      </c>
      <c r="AT597" s="426">
        <f t="shared" si="521"/>
        <v>0</v>
      </c>
      <c r="AU597" s="421"/>
      <c r="AV597" s="449">
        <f t="shared" si="522"/>
        <v>0</v>
      </c>
      <c r="AW597" s="449">
        <f t="shared" si="522"/>
        <v>0</v>
      </c>
      <c r="AX597" s="449">
        <f t="shared" si="522"/>
        <v>0</v>
      </c>
      <c r="AY597" s="449">
        <f t="shared" si="522"/>
        <v>0</v>
      </c>
      <c r="AZ597" s="449">
        <f t="shared" si="522"/>
        <v>0</v>
      </c>
      <c r="BA597" s="449">
        <f t="shared" si="522"/>
        <v>0</v>
      </c>
      <c r="BB597" s="449">
        <f t="shared" si="522"/>
        <v>0</v>
      </c>
      <c r="BC597" s="449">
        <f t="shared" si="522"/>
        <v>0</v>
      </c>
      <c r="BD597" s="449">
        <f t="shared" si="522"/>
        <v>0</v>
      </c>
      <c r="BE597" s="449">
        <f t="shared" si="522"/>
        <v>0</v>
      </c>
      <c r="BF597" s="449">
        <f t="shared" si="522"/>
        <v>0</v>
      </c>
      <c r="BG597" s="449">
        <f t="shared" si="522"/>
        <v>0</v>
      </c>
      <c r="BH597" s="400"/>
      <c r="BI597" s="449">
        <v>0</v>
      </c>
      <c r="BJ597" s="449">
        <v>0</v>
      </c>
      <c r="BK597" s="449">
        <v>0</v>
      </c>
      <c r="BL597" s="449">
        <v>0</v>
      </c>
      <c r="BM597" s="449">
        <v>0</v>
      </c>
      <c r="BN597" s="449">
        <v>0</v>
      </c>
      <c r="BO597" s="449">
        <v>0</v>
      </c>
      <c r="BP597" s="449">
        <v>0</v>
      </c>
      <c r="BQ597" s="449">
        <v>0</v>
      </c>
      <c r="BR597" s="449">
        <v>0</v>
      </c>
      <c r="BS597" s="449">
        <v>0</v>
      </c>
      <c r="BT597" s="449">
        <v>0</v>
      </c>
    </row>
    <row r="598" spans="1:72" ht="15" hidden="1" x14ac:dyDescent="0.25">
      <c r="A598" s="502" t="s">
        <v>1003</v>
      </c>
      <c r="B598" s="502" t="s">
        <v>1004</v>
      </c>
      <c r="C598" s="538"/>
      <c r="D598" s="500"/>
      <c r="E598" s="449"/>
      <c r="F598" s="449"/>
      <c r="G598" s="421"/>
      <c r="H598" s="449"/>
      <c r="I598" s="449"/>
      <c r="J598" s="426"/>
      <c r="K598" s="421"/>
      <c r="L598" s="449"/>
      <c r="M598" s="449"/>
      <c r="N598" s="449"/>
      <c r="O598" s="449"/>
      <c r="P598" s="449"/>
      <c r="Q598" s="449"/>
      <c r="R598" s="449"/>
      <c r="S598" s="449"/>
      <c r="T598" s="449"/>
      <c r="U598" s="449"/>
      <c r="V598" s="449"/>
      <c r="W598" s="449"/>
      <c r="X598" s="449"/>
      <c r="Y598" s="449">
        <v>0</v>
      </c>
      <c r="Z598" s="531"/>
      <c r="AA598" s="449"/>
      <c r="AB598" s="449"/>
      <c r="AC598" s="449"/>
      <c r="AD598" s="449"/>
      <c r="AE598" s="449"/>
      <c r="AF598" s="449"/>
      <c r="AG598" s="449"/>
      <c r="AH598" s="449"/>
      <c r="AI598" s="449"/>
      <c r="AJ598" s="449"/>
      <c r="AK598" s="449"/>
      <c r="AL598" s="449"/>
      <c r="AN598" s="500"/>
      <c r="AO598" s="449"/>
      <c r="AP598" s="449"/>
      <c r="AQ598" s="453"/>
      <c r="AR598" s="449"/>
      <c r="AS598" s="449"/>
      <c r="AT598" s="426"/>
      <c r="AU598" s="421"/>
      <c r="AV598" s="449"/>
      <c r="AW598" s="449"/>
      <c r="AX598" s="449"/>
      <c r="AY598" s="449"/>
      <c r="AZ598" s="449"/>
      <c r="BA598" s="449"/>
      <c r="BB598" s="449"/>
      <c r="BC598" s="449"/>
      <c r="BD598" s="449"/>
      <c r="BE598" s="449"/>
      <c r="BF598" s="449"/>
      <c r="BG598" s="449"/>
      <c r="BH598" s="531"/>
      <c r="BI598" s="449"/>
      <c r="BJ598" s="449"/>
      <c r="BK598" s="449"/>
      <c r="BL598" s="449"/>
      <c r="BM598" s="449"/>
      <c r="BN598" s="449"/>
      <c r="BO598" s="449"/>
      <c r="BP598" s="449"/>
      <c r="BQ598" s="449"/>
      <c r="BR598" s="449"/>
      <c r="BS598" s="449"/>
      <c r="BT598" s="449"/>
    </row>
    <row r="599" spans="1:72" ht="15" hidden="1" x14ac:dyDescent="0.25">
      <c r="A599" s="502" t="s">
        <v>1005</v>
      </c>
      <c r="B599" s="502" t="s">
        <v>1006</v>
      </c>
      <c r="C599" s="538"/>
      <c r="D599" s="500"/>
      <c r="E599" s="449"/>
      <c r="F599" s="449"/>
      <c r="G599" s="421"/>
      <c r="H599" s="449"/>
      <c r="I599" s="449"/>
      <c r="J599" s="426"/>
      <c r="K599" s="421"/>
      <c r="L599" s="449"/>
      <c r="M599" s="449"/>
      <c r="N599" s="449"/>
      <c r="O599" s="449"/>
      <c r="P599" s="449"/>
      <c r="Q599" s="449"/>
      <c r="R599" s="449"/>
      <c r="S599" s="449"/>
      <c r="T599" s="449"/>
      <c r="U599" s="449"/>
      <c r="V599" s="449"/>
      <c r="W599" s="449"/>
      <c r="X599" s="449"/>
      <c r="Y599" s="449">
        <v>0</v>
      </c>
      <c r="Z599" s="531"/>
      <c r="AA599" s="449"/>
      <c r="AB599" s="449"/>
      <c r="AC599" s="449"/>
      <c r="AD599" s="449"/>
      <c r="AE599" s="449"/>
      <c r="AF599" s="449"/>
      <c r="AG599" s="449"/>
      <c r="AH599" s="449"/>
      <c r="AI599" s="449"/>
      <c r="AJ599" s="449"/>
      <c r="AK599" s="449"/>
      <c r="AL599" s="449"/>
      <c r="AN599" s="500"/>
      <c r="AO599" s="449"/>
      <c r="AP599" s="449"/>
      <c r="AQ599" s="453"/>
      <c r="AR599" s="449"/>
      <c r="AS599" s="449"/>
      <c r="AT599" s="426"/>
      <c r="AU599" s="421"/>
      <c r="AV599" s="449"/>
      <c r="AW599" s="449"/>
      <c r="AX599" s="449"/>
      <c r="AY599" s="449"/>
      <c r="AZ599" s="449"/>
      <c r="BA599" s="449"/>
      <c r="BB599" s="449"/>
      <c r="BC599" s="449"/>
      <c r="BD599" s="449"/>
      <c r="BE599" s="449"/>
      <c r="BF599" s="449"/>
      <c r="BG599" s="449"/>
      <c r="BH599" s="531"/>
      <c r="BI599" s="449"/>
      <c r="BJ599" s="449"/>
      <c r="BK599" s="449"/>
      <c r="BL599" s="449"/>
      <c r="BM599" s="449"/>
      <c r="BN599" s="449"/>
      <c r="BO599" s="449"/>
      <c r="BP599" s="449"/>
      <c r="BQ599" s="449"/>
      <c r="BR599" s="449"/>
      <c r="BS599" s="449"/>
      <c r="BT599" s="449"/>
    </row>
    <row r="600" spans="1:72" ht="15" hidden="1" x14ac:dyDescent="0.25">
      <c r="A600" s="502" t="s">
        <v>1007</v>
      </c>
      <c r="B600" s="502" t="s">
        <v>1008</v>
      </c>
      <c r="C600" s="538"/>
      <c r="D600" s="500"/>
      <c r="E600" s="449"/>
      <c r="F600" s="449"/>
      <c r="G600" s="421"/>
      <c r="H600" s="449"/>
      <c r="I600" s="449"/>
      <c r="J600" s="426"/>
      <c r="K600" s="421"/>
      <c r="L600" s="449"/>
      <c r="M600" s="449"/>
      <c r="N600" s="449"/>
      <c r="O600" s="449"/>
      <c r="P600" s="449"/>
      <c r="Q600" s="449"/>
      <c r="R600" s="449"/>
      <c r="S600" s="449"/>
      <c r="T600" s="449"/>
      <c r="U600" s="449"/>
      <c r="V600" s="449"/>
      <c r="W600" s="449"/>
      <c r="X600" s="449"/>
      <c r="Y600" s="449">
        <v>0</v>
      </c>
      <c r="Z600" s="531"/>
      <c r="AA600" s="449"/>
      <c r="AB600" s="449"/>
      <c r="AC600" s="449"/>
      <c r="AD600" s="449"/>
      <c r="AE600" s="449"/>
      <c r="AF600" s="449"/>
      <c r="AG600" s="449"/>
      <c r="AH600" s="449"/>
      <c r="AI600" s="449"/>
      <c r="AJ600" s="449"/>
      <c r="AK600" s="449"/>
      <c r="AL600" s="449"/>
      <c r="AN600" s="500"/>
      <c r="AO600" s="449"/>
      <c r="AP600" s="449"/>
      <c r="AQ600" s="453"/>
      <c r="AR600" s="449"/>
      <c r="AS600" s="449"/>
      <c r="AT600" s="426"/>
      <c r="AU600" s="421"/>
      <c r="AV600" s="449"/>
      <c r="AW600" s="449"/>
      <c r="AX600" s="449"/>
      <c r="AY600" s="449"/>
      <c r="AZ600" s="449"/>
      <c r="BA600" s="449"/>
      <c r="BB600" s="449"/>
      <c r="BC600" s="449"/>
      <c r="BD600" s="449"/>
      <c r="BE600" s="449"/>
      <c r="BF600" s="449"/>
      <c r="BG600" s="449"/>
      <c r="BH600" s="531"/>
      <c r="BI600" s="449"/>
      <c r="BJ600" s="449"/>
      <c r="BK600" s="449"/>
      <c r="BL600" s="449"/>
      <c r="BM600" s="449"/>
      <c r="BN600" s="449"/>
      <c r="BO600" s="449"/>
      <c r="BP600" s="449"/>
      <c r="BQ600" s="449"/>
      <c r="BR600" s="449"/>
      <c r="BS600" s="449"/>
      <c r="BT600" s="449"/>
    </row>
    <row r="601" spans="1:72" ht="15" hidden="1" x14ac:dyDescent="0.25">
      <c r="A601" s="502" t="s">
        <v>1009</v>
      </c>
      <c r="B601" s="502" t="s">
        <v>1010</v>
      </c>
      <c r="C601" s="538"/>
      <c r="D601" s="500"/>
      <c r="E601" s="449"/>
      <c r="F601" s="449"/>
      <c r="G601" s="421"/>
      <c r="H601" s="449"/>
      <c r="I601" s="449"/>
      <c r="J601" s="426"/>
      <c r="K601" s="421"/>
      <c r="L601" s="449"/>
      <c r="M601" s="449"/>
      <c r="N601" s="449"/>
      <c r="O601" s="449"/>
      <c r="P601" s="449"/>
      <c r="Q601" s="449"/>
      <c r="R601" s="449"/>
      <c r="S601" s="449"/>
      <c r="T601" s="449"/>
      <c r="U601" s="449"/>
      <c r="V601" s="449"/>
      <c r="W601" s="449"/>
      <c r="X601" s="449"/>
      <c r="Y601" s="449">
        <v>0</v>
      </c>
      <c r="Z601" s="531"/>
      <c r="AA601" s="449"/>
      <c r="AB601" s="449"/>
      <c r="AC601" s="449"/>
      <c r="AD601" s="449"/>
      <c r="AE601" s="449"/>
      <c r="AF601" s="449"/>
      <c r="AG601" s="449"/>
      <c r="AH601" s="449"/>
      <c r="AI601" s="449"/>
      <c r="AJ601" s="449"/>
      <c r="AK601" s="449"/>
      <c r="AL601" s="449"/>
      <c r="AN601" s="500"/>
      <c r="AO601" s="449"/>
      <c r="AP601" s="449"/>
      <c r="AQ601" s="453"/>
      <c r="AR601" s="449"/>
      <c r="AS601" s="449"/>
      <c r="AT601" s="426"/>
      <c r="AU601" s="421"/>
      <c r="AV601" s="449"/>
      <c r="AW601" s="449"/>
      <c r="AX601" s="449"/>
      <c r="AY601" s="449"/>
      <c r="AZ601" s="449"/>
      <c r="BA601" s="449"/>
      <c r="BB601" s="449"/>
      <c r="BC601" s="449"/>
      <c r="BD601" s="449"/>
      <c r="BE601" s="449"/>
      <c r="BF601" s="449"/>
      <c r="BG601" s="449"/>
      <c r="BH601" s="531"/>
      <c r="BI601" s="449"/>
      <c r="BJ601" s="449"/>
      <c r="BK601" s="449"/>
      <c r="BL601" s="449"/>
      <c r="BM601" s="449"/>
      <c r="BN601" s="449"/>
      <c r="BO601" s="449"/>
      <c r="BP601" s="449"/>
      <c r="BQ601" s="449"/>
      <c r="BR601" s="449"/>
      <c r="BS601" s="449"/>
      <c r="BT601" s="449"/>
    </row>
    <row r="602" spans="1:72" ht="15" hidden="1" x14ac:dyDescent="0.25">
      <c r="A602" s="502" t="s">
        <v>1011</v>
      </c>
      <c r="B602" s="502" t="s">
        <v>1012</v>
      </c>
      <c r="C602" s="538"/>
      <c r="D602" s="500"/>
      <c r="E602" s="449"/>
      <c r="F602" s="449"/>
      <c r="G602" s="421"/>
      <c r="H602" s="449"/>
      <c r="I602" s="449"/>
      <c r="J602" s="426"/>
      <c r="K602" s="421"/>
      <c r="L602" s="449"/>
      <c r="M602" s="449"/>
      <c r="N602" s="449"/>
      <c r="O602" s="449"/>
      <c r="P602" s="449"/>
      <c r="Q602" s="449"/>
      <c r="R602" s="449"/>
      <c r="S602" s="449"/>
      <c r="T602" s="449"/>
      <c r="U602" s="449"/>
      <c r="V602" s="449"/>
      <c r="W602" s="449"/>
      <c r="X602" s="449"/>
      <c r="Y602" s="449">
        <v>0</v>
      </c>
      <c r="Z602" s="531"/>
      <c r="AA602" s="449"/>
      <c r="AB602" s="449"/>
      <c r="AC602" s="449"/>
      <c r="AD602" s="449"/>
      <c r="AE602" s="449"/>
      <c r="AF602" s="449"/>
      <c r="AG602" s="449"/>
      <c r="AH602" s="449"/>
      <c r="AI602" s="449"/>
      <c r="AJ602" s="449"/>
      <c r="AK602" s="449"/>
      <c r="AL602" s="449"/>
      <c r="AN602" s="500"/>
      <c r="AO602" s="449"/>
      <c r="AP602" s="449"/>
      <c r="AQ602" s="453"/>
      <c r="AR602" s="449"/>
      <c r="AS602" s="449"/>
      <c r="AT602" s="426"/>
      <c r="AU602" s="421"/>
      <c r="AV602" s="449"/>
      <c r="AW602" s="449"/>
      <c r="AX602" s="449"/>
      <c r="AY602" s="449"/>
      <c r="AZ602" s="449"/>
      <c r="BA602" s="449"/>
      <c r="BB602" s="449"/>
      <c r="BC602" s="449"/>
      <c r="BD602" s="449"/>
      <c r="BE602" s="449"/>
      <c r="BF602" s="449"/>
      <c r="BG602" s="449"/>
      <c r="BH602" s="531"/>
      <c r="BI602" s="449"/>
      <c r="BJ602" s="449"/>
      <c r="BK602" s="449"/>
      <c r="BL602" s="449"/>
      <c r="BM602" s="449"/>
      <c r="BN602" s="449"/>
      <c r="BO602" s="449"/>
      <c r="BP602" s="449"/>
      <c r="BQ602" s="449"/>
      <c r="BR602" s="449"/>
      <c r="BS602" s="449"/>
      <c r="BT602" s="449"/>
    </row>
    <row r="603" spans="1:72" ht="15" hidden="1" x14ac:dyDescent="0.25">
      <c r="A603" s="502" t="s">
        <v>1013</v>
      </c>
      <c r="B603" s="502" t="s">
        <v>976</v>
      </c>
      <c r="C603" s="538"/>
      <c r="D603" s="500"/>
      <c r="E603" s="449"/>
      <c r="F603" s="449"/>
      <c r="G603" s="421"/>
      <c r="H603" s="449"/>
      <c r="I603" s="449"/>
      <c r="J603" s="426"/>
      <c r="K603" s="421"/>
      <c r="L603" s="449"/>
      <c r="M603" s="449"/>
      <c r="N603" s="449"/>
      <c r="O603" s="449"/>
      <c r="P603" s="449"/>
      <c r="Q603" s="449"/>
      <c r="R603" s="449"/>
      <c r="S603" s="449"/>
      <c r="T603" s="449"/>
      <c r="U603" s="449"/>
      <c r="V603" s="449"/>
      <c r="W603" s="449"/>
      <c r="X603" s="449"/>
      <c r="Y603" s="449">
        <v>0</v>
      </c>
      <c r="Z603" s="531"/>
      <c r="AA603" s="449"/>
      <c r="AB603" s="449"/>
      <c r="AC603" s="449"/>
      <c r="AD603" s="449"/>
      <c r="AE603" s="449"/>
      <c r="AF603" s="449"/>
      <c r="AG603" s="449"/>
      <c r="AH603" s="449"/>
      <c r="AI603" s="449"/>
      <c r="AJ603" s="449"/>
      <c r="AK603" s="449"/>
      <c r="AL603" s="449"/>
      <c r="AN603" s="500"/>
      <c r="AO603" s="449"/>
      <c r="AP603" s="449"/>
      <c r="AQ603" s="453"/>
      <c r="AR603" s="449"/>
      <c r="AS603" s="449"/>
      <c r="AT603" s="426"/>
      <c r="AU603" s="421"/>
      <c r="AV603" s="449"/>
      <c r="AW603" s="449"/>
      <c r="AX603" s="449"/>
      <c r="AY603" s="449"/>
      <c r="AZ603" s="449"/>
      <c r="BA603" s="449"/>
      <c r="BB603" s="449"/>
      <c r="BC603" s="449"/>
      <c r="BD603" s="449"/>
      <c r="BE603" s="449"/>
      <c r="BF603" s="449"/>
      <c r="BG603" s="449"/>
      <c r="BH603" s="531"/>
      <c r="BI603" s="449"/>
      <c r="BJ603" s="449"/>
      <c r="BK603" s="449"/>
      <c r="BL603" s="449"/>
      <c r="BM603" s="449"/>
      <c r="BN603" s="449"/>
      <c r="BO603" s="449"/>
      <c r="BP603" s="449"/>
      <c r="BQ603" s="449"/>
      <c r="BR603" s="449"/>
      <c r="BS603" s="449"/>
      <c r="BT603" s="449"/>
    </row>
    <row r="604" spans="1:72" ht="15" hidden="1" x14ac:dyDescent="0.25">
      <c r="A604" s="502" t="s">
        <v>1014</v>
      </c>
      <c r="B604" s="502" t="s">
        <v>1015</v>
      </c>
      <c r="C604" s="538"/>
      <c r="D604" s="500"/>
      <c r="E604" s="449"/>
      <c r="F604" s="449"/>
      <c r="G604" s="421"/>
      <c r="H604" s="449"/>
      <c r="I604" s="449"/>
      <c r="J604" s="426"/>
      <c r="K604" s="421"/>
      <c r="L604" s="449"/>
      <c r="M604" s="449"/>
      <c r="N604" s="449"/>
      <c r="O604" s="449"/>
      <c r="P604" s="449"/>
      <c r="Q604" s="449"/>
      <c r="R604" s="449"/>
      <c r="S604" s="449"/>
      <c r="T604" s="449"/>
      <c r="U604" s="449"/>
      <c r="V604" s="449"/>
      <c r="W604" s="449"/>
      <c r="X604" s="449"/>
      <c r="Y604" s="449">
        <v>0</v>
      </c>
      <c r="Z604" s="531"/>
      <c r="AA604" s="449"/>
      <c r="AB604" s="449"/>
      <c r="AC604" s="449"/>
      <c r="AD604" s="449"/>
      <c r="AE604" s="449"/>
      <c r="AF604" s="449"/>
      <c r="AG604" s="449"/>
      <c r="AH604" s="449"/>
      <c r="AI604" s="449"/>
      <c r="AJ604" s="449"/>
      <c r="AK604" s="449"/>
      <c r="AL604" s="449"/>
      <c r="AN604" s="500"/>
      <c r="AO604" s="449"/>
      <c r="AP604" s="449"/>
      <c r="AQ604" s="453"/>
      <c r="AR604" s="449"/>
      <c r="AS604" s="449"/>
      <c r="AT604" s="426"/>
      <c r="AU604" s="421"/>
      <c r="AV604" s="449"/>
      <c r="AW604" s="449"/>
      <c r="AX604" s="449"/>
      <c r="AY604" s="449"/>
      <c r="AZ604" s="449"/>
      <c r="BA604" s="449"/>
      <c r="BB604" s="449"/>
      <c r="BC604" s="449"/>
      <c r="BD604" s="449"/>
      <c r="BE604" s="449"/>
      <c r="BF604" s="449"/>
      <c r="BG604" s="449"/>
      <c r="BH604" s="531"/>
      <c r="BI604" s="449"/>
      <c r="BJ604" s="449"/>
      <c r="BK604" s="449"/>
      <c r="BL604" s="449"/>
      <c r="BM604" s="449"/>
      <c r="BN604" s="449"/>
      <c r="BO604" s="449"/>
      <c r="BP604" s="449"/>
      <c r="BQ604" s="449"/>
      <c r="BR604" s="449"/>
      <c r="BS604" s="449"/>
      <c r="BT604" s="449"/>
    </row>
    <row r="605" spans="1:72" ht="5.25" customHeight="1" x14ac:dyDescent="0.25">
      <c r="A605" s="502"/>
      <c r="B605" s="502"/>
      <c r="C605" s="538"/>
      <c r="D605" s="500"/>
      <c r="E605" s="449"/>
      <c r="F605" s="449"/>
      <c r="G605" s="421"/>
      <c r="H605" s="449"/>
      <c r="I605" s="449"/>
      <c r="J605" s="426"/>
      <c r="K605" s="421"/>
      <c r="L605" s="449"/>
      <c r="M605" s="449"/>
      <c r="N605" s="449"/>
      <c r="O605" s="449"/>
      <c r="P605" s="449"/>
      <c r="Q605" s="449"/>
      <c r="R605" s="449"/>
      <c r="S605" s="449"/>
      <c r="T605" s="449"/>
      <c r="U605" s="449"/>
      <c r="V605" s="449"/>
      <c r="W605" s="449"/>
      <c r="X605" s="449"/>
      <c r="Y605" s="449"/>
      <c r="Z605" s="531"/>
      <c r="AA605" s="449"/>
      <c r="AB605" s="449"/>
      <c r="AC605" s="449"/>
      <c r="AD605" s="449"/>
      <c r="AE605" s="449"/>
      <c r="AF605" s="449"/>
      <c r="AG605" s="449"/>
      <c r="AH605" s="449"/>
      <c r="AI605" s="449"/>
      <c r="AJ605" s="449"/>
      <c r="AK605" s="449"/>
      <c r="AL605" s="449"/>
      <c r="AN605" s="500"/>
      <c r="AO605" s="449"/>
      <c r="AP605" s="449"/>
      <c r="AQ605" s="453"/>
      <c r="AR605" s="449"/>
      <c r="AS605" s="449"/>
      <c r="AT605" s="426"/>
      <c r="AU605" s="421"/>
      <c r="AV605" s="449"/>
      <c r="AW605" s="449"/>
      <c r="AX605" s="449"/>
      <c r="AY605" s="449"/>
      <c r="AZ605" s="449"/>
      <c r="BA605" s="449"/>
      <c r="BB605" s="449"/>
      <c r="BC605" s="449"/>
      <c r="BD605" s="449"/>
      <c r="BE605" s="449"/>
      <c r="BF605" s="449"/>
      <c r="BG605" s="449"/>
      <c r="BH605" s="531"/>
      <c r="BI605" s="449"/>
      <c r="BJ605" s="449"/>
      <c r="BK605" s="449"/>
      <c r="BL605" s="449"/>
      <c r="BM605" s="449"/>
      <c r="BN605" s="449"/>
      <c r="BO605" s="449"/>
      <c r="BP605" s="449"/>
      <c r="BQ605" s="449"/>
      <c r="BR605" s="449"/>
      <c r="BS605" s="449"/>
      <c r="BT605" s="449"/>
    </row>
    <row r="606" spans="1:72" s="536" customFormat="1" ht="15.75" thickBot="1" x14ac:dyDescent="0.3">
      <c r="A606" s="524"/>
      <c r="B606" s="524" t="s">
        <v>1016</v>
      </c>
      <c r="C606" s="535"/>
      <c r="D606" s="532">
        <f>SUM(D589:D605)</f>
        <v>31562</v>
      </c>
      <c r="E606" s="533">
        <f>SUM(E589:E605)</f>
        <v>31562</v>
      </c>
      <c r="F606" s="533">
        <f>IFERROR(D606-E606,0)</f>
        <v>0</v>
      </c>
      <c r="G606" s="520">
        <f>IFERROR(F606/ABS(E606),0)</f>
        <v>0</v>
      </c>
      <c r="H606" s="533">
        <f>SUM(H589:H604)</f>
        <v>31562</v>
      </c>
      <c r="I606" s="533">
        <f>IFERROR(D606-H606,0)</f>
        <v>0</v>
      </c>
      <c r="J606" s="521">
        <f>IFERROR(I606/ABS(H606),0)</f>
        <v>0</v>
      </c>
      <c r="K606" s="507"/>
      <c r="L606" s="533">
        <f>SUM(L589:L605)</f>
        <v>0</v>
      </c>
      <c r="M606" s="533">
        <f t="shared" ref="M606:W606" si="523">SUM(M589:M605)</f>
        <v>1699.5900000000001</v>
      </c>
      <c r="N606" s="533">
        <f t="shared" si="523"/>
        <v>2688.72</v>
      </c>
      <c r="O606" s="533">
        <f t="shared" si="523"/>
        <v>2395.9600000000009</v>
      </c>
      <c r="P606" s="533">
        <f t="shared" si="523"/>
        <v>2271.33</v>
      </c>
      <c r="Q606" s="533">
        <f t="shared" si="523"/>
        <v>2271.1400000000003</v>
      </c>
      <c r="R606" s="533">
        <f t="shared" si="523"/>
        <v>3372.5433333333331</v>
      </c>
      <c r="S606" s="533">
        <f t="shared" si="523"/>
        <v>3372.5433333333335</v>
      </c>
      <c r="T606" s="533">
        <f t="shared" si="523"/>
        <v>3372.5433333333335</v>
      </c>
      <c r="U606" s="533">
        <f t="shared" si="523"/>
        <v>3372.543333333334</v>
      </c>
      <c r="V606" s="533">
        <f t="shared" si="523"/>
        <v>3372.5433333333349</v>
      </c>
      <c r="W606" s="533">
        <f t="shared" si="523"/>
        <v>3372.5433333333367</v>
      </c>
      <c r="X606" s="533"/>
      <c r="Y606" s="533">
        <f>SUM(L606:W606)</f>
        <v>31562.000000000007</v>
      </c>
      <c r="Z606" s="508"/>
      <c r="AA606" s="533">
        <f t="shared" ref="AA606:AL606" si="524">SUM(AA589:AA605)</f>
        <v>2630.1666666666665</v>
      </c>
      <c r="AB606" s="533">
        <f t="shared" si="524"/>
        <v>2630.1666666666665</v>
      </c>
      <c r="AC606" s="533">
        <f t="shared" si="524"/>
        <v>2630.1666666666665</v>
      </c>
      <c r="AD606" s="533">
        <f t="shared" si="524"/>
        <v>2630.1666666666665</v>
      </c>
      <c r="AE606" s="533">
        <f t="shared" si="524"/>
        <v>2630.1666666666665</v>
      </c>
      <c r="AF606" s="533">
        <f t="shared" si="524"/>
        <v>2630.1666666666665</v>
      </c>
      <c r="AG606" s="533">
        <f t="shared" si="524"/>
        <v>2630.1666666666665</v>
      </c>
      <c r="AH606" s="533">
        <f t="shared" si="524"/>
        <v>2630.1666666666665</v>
      </c>
      <c r="AI606" s="533">
        <f t="shared" si="524"/>
        <v>2630.1666666666665</v>
      </c>
      <c r="AJ606" s="533">
        <f t="shared" si="524"/>
        <v>2630.1666666666665</v>
      </c>
      <c r="AK606" s="533">
        <f t="shared" si="524"/>
        <v>2630.1666666666665</v>
      </c>
      <c r="AL606" s="533">
        <f t="shared" si="524"/>
        <v>2630.1666666666665</v>
      </c>
      <c r="AN606" s="532">
        <f>SUM(AN589:AN605)</f>
        <v>31562</v>
      </c>
      <c r="AO606" s="533">
        <f>SUM(AO589:AO605)</f>
        <v>44095.561370000003</v>
      </c>
      <c r="AP606" s="533">
        <f>IFERROR(AO606-AN606,0)</f>
        <v>12533.561370000003</v>
      </c>
      <c r="AQ606" s="523">
        <f>IFERROR(AP606/ABS(AN606),"-")</f>
        <v>0.39710922533426279</v>
      </c>
      <c r="AR606" s="533">
        <f>SUM(AR589:AR604)</f>
        <v>44095.561370000003</v>
      </c>
      <c r="AS606" s="533">
        <f>IFERROR(AO606-AR606,0)</f>
        <v>0</v>
      </c>
      <c r="AT606" s="521">
        <f>IFERROR(AS606/ABS(AR606),0)</f>
        <v>0</v>
      </c>
      <c r="AU606" s="507"/>
      <c r="AV606" s="533">
        <f>SUM(AV589:AV605)</f>
        <v>0</v>
      </c>
      <c r="AW606" s="533">
        <f t="shared" ref="AW606:BG606" si="525">SUM(AW589:AW605)</f>
        <v>4409.5561369999996</v>
      </c>
      <c r="AX606" s="533">
        <f t="shared" si="525"/>
        <v>4409.5561369999996</v>
      </c>
      <c r="AY606" s="533">
        <f t="shared" si="525"/>
        <v>4409.5561369999996</v>
      </c>
      <c r="AZ606" s="533">
        <f t="shared" si="525"/>
        <v>4409.5561369999996</v>
      </c>
      <c r="BA606" s="533">
        <f t="shared" si="525"/>
        <v>4409.5561369999996</v>
      </c>
      <c r="BB606" s="533">
        <f t="shared" si="525"/>
        <v>4409.5561369999996</v>
      </c>
      <c r="BC606" s="533">
        <f t="shared" si="525"/>
        <v>4409.5561369999996</v>
      </c>
      <c r="BD606" s="533">
        <f t="shared" si="525"/>
        <v>4409.5561369999996</v>
      </c>
      <c r="BE606" s="533">
        <f t="shared" si="525"/>
        <v>4409.5561369999996</v>
      </c>
      <c r="BF606" s="533">
        <f t="shared" si="525"/>
        <v>4409.5561369999996</v>
      </c>
      <c r="BG606" s="533">
        <f t="shared" si="525"/>
        <v>0</v>
      </c>
      <c r="BH606" s="508"/>
      <c r="BI606" s="533">
        <f t="shared" ref="BI606:BT606" si="526">SUM(BI589:BI605)</f>
        <v>0</v>
      </c>
      <c r="BJ606" s="533">
        <f t="shared" si="526"/>
        <v>4409.5561369999996</v>
      </c>
      <c r="BK606" s="533">
        <f t="shared" si="526"/>
        <v>4409.5561369999996</v>
      </c>
      <c r="BL606" s="533">
        <f t="shared" si="526"/>
        <v>4409.5561369999996</v>
      </c>
      <c r="BM606" s="533">
        <f t="shared" si="526"/>
        <v>4409.5561369999996</v>
      </c>
      <c r="BN606" s="533">
        <f t="shared" si="526"/>
        <v>4409.5561369999996</v>
      </c>
      <c r="BO606" s="533">
        <f t="shared" si="526"/>
        <v>4409.5561369999996</v>
      </c>
      <c r="BP606" s="533">
        <f t="shared" si="526"/>
        <v>4409.5561369999996</v>
      </c>
      <c r="BQ606" s="533">
        <f t="shared" si="526"/>
        <v>4409.5561369999996</v>
      </c>
      <c r="BR606" s="533">
        <f t="shared" si="526"/>
        <v>4409.5561369999996</v>
      </c>
      <c r="BS606" s="533">
        <f t="shared" si="526"/>
        <v>4409.5561369999996</v>
      </c>
      <c r="BT606" s="533">
        <f t="shared" si="526"/>
        <v>0</v>
      </c>
    </row>
    <row r="607" spans="1:72" ht="9" customHeight="1" thickTop="1" x14ac:dyDescent="0.25">
      <c r="A607" s="502"/>
      <c r="B607" s="502"/>
      <c r="C607" s="538"/>
      <c r="D607" s="500"/>
      <c r="E607" s="449"/>
      <c r="F607" s="449"/>
      <c r="G607" s="421"/>
      <c r="H607" s="449"/>
      <c r="I607" s="449"/>
      <c r="J607" s="426"/>
      <c r="K607" s="421"/>
      <c r="L607" s="449"/>
      <c r="M607" s="449"/>
      <c r="N607" s="449"/>
      <c r="O607" s="449"/>
      <c r="P607" s="449"/>
      <c r="Q607" s="449"/>
      <c r="R607" s="449"/>
      <c r="S607" s="449"/>
      <c r="T607" s="449"/>
      <c r="U607" s="449"/>
      <c r="V607" s="449"/>
      <c r="W607" s="449"/>
      <c r="X607" s="449"/>
      <c r="Y607" s="449"/>
      <c r="Z607" s="531"/>
      <c r="AA607" s="449"/>
      <c r="AB607" s="449"/>
      <c r="AC607" s="449"/>
      <c r="AD607" s="449"/>
      <c r="AE607" s="449"/>
      <c r="AF607" s="449"/>
      <c r="AG607" s="449"/>
      <c r="AH607" s="449"/>
      <c r="AI607" s="449"/>
      <c r="AJ607" s="449"/>
      <c r="AK607" s="449"/>
      <c r="AL607" s="449"/>
      <c r="AN607" s="500"/>
      <c r="AO607" s="449"/>
      <c r="AP607" s="449"/>
      <c r="AQ607" s="453"/>
      <c r="AR607" s="449"/>
      <c r="AS607" s="449"/>
      <c r="AT607" s="426"/>
      <c r="AU607" s="421"/>
      <c r="AV607" s="449"/>
      <c r="AW607" s="449"/>
      <c r="AX607" s="449"/>
      <c r="AY607" s="449"/>
      <c r="AZ607" s="449"/>
      <c r="BA607" s="449"/>
      <c r="BB607" s="449"/>
      <c r="BC607" s="449"/>
      <c r="BD607" s="449"/>
      <c r="BE607" s="449"/>
      <c r="BF607" s="449"/>
      <c r="BG607" s="449"/>
      <c r="BH607" s="531"/>
      <c r="BI607" s="449"/>
      <c r="BJ607" s="449"/>
      <c r="BK607" s="449"/>
      <c r="BL607" s="449"/>
      <c r="BM607" s="449"/>
      <c r="BN607" s="449"/>
      <c r="BO607" s="449"/>
      <c r="BP607" s="449"/>
      <c r="BQ607" s="449"/>
      <c r="BR607" s="449"/>
      <c r="BS607" s="449"/>
      <c r="BT607" s="449"/>
    </row>
    <row r="608" spans="1:72" ht="15" x14ac:dyDescent="0.25">
      <c r="A608" s="524" t="s">
        <v>1017</v>
      </c>
      <c r="B608" s="502"/>
      <c r="C608" s="538"/>
      <c r="D608" s="545">
        <f>+D585-D606</f>
        <v>0</v>
      </c>
      <c r="E608" s="546">
        <f>+E585-E606</f>
        <v>0</v>
      </c>
      <c r="F608" s="546">
        <f>IFERROR(D608-E608,0)</f>
        <v>0</v>
      </c>
      <c r="G608" s="547">
        <f>IFERROR(F608/ABS(E608),0)</f>
        <v>0</v>
      </c>
      <c r="H608" s="546">
        <f>+H585-H606</f>
        <v>0</v>
      </c>
      <c r="I608" s="546">
        <f>IFERROR(D608-H608,0)</f>
        <v>0</v>
      </c>
      <c r="J608" s="548">
        <f>IFERROR(I608/ABS(H608),0)</f>
        <v>0</v>
      </c>
      <c r="K608" s="507"/>
      <c r="L608" s="546">
        <f>+L585-L606</f>
        <v>0</v>
      </c>
      <c r="M608" s="546">
        <f t="shared" ref="M608:W608" si="527">+M585-M606</f>
        <v>-1699.5900000000001</v>
      </c>
      <c r="N608" s="546">
        <f t="shared" si="527"/>
        <v>-2688.72</v>
      </c>
      <c r="O608" s="546">
        <f t="shared" si="527"/>
        <v>-2395.9600000000009</v>
      </c>
      <c r="P608" s="546">
        <f t="shared" si="527"/>
        <v>-2271.33</v>
      </c>
      <c r="Q608" s="546">
        <f t="shared" si="527"/>
        <v>-2271.1400000000003</v>
      </c>
      <c r="R608" s="546">
        <f t="shared" si="527"/>
        <v>1887.79</v>
      </c>
      <c r="S608" s="546">
        <f t="shared" si="527"/>
        <v>1887.7900000000004</v>
      </c>
      <c r="T608" s="546">
        <f t="shared" si="527"/>
        <v>1887.7899999999995</v>
      </c>
      <c r="U608" s="546">
        <f t="shared" si="527"/>
        <v>1887.7899999999991</v>
      </c>
      <c r="V608" s="546">
        <f t="shared" si="527"/>
        <v>1887.7899999999991</v>
      </c>
      <c r="W608" s="546">
        <f t="shared" si="527"/>
        <v>1887.7899999999991</v>
      </c>
      <c r="X608" s="546"/>
      <c r="Y608" s="546">
        <f>SUM(L608:W608)</f>
        <v>-3.637978807091713E-12</v>
      </c>
      <c r="Z608" s="554"/>
      <c r="AA608" s="546">
        <f>+AA585-AA606</f>
        <v>0</v>
      </c>
      <c r="AB608" s="546">
        <f t="shared" ref="AB608:AL608" si="528">+AB585-AB606</f>
        <v>0</v>
      </c>
      <c r="AC608" s="546">
        <f t="shared" si="528"/>
        <v>0</v>
      </c>
      <c r="AD608" s="546">
        <f t="shared" si="528"/>
        <v>0</v>
      </c>
      <c r="AE608" s="546">
        <f t="shared" si="528"/>
        <v>0</v>
      </c>
      <c r="AF608" s="546">
        <f t="shared" si="528"/>
        <v>0</v>
      </c>
      <c r="AG608" s="546">
        <f t="shared" si="528"/>
        <v>0</v>
      </c>
      <c r="AH608" s="546">
        <f t="shared" si="528"/>
        <v>0</v>
      </c>
      <c r="AI608" s="546">
        <f t="shared" si="528"/>
        <v>0</v>
      </c>
      <c r="AJ608" s="546">
        <f t="shared" si="528"/>
        <v>0</v>
      </c>
      <c r="AK608" s="546">
        <f t="shared" si="528"/>
        <v>0</v>
      </c>
      <c r="AL608" s="546">
        <f t="shared" si="528"/>
        <v>0</v>
      </c>
      <c r="AN608" s="545">
        <f>+AN585-AN606</f>
        <v>0</v>
      </c>
      <c r="AO608" s="546">
        <f>+AO585-AO606</f>
        <v>0</v>
      </c>
      <c r="AP608" s="546">
        <f>IFERROR(AO608-AN608,0)</f>
        <v>0</v>
      </c>
      <c r="AQ608" s="549" t="str">
        <f>IFERROR(AP608/ABS(AN608),"-")</f>
        <v>-</v>
      </c>
      <c r="AR608" s="546">
        <f>+AR585-AR606</f>
        <v>0</v>
      </c>
      <c r="AS608" s="546">
        <f>IFERROR(AO608-AR608,0)</f>
        <v>0</v>
      </c>
      <c r="AT608" s="548">
        <f>IFERROR(AS608/ABS(AR608),0)</f>
        <v>0</v>
      </c>
      <c r="AU608" s="507"/>
      <c r="AV608" s="546">
        <f>+AV585-AV606</f>
        <v>0</v>
      </c>
      <c r="AW608" s="546">
        <f t="shared" ref="AW608:BG608" si="529">+AW585-AW606</f>
        <v>-4409.5561369999996</v>
      </c>
      <c r="AX608" s="546">
        <f t="shared" si="529"/>
        <v>-4409.5561369999996</v>
      </c>
      <c r="AY608" s="546">
        <f t="shared" si="529"/>
        <v>-4409.5561369999996</v>
      </c>
      <c r="AZ608" s="546">
        <f t="shared" si="529"/>
        <v>-4409.5561369999996</v>
      </c>
      <c r="BA608" s="546">
        <f t="shared" si="529"/>
        <v>-4409.5561369999996</v>
      </c>
      <c r="BB608" s="546">
        <f t="shared" si="529"/>
        <v>-4409.5561369999996</v>
      </c>
      <c r="BC608" s="546">
        <f t="shared" si="529"/>
        <v>-4409.5561369999996</v>
      </c>
      <c r="BD608" s="546">
        <f t="shared" si="529"/>
        <v>-4409.5561369999996</v>
      </c>
      <c r="BE608" s="546">
        <f t="shared" si="529"/>
        <v>-4409.5561369999996</v>
      </c>
      <c r="BF608" s="546">
        <f t="shared" si="529"/>
        <v>-4409.5561369999996</v>
      </c>
      <c r="BG608" s="546">
        <f t="shared" si="529"/>
        <v>44095.561370000003</v>
      </c>
      <c r="BH608" s="554"/>
      <c r="BI608" s="546">
        <f>+BI585-BI606</f>
        <v>0</v>
      </c>
      <c r="BJ608" s="546">
        <f t="shared" ref="BJ608:BT608" si="530">+BJ585-BJ606</f>
        <v>-4409.5561369999996</v>
      </c>
      <c r="BK608" s="546">
        <f t="shared" si="530"/>
        <v>-4409.5561369999996</v>
      </c>
      <c r="BL608" s="546">
        <f t="shared" si="530"/>
        <v>-4409.5561369999996</v>
      </c>
      <c r="BM608" s="546">
        <f t="shared" si="530"/>
        <v>-4409.5561369999996</v>
      </c>
      <c r="BN608" s="546">
        <f t="shared" si="530"/>
        <v>-4409.5561369999996</v>
      </c>
      <c r="BO608" s="546">
        <f t="shared" si="530"/>
        <v>-4409.5561369999996</v>
      </c>
      <c r="BP608" s="546">
        <f t="shared" si="530"/>
        <v>-4409.5561369999996</v>
      </c>
      <c r="BQ608" s="546">
        <f t="shared" si="530"/>
        <v>-4409.5561369999996</v>
      </c>
      <c r="BR608" s="546">
        <f t="shared" si="530"/>
        <v>-4409.5561369999996</v>
      </c>
      <c r="BS608" s="546">
        <f t="shared" si="530"/>
        <v>-4409.5561369999996</v>
      </c>
      <c r="BT608" s="546">
        <f t="shared" si="530"/>
        <v>44095.561370000003</v>
      </c>
    </row>
    <row r="609" spans="1:72" ht="8.25" hidden="1" customHeight="1" x14ac:dyDescent="0.25">
      <c r="A609" s="502"/>
      <c r="B609" s="502"/>
      <c r="C609" s="538"/>
      <c r="D609" s="500"/>
      <c r="E609" s="449"/>
      <c r="F609" s="449"/>
      <c r="G609" s="421"/>
      <c r="H609" s="449"/>
      <c r="I609" s="449"/>
      <c r="J609" s="426"/>
      <c r="K609" s="421"/>
      <c r="L609" s="449"/>
      <c r="M609" s="449"/>
      <c r="N609" s="449"/>
      <c r="O609" s="449"/>
      <c r="P609" s="449"/>
      <c r="Q609" s="449"/>
      <c r="R609" s="449"/>
      <c r="S609" s="449"/>
      <c r="T609" s="449"/>
      <c r="U609" s="449"/>
      <c r="V609" s="449"/>
      <c r="W609" s="449"/>
      <c r="X609" s="449"/>
      <c r="Y609" s="449"/>
      <c r="Z609" s="531"/>
      <c r="AA609" s="449"/>
      <c r="AB609" s="449"/>
      <c r="AC609" s="449"/>
      <c r="AD609" s="449"/>
      <c r="AE609" s="449"/>
      <c r="AF609" s="449"/>
      <c r="AG609" s="449"/>
      <c r="AH609" s="449"/>
      <c r="AI609" s="449"/>
      <c r="AJ609" s="449"/>
      <c r="AK609" s="449"/>
      <c r="AL609" s="449"/>
      <c r="AN609" s="500"/>
      <c r="AO609" s="449"/>
      <c r="AP609" s="449"/>
      <c r="AQ609" s="453"/>
      <c r="AR609" s="449"/>
      <c r="AS609" s="449"/>
      <c r="AT609" s="426"/>
      <c r="AU609" s="421"/>
      <c r="AV609" s="449"/>
      <c r="AW609" s="449"/>
      <c r="AX609" s="449"/>
      <c r="AY609" s="449"/>
      <c r="AZ609" s="449"/>
      <c r="BA609" s="449"/>
      <c r="BB609" s="449"/>
      <c r="BC609" s="449"/>
      <c r="BD609" s="449"/>
      <c r="BE609" s="449"/>
      <c r="BF609" s="449"/>
      <c r="BG609" s="449"/>
      <c r="BH609" s="531"/>
      <c r="BI609" s="449"/>
      <c r="BJ609" s="449"/>
      <c r="BK609" s="449"/>
      <c r="BL609" s="449"/>
      <c r="BM609" s="449"/>
      <c r="BN609" s="449"/>
      <c r="BO609" s="449"/>
      <c r="BP609" s="449"/>
      <c r="BQ609" s="449"/>
      <c r="BR609" s="449"/>
      <c r="BS609" s="449"/>
      <c r="BT609" s="449"/>
    </row>
    <row r="610" spans="1:72" s="536" customFormat="1" ht="15" hidden="1" x14ac:dyDescent="0.25">
      <c r="A610" s="524" t="s">
        <v>1018</v>
      </c>
      <c r="B610" s="524"/>
      <c r="C610" s="535"/>
      <c r="D610" s="527"/>
      <c r="E610" s="528">
        <v>0</v>
      </c>
      <c r="F610" s="528"/>
      <c r="G610" s="507"/>
      <c r="H610" s="528">
        <v>0</v>
      </c>
      <c r="I610" s="528"/>
      <c r="J610" s="529"/>
      <c r="K610" s="507"/>
      <c r="L610" s="528"/>
      <c r="M610" s="528"/>
      <c r="N610" s="528"/>
      <c r="O610" s="528"/>
      <c r="P610" s="528"/>
      <c r="Q610" s="528"/>
      <c r="R610" s="528"/>
      <c r="S610" s="528"/>
      <c r="T610" s="528"/>
      <c r="U610" s="528"/>
      <c r="V610" s="528"/>
      <c r="W610" s="528"/>
      <c r="X610" s="528"/>
      <c r="Y610" s="528"/>
      <c r="Z610" s="555"/>
      <c r="AA610" s="528"/>
      <c r="AB610" s="528"/>
      <c r="AC610" s="528"/>
      <c r="AD610" s="528"/>
      <c r="AE610" s="528"/>
      <c r="AF610" s="528"/>
      <c r="AG610" s="528"/>
      <c r="AH610" s="528"/>
      <c r="AI610" s="528"/>
      <c r="AJ610" s="528"/>
      <c r="AK610" s="528"/>
      <c r="AL610" s="528"/>
      <c r="AN610" s="527"/>
      <c r="AO610" s="528"/>
      <c r="AP610" s="528"/>
      <c r="AQ610" s="499"/>
      <c r="AR610" s="528">
        <f>H612</f>
        <v>0</v>
      </c>
      <c r="AS610" s="528"/>
      <c r="AT610" s="529"/>
      <c r="AU610" s="507"/>
      <c r="AV610" s="528"/>
      <c r="AW610" s="528"/>
      <c r="AX610" s="528"/>
      <c r="AY610" s="528"/>
      <c r="AZ610" s="528"/>
      <c r="BA610" s="528"/>
      <c r="BB610" s="528"/>
      <c r="BC610" s="528"/>
      <c r="BD610" s="528"/>
      <c r="BE610" s="528"/>
      <c r="BF610" s="528"/>
      <c r="BG610" s="528"/>
      <c r="BH610" s="555"/>
      <c r="BI610" s="528"/>
      <c r="BJ610" s="528"/>
      <c r="BK610" s="528"/>
      <c r="BL610" s="528"/>
      <c r="BM610" s="528"/>
      <c r="BN610" s="528"/>
      <c r="BO610" s="528"/>
      <c r="BP610" s="528"/>
      <c r="BQ610" s="528"/>
      <c r="BR610" s="528"/>
      <c r="BS610" s="528"/>
      <c r="BT610" s="528"/>
    </row>
    <row r="611" spans="1:72" ht="9" hidden="1" customHeight="1" x14ac:dyDescent="0.25">
      <c r="A611" s="502"/>
      <c r="B611" s="502"/>
      <c r="C611" s="538"/>
      <c r="D611" s="500"/>
      <c r="E611" s="449"/>
      <c r="F611" s="449"/>
      <c r="G611" s="421"/>
      <c r="H611" s="449"/>
      <c r="I611" s="449"/>
      <c r="J611" s="426"/>
      <c r="K611" s="421"/>
      <c r="L611" s="449"/>
      <c r="M611" s="449"/>
      <c r="N611" s="449"/>
      <c r="O611" s="449"/>
      <c r="P611" s="449"/>
      <c r="Q611" s="449"/>
      <c r="R611" s="449"/>
      <c r="S611" s="449"/>
      <c r="T611" s="449"/>
      <c r="U611" s="449"/>
      <c r="V611" s="449"/>
      <c r="W611" s="449"/>
      <c r="X611" s="449"/>
      <c r="Y611" s="449"/>
      <c r="Z611" s="531"/>
      <c r="AA611" s="449"/>
      <c r="AB611" s="449"/>
      <c r="AC611" s="449"/>
      <c r="AD611" s="449"/>
      <c r="AE611" s="449"/>
      <c r="AF611" s="449"/>
      <c r="AG611" s="449"/>
      <c r="AH611" s="449"/>
      <c r="AI611" s="449"/>
      <c r="AJ611" s="449"/>
      <c r="AK611" s="449"/>
      <c r="AL611" s="449"/>
      <c r="AN611" s="500"/>
      <c r="AO611" s="449"/>
      <c r="AP611" s="449"/>
      <c r="AQ611" s="453"/>
      <c r="AR611" s="449"/>
      <c r="AS611" s="449"/>
      <c r="AT611" s="426"/>
      <c r="AU611" s="421"/>
      <c r="AV611" s="449"/>
      <c r="AW611" s="449"/>
      <c r="AX611" s="449"/>
      <c r="AY611" s="449"/>
      <c r="AZ611" s="449"/>
      <c r="BA611" s="449"/>
      <c r="BB611" s="449"/>
      <c r="BC611" s="449"/>
      <c r="BD611" s="449"/>
      <c r="BE611" s="449"/>
      <c r="BF611" s="449"/>
      <c r="BG611" s="449"/>
      <c r="BH611" s="531"/>
      <c r="BI611" s="449"/>
      <c r="BJ611" s="449"/>
      <c r="BK611" s="449"/>
      <c r="BL611" s="449"/>
      <c r="BM611" s="449"/>
      <c r="BN611" s="449"/>
      <c r="BO611" s="449"/>
      <c r="BP611" s="449"/>
      <c r="BQ611" s="449"/>
      <c r="BR611" s="449"/>
      <c r="BS611" s="449"/>
      <c r="BT611" s="449"/>
    </row>
    <row r="612" spans="1:72" s="536" customFormat="1" ht="15.75" hidden="1" thickBot="1" x14ac:dyDescent="0.3">
      <c r="A612" s="524" t="s">
        <v>1019</v>
      </c>
      <c r="B612" s="524"/>
      <c r="C612" s="535"/>
      <c r="D612" s="550"/>
      <c r="E612" s="533">
        <f>E608+E610</f>
        <v>0</v>
      </c>
      <c r="F612" s="551"/>
      <c r="G612" s="507"/>
      <c r="H612" s="533">
        <f>+H608+H610</f>
        <v>0</v>
      </c>
      <c r="I612" s="551"/>
      <c r="J612" s="529"/>
      <c r="K612" s="507"/>
      <c r="L612" s="551"/>
      <c r="M612" s="551"/>
      <c r="N612" s="551"/>
      <c r="O612" s="551"/>
      <c r="P612" s="551"/>
      <c r="Q612" s="551"/>
      <c r="R612" s="551"/>
      <c r="S612" s="551"/>
      <c r="T612" s="551"/>
      <c r="U612" s="551"/>
      <c r="V612" s="551"/>
      <c r="W612" s="551"/>
      <c r="X612" s="551"/>
      <c r="Y612" s="528"/>
      <c r="Z612" s="555"/>
      <c r="AA612" s="551"/>
      <c r="AB612" s="551"/>
      <c r="AC612" s="551"/>
      <c r="AD612" s="551"/>
      <c r="AE612" s="551"/>
      <c r="AF612" s="551"/>
      <c r="AG612" s="551"/>
      <c r="AH612" s="551"/>
      <c r="AI612" s="551"/>
      <c r="AJ612" s="551"/>
      <c r="AK612" s="551"/>
      <c r="AL612" s="551"/>
      <c r="AN612" s="550"/>
      <c r="AO612" s="551"/>
      <c r="AP612" s="551"/>
      <c r="AQ612" s="499"/>
      <c r="AR612" s="533">
        <f>+AR608+AR610</f>
        <v>0</v>
      </c>
      <c r="AS612" s="551"/>
      <c r="AT612" s="529"/>
      <c r="AU612" s="507"/>
      <c r="AV612" s="551"/>
      <c r="AW612" s="551"/>
      <c r="AX612" s="551"/>
      <c r="AY612" s="551"/>
      <c r="AZ612" s="551"/>
      <c r="BA612" s="551"/>
      <c r="BB612" s="551"/>
      <c r="BC612" s="551"/>
      <c r="BD612" s="551"/>
      <c r="BE612" s="551"/>
      <c r="BF612" s="551"/>
      <c r="BG612" s="551"/>
      <c r="BH612" s="555"/>
      <c r="BI612" s="551"/>
      <c r="BJ612" s="551"/>
      <c r="BK612" s="551"/>
      <c r="BL612" s="551"/>
      <c r="BM612" s="551"/>
      <c r="BN612" s="551"/>
      <c r="BO612" s="551"/>
      <c r="BP612" s="551"/>
      <c r="BQ612" s="551"/>
      <c r="BR612" s="551"/>
      <c r="BS612" s="551"/>
      <c r="BT612" s="551"/>
    </row>
    <row r="613" spans="1:72" ht="26.25" hidden="1" customHeight="1" x14ac:dyDescent="0.25">
      <c r="A613" s="502"/>
      <c r="B613" s="502"/>
      <c r="C613" s="538"/>
      <c r="D613" s="500"/>
      <c r="E613" s="449"/>
      <c r="F613" s="449"/>
      <c r="G613" s="421"/>
      <c r="H613" s="449"/>
      <c r="I613" s="449"/>
      <c r="J613" s="426"/>
      <c r="K613" s="421"/>
      <c r="L613" s="449"/>
      <c r="M613" s="449"/>
      <c r="N613" s="449"/>
      <c r="O613" s="449"/>
      <c r="P613" s="449"/>
      <c r="Q613" s="449"/>
      <c r="R613" s="449"/>
      <c r="S613" s="449"/>
      <c r="T613" s="449"/>
      <c r="U613" s="449"/>
      <c r="V613" s="449"/>
      <c r="W613" s="449"/>
      <c r="X613" s="449"/>
      <c r="Y613" s="449"/>
      <c r="Z613" s="531"/>
      <c r="AA613" s="449"/>
      <c r="AB613" s="449"/>
      <c r="AC613" s="449"/>
      <c r="AD613" s="449"/>
      <c r="AE613" s="449"/>
      <c r="AF613" s="449"/>
      <c r="AG613" s="449"/>
      <c r="AH613" s="449"/>
      <c r="AI613" s="449"/>
      <c r="AJ613" s="449"/>
      <c r="AK613" s="449"/>
      <c r="AL613" s="449"/>
      <c r="AN613" s="500"/>
      <c r="AO613" s="449"/>
      <c r="AP613" s="449"/>
      <c r="AQ613" s="453"/>
      <c r="AR613" s="449"/>
      <c r="AS613" s="449"/>
      <c r="AT613" s="426"/>
      <c r="AU613" s="421"/>
      <c r="AV613" s="449"/>
      <c r="AW613" s="449"/>
      <c r="AX613" s="449"/>
      <c r="AY613" s="449"/>
      <c r="AZ613" s="449"/>
      <c r="BA613" s="449"/>
      <c r="BB613" s="449"/>
      <c r="BC613" s="449"/>
      <c r="BD613" s="449"/>
      <c r="BE613" s="449"/>
      <c r="BF613" s="449"/>
      <c r="BG613" s="449"/>
      <c r="BH613" s="531"/>
      <c r="BI613" s="449"/>
      <c r="BJ613" s="449"/>
      <c r="BK613" s="449"/>
      <c r="BL613" s="449"/>
      <c r="BM613" s="449"/>
      <c r="BN613" s="449"/>
      <c r="BO613" s="449"/>
      <c r="BP613" s="449"/>
      <c r="BQ613" s="449"/>
      <c r="BR613" s="449"/>
      <c r="BS613" s="449"/>
      <c r="BT613" s="449"/>
    </row>
    <row r="614" spans="1:72" s="536" customFormat="1" ht="15.75" hidden="1" x14ac:dyDescent="0.25">
      <c r="A614" s="619" t="s">
        <v>1020</v>
      </c>
      <c r="B614" s="524"/>
      <c r="C614" s="535"/>
      <c r="D614" s="527"/>
      <c r="E614" s="528"/>
      <c r="F614" s="528"/>
      <c r="G614" s="507"/>
      <c r="H614" s="528"/>
      <c r="I614" s="528"/>
      <c r="J614" s="529"/>
      <c r="K614" s="507"/>
      <c r="L614" s="528"/>
      <c r="M614" s="528"/>
      <c r="N614" s="528"/>
      <c r="O614" s="528"/>
      <c r="P614" s="528"/>
      <c r="Q614" s="528"/>
      <c r="R614" s="528"/>
      <c r="S614" s="528"/>
      <c r="T614" s="528"/>
      <c r="U614" s="528"/>
      <c r="V614" s="528"/>
      <c r="W614" s="528"/>
      <c r="X614" s="528"/>
      <c r="Y614" s="528"/>
      <c r="Z614" s="530"/>
      <c r="AA614" s="528"/>
      <c r="AB614" s="528"/>
      <c r="AC614" s="528"/>
      <c r="AD614" s="528"/>
      <c r="AE614" s="528"/>
      <c r="AF614" s="528"/>
      <c r="AG614" s="528"/>
      <c r="AH614" s="528"/>
      <c r="AI614" s="528"/>
      <c r="AJ614" s="528"/>
      <c r="AK614" s="528"/>
      <c r="AL614" s="528"/>
      <c r="AN614" s="527"/>
      <c r="AO614" s="528"/>
      <c r="AP614" s="528"/>
      <c r="AQ614" s="499"/>
      <c r="AR614" s="528"/>
      <c r="AS614" s="528"/>
      <c r="AT614" s="529"/>
      <c r="AU614" s="507"/>
      <c r="AV614" s="528"/>
      <c r="AW614" s="528"/>
      <c r="AX614" s="528"/>
      <c r="AY614" s="528"/>
      <c r="AZ614" s="528"/>
      <c r="BA614" s="528"/>
      <c r="BB614" s="528"/>
      <c r="BC614" s="528"/>
      <c r="BD614" s="528"/>
      <c r="BE614" s="528"/>
      <c r="BF614" s="528"/>
      <c r="BG614" s="528"/>
      <c r="BH614" s="530"/>
      <c r="BI614" s="528"/>
      <c r="BJ614" s="528"/>
      <c r="BK614" s="528"/>
      <c r="BL614" s="528"/>
      <c r="BM614" s="528"/>
      <c r="BN614" s="528"/>
      <c r="BO614" s="528"/>
      <c r="BP614" s="528"/>
      <c r="BQ614" s="528"/>
      <c r="BR614" s="528"/>
      <c r="BS614" s="528"/>
      <c r="BT614" s="528"/>
    </row>
    <row r="615" spans="1:72" ht="6" hidden="1" customHeight="1" x14ac:dyDescent="0.25">
      <c r="A615" s="502"/>
      <c r="B615" s="502"/>
      <c r="C615" s="538"/>
      <c r="D615" s="500"/>
      <c r="E615" s="449"/>
      <c r="F615" s="449"/>
      <c r="G615" s="421"/>
      <c r="H615" s="449"/>
      <c r="I615" s="449"/>
      <c r="J615" s="426"/>
      <c r="K615" s="421"/>
      <c r="L615" s="449"/>
      <c r="M615" s="449"/>
      <c r="N615" s="449"/>
      <c r="O615" s="449"/>
      <c r="P615" s="449"/>
      <c r="Q615" s="449"/>
      <c r="R615" s="449"/>
      <c r="S615" s="449"/>
      <c r="T615" s="449"/>
      <c r="U615" s="449"/>
      <c r="V615" s="449"/>
      <c r="W615" s="449"/>
      <c r="X615" s="449"/>
      <c r="Y615" s="449"/>
      <c r="Z615" s="531"/>
      <c r="AA615" s="449"/>
      <c r="AB615" s="449"/>
      <c r="AC615" s="449"/>
      <c r="AD615" s="449"/>
      <c r="AE615" s="449"/>
      <c r="AF615" s="449"/>
      <c r="AG615" s="449"/>
      <c r="AH615" s="449"/>
      <c r="AI615" s="449"/>
      <c r="AJ615" s="449"/>
      <c r="AK615" s="449"/>
      <c r="AL615" s="449"/>
      <c r="AN615" s="500"/>
      <c r="AO615" s="449"/>
      <c r="AP615" s="449"/>
      <c r="AQ615" s="453"/>
      <c r="AR615" s="449"/>
      <c r="AS615" s="449"/>
      <c r="AT615" s="426"/>
      <c r="AU615" s="421"/>
      <c r="AV615" s="449"/>
      <c r="AW615" s="449"/>
      <c r="AX615" s="449"/>
      <c r="AY615" s="449"/>
      <c r="AZ615" s="449"/>
      <c r="BA615" s="449"/>
      <c r="BB615" s="449"/>
      <c r="BC615" s="449"/>
      <c r="BD615" s="449"/>
      <c r="BE615" s="449"/>
      <c r="BF615" s="449"/>
      <c r="BG615" s="449"/>
      <c r="BH615" s="531"/>
      <c r="BI615" s="449"/>
      <c r="BJ615" s="449"/>
      <c r="BK615" s="449"/>
      <c r="BL615" s="449"/>
      <c r="BM615" s="449"/>
      <c r="BN615" s="449"/>
      <c r="BO615" s="449"/>
      <c r="BP615" s="449"/>
      <c r="BQ615" s="449"/>
      <c r="BR615" s="449"/>
      <c r="BS615" s="449"/>
      <c r="BT615" s="449"/>
    </row>
    <row r="616" spans="1:72" ht="15" hidden="1" x14ac:dyDescent="0.25">
      <c r="A616" s="524" t="s">
        <v>1021</v>
      </c>
      <c r="B616" s="502"/>
      <c r="C616" s="538"/>
      <c r="D616" s="550">
        <f>+D568+D608</f>
        <v>67640.709999999031</v>
      </c>
      <c r="E616" s="551">
        <f>+E568+E608</f>
        <v>25963.682426000014</v>
      </c>
      <c r="F616" s="551">
        <f>IFERROR(D616-E616,0)</f>
        <v>41677.027573999017</v>
      </c>
      <c r="G616" s="507">
        <f>IFERROR(F616/ABS(E616),0)</f>
        <v>1.6052047968459078</v>
      </c>
      <c r="H616" s="551">
        <f>+H568+H608</f>
        <v>175442.96999999881</v>
      </c>
      <c r="I616" s="551">
        <f>IFERROR(D616-H616,0)</f>
        <v>-107802.25999999978</v>
      </c>
      <c r="J616" s="529">
        <f>IFERROR(I616/ABS(H616),0)</f>
        <v>-0.61445756418738529</v>
      </c>
      <c r="K616" s="507"/>
      <c r="L616" s="551">
        <f t="shared" ref="L616:W616" si="531">+L568+L608</f>
        <v>162417.92000000016</v>
      </c>
      <c r="M616" s="551">
        <f t="shared" si="531"/>
        <v>-144880.4500000001</v>
      </c>
      <c r="N616" s="551">
        <f t="shared" si="531"/>
        <v>270477.02</v>
      </c>
      <c r="O616" s="551">
        <f t="shared" si="531"/>
        <v>-56400.550000000083</v>
      </c>
      <c r="P616" s="551">
        <f t="shared" si="531"/>
        <v>82092.319999999672</v>
      </c>
      <c r="Q616" s="551">
        <f t="shared" si="531"/>
        <v>202263.69000000018</v>
      </c>
      <c r="R616" s="551">
        <f t="shared" si="531"/>
        <v>-74721.539999999964</v>
      </c>
      <c r="S616" s="551">
        <f t="shared" si="531"/>
        <v>-74721.540000000081</v>
      </c>
      <c r="T616" s="551">
        <f t="shared" si="531"/>
        <v>-74721.540000000081</v>
      </c>
      <c r="U616" s="551">
        <f t="shared" si="531"/>
        <v>-74721.539999999964</v>
      </c>
      <c r="V616" s="551">
        <f t="shared" si="531"/>
        <v>-74721.539999999964</v>
      </c>
      <c r="W616" s="551">
        <f t="shared" si="531"/>
        <v>-74721.539999999499</v>
      </c>
      <c r="X616" s="551"/>
      <c r="Y616" s="551">
        <f>+Y568+Y608</f>
        <v>67640.709999999031</v>
      </c>
      <c r="Z616" s="508"/>
      <c r="AA616" s="551">
        <f t="shared" ref="AA616:AL616" si="532">+AA568+AA608</f>
        <v>14620.247499999939</v>
      </c>
      <c r="AB616" s="551">
        <f t="shared" si="532"/>
        <v>14620.247499999939</v>
      </c>
      <c r="AC616" s="551">
        <f t="shared" si="532"/>
        <v>14620.247499999939</v>
      </c>
      <c r="AD616" s="551">
        <f t="shared" si="532"/>
        <v>14620.247499999939</v>
      </c>
      <c r="AE616" s="551">
        <f t="shared" si="532"/>
        <v>14620.247499999939</v>
      </c>
      <c r="AF616" s="551">
        <f t="shared" si="532"/>
        <v>14620.247499999939</v>
      </c>
      <c r="AG616" s="551">
        <f t="shared" si="532"/>
        <v>14620.247499999939</v>
      </c>
      <c r="AH616" s="551">
        <f t="shared" si="532"/>
        <v>14620.247499999939</v>
      </c>
      <c r="AI616" s="551">
        <f t="shared" si="532"/>
        <v>14620.247499999939</v>
      </c>
      <c r="AJ616" s="551">
        <f t="shared" si="532"/>
        <v>14620.247499999939</v>
      </c>
      <c r="AK616" s="551">
        <f t="shared" si="532"/>
        <v>14620.247499999939</v>
      </c>
      <c r="AL616" s="551">
        <f t="shared" si="532"/>
        <v>14620.247499999939</v>
      </c>
      <c r="AN616" s="550">
        <f>+AN568+AN608</f>
        <v>67640.709999999031</v>
      </c>
      <c r="AO616" s="551">
        <f>+AO568+AO608</f>
        <v>-356356.84138603322</v>
      </c>
      <c r="AP616" s="551">
        <f>IFERROR(AO616-AN616,0)</f>
        <v>-423997.55138603225</v>
      </c>
      <c r="AQ616" s="499">
        <f>IFERROR(AP616/ABS(AN616),"-")</f>
        <v>-6.2683781909746115</v>
      </c>
      <c r="AR616" s="551">
        <f>+AR568+AR608</f>
        <v>-356356.84138603322</v>
      </c>
      <c r="AS616" s="551">
        <f>IFERROR(AO616-AR616,0)</f>
        <v>0</v>
      </c>
      <c r="AT616" s="529">
        <f>IFERROR(AS616/ABS(AR616),0)</f>
        <v>0</v>
      </c>
      <c r="AU616" s="507"/>
      <c r="AV616" s="551">
        <f t="shared" ref="AV616:BG616" si="533">+AV568+AV608</f>
        <v>169087.70315233467</v>
      </c>
      <c r="AW616" s="551">
        <f t="shared" si="533"/>
        <v>53501.675387854084</v>
      </c>
      <c r="AX616" s="551">
        <f t="shared" si="533"/>
        <v>-23843.848962294542</v>
      </c>
      <c r="AY616" s="551">
        <f t="shared" si="533"/>
        <v>-263563.34896229452</v>
      </c>
      <c r="AZ616" s="551">
        <f t="shared" si="533"/>
        <v>-19839.848962294542</v>
      </c>
      <c r="BA616" s="551">
        <f t="shared" si="533"/>
        <v>18068.045664746991</v>
      </c>
      <c r="BB616" s="551">
        <f t="shared" si="533"/>
        <v>-82422.064335253002</v>
      </c>
      <c r="BC616" s="551">
        <f t="shared" si="533"/>
        <v>22072.045664746991</v>
      </c>
      <c r="BD616" s="551">
        <f t="shared" si="533"/>
        <v>63068.045664746991</v>
      </c>
      <c r="BE616" s="551">
        <f t="shared" si="533"/>
        <v>-28651.454335252893</v>
      </c>
      <c r="BF616" s="551">
        <f t="shared" si="533"/>
        <v>18068.045664746991</v>
      </c>
      <c r="BG616" s="551">
        <f t="shared" si="533"/>
        <v>-281901.83702781925</v>
      </c>
      <c r="BH616" s="508"/>
      <c r="BI616" s="551">
        <f t="shared" ref="BI616:BT616" si="534">+BI568+BI608</f>
        <v>169087.70315233467</v>
      </c>
      <c r="BJ616" s="551">
        <f t="shared" si="534"/>
        <v>53501.675387854084</v>
      </c>
      <c r="BK616" s="551">
        <f t="shared" si="534"/>
        <v>-23843.848962294542</v>
      </c>
      <c r="BL616" s="551">
        <f t="shared" si="534"/>
        <v>-263563.34896229452</v>
      </c>
      <c r="BM616" s="551">
        <f t="shared" si="534"/>
        <v>-19839.848962294542</v>
      </c>
      <c r="BN616" s="551">
        <f t="shared" si="534"/>
        <v>18068.045664746991</v>
      </c>
      <c r="BO616" s="551">
        <f t="shared" si="534"/>
        <v>-82422.064335253002</v>
      </c>
      <c r="BP616" s="551">
        <f t="shared" si="534"/>
        <v>22072.045664746991</v>
      </c>
      <c r="BQ616" s="551">
        <f t="shared" si="534"/>
        <v>63068.045664746991</v>
      </c>
      <c r="BR616" s="551">
        <f t="shared" si="534"/>
        <v>-28651.454335252893</v>
      </c>
      <c r="BS616" s="551">
        <f t="shared" si="534"/>
        <v>18068.045664746991</v>
      </c>
      <c r="BT616" s="551">
        <f t="shared" si="534"/>
        <v>-281901.83702781925</v>
      </c>
    </row>
    <row r="617" spans="1:72" ht="9" hidden="1" customHeight="1" x14ac:dyDescent="0.25">
      <c r="A617" s="502"/>
      <c r="B617" s="502"/>
      <c r="C617" s="538"/>
      <c r="D617" s="500"/>
      <c r="E617" s="449"/>
      <c r="F617" s="449"/>
      <c r="G617" s="421"/>
      <c r="H617" s="449"/>
      <c r="I617" s="449"/>
      <c r="J617" s="426"/>
      <c r="K617" s="421"/>
      <c r="L617" s="449"/>
      <c r="M617" s="449"/>
      <c r="N617" s="449"/>
      <c r="O617" s="449"/>
      <c r="P617" s="449"/>
      <c r="Q617" s="449"/>
      <c r="R617" s="449"/>
      <c r="S617" s="449"/>
      <c r="T617" s="449"/>
      <c r="U617" s="449"/>
      <c r="V617" s="449"/>
      <c r="W617" s="449"/>
      <c r="X617" s="449"/>
      <c r="Y617" s="449"/>
      <c r="Z617" s="531"/>
      <c r="AA617" s="449"/>
      <c r="AB617" s="449"/>
      <c r="AC617" s="449"/>
      <c r="AD617" s="449"/>
      <c r="AE617" s="449"/>
      <c r="AF617" s="449"/>
      <c r="AG617" s="449"/>
      <c r="AH617" s="449"/>
      <c r="AI617" s="449"/>
      <c r="AJ617" s="449"/>
      <c r="AK617" s="449"/>
      <c r="AL617" s="449"/>
      <c r="AN617" s="500"/>
      <c r="AO617" s="449"/>
      <c r="AP617" s="449"/>
      <c r="AQ617" s="453"/>
      <c r="AR617" s="449"/>
      <c r="AS617" s="449"/>
      <c r="AT617" s="426"/>
      <c r="AU617" s="421"/>
      <c r="AV617" s="449"/>
      <c r="AW617" s="449"/>
      <c r="AX617" s="449"/>
      <c r="AY617" s="449"/>
      <c r="AZ617" s="449"/>
      <c r="BA617" s="449"/>
      <c r="BB617" s="449"/>
      <c r="BC617" s="449"/>
      <c r="BD617" s="449"/>
      <c r="BE617" s="449"/>
      <c r="BF617" s="449"/>
      <c r="BG617" s="449"/>
      <c r="BH617" s="531"/>
      <c r="BI617" s="449"/>
      <c r="BJ617" s="449"/>
      <c r="BK617" s="449"/>
      <c r="BL617" s="449"/>
      <c r="BM617" s="449"/>
      <c r="BN617" s="449"/>
      <c r="BO617" s="449"/>
      <c r="BP617" s="449"/>
      <c r="BQ617" s="449"/>
      <c r="BR617" s="449"/>
      <c r="BS617" s="449"/>
      <c r="BT617" s="449"/>
    </row>
    <row r="618" spans="1:72" ht="15" hidden="1" x14ac:dyDescent="0.25">
      <c r="A618" s="524" t="s">
        <v>1022</v>
      </c>
      <c r="B618" s="502"/>
      <c r="C618" s="538"/>
      <c r="D618" s="550"/>
      <c r="E618" s="551">
        <v>2076213</v>
      </c>
      <c r="F618" s="551"/>
      <c r="G618" s="507"/>
      <c r="H618" s="551">
        <v>2076213</v>
      </c>
      <c r="I618" s="551"/>
      <c r="J618" s="529"/>
      <c r="K618" s="507"/>
      <c r="L618" s="551"/>
      <c r="M618" s="551"/>
      <c r="N618" s="551"/>
      <c r="O618" s="551"/>
      <c r="P618" s="551"/>
      <c r="Q618" s="551"/>
      <c r="R618" s="551"/>
      <c r="S618" s="551"/>
      <c r="T618" s="551"/>
      <c r="U618" s="551"/>
      <c r="V618" s="551"/>
      <c r="W618" s="551"/>
      <c r="X618" s="551"/>
      <c r="Y618" s="551"/>
      <c r="Z618" s="508"/>
      <c r="AA618" s="551"/>
      <c r="AB618" s="551"/>
      <c r="AC618" s="551"/>
      <c r="AD618" s="551"/>
      <c r="AE618" s="551"/>
      <c r="AF618" s="551"/>
      <c r="AG618" s="551"/>
      <c r="AH618" s="551"/>
      <c r="AI618" s="551"/>
      <c r="AJ618" s="551"/>
      <c r="AK618" s="551"/>
      <c r="AL618" s="551"/>
      <c r="AN618" s="550"/>
      <c r="AO618" s="551"/>
      <c r="AP618" s="551"/>
      <c r="AQ618" s="499"/>
      <c r="AR618" s="528">
        <f>H620</f>
        <v>2251655.9699999988</v>
      </c>
      <c r="AS618" s="551"/>
      <c r="AT618" s="529"/>
      <c r="AU618" s="507"/>
      <c r="AV618" s="551"/>
      <c r="AW618" s="551"/>
      <c r="AX618" s="551"/>
      <c r="AY618" s="551"/>
      <c r="AZ618" s="551"/>
      <c r="BA618" s="551"/>
      <c r="BB618" s="551"/>
      <c r="BC618" s="551"/>
      <c r="BD618" s="551"/>
      <c r="BE618" s="551"/>
      <c r="BF618" s="551"/>
      <c r="BG618" s="551"/>
      <c r="BH618" s="508"/>
      <c r="BI618" s="551"/>
      <c r="BJ618" s="551"/>
      <c r="BK618" s="551"/>
      <c r="BL618" s="551"/>
      <c r="BM618" s="551"/>
      <c r="BN618" s="551"/>
      <c r="BO618" s="551"/>
      <c r="BP618" s="551"/>
      <c r="BQ618" s="551"/>
      <c r="BR618" s="551"/>
      <c r="BS618" s="551"/>
      <c r="BT618" s="551"/>
    </row>
    <row r="619" spans="1:72" ht="7.5" hidden="1" customHeight="1" x14ac:dyDescent="0.25">
      <c r="A619" s="502"/>
      <c r="B619" s="502"/>
      <c r="C619" s="538"/>
      <c r="D619" s="500"/>
      <c r="E619" s="449"/>
      <c r="F619" s="449"/>
      <c r="G619" s="421"/>
      <c r="H619" s="449"/>
      <c r="I619" s="449"/>
      <c r="J619" s="426"/>
      <c r="K619" s="421"/>
      <c r="L619" s="449"/>
      <c r="M619" s="449"/>
      <c r="N619" s="449"/>
      <c r="O619" s="449"/>
      <c r="P619" s="449"/>
      <c r="Q619" s="449"/>
      <c r="R619" s="449"/>
      <c r="S619" s="449"/>
      <c r="T619" s="449"/>
      <c r="U619" s="449"/>
      <c r="V619" s="449"/>
      <c r="W619" s="449"/>
      <c r="X619" s="449"/>
      <c r="Y619" s="449"/>
      <c r="Z619" s="531"/>
      <c r="AA619" s="449"/>
      <c r="AB619" s="449"/>
      <c r="AC619" s="449"/>
      <c r="AD619" s="449"/>
      <c r="AE619" s="449"/>
      <c r="AF619" s="449"/>
      <c r="AG619" s="449"/>
      <c r="AH619" s="449"/>
      <c r="AI619" s="449"/>
      <c r="AJ619" s="449"/>
      <c r="AK619" s="449"/>
      <c r="AL619" s="449"/>
      <c r="AN619" s="500"/>
      <c r="AO619" s="449"/>
      <c r="AP619" s="449"/>
      <c r="AQ619" s="453"/>
      <c r="AR619" s="449"/>
      <c r="AS619" s="449"/>
      <c r="AT619" s="426"/>
      <c r="AU619" s="421"/>
      <c r="AV619" s="449"/>
      <c r="AW619" s="449"/>
      <c r="AX619" s="449"/>
      <c r="AY619" s="449"/>
      <c r="AZ619" s="449"/>
      <c r="BA619" s="449"/>
      <c r="BB619" s="449"/>
      <c r="BC619" s="449"/>
      <c r="BD619" s="449"/>
      <c r="BE619" s="449"/>
      <c r="BF619" s="449"/>
      <c r="BG619" s="449"/>
      <c r="BH619" s="531"/>
      <c r="BI619" s="449"/>
      <c r="BJ619" s="449"/>
      <c r="BK619" s="449"/>
      <c r="BL619" s="449"/>
      <c r="BM619" s="449"/>
      <c r="BN619" s="449"/>
      <c r="BO619" s="449"/>
      <c r="BP619" s="449"/>
      <c r="BQ619" s="449"/>
      <c r="BR619" s="449"/>
      <c r="BS619" s="449"/>
      <c r="BT619" s="449"/>
    </row>
    <row r="620" spans="1:72" ht="15.75" hidden="1" thickBot="1" x14ac:dyDescent="0.3">
      <c r="A620" s="524" t="s">
        <v>1023</v>
      </c>
      <c r="B620" s="502"/>
      <c r="C620" s="538"/>
      <c r="D620" s="550"/>
      <c r="E620" s="533">
        <f>E616+E618</f>
        <v>2102176.682426</v>
      </c>
      <c r="F620" s="551"/>
      <c r="G620" s="507"/>
      <c r="H620" s="533">
        <f>+H616+H618</f>
        <v>2251655.9699999988</v>
      </c>
      <c r="I620" s="551"/>
      <c r="J620" s="529"/>
      <c r="K620" s="507"/>
      <c r="L620" s="551"/>
      <c r="M620" s="551"/>
      <c r="N620" s="551"/>
      <c r="O620" s="551"/>
      <c r="P620" s="551"/>
      <c r="Q620" s="551"/>
      <c r="R620" s="551"/>
      <c r="S620" s="551"/>
      <c r="T620" s="551"/>
      <c r="U620" s="551"/>
      <c r="V620" s="551"/>
      <c r="W620" s="551"/>
      <c r="X620" s="551"/>
      <c r="Y620" s="551"/>
      <c r="Z620" s="508"/>
      <c r="AA620" s="551"/>
      <c r="AB620" s="551"/>
      <c r="AC620" s="551"/>
      <c r="AD620" s="551"/>
      <c r="AE620" s="551"/>
      <c r="AF620" s="551"/>
      <c r="AG620" s="551"/>
      <c r="AH620" s="551"/>
      <c r="AI620" s="551"/>
      <c r="AJ620" s="551"/>
      <c r="AK620" s="551"/>
      <c r="AL620" s="551"/>
      <c r="AN620" s="550"/>
      <c r="AO620" s="551"/>
      <c r="AP620" s="551"/>
      <c r="AQ620" s="499"/>
      <c r="AR620" s="533">
        <f>+AR616+AR618</f>
        <v>1895299.1286139656</v>
      </c>
      <c r="AS620" s="551"/>
      <c r="AT620" s="529"/>
      <c r="AU620" s="507"/>
      <c r="AV620" s="551"/>
      <c r="AW620" s="551"/>
      <c r="AX620" s="551"/>
      <c r="AY620" s="551"/>
      <c r="AZ620" s="551"/>
      <c r="BA620" s="551"/>
      <c r="BB620" s="551"/>
      <c r="BC620" s="551"/>
      <c r="BD620" s="551"/>
      <c r="BE620" s="551"/>
      <c r="BF620" s="551"/>
      <c r="BG620" s="551"/>
      <c r="BH620" s="508"/>
      <c r="BI620" s="551"/>
      <c r="BJ620" s="551"/>
      <c r="BK620" s="551"/>
      <c r="BL620" s="551"/>
      <c r="BM620" s="551"/>
      <c r="BN620" s="551"/>
      <c r="BO620" s="551"/>
      <c r="BP620" s="551"/>
      <c r="BQ620" s="551"/>
      <c r="BR620" s="551"/>
      <c r="BS620" s="551"/>
      <c r="BT620" s="551"/>
    </row>
    <row r="621" spans="1:72" ht="15.75" hidden="1" thickTop="1" x14ac:dyDescent="0.25">
      <c r="A621" s="502"/>
      <c r="B621" s="502"/>
      <c r="C621" s="538"/>
      <c r="D621" s="500"/>
      <c r="E621" s="449"/>
      <c r="F621" s="449"/>
      <c r="G621" s="421"/>
      <c r="H621" s="449"/>
      <c r="I621" s="449"/>
      <c r="J621" s="426"/>
      <c r="K621" s="421"/>
      <c r="L621" s="449"/>
      <c r="M621" s="449"/>
      <c r="N621" s="449"/>
      <c r="O621" s="449"/>
      <c r="P621" s="449"/>
      <c r="Q621" s="449"/>
      <c r="R621" s="449"/>
      <c r="S621" s="449"/>
      <c r="T621" s="449"/>
      <c r="U621" s="449"/>
      <c r="V621" s="449"/>
      <c r="W621" s="449"/>
      <c r="X621" s="449"/>
      <c r="Y621" s="449"/>
      <c r="Z621" s="531"/>
      <c r="AA621" s="449"/>
      <c r="AB621" s="449"/>
      <c r="AC621" s="449"/>
      <c r="AD621" s="449"/>
      <c r="AE621" s="449"/>
      <c r="AF621" s="449"/>
      <c r="AG621" s="449"/>
      <c r="AH621" s="449"/>
      <c r="AI621" s="449"/>
      <c r="AJ621" s="449"/>
      <c r="AK621" s="449"/>
      <c r="AL621" s="449"/>
      <c r="AN621" s="500"/>
      <c r="AO621" s="449"/>
      <c r="AP621" s="449"/>
      <c r="AQ621" s="453"/>
      <c r="AR621" s="449"/>
      <c r="AS621" s="449"/>
      <c r="AT621" s="426"/>
      <c r="AU621" s="421"/>
      <c r="AV621" s="449"/>
      <c r="AW621" s="449"/>
      <c r="AX621" s="449"/>
      <c r="AY621" s="449"/>
      <c r="AZ621" s="449"/>
      <c r="BA621" s="449"/>
      <c r="BB621" s="449"/>
      <c r="BC621" s="449"/>
      <c r="BD621" s="449"/>
      <c r="BE621" s="449"/>
      <c r="BF621" s="449"/>
      <c r="BG621" s="449"/>
      <c r="BH621" s="531"/>
      <c r="BI621" s="449"/>
      <c r="BJ621" s="449"/>
      <c r="BK621" s="449"/>
      <c r="BL621" s="449"/>
      <c r="BM621" s="449"/>
      <c r="BN621" s="449"/>
      <c r="BO621" s="449"/>
      <c r="BP621" s="449"/>
      <c r="BQ621" s="449"/>
      <c r="BR621" s="449"/>
      <c r="BS621" s="449"/>
      <c r="BT621" s="449"/>
    </row>
    <row r="622" spans="1:72" ht="15" x14ac:dyDescent="0.25">
      <c r="A622" s="502"/>
      <c r="B622" s="502"/>
      <c r="C622" s="538"/>
      <c r="D622" s="500"/>
      <c r="E622" s="449"/>
      <c r="F622" s="449"/>
      <c r="G622" s="421"/>
      <c r="H622" s="449"/>
      <c r="I622" s="449"/>
      <c r="J622" s="426"/>
      <c r="K622" s="421"/>
      <c r="L622" s="449"/>
      <c r="M622" s="449"/>
      <c r="N622" s="449"/>
      <c r="O622" s="449"/>
      <c r="P622" s="449"/>
      <c r="Q622" s="449"/>
      <c r="R622" s="449"/>
      <c r="S622" s="449"/>
      <c r="T622" s="449"/>
      <c r="U622" s="449"/>
      <c r="V622" s="449"/>
      <c r="W622" s="449"/>
      <c r="X622" s="449"/>
      <c r="Y622" s="449"/>
      <c r="Z622" s="531"/>
      <c r="AA622" s="449"/>
      <c r="AB622" s="449"/>
      <c r="AC622" s="449"/>
      <c r="AD622" s="449"/>
      <c r="AE622" s="449"/>
      <c r="AF622" s="449"/>
      <c r="AG622" s="449"/>
      <c r="AH622" s="449"/>
      <c r="AI622" s="449"/>
      <c r="AJ622" s="449"/>
      <c r="AK622" s="449"/>
      <c r="AL622" s="449"/>
      <c r="AN622" s="500"/>
      <c r="AO622" s="449"/>
      <c r="AP622" s="449"/>
      <c r="AQ622" s="453"/>
      <c r="AR622" s="449"/>
      <c r="AS622" s="449"/>
      <c r="AT622" s="426"/>
      <c r="AU622" s="421"/>
      <c r="AV622" s="449"/>
      <c r="AW622" s="449"/>
      <c r="AX622" s="449"/>
      <c r="AY622" s="449"/>
      <c r="AZ622" s="449"/>
      <c r="BA622" s="449"/>
      <c r="BB622" s="449"/>
      <c r="BC622" s="449"/>
      <c r="BD622" s="449"/>
      <c r="BE622" s="449"/>
      <c r="BF622" s="449"/>
      <c r="BG622" s="449"/>
      <c r="BH622" s="531"/>
      <c r="BI622" s="449"/>
      <c r="BJ622" s="449"/>
      <c r="BK622" s="449"/>
      <c r="BL622" s="449"/>
      <c r="BM622" s="449"/>
      <c r="BN622" s="449"/>
      <c r="BO622" s="449"/>
      <c r="BP622" s="449"/>
      <c r="BQ622" s="449"/>
      <c r="BR622" s="449"/>
      <c r="BS622" s="449"/>
      <c r="BT622" s="449"/>
    </row>
    <row r="623" spans="1:72" ht="18.75" x14ac:dyDescent="0.25">
      <c r="A623" s="502"/>
      <c r="B623" s="552" t="s">
        <v>1024</v>
      </c>
      <c r="C623" s="538"/>
      <c r="D623" s="500"/>
      <c r="E623" s="449"/>
      <c r="F623" s="449"/>
      <c r="G623" s="421"/>
      <c r="H623" s="449"/>
      <c r="I623" s="449"/>
      <c r="J623" s="426"/>
      <c r="K623" s="421"/>
      <c r="L623" s="449"/>
      <c r="M623" s="449"/>
      <c r="N623" s="449"/>
      <c r="O623" s="449"/>
      <c r="P623" s="449"/>
      <c r="Q623" s="449"/>
      <c r="R623" s="449"/>
      <c r="S623" s="449"/>
      <c r="T623" s="449"/>
      <c r="U623" s="449"/>
      <c r="V623" s="449"/>
      <c r="W623" s="449"/>
      <c r="X623" s="449"/>
      <c r="Y623" s="449"/>
      <c r="Z623" s="531"/>
      <c r="AA623" s="449"/>
      <c r="AB623" s="449"/>
      <c r="AC623" s="449"/>
      <c r="AD623" s="449"/>
      <c r="AE623" s="449"/>
      <c r="AF623" s="449"/>
      <c r="AG623" s="449"/>
      <c r="AH623" s="449"/>
      <c r="AI623" s="449"/>
      <c r="AJ623" s="449"/>
      <c r="AK623" s="449"/>
      <c r="AL623" s="449"/>
      <c r="AN623" s="500"/>
      <c r="AO623" s="449"/>
      <c r="AP623" s="449"/>
      <c r="AQ623" s="453"/>
      <c r="AR623" s="449"/>
      <c r="AS623" s="449"/>
      <c r="AT623" s="426"/>
      <c r="AU623" s="421"/>
      <c r="AV623" s="449"/>
      <c r="AW623" s="449"/>
      <c r="AX623" s="449"/>
      <c r="AY623" s="449"/>
      <c r="AZ623" s="449"/>
      <c r="BA623" s="449"/>
      <c r="BB623" s="449"/>
      <c r="BC623" s="449"/>
      <c r="BD623" s="449"/>
      <c r="BE623" s="449"/>
      <c r="BF623" s="449"/>
      <c r="BG623" s="449"/>
      <c r="BH623" s="531"/>
      <c r="BI623" s="449"/>
      <c r="BJ623" s="449"/>
      <c r="BK623" s="449"/>
      <c r="BL623" s="449"/>
      <c r="BM623" s="449"/>
      <c r="BN623" s="449"/>
      <c r="BO623" s="449"/>
      <c r="BP623" s="449"/>
      <c r="BQ623" s="449"/>
      <c r="BR623" s="449"/>
      <c r="BS623" s="449"/>
      <c r="BT623" s="449"/>
    </row>
    <row r="624" spans="1:72" ht="6.75" customHeight="1" x14ac:dyDescent="0.25">
      <c r="A624" s="502"/>
      <c r="B624" s="502"/>
      <c r="C624" s="538"/>
      <c r="D624" s="500"/>
      <c r="E624" s="449"/>
      <c r="F624" s="449"/>
      <c r="G624" s="421"/>
      <c r="H624" s="449"/>
      <c r="I624" s="449"/>
      <c r="J624" s="426"/>
      <c r="K624" s="421"/>
      <c r="L624" s="449"/>
      <c r="M624" s="449"/>
      <c r="N624" s="449"/>
      <c r="O624" s="449"/>
      <c r="P624" s="449"/>
      <c r="Q624" s="449"/>
      <c r="R624" s="449"/>
      <c r="S624" s="449"/>
      <c r="T624" s="449"/>
      <c r="U624" s="449"/>
      <c r="V624" s="449"/>
      <c r="W624" s="449"/>
      <c r="X624" s="449"/>
      <c r="Y624" s="449"/>
      <c r="Z624" s="531"/>
      <c r="AA624" s="449"/>
      <c r="AB624" s="449"/>
      <c r="AC624" s="449"/>
      <c r="AD624" s="449"/>
      <c r="AE624" s="449"/>
      <c r="AF624" s="449"/>
      <c r="AG624" s="449"/>
      <c r="AH624" s="449"/>
      <c r="AI624" s="449"/>
      <c r="AJ624" s="449"/>
      <c r="AK624" s="449"/>
      <c r="AL624" s="449"/>
      <c r="AN624" s="500"/>
      <c r="AO624" s="449"/>
      <c r="AP624" s="449"/>
      <c r="AQ624" s="453"/>
      <c r="AR624" s="449"/>
      <c r="AS624" s="449"/>
      <c r="AT624" s="426"/>
      <c r="AU624" s="421"/>
      <c r="AV624" s="449"/>
      <c r="AW624" s="449"/>
      <c r="AX624" s="449"/>
      <c r="AY624" s="449"/>
      <c r="AZ624" s="449"/>
      <c r="BA624" s="449"/>
      <c r="BB624" s="449"/>
      <c r="BC624" s="449"/>
      <c r="BD624" s="449"/>
      <c r="BE624" s="449"/>
      <c r="BF624" s="449"/>
      <c r="BG624" s="449"/>
      <c r="BH624" s="531"/>
      <c r="BI624" s="449"/>
      <c r="BJ624" s="449"/>
      <c r="BK624" s="449"/>
      <c r="BL624" s="449"/>
      <c r="BM624" s="449"/>
      <c r="BN624" s="449"/>
      <c r="BO624" s="449"/>
      <c r="BP624" s="449"/>
      <c r="BQ624" s="449"/>
      <c r="BR624" s="449"/>
      <c r="BS624" s="449"/>
      <c r="BT624" s="449"/>
    </row>
    <row r="625" spans="1:72" s="536" customFormat="1" ht="15" x14ac:dyDescent="0.25">
      <c r="A625" s="524"/>
      <c r="B625" s="524" t="s">
        <v>1025</v>
      </c>
      <c r="C625" s="535"/>
      <c r="D625" s="527"/>
      <c r="E625" s="528"/>
      <c r="F625" s="528"/>
      <c r="G625" s="507"/>
      <c r="H625" s="528"/>
      <c r="I625" s="528"/>
      <c r="J625" s="529"/>
      <c r="K625" s="507"/>
      <c r="L625" s="528"/>
      <c r="M625" s="528"/>
      <c r="N625" s="528"/>
      <c r="O625" s="528"/>
      <c r="P625" s="528"/>
      <c r="Q625" s="528"/>
      <c r="R625" s="528"/>
      <c r="S625" s="528"/>
      <c r="T625" s="528"/>
      <c r="U625" s="528"/>
      <c r="V625" s="528"/>
      <c r="W625" s="528"/>
      <c r="X625" s="528"/>
      <c r="Y625" s="528"/>
      <c r="Z625" s="530"/>
      <c r="AA625" s="528"/>
      <c r="AB625" s="528"/>
      <c r="AC625" s="528"/>
      <c r="AD625" s="528"/>
      <c r="AE625" s="528"/>
      <c r="AF625" s="528"/>
      <c r="AG625" s="528"/>
      <c r="AH625" s="528"/>
      <c r="AI625" s="528"/>
      <c r="AJ625" s="528"/>
      <c r="AK625" s="528"/>
      <c r="AL625" s="528"/>
      <c r="AN625" s="527"/>
      <c r="AO625" s="528"/>
      <c r="AP625" s="528"/>
      <c r="AQ625" s="499"/>
      <c r="AR625" s="528"/>
      <c r="AS625" s="528"/>
      <c r="AT625" s="529"/>
      <c r="AU625" s="507"/>
      <c r="AV625" s="528"/>
      <c r="AW625" s="528"/>
      <c r="AX625" s="528"/>
      <c r="AY625" s="528"/>
      <c r="AZ625" s="528"/>
      <c r="BA625" s="528"/>
      <c r="BB625" s="528"/>
      <c r="BC625" s="528"/>
      <c r="BD625" s="528"/>
      <c r="BE625" s="528"/>
      <c r="BF625" s="528"/>
      <c r="BG625" s="528"/>
      <c r="BH625" s="530"/>
      <c r="BI625" s="528"/>
      <c r="BJ625" s="528"/>
      <c r="BK625" s="528"/>
      <c r="BL625" s="528"/>
      <c r="BM625" s="528"/>
      <c r="BN625" s="528"/>
      <c r="BO625" s="528"/>
      <c r="BP625" s="528"/>
      <c r="BQ625" s="528"/>
      <c r="BR625" s="528"/>
      <c r="BS625" s="528"/>
      <c r="BT625" s="528"/>
    </row>
    <row r="626" spans="1:72" s="536" customFormat="1" ht="5.25" customHeight="1" x14ac:dyDescent="0.25">
      <c r="A626" s="524"/>
      <c r="B626" s="524"/>
      <c r="C626" s="535"/>
      <c r="D626" s="527"/>
      <c r="E626" s="528"/>
      <c r="F626" s="528"/>
      <c r="G626" s="507"/>
      <c r="H626" s="528"/>
      <c r="I626" s="528"/>
      <c r="J626" s="529"/>
      <c r="K626" s="507"/>
      <c r="L626" s="528"/>
      <c r="M626" s="528"/>
      <c r="N626" s="528"/>
      <c r="O626" s="528"/>
      <c r="P626" s="528"/>
      <c r="Q626" s="528"/>
      <c r="R626" s="528"/>
      <c r="S626" s="528"/>
      <c r="T626" s="528"/>
      <c r="U626" s="528"/>
      <c r="V626" s="528"/>
      <c r="W626" s="528"/>
      <c r="X626" s="528"/>
      <c r="Y626" s="528"/>
      <c r="Z626" s="530"/>
      <c r="AA626" s="528"/>
      <c r="AB626" s="528"/>
      <c r="AC626" s="528"/>
      <c r="AD626" s="528"/>
      <c r="AE626" s="528"/>
      <c r="AF626" s="528"/>
      <c r="AG626" s="528"/>
      <c r="AH626" s="528"/>
      <c r="AI626" s="528"/>
      <c r="AJ626" s="528"/>
      <c r="AK626" s="528"/>
      <c r="AL626" s="528"/>
      <c r="AN626" s="527"/>
      <c r="AO626" s="528"/>
      <c r="AP626" s="528"/>
      <c r="AQ626" s="499"/>
      <c r="AR626" s="528"/>
      <c r="AS626" s="528"/>
      <c r="AT626" s="529"/>
      <c r="AU626" s="507"/>
      <c r="AV626" s="528"/>
      <c r="AW626" s="528"/>
      <c r="AX626" s="528"/>
      <c r="AY626" s="528"/>
      <c r="AZ626" s="528"/>
      <c r="BA626" s="528"/>
      <c r="BB626" s="528"/>
      <c r="BC626" s="528"/>
      <c r="BD626" s="528"/>
      <c r="BE626" s="528"/>
      <c r="BF626" s="528"/>
      <c r="BG626" s="528"/>
      <c r="BH626" s="530"/>
      <c r="BI626" s="528"/>
      <c r="BJ626" s="528"/>
      <c r="BK626" s="528"/>
      <c r="BL626" s="528"/>
      <c r="BM626" s="528"/>
      <c r="BN626" s="528"/>
      <c r="BO626" s="528"/>
      <c r="BP626" s="528"/>
      <c r="BQ626" s="528"/>
      <c r="BR626" s="528"/>
      <c r="BS626" s="528"/>
      <c r="BT626" s="528"/>
    </row>
    <row r="627" spans="1:72" ht="15" x14ac:dyDescent="0.25">
      <c r="A627" s="502" t="s">
        <v>1026</v>
      </c>
      <c r="B627" s="502" t="s">
        <v>972</v>
      </c>
      <c r="C627" s="400"/>
      <c r="D627" s="500">
        <f>SUM(L627:W627)</f>
        <v>27891.46</v>
      </c>
      <c r="E627" s="449">
        <v>20000</v>
      </c>
      <c r="F627" s="449">
        <f>IFERROR(D627-E627,0)</f>
        <v>7891.4599999999991</v>
      </c>
      <c r="G627" s="421">
        <f>IFERROR(F627/ABS(E627),0)</f>
        <v>0.39457299999999995</v>
      </c>
      <c r="H627" s="449">
        <v>20000</v>
      </c>
      <c r="I627" s="449">
        <f>IFERROR(D627-H627,0)</f>
        <v>7891.4599999999991</v>
      </c>
      <c r="J627" s="426">
        <f>IFERROR(I627/ABS(H627),0)</f>
        <v>0.39457299999999995</v>
      </c>
      <c r="K627" s="421"/>
      <c r="L627" s="449">
        <v>6153.82</v>
      </c>
      <c r="M627" s="449">
        <v>3580.58</v>
      </c>
      <c r="N627" s="449">
        <v>2681.8099999999995</v>
      </c>
      <c r="O627" s="449">
        <v>8361.6000000000022</v>
      </c>
      <c r="P627" s="449">
        <v>2574.8199999999997</v>
      </c>
      <c r="Q627" s="449">
        <v>4538.8299999999981</v>
      </c>
      <c r="R627" s="449">
        <v>0</v>
      </c>
      <c r="S627" s="449">
        <v>0</v>
      </c>
      <c r="T627" s="449">
        <v>0</v>
      </c>
      <c r="U627" s="449">
        <v>0</v>
      </c>
      <c r="V627" s="449">
        <v>0</v>
      </c>
      <c r="W627" s="449">
        <v>0</v>
      </c>
      <c r="X627" s="449"/>
      <c r="Y627" s="449">
        <f>SUM(L627:W627)</f>
        <v>27891.46</v>
      </c>
      <c r="Z627" s="501"/>
      <c r="AA627" s="449">
        <f t="shared" ref="AA627:AL628" si="535">IFERROR($H627/12,0)</f>
        <v>1666.6666666666667</v>
      </c>
      <c r="AB627" s="449">
        <f t="shared" si="535"/>
        <v>1666.6666666666667</v>
      </c>
      <c r="AC627" s="449">
        <f t="shared" si="535"/>
        <v>1666.6666666666667</v>
      </c>
      <c r="AD627" s="449">
        <f t="shared" si="535"/>
        <v>1666.6666666666667</v>
      </c>
      <c r="AE627" s="449">
        <f t="shared" si="535"/>
        <v>1666.6666666666667</v>
      </c>
      <c r="AF627" s="449">
        <f t="shared" si="535"/>
        <v>1666.6666666666667</v>
      </c>
      <c r="AG627" s="449">
        <f t="shared" si="535"/>
        <v>1666.6666666666667</v>
      </c>
      <c r="AH627" s="449">
        <f t="shared" si="535"/>
        <v>1666.6666666666667</v>
      </c>
      <c r="AI627" s="449">
        <f t="shared" si="535"/>
        <v>1666.6666666666667</v>
      </c>
      <c r="AJ627" s="449">
        <f t="shared" si="535"/>
        <v>1666.6666666666667</v>
      </c>
      <c r="AK627" s="449">
        <f t="shared" si="535"/>
        <v>1666.6666666666667</v>
      </c>
      <c r="AL627" s="449">
        <f t="shared" si="535"/>
        <v>1666.6666666666667</v>
      </c>
      <c r="AN627" s="500">
        <f>SUM(L627:W627)</f>
        <v>27891.46</v>
      </c>
      <c r="AO627" s="449">
        <f>SUM(BI627:BT627)</f>
        <v>27891.460000000003</v>
      </c>
      <c r="AP627" s="449">
        <f>IFERROR(AO627-AN627,0)</f>
        <v>3.637978807091713E-12</v>
      </c>
      <c r="AQ627" s="453">
        <f>IFERROR(AP627/ABS(AN627),"-")</f>
        <v>1.3043343041532115E-16</v>
      </c>
      <c r="AR627" s="449">
        <f>SUM(BI627:BT627)</f>
        <v>27891.460000000003</v>
      </c>
      <c r="AS627" s="449">
        <f>IFERROR(AO627-AR627,0)</f>
        <v>0</v>
      </c>
      <c r="AT627" s="426">
        <f>IFERROR(AS627/ABS(AR627),0)</f>
        <v>0</v>
      </c>
      <c r="AU627" s="421"/>
      <c r="AV627" s="449">
        <f t="shared" ref="AV627:BG628" si="536">BI627</f>
        <v>2324.2883333333334</v>
      </c>
      <c r="AW627" s="449">
        <f t="shared" si="536"/>
        <v>2324.2883333333334</v>
      </c>
      <c r="AX627" s="449">
        <f t="shared" si="536"/>
        <v>2324.2883333333334</v>
      </c>
      <c r="AY627" s="449">
        <f t="shared" si="536"/>
        <v>2324.2883333333334</v>
      </c>
      <c r="AZ627" s="449">
        <f t="shared" si="536"/>
        <v>2324.2883333333334</v>
      </c>
      <c r="BA627" s="449">
        <f t="shared" si="536"/>
        <v>2324.2883333333334</v>
      </c>
      <c r="BB627" s="449">
        <f t="shared" si="536"/>
        <v>2324.2883333333334</v>
      </c>
      <c r="BC627" s="449">
        <f t="shared" si="536"/>
        <v>2324.2883333333334</v>
      </c>
      <c r="BD627" s="449">
        <f t="shared" si="536"/>
        <v>2324.2883333333334</v>
      </c>
      <c r="BE627" s="449">
        <f t="shared" si="536"/>
        <v>2324.2883333333334</v>
      </c>
      <c r="BF627" s="449">
        <f t="shared" si="536"/>
        <v>2324.2883333333334</v>
      </c>
      <c r="BG627" s="449">
        <f t="shared" si="536"/>
        <v>2324.2883333333334</v>
      </c>
      <c r="BH627" s="400"/>
      <c r="BI627" s="449">
        <f t="shared" ref="BI627:BT627" si="537">+$AN627/12</f>
        <v>2324.2883333333334</v>
      </c>
      <c r="BJ627" s="449">
        <f t="shared" si="537"/>
        <v>2324.2883333333334</v>
      </c>
      <c r="BK627" s="449">
        <f t="shared" si="537"/>
        <v>2324.2883333333334</v>
      </c>
      <c r="BL627" s="449">
        <f t="shared" si="537"/>
        <v>2324.2883333333334</v>
      </c>
      <c r="BM627" s="449">
        <f t="shared" si="537"/>
        <v>2324.2883333333334</v>
      </c>
      <c r="BN627" s="449">
        <f t="shared" si="537"/>
        <v>2324.2883333333334</v>
      </c>
      <c r="BO627" s="449">
        <f t="shared" si="537"/>
        <v>2324.2883333333334</v>
      </c>
      <c r="BP627" s="449">
        <f t="shared" si="537"/>
        <v>2324.2883333333334</v>
      </c>
      <c r="BQ627" s="449">
        <f t="shared" si="537"/>
        <v>2324.2883333333334</v>
      </c>
      <c r="BR627" s="449">
        <f t="shared" si="537"/>
        <v>2324.2883333333334</v>
      </c>
      <c r="BS627" s="449">
        <f t="shared" si="537"/>
        <v>2324.2883333333334</v>
      </c>
      <c r="BT627" s="449">
        <f t="shared" si="537"/>
        <v>2324.2883333333334</v>
      </c>
    </row>
    <row r="628" spans="1:72" ht="15" x14ac:dyDescent="0.25">
      <c r="A628" s="502" t="s">
        <v>1027</v>
      </c>
      <c r="B628" s="502" t="s">
        <v>1028</v>
      </c>
      <c r="C628" s="400"/>
      <c r="D628" s="500">
        <f>SUM(L628:W628)</f>
        <v>1311098</v>
      </c>
      <c r="E628" s="449">
        <v>1415585.63</v>
      </c>
      <c r="F628" s="449">
        <f>IFERROR(D628-E628,0)</f>
        <v>-104487.62999999989</v>
      </c>
      <c r="G628" s="421">
        <f>IFERROR(F628/ABS(E628),0)</f>
        <v>-7.3812299154237593E-2</v>
      </c>
      <c r="H628" s="449">
        <v>1311098</v>
      </c>
      <c r="I628" s="449">
        <f>IFERROR(D628-H628,0)</f>
        <v>0</v>
      </c>
      <c r="J628" s="426">
        <f>IFERROR(I628/ABS(H628),0)</f>
        <v>0</v>
      </c>
      <c r="K628" s="421"/>
      <c r="L628" s="449">
        <v>77038.23</v>
      </c>
      <c r="M628" s="449">
        <v>77038.23</v>
      </c>
      <c r="N628" s="449">
        <v>77038.23000000001</v>
      </c>
      <c r="O628" s="449">
        <v>77038.229999999981</v>
      </c>
      <c r="P628" s="449">
        <v>77038.23000000004</v>
      </c>
      <c r="Q628" s="449">
        <v>140080.16999999993</v>
      </c>
      <c r="R628" s="449">
        <f>($H628-SUM($L628:Q628))/R$694</f>
        <v>130971.11333333334</v>
      </c>
      <c r="S628" s="449">
        <f>($H628-SUM($L628:R628))/S$694</f>
        <v>130971.11333333333</v>
      </c>
      <c r="T628" s="449">
        <f>($H628-SUM($L628:S628))/T$694</f>
        <v>130971.11333333334</v>
      </c>
      <c r="U628" s="449">
        <f>($H628-SUM($L628:T628))/U$694</f>
        <v>130971.11333333336</v>
      </c>
      <c r="V628" s="449">
        <f>($H628-SUM($L628:U628))/V$694</f>
        <v>130971.1133333334</v>
      </c>
      <c r="W628" s="449">
        <f>($H628-SUM($L628:V628))/W$694</f>
        <v>130971.11333333328</v>
      </c>
      <c r="X628" s="449"/>
      <c r="Y628" s="449">
        <f>SUM(L628:W628)</f>
        <v>1311098</v>
      </c>
      <c r="Z628" s="501"/>
      <c r="AA628" s="449">
        <f t="shared" si="535"/>
        <v>109258.16666666667</v>
      </c>
      <c r="AB628" s="449">
        <f t="shared" si="535"/>
        <v>109258.16666666667</v>
      </c>
      <c r="AC628" s="449">
        <f t="shared" si="535"/>
        <v>109258.16666666667</v>
      </c>
      <c r="AD628" s="449">
        <f t="shared" si="535"/>
        <v>109258.16666666667</v>
      </c>
      <c r="AE628" s="449">
        <f t="shared" si="535"/>
        <v>109258.16666666667</v>
      </c>
      <c r="AF628" s="449">
        <f t="shared" si="535"/>
        <v>109258.16666666667</v>
      </c>
      <c r="AG628" s="449">
        <f t="shared" si="535"/>
        <v>109258.16666666667</v>
      </c>
      <c r="AH628" s="449">
        <f t="shared" si="535"/>
        <v>109258.16666666667</v>
      </c>
      <c r="AI628" s="449">
        <f t="shared" si="535"/>
        <v>109258.16666666667</v>
      </c>
      <c r="AJ628" s="449">
        <f t="shared" si="535"/>
        <v>109258.16666666667</v>
      </c>
      <c r="AK628" s="449">
        <f t="shared" si="535"/>
        <v>109258.16666666667</v>
      </c>
      <c r="AL628" s="449">
        <f t="shared" si="535"/>
        <v>109258.16666666667</v>
      </c>
      <c r="AN628" s="500">
        <f>SUM(L628:W628)</f>
        <v>1311098</v>
      </c>
      <c r="AO628" s="449">
        <f>SUM(BI628:BT628)</f>
        <v>1763199.5000000002</v>
      </c>
      <c r="AP628" s="449">
        <f>IFERROR(AO628-AN628,0)</f>
        <v>452101.50000000023</v>
      </c>
      <c r="AQ628" s="453">
        <f>IFERROR(AP628/ABS(AN628),"-")</f>
        <v>0.34482662623236421</v>
      </c>
      <c r="AR628" s="449">
        <f>SUM(BI628:BT628)</f>
        <v>1763199.5000000002</v>
      </c>
      <c r="AS628" s="449">
        <f>IFERROR(AO628-AR628,0)</f>
        <v>0</v>
      </c>
      <c r="AT628" s="426">
        <f>IFERROR(AS628/ABS(AR628),0)</f>
        <v>0</v>
      </c>
      <c r="AU628" s="421"/>
      <c r="AV628" s="449">
        <f t="shared" si="536"/>
        <v>146933.29166666666</v>
      </c>
      <c r="AW628" s="449">
        <f t="shared" si="536"/>
        <v>146933.29166666666</v>
      </c>
      <c r="AX628" s="449">
        <f t="shared" si="536"/>
        <v>146933.29166666666</v>
      </c>
      <c r="AY628" s="449">
        <f t="shared" si="536"/>
        <v>146933.29166666666</v>
      </c>
      <c r="AZ628" s="449">
        <f t="shared" si="536"/>
        <v>146933.29166666666</v>
      </c>
      <c r="BA628" s="449">
        <f t="shared" si="536"/>
        <v>146933.29166666666</v>
      </c>
      <c r="BB628" s="449">
        <f t="shared" si="536"/>
        <v>146933.29166666666</v>
      </c>
      <c r="BC628" s="449">
        <f t="shared" si="536"/>
        <v>146933.29166666666</v>
      </c>
      <c r="BD628" s="449">
        <f t="shared" si="536"/>
        <v>146933.29166666666</v>
      </c>
      <c r="BE628" s="449">
        <f t="shared" si="536"/>
        <v>146933.29166666666</v>
      </c>
      <c r="BF628" s="449">
        <f t="shared" si="536"/>
        <v>146933.29166666666</v>
      </c>
      <c r="BG628" s="449">
        <f t="shared" si="536"/>
        <v>146933.29166666666</v>
      </c>
      <c r="BH628" s="400"/>
      <c r="BI628" s="449">
        <f>BI$509+BI$510</f>
        <v>146933.29166666666</v>
      </c>
      <c r="BJ628" s="449">
        <f t="shared" ref="BJ628:BT628" si="538">BJ$509+BJ$510</f>
        <v>146933.29166666666</v>
      </c>
      <c r="BK628" s="449">
        <f t="shared" si="538"/>
        <v>146933.29166666666</v>
      </c>
      <c r="BL628" s="449">
        <f t="shared" si="538"/>
        <v>146933.29166666666</v>
      </c>
      <c r="BM628" s="449">
        <f t="shared" si="538"/>
        <v>146933.29166666666</v>
      </c>
      <c r="BN628" s="449">
        <f t="shared" si="538"/>
        <v>146933.29166666666</v>
      </c>
      <c r="BO628" s="449">
        <f t="shared" si="538"/>
        <v>146933.29166666666</v>
      </c>
      <c r="BP628" s="449">
        <f t="shared" si="538"/>
        <v>146933.29166666666</v>
      </c>
      <c r="BQ628" s="449">
        <f t="shared" si="538"/>
        <v>146933.29166666666</v>
      </c>
      <c r="BR628" s="449">
        <f t="shared" si="538"/>
        <v>146933.29166666666</v>
      </c>
      <c r="BS628" s="449">
        <f t="shared" si="538"/>
        <v>146933.29166666666</v>
      </c>
      <c r="BT628" s="449">
        <f t="shared" si="538"/>
        <v>146933.29166666666</v>
      </c>
    </row>
    <row r="629" spans="1:72" ht="6.75" customHeight="1" x14ac:dyDescent="0.25">
      <c r="A629" s="587"/>
      <c r="B629" s="502"/>
      <c r="C629" s="400"/>
      <c r="D629" s="500"/>
      <c r="E629" s="449"/>
      <c r="F629" s="449"/>
      <c r="G629" s="421"/>
      <c r="H629" s="449"/>
      <c r="I629" s="449"/>
      <c r="J629" s="426"/>
      <c r="K629" s="421"/>
      <c r="L629" s="449"/>
      <c r="M629" s="449"/>
      <c r="N629" s="449"/>
      <c r="O629" s="449"/>
      <c r="P629" s="449"/>
      <c r="Q629" s="449"/>
      <c r="R629" s="449"/>
      <c r="S629" s="449"/>
      <c r="T629" s="449"/>
      <c r="U629" s="449"/>
      <c r="V629" s="449"/>
      <c r="W629" s="449"/>
      <c r="X629" s="449"/>
      <c r="Y629" s="449"/>
      <c r="Z629" s="501"/>
      <c r="AA629" s="449"/>
      <c r="AB629" s="449"/>
      <c r="AC629" s="449"/>
      <c r="AD629" s="449"/>
      <c r="AE629" s="449"/>
      <c r="AF629" s="449"/>
      <c r="AG629" s="449"/>
      <c r="AH629" s="449"/>
      <c r="AI629" s="449"/>
      <c r="AJ629" s="449"/>
      <c r="AK629" s="449"/>
      <c r="AL629" s="449"/>
      <c r="AN629" s="500"/>
      <c r="AO629" s="449"/>
      <c r="AP629" s="449"/>
      <c r="AQ629" s="453"/>
      <c r="AR629" s="449"/>
      <c r="AS629" s="449"/>
      <c r="AT629" s="426"/>
      <c r="AU629" s="421"/>
      <c r="AV629" s="449"/>
      <c r="AW629" s="449"/>
      <c r="AX629" s="449"/>
      <c r="AY629" s="449"/>
      <c r="AZ629" s="449"/>
      <c r="BA629" s="449"/>
      <c r="BB629" s="449"/>
      <c r="BC629" s="449"/>
      <c r="BD629" s="449"/>
      <c r="BE629" s="449"/>
      <c r="BF629" s="449"/>
      <c r="BG629" s="449"/>
      <c r="BH629" s="501"/>
      <c r="BI629" s="449"/>
      <c r="BJ629" s="449"/>
      <c r="BK629" s="449"/>
      <c r="BL629" s="449"/>
      <c r="BM629" s="449"/>
      <c r="BN629" s="449"/>
      <c r="BO629" s="449"/>
      <c r="BP629" s="449"/>
      <c r="BQ629" s="449"/>
      <c r="BR629" s="449"/>
      <c r="BS629" s="449"/>
      <c r="BT629" s="449"/>
    </row>
    <row r="630" spans="1:72" s="536" customFormat="1" ht="15.75" thickBot="1" x14ac:dyDescent="0.3">
      <c r="A630" s="526"/>
      <c r="B630" s="524" t="s">
        <v>1029</v>
      </c>
      <c r="D630" s="532">
        <f>SUM(D627:D629)</f>
        <v>1338989.46</v>
      </c>
      <c r="E630" s="533">
        <f>SUM(E627:E629)</f>
        <v>1435585.63</v>
      </c>
      <c r="F630" s="533">
        <f>IFERROR(D630-E630,0)</f>
        <v>-96596.169999999925</v>
      </c>
      <c r="G630" s="520">
        <f>IFERROR(F630/ABS(E630),0)</f>
        <v>-6.7286944074523736E-2</v>
      </c>
      <c r="H630" s="533">
        <f>SUM(H627:H628)</f>
        <v>1331098</v>
      </c>
      <c r="I630" s="533">
        <f>IFERROR(D630-H630,0)</f>
        <v>7891.4599999999627</v>
      </c>
      <c r="J630" s="521">
        <f>IFERROR(I630/ABS(H630),0)</f>
        <v>5.9285341875654259E-3</v>
      </c>
      <c r="K630" s="507"/>
      <c r="L630" s="533">
        <f>SUM(L627:L629)</f>
        <v>83192.049999999988</v>
      </c>
      <c r="M630" s="533">
        <f t="shared" ref="M630:W630" si="539">SUM(M627:M629)</f>
        <v>80618.81</v>
      </c>
      <c r="N630" s="533">
        <f t="shared" si="539"/>
        <v>79720.040000000008</v>
      </c>
      <c r="O630" s="533">
        <f t="shared" si="539"/>
        <v>85399.829999999987</v>
      </c>
      <c r="P630" s="533">
        <f t="shared" si="539"/>
        <v>79613.050000000047</v>
      </c>
      <c r="Q630" s="533">
        <f t="shared" si="539"/>
        <v>144618.99999999991</v>
      </c>
      <c r="R630" s="533">
        <f t="shared" si="539"/>
        <v>130971.11333333334</v>
      </c>
      <c r="S630" s="533">
        <f t="shared" si="539"/>
        <v>130971.11333333333</v>
      </c>
      <c r="T630" s="533">
        <f t="shared" si="539"/>
        <v>130971.11333333334</v>
      </c>
      <c r="U630" s="533">
        <f t="shared" si="539"/>
        <v>130971.11333333336</v>
      </c>
      <c r="V630" s="533">
        <f t="shared" si="539"/>
        <v>130971.1133333334</v>
      </c>
      <c r="W630" s="533">
        <f t="shared" si="539"/>
        <v>130971.11333333328</v>
      </c>
      <c r="X630" s="533"/>
      <c r="Y630" s="533">
        <f>SUM(Y627:Y629)</f>
        <v>1338989.46</v>
      </c>
      <c r="Z630" s="508"/>
      <c r="AA630" s="533">
        <f t="shared" ref="AA630:AL630" si="540">SUM(AA627:AA629)</f>
        <v>110924.83333333334</v>
      </c>
      <c r="AB630" s="533">
        <f t="shared" si="540"/>
        <v>110924.83333333334</v>
      </c>
      <c r="AC630" s="533">
        <f t="shared" si="540"/>
        <v>110924.83333333334</v>
      </c>
      <c r="AD630" s="533">
        <f t="shared" si="540"/>
        <v>110924.83333333334</v>
      </c>
      <c r="AE630" s="533">
        <f t="shared" si="540"/>
        <v>110924.83333333334</v>
      </c>
      <c r="AF630" s="533">
        <f t="shared" si="540"/>
        <v>110924.83333333334</v>
      </c>
      <c r="AG630" s="533">
        <f t="shared" si="540"/>
        <v>110924.83333333334</v>
      </c>
      <c r="AH630" s="533">
        <f t="shared" si="540"/>
        <v>110924.83333333334</v>
      </c>
      <c r="AI630" s="533">
        <f t="shared" si="540"/>
        <v>110924.83333333334</v>
      </c>
      <c r="AJ630" s="533">
        <f t="shared" si="540"/>
        <v>110924.83333333334</v>
      </c>
      <c r="AK630" s="533">
        <f t="shared" si="540"/>
        <v>110924.83333333334</v>
      </c>
      <c r="AL630" s="533">
        <f t="shared" si="540"/>
        <v>110924.83333333334</v>
      </c>
      <c r="AN630" s="532">
        <f>SUM(AN627:AN629)</f>
        <v>1338989.46</v>
      </c>
      <c r="AO630" s="533">
        <f>SUM(AO627:AO629)</f>
        <v>1791090.9600000002</v>
      </c>
      <c r="AP630" s="533">
        <f>IFERROR(AO630-AN630,0)</f>
        <v>452101.50000000023</v>
      </c>
      <c r="AQ630" s="523">
        <f>IFERROR(AP630/ABS(AN630),"-")</f>
        <v>0.33764380789076581</v>
      </c>
      <c r="AR630" s="533">
        <f>SUM(AR627:AR628)</f>
        <v>1791090.9600000002</v>
      </c>
      <c r="AS630" s="533">
        <f>IFERROR(AO630-AR630,0)</f>
        <v>0</v>
      </c>
      <c r="AT630" s="521">
        <f>IFERROR(AS630/ABS(AR630),0)</f>
        <v>0</v>
      </c>
      <c r="AU630" s="507"/>
      <c r="AV630" s="533">
        <f>SUM(AV627:AV629)</f>
        <v>149257.57999999999</v>
      </c>
      <c r="AW630" s="533">
        <f t="shared" ref="AW630:BG630" si="541">SUM(AW627:AW629)</f>
        <v>149257.57999999999</v>
      </c>
      <c r="AX630" s="533">
        <f t="shared" si="541"/>
        <v>149257.57999999999</v>
      </c>
      <c r="AY630" s="533">
        <f t="shared" si="541"/>
        <v>149257.57999999999</v>
      </c>
      <c r="AZ630" s="533">
        <f t="shared" si="541"/>
        <v>149257.57999999999</v>
      </c>
      <c r="BA630" s="533">
        <f t="shared" si="541"/>
        <v>149257.57999999999</v>
      </c>
      <c r="BB630" s="533">
        <f t="shared" si="541"/>
        <v>149257.57999999999</v>
      </c>
      <c r="BC630" s="533">
        <f t="shared" si="541"/>
        <v>149257.57999999999</v>
      </c>
      <c r="BD630" s="533">
        <f t="shared" si="541"/>
        <v>149257.57999999999</v>
      </c>
      <c r="BE630" s="533">
        <f t="shared" si="541"/>
        <v>149257.57999999999</v>
      </c>
      <c r="BF630" s="533">
        <f t="shared" si="541"/>
        <v>149257.57999999999</v>
      </c>
      <c r="BG630" s="533">
        <f t="shared" si="541"/>
        <v>149257.57999999999</v>
      </c>
      <c r="BH630" s="508"/>
      <c r="BI630" s="533">
        <f t="shared" ref="BI630:BT630" si="542">SUM(BI627:BI629)</f>
        <v>149257.57999999999</v>
      </c>
      <c r="BJ630" s="533">
        <f t="shared" si="542"/>
        <v>149257.57999999999</v>
      </c>
      <c r="BK630" s="533">
        <f t="shared" si="542"/>
        <v>149257.57999999999</v>
      </c>
      <c r="BL630" s="533">
        <f t="shared" si="542"/>
        <v>149257.57999999999</v>
      </c>
      <c r="BM630" s="533">
        <f t="shared" si="542"/>
        <v>149257.57999999999</v>
      </c>
      <c r="BN630" s="533">
        <f t="shared" si="542"/>
        <v>149257.57999999999</v>
      </c>
      <c r="BO630" s="533">
        <f t="shared" si="542"/>
        <v>149257.57999999999</v>
      </c>
      <c r="BP630" s="533">
        <f t="shared" si="542"/>
        <v>149257.57999999999</v>
      </c>
      <c r="BQ630" s="533">
        <f t="shared" si="542"/>
        <v>149257.57999999999</v>
      </c>
      <c r="BR630" s="533">
        <f t="shared" si="542"/>
        <v>149257.57999999999</v>
      </c>
      <c r="BS630" s="533">
        <f t="shared" si="542"/>
        <v>149257.57999999999</v>
      </c>
      <c r="BT630" s="533">
        <f t="shared" si="542"/>
        <v>149257.57999999999</v>
      </c>
    </row>
    <row r="631" spans="1:72" ht="15.75" thickTop="1" x14ac:dyDescent="0.25">
      <c r="A631" s="587"/>
      <c r="B631" s="502"/>
      <c r="C631" s="400"/>
      <c r="D631" s="500"/>
      <c r="E631" s="449"/>
      <c r="F631" s="449"/>
      <c r="G631" s="421"/>
      <c r="H631" s="449"/>
      <c r="I631" s="449"/>
      <c r="J631" s="426"/>
      <c r="K631" s="421"/>
      <c r="L631" s="449"/>
      <c r="M631" s="449"/>
      <c r="N631" s="449"/>
      <c r="O631" s="449"/>
      <c r="P631" s="449"/>
      <c r="Q631" s="449"/>
      <c r="R631" s="449"/>
      <c r="S631" s="449"/>
      <c r="T631" s="449"/>
      <c r="U631" s="449"/>
      <c r="V631" s="449"/>
      <c r="W631" s="449"/>
      <c r="X631" s="449"/>
      <c r="Y631" s="449"/>
      <c r="Z631" s="501"/>
      <c r="AA631" s="449"/>
      <c r="AB631" s="449"/>
      <c r="AC631" s="449"/>
      <c r="AD631" s="449"/>
      <c r="AE631" s="449"/>
      <c r="AF631" s="449"/>
      <c r="AG631" s="449"/>
      <c r="AH631" s="449"/>
      <c r="AI631" s="449"/>
      <c r="AJ631" s="449"/>
      <c r="AK631" s="449"/>
      <c r="AL631" s="449"/>
      <c r="AN631" s="500"/>
      <c r="AO631" s="449"/>
      <c r="AP631" s="449"/>
      <c r="AQ631" s="453"/>
      <c r="AR631" s="449"/>
      <c r="AS631" s="449"/>
      <c r="AT631" s="426"/>
      <c r="AU631" s="421"/>
      <c r="AV631" s="449"/>
      <c r="AW631" s="449"/>
      <c r="AX631" s="449"/>
      <c r="AY631" s="449"/>
      <c r="AZ631" s="449"/>
      <c r="BA631" s="449"/>
      <c r="BB631" s="449"/>
      <c r="BC631" s="449"/>
      <c r="BD631" s="449"/>
      <c r="BE631" s="449"/>
      <c r="BF631" s="449"/>
      <c r="BG631" s="449"/>
      <c r="BH631" s="501"/>
      <c r="BI631" s="449"/>
      <c r="BJ631" s="449"/>
      <c r="BK631" s="449"/>
      <c r="BL631" s="449"/>
      <c r="BM631" s="449"/>
      <c r="BN631" s="449"/>
      <c r="BO631" s="449"/>
      <c r="BP631" s="449"/>
      <c r="BQ631" s="449"/>
      <c r="BR631" s="449"/>
      <c r="BS631" s="449"/>
      <c r="BT631" s="449"/>
    </row>
    <row r="632" spans="1:72" ht="15" x14ac:dyDescent="0.25">
      <c r="A632" s="587"/>
      <c r="B632" s="524" t="s">
        <v>1030</v>
      </c>
      <c r="C632" s="400"/>
      <c r="D632" s="500"/>
      <c r="E632" s="449"/>
      <c r="F632" s="449"/>
      <c r="G632" s="421"/>
      <c r="H632" s="449"/>
      <c r="I632" s="449"/>
      <c r="J632" s="426"/>
      <c r="K632" s="421"/>
      <c r="L632" s="449"/>
      <c r="M632" s="449"/>
      <c r="N632" s="449"/>
      <c r="O632" s="449"/>
      <c r="P632" s="449"/>
      <c r="Q632" s="449"/>
      <c r="R632" s="449"/>
      <c r="S632" s="449"/>
      <c r="T632" s="449"/>
      <c r="U632" s="449"/>
      <c r="V632" s="449"/>
      <c r="W632" s="449"/>
      <c r="X632" s="449"/>
      <c r="Y632" s="449"/>
      <c r="Z632" s="501"/>
      <c r="AA632" s="449"/>
      <c r="AB632" s="449"/>
      <c r="AC632" s="449"/>
      <c r="AD632" s="449"/>
      <c r="AE632" s="449"/>
      <c r="AF632" s="449"/>
      <c r="AG632" s="449"/>
      <c r="AH632" s="449"/>
      <c r="AI632" s="449"/>
      <c r="AJ632" s="449"/>
      <c r="AK632" s="449"/>
      <c r="AL632" s="449"/>
      <c r="AN632" s="500"/>
      <c r="AO632" s="449"/>
      <c r="AP632" s="449"/>
      <c r="AQ632" s="453"/>
      <c r="AR632" s="449"/>
      <c r="AS632" s="449"/>
      <c r="AT632" s="426"/>
      <c r="AU632" s="421"/>
      <c r="AV632" s="449"/>
      <c r="AW632" s="449"/>
      <c r="AX632" s="449"/>
      <c r="AY632" s="449"/>
      <c r="AZ632" s="449"/>
      <c r="BA632" s="449"/>
      <c r="BB632" s="449"/>
      <c r="BC632" s="449"/>
      <c r="BD632" s="449"/>
      <c r="BE632" s="449"/>
      <c r="BF632" s="449"/>
      <c r="BG632" s="449"/>
      <c r="BH632" s="501"/>
      <c r="BI632" s="449"/>
      <c r="BJ632" s="449"/>
      <c r="BK632" s="449"/>
      <c r="BL632" s="449"/>
      <c r="BM632" s="449"/>
      <c r="BN632" s="449"/>
      <c r="BO632" s="449"/>
      <c r="BP632" s="449"/>
      <c r="BQ632" s="449"/>
      <c r="BR632" s="449"/>
      <c r="BS632" s="449"/>
      <c r="BT632" s="449"/>
    </row>
    <row r="633" spans="1:72" ht="5.25" customHeight="1" x14ac:dyDescent="0.25">
      <c r="A633" s="587"/>
      <c r="B633" s="524"/>
      <c r="C633" s="400"/>
      <c r="D633" s="500"/>
      <c r="E633" s="449"/>
      <c r="F633" s="449"/>
      <c r="G633" s="421"/>
      <c r="H633" s="449"/>
      <c r="I633" s="449"/>
      <c r="J633" s="426"/>
      <c r="K633" s="421"/>
      <c r="L633" s="449"/>
      <c r="M633" s="449"/>
      <c r="N633" s="449"/>
      <c r="O633" s="449"/>
      <c r="P633" s="449"/>
      <c r="Q633" s="449"/>
      <c r="R633" s="449"/>
      <c r="S633" s="449"/>
      <c r="T633" s="449"/>
      <c r="U633" s="449"/>
      <c r="V633" s="449"/>
      <c r="W633" s="449"/>
      <c r="X633" s="449"/>
      <c r="Y633" s="449"/>
      <c r="Z633" s="501"/>
      <c r="AA633" s="449"/>
      <c r="AB633" s="449"/>
      <c r="AC633" s="449"/>
      <c r="AD633" s="449"/>
      <c r="AE633" s="449"/>
      <c r="AF633" s="449"/>
      <c r="AG633" s="449"/>
      <c r="AH633" s="449"/>
      <c r="AI633" s="449"/>
      <c r="AJ633" s="449"/>
      <c r="AK633" s="449"/>
      <c r="AL633" s="449"/>
      <c r="AN633" s="500"/>
      <c r="AO633" s="449"/>
      <c r="AP633" s="449"/>
      <c r="AQ633" s="453"/>
      <c r="AR633" s="449"/>
      <c r="AS633" s="449"/>
      <c r="AT633" s="426"/>
      <c r="AU633" s="421"/>
      <c r="AV633" s="449"/>
      <c r="AW633" s="449"/>
      <c r="AX633" s="449"/>
      <c r="AY633" s="449"/>
      <c r="AZ633" s="449"/>
      <c r="BA633" s="449"/>
      <c r="BB633" s="449"/>
      <c r="BC633" s="449"/>
      <c r="BD633" s="449"/>
      <c r="BE633" s="449"/>
      <c r="BF633" s="449"/>
      <c r="BG633" s="449"/>
      <c r="BH633" s="501"/>
      <c r="BI633" s="449"/>
      <c r="BJ633" s="449"/>
      <c r="BK633" s="449"/>
      <c r="BL633" s="449"/>
      <c r="BM633" s="449"/>
      <c r="BN633" s="449"/>
      <c r="BO633" s="449"/>
      <c r="BP633" s="449"/>
      <c r="BQ633" s="449"/>
      <c r="BR633" s="449"/>
      <c r="BS633" s="449"/>
      <c r="BT633" s="449"/>
    </row>
    <row r="634" spans="1:72" ht="15" x14ac:dyDescent="0.25">
      <c r="A634" s="502" t="s">
        <v>1031</v>
      </c>
      <c r="B634" s="502" t="s">
        <v>1032</v>
      </c>
      <c r="C634" s="538"/>
      <c r="D634" s="500">
        <f t="shared" ref="D634:D646" si="543">SUM(L634:W634)</f>
        <v>0</v>
      </c>
      <c r="E634" s="449">
        <v>0</v>
      </c>
      <c r="F634" s="449">
        <f t="shared" ref="F634:F646" si="544">IFERROR(D634-E634,0)</f>
        <v>0</v>
      </c>
      <c r="G634" s="421">
        <f t="shared" ref="G634:G646" si="545">IFERROR(F634/ABS(E634),0)</f>
        <v>0</v>
      </c>
      <c r="H634" s="449">
        <v>0</v>
      </c>
      <c r="I634" s="449">
        <f t="shared" ref="I634:I646" si="546">IFERROR(D634-H634,0)</f>
        <v>0</v>
      </c>
      <c r="J634" s="426">
        <f t="shared" ref="J634:J646" si="547">IFERROR(I634/ABS(H634),0)</f>
        <v>0</v>
      </c>
      <c r="K634" s="421"/>
      <c r="L634" s="449">
        <v>0</v>
      </c>
      <c r="M634" s="449">
        <v>0</v>
      </c>
      <c r="N634" s="449">
        <v>0</v>
      </c>
      <c r="O634" s="449">
        <v>0</v>
      </c>
      <c r="P634" s="449">
        <v>0</v>
      </c>
      <c r="Q634" s="449">
        <v>0</v>
      </c>
      <c r="R634" s="449">
        <f>($H634-SUM($L634:Q634))/R$694</f>
        <v>0</v>
      </c>
      <c r="S634" s="449">
        <f>($H634-SUM($L634:R634))/S$694</f>
        <v>0</v>
      </c>
      <c r="T634" s="449">
        <f>($H634-SUM($L634:S634))/T$694</f>
        <v>0</v>
      </c>
      <c r="U634" s="449">
        <f>($H634-SUM($L634:T634))/U$694</f>
        <v>0</v>
      </c>
      <c r="V634" s="449">
        <f>($H634-SUM($L634:U634))/V$694</f>
        <v>0</v>
      </c>
      <c r="W634" s="449">
        <f>($H634-SUM($L634:V634))/W$694</f>
        <v>0</v>
      </c>
      <c r="X634" s="449"/>
      <c r="Y634" s="449">
        <f t="shared" ref="Y634:Y646" si="548">SUM(L634:W634)</f>
        <v>0</v>
      </c>
      <c r="Z634" s="531"/>
      <c r="AA634" s="449">
        <f t="shared" ref="AA634:AL646" si="549">IFERROR($H634/12,0)</f>
        <v>0</v>
      </c>
      <c r="AB634" s="449">
        <f t="shared" si="549"/>
        <v>0</v>
      </c>
      <c r="AC634" s="449">
        <f t="shared" si="549"/>
        <v>0</v>
      </c>
      <c r="AD634" s="449">
        <f t="shared" si="549"/>
        <v>0</v>
      </c>
      <c r="AE634" s="449">
        <f t="shared" si="549"/>
        <v>0</v>
      </c>
      <c r="AF634" s="449">
        <f t="shared" si="549"/>
        <v>0</v>
      </c>
      <c r="AG634" s="449">
        <f t="shared" si="549"/>
        <v>0</v>
      </c>
      <c r="AH634" s="449">
        <f t="shared" si="549"/>
        <v>0</v>
      </c>
      <c r="AI634" s="449">
        <f t="shared" si="549"/>
        <v>0</v>
      </c>
      <c r="AJ634" s="449">
        <f t="shared" si="549"/>
        <v>0</v>
      </c>
      <c r="AK634" s="449">
        <f t="shared" si="549"/>
        <v>0</v>
      </c>
      <c r="AL634" s="449">
        <f t="shared" si="549"/>
        <v>0</v>
      </c>
      <c r="AN634" s="500">
        <f t="shared" ref="AN634:AN646" si="550">SUM(L634:W634)</f>
        <v>0</v>
      </c>
      <c r="AO634" s="449">
        <f t="shared" ref="AO634:AO646" si="551">SUM(BI634:BT634)</f>
        <v>0</v>
      </c>
      <c r="AP634" s="449">
        <f t="shared" ref="AP634:AP646" si="552">IFERROR(AO634-AN634,0)</f>
        <v>0</v>
      </c>
      <c r="AQ634" s="453" t="str">
        <f t="shared" ref="AQ634:AQ646" si="553">IFERROR(AP634/ABS(AN634),"-")</f>
        <v>-</v>
      </c>
      <c r="AR634" s="449">
        <f t="shared" ref="AR634:AR646" si="554">SUM(BI634:BT634)</f>
        <v>0</v>
      </c>
      <c r="AS634" s="449">
        <f t="shared" ref="AS634:AS646" si="555">IFERROR(AO634-AR634,0)</f>
        <v>0</v>
      </c>
      <c r="AT634" s="426">
        <f t="shared" ref="AT634:AT646" si="556">IFERROR(AS634/ABS(AR634),0)</f>
        <v>0</v>
      </c>
      <c r="AU634" s="421"/>
      <c r="AV634" s="449">
        <f t="shared" ref="AV634:BG646" si="557">BI634</f>
        <v>0</v>
      </c>
      <c r="AW634" s="449">
        <f t="shared" si="557"/>
        <v>0</v>
      </c>
      <c r="AX634" s="449">
        <f t="shared" si="557"/>
        <v>0</v>
      </c>
      <c r="AY634" s="449">
        <f t="shared" si="557"/>
        <v>0</v>
      </c>
      <c r="AZ634" s="449">
        <f t="shared" si="557"/>
        <v>0</v>
      </c>
      <c r="BA634" s="449">
        <f t="shared" si="557"/>
        <v>0</v>
      </c>
      <c r="BB634" s="449">
        <f t="shared" si="557"/>
        <v>0</v>
      </c>
      <c r="BC634" s="449">
        <f t="shared" si="557"/>
        <v>0</v>
      </c>
      <c r="BD634" s="449">
        <f t="shared" si="557"/>
        <v>0</v>
      </c>
      <c r="BE634" s="449">
        <f t="shared" si="557"/>
        <v>0</v>
      </c>
      <c r="BF634" s="449">
        <f t="shared" si="557"/>
        <v>0</v>
      </c>
      <c r="BG634" s="449">
        <f t="shared" si="557"/>
        <v>0</v>
      </c>
      <c r="BH634" s="400"/>
      <c r="BI634" s="449">
        <f t="shared" ref="BI634:BT640" si="558">IFERROR((($H634/$H$5)*BI$5)/12,0)</f>
        <v>0</v>
      </c>
      <c r="BJ634" s="449">
        <f t="shared" si="558"/>
        <v>0</v>
      </c>
      <c r="BK634" s="449">
        <f t="shared" si="558"/>
        <v>0</v>
      </c>
      <c r="BL634" s="449">
        <f t="shared" si="558"/>
        <v>0</v>
      </c>
      <c r="BM634" s="449">
        <f t="shared" si="558"/>
        <v>0</v>
      </c>
      <c r="BN634" s="449">
        <f t="shared" si="558"/>
        <v>0</v>
      </c>
      <c r="BO634" s="449">
        <f t="shared" si="558"/>
        <v>0</v>
      </c>
      <c r="BP634" s="449">
        <f t="shared" si="558"/>
        <v>0</v>
      </c>
      <c r="BQ634" s="449">
        <f t="shared" si="558"/>
        <v>0</v>
      </c>
      <c r="BR634" s="449">
        <f t="shared" si="558"/>
        <v>0</v>
      </c>
      <c r="BS634" s="449">
        <f t="shared" si="558"/>
        <v>0</v>
      </c>
      <c r="BT634" s="449">
        <f t="shared" si="558"/>
        <v>0</v>
      </c>
    </row>
    <row r="635" spans="1:72" ht="15" x14ac:dyDescent="0.25">
      <c r="A635" s="502" t="s">
        <v>1033</v>
      </c>
      <c r="B635" s="502" t="s">
        <v>1034</v>
      </c>
      <c r="C635" s="538"/>
      <c r="D635" s="500">
        <f t="shared" si="543"/>
        <v>0</v>
      </c>
      <c r="E635" s="449">
        <v>0</v>
      </c>
      <c r="F635" s="449">
        <f t="shared" si="544"/>
        <v>0</v>
      </c>
      <c r="G635" s="421">
        <f t="shared" si="545"/>
        <v>0</v>
      </c>
      <c r="H635" s="449">
        <v>0</v>
      </c>
      <c r="I635" s="449">
        <f t="shared" si="546"/>
        <v>0</v>
      </c>
      <c r="J635" s="426">
        <f t="shared" si="547"/>
        <v>0</v>
      </c>
      <c r="K635" s="421"/>
      <c r="L635" s="449">
        <v>0</v>
      </c>
      <c r="M635" s="449">
        <v>0</v>
      </c>
      <c r="N635" s="449">
        <v>0</v>
      </c>
      <c r="O635" s="449">
        <v>0</v>
      </c>
      <c r="P635" s="449">
        <v>0</v>
      </c>
      <c r="Q635" s="449">
        <v>0</v>
      </c>
      <c r="R635" s="449">
        <f>($H635-SUM($L635:Q635))/R$694</f>
        <v>0</v>
      </c>
      <c r="S635" s="449">
        <f>($H635-SUM($L635:R635))/S$694</f>
        <v>0</v>
      </c>
      <c r="T635" s="449">
        <f>($H635-SUM($L635:S635))/T$694</f>
        <v>0</v>
      </c>
      <c r="U635" s="449">
        <f>($H635-SUM($L635:T635))/U$694</f>
        <v>0</v>
      </c>
      <c r="V635" s="449">
        <f>($H635-SUM($L635:U635))/V$694</f>
        <v>0</v>
      </c>
      <c r="W635" s="449">
        <f>($H635-SUM($L635:V635))/W$694</f>
        <v>0</v>
      </c>
      <c r="X635" s="449"/>
      <c r="Y635" s="449">
        <f t="shared" si="548"/>
        <v>0</v>
      </c>
      <c r="Z635" s="531"/>
      <c r="AA635" s="449">
        <f t="shared" si="549"/>
        <v>0</v>
      </c>
      <c r="AB635" s="449">
        <f t="shared" si="549"/>
        <v>0</v>
      </c>
      <c r="AC635" s="449">
        <f t="shared" si="549"/>
        <v>0</v>
      </c>
      <c r="AD635" s="449">
        <f t="shared" si="549"/>
        <v>0</v>
      </c>
      <c r="AE635" s="449">
        <f t="shared" si="549"/>
        <v>0</v>
      </c>
      <c r="AF635" s="449">
        <f t="shared" si="549"/>
        <v>0</v>
      </c>
      <c r="AG635" s="449">
        <f t="shared" si="549"/>
        <v>0</v>
      </c>
      <c r="AH635" s="449">
        <f t="shared" si="549"/>
        <v>0</v>
      </c>
      <c r="AI635" s="449">
        <f t="shared" si="549"/>
        <v>0</v>
      </c>
      <c r="AJ635" s="449">
        <f t="shared" si="549"/>
        <v>0</v>
      </c>
      <c r="AK635" s="449">
        <f t="shared" si="549"/>
        <v>0</v>
      </c>
      <c r="AL635" s="449">
        <f t="shared" si="549"/>
        <v>0</v>
      </c>
      <c r="AN635" s="500">
        <f t="shared" si="550"/>
        <v>0</v>
      </c>
      <c r="AO635" s="449">
        <f t="shared" si="551"/>
        <v>0</v>
      </c>
      <c r="AP635" s="449">
        <f t="shared" si="552"/>
        <v>0</v>
      </c>
      <c r="AQ635" s="453" t="str">
        <f t="shared" si="553"/>
        <v>-</v>
      </c>
      <c r="AR635" s="449">
        <f t="shared" si="554"/>
        <v>0</v>
      </c>
      <c r="AS635" s="449">
        <f t="shared" si="555"/>
        <v>0</v>
      </c>
      <c r="AT635" s="426">
        <f t="shared" si="556"/>
        <v>0</v>
      </c>
      <c r="AU635" s="421"/>
      <c r="AV635" s="449">
        <f t="shared" si="557"/>
        <v>0</v>
      </c>
      <c r="AW635" s="449">
        <f t="shared" si="557"/>
        <v>0</v>
      </c>
      <c r="AX635" s="449">
        <f t="shared" si="557"/>
        <v>0</v>
      </c>
      <c r="AY635" s="449">
        <f t="shared" si="557"/>
        <v>0</v>
      </c>
      <c r="AZ635" s="449">
        <f t="shared" si="557"/>
        <v>0</v>
      </c>
      <c r="BA635" s="449">
        <f t="shared" si="557"/>
        <v>0</v>
      </c>
      <c r="BB635" s="449">
        <f t="shared" si="557"/>
        <v>0</v>
      </c>
      <c r="BC635" s="449">
        <f t="shared" si="557"/>
        <v>0</v>
      </c>
      <c r="BD635" s="449">
        <f t="shared" si="557"/>
        <v>0</v>
      </c>
      <c r="BE635" s="449">
        <f t="shared" si="557"/>
        <v>0</v>
      </c>
      <c r="BF635" s="449">
        <f t="shared" si="557"/>
        <v>0</v>
      </c>
      <c r="BG635" s="449">
        <f t="shared" si="557"/>
        <v>0</v>
      </c>
      <c r="BH635" s="400"/>
      <c r="BI635" s="449">
        <f t="shared" si="558"/>
        <v>0</v>
      </c>
      <c r="BJ635" s="449">
        <f t="shared" si="558"/>
        <v>0</v>
      </c>
      <c r="BK635" s="449">
        <f t="shared" si="558"/>
        <v>0</v>
      </c>
      <c r="BL635" s="449">
        <f t="shared" si="558"/>
        <v>0</v>
      </c>
      <c r="BM635" s="449">
        <f t="shared" si="558"/>
        <v>0</v>
      </c>
      <c r="BN635" s="449">
        <f t="shared" si="558"/>
        <v>0</v>
      </c>
      <c r="BO635" s="449">
        <f t="shared" si="558"/>
        <v>0</v>
      </c>
      <c r="BP635" s="449">
        <f t="shared" si="558"/>
        <v>0</v>
      </c>
      <c r="BQ635" s="449">
        <f t="shared" si="558"/>
        <v>0</v>
      </c>
      <c r="BR635" s="449">
        <f t="shared" si="558"/>
        <v>0</v>
      </c>
      <c r="BS635" s="449">
        <f t="shared" si="558"/>
        <v>0</v>
      </c>
      <c r="BT635" s="449">
        <f t="shared" si="558"/>
        <v>0</v>
      </c>
    </row>
    <row r="636" spans="1:72" ht="15" x14ac:dyDescent="0.25">
      <c r="A636" s="502" t="s">
        <v>1035</v>
      </c>
      <c r="B636" s="502" t="s">
        <v>1036</v>
      </c>
      <c r="C636" s="538"/>
      <c r="D636" s="500">
        <f t="shared" si="543"/>
        <v>0</v>
      </c>
      <c r="E636" s="449">
        <v>0</v>
      </c>
      <c r="F636" s="449">
        <f t="shared" si="544"/>
        <v>0</v>
      </c>
      <c r="G636" s="421">
        <f t="shared" si="545"/>
        <v>0</v>
      </c>
      <c r="H636" s="449">
        <v>0</v>
      </c>
      <c r="I636" s="449">
        <f t="shared" si="546"/>
        <v>0</v>
      </c>
      <c r="J636" s="426">
        <f t="shared" si="547"/>
        <v>0</v>
      </c>
      <c r="K636" s="421"/>
      <c r="L636" s="449">
        <v>0</v>
      </c>
      <c r="M636" s="449">
        <v>0</v>
      </c>
      <c r="N636" s="449">
        <v>0</v>
      </c>
      <c r="O636" s="449">
        <v>0</v>
      </c>
      <c r="P636" s="449">
        <v>0</v>
      </c>
      <c r="Q636" s="449">
        <v>0</v>
      </c>
      <c r="R636" s="449">
        <f>($H636-SUM($L636:Q636))/R$694</f>
        <v>0</v>
      </c>
      <c r="S636" s="449">
        <f>($H636-SUM($L636:R636))/S$694</f>
        <v>0</v>
      </c>
      <c r="T636" s="449">
        <f>($H636-SUM($L636:S636))/T$694</f>
        <v>0</v>
      </c>
      <c r="U636" s="449">
        <f>($H636-SUM($L636:T636))/U$694</f>
        <v>0</v>
      </c>
      <c r="V636" s="449">
        <f>($H636-SUM($L636:U636))/V$694</f>
        <v>0</v>
      </c>
      <c r="W636" s="449">
        <f>($H636-SUM($L636:V636))/W$694</f>
        <v>0</v>
      </c>
      <c r="X636" s="449"/>
      <c r="Y636" s="449">
        <f t="shared" si="548"/>
        <v>0</v>
      </c>
      <c r="Z636" s="531"/>
      <c r="AA636" s="449">
        <f t="shared" si="549"/>
        <v>0</v>
      </c>
      <c r="AB636" s="449">
        <f t="shared" si="549"/>
        <v>0</v>
      </c>
      <c r="AC636" s="449">
        <f t="shared" si="549"/>
        <v>0</v>
      </c>
      <c r="AD636" s="449">
        <f t="shared" si="549"/>
        <v>0</v>
      </c>
      <c r="AE636" s="449">
        <f t="shared" si="549"/>
        <v>0</v>
      </c>
      <c r="AF636" s="449">
        <f t="shared" si="549"/>
        <v>0</v>
      </c>
      <c r="AG636" s="449">
        <f t="shared" si="549"/>
        <v>0</v>
      </c>
      <c r="AH636" s="449">
        <f t="shared" si="549"/>
        <v>0</v>
      </c>
      <c r="AI636" s="449">
        <f t="shared" si="549"/>
        <v>0</v>
      </c>
      <c r="AJ636" s="449">
        <f t="shared" si="549"/>
        <v>0</v>
      </c>
      <c r="AK636" s="449">
        <f t="shared" si="549"/>
        <v>0</v>
      </c>
      <c r="AL636" s="449">
        <f t="shared" si="549"/>
        <v>0</v>
      </c>
      <c r="AN636" s="500">
        <f t="shared" si="550"/>
        <v>0</v>
      </c>
      <c r="AO636" s="449">
        <f t="shared" si="551"/>
        <v>0</v>
      </c>
      <c r="AP636" s="449">
        <f t="shared" si="552"/>
        <v>0</v>
      </c>
      <c r="AQ636" s="453" t="str">
        <f t="shared" si="553"/>
        <v>-</v>
      </c>
      <c r="AR636" s="449">
        <f t="shared" si="554"/>
        <v>0</v>
      </c>
      <c r="AS636" s="449">
        <f t="shared" si="555"/>
        <v>0</v>
      </c>
      <c r="AT636" s="426">
        <f t="shared" si="556"/>
        <v>0</v>
      </c>
      <c r="AU636" s="421"/>
      <c r="AV636" s="449">
        <f t="shared" si="557"/>
        <v>0</v>
      </c>
      <c r="AW636" s="449">
        <f t="shared" si="557"/>
        <v>0</v>
      </c>
      <c r="AX636" s="449">
        <f t="shared" si="557"/>
        <v>0</v>
      </c>
      <c r="AY636" s="449">
        <f t="shared" si="557"/>
        <v>0</v>
      </c>
      <c r="AZ636" s="449">
        <f t="shared" si="557"/>
        <v>0</v>
      </c>
      <c r="BA636" s="449">
        <f t="shared" si="557"/>
        <v>0</v>
      </c>
      <c r="BB636" s="449">
        <f t="shared" si="557"/>
        <v>0</v>
      </c>
      <c r="BC636" s="449">
        <f t="shared" si="557"/>
        <v>0</v>
      </c>
      <c r="BD636" s="449">
        <f t="shared" si="557"/>
        <v>0</v>
      </c>
      <c r="BE636" s="449">
        <f t="shared" si="557"/>
        <v>0</v>
      </c>
      <c r="BF636" s="449">
        <f t="shared" si="557"/>
        <v>0</v>
      </c>
      <c r="BG636" s="449">
        <f t="shared" si="557"/>
        <v>0</v>
      </c>
      <c r="BH636" s="400"/>
      <c r="BI636" s="449">
        <f t="shared" si="558"/>
        <v>0</v>
      </c>
      <c r="BJ636" s="449">
        <f t="shared" si="558"/>
        <v>0</v>
      </c>
      <c r="BK636" s="449">
        <f t="shared" si="558"/>
        <v>0</v>
      </c>
      <c r="BL636" s="449">
        <f t="shared" si="558"/>
        <v>0</v>
      </c>
      <c r="BM636" s="449">
        <f t="shared" si="558"/>
        <v>0</v>
      </c>
      <c r="BN636" s="449">
        <f t="shared" si="558"/>
        <v>0</v>
      </c>
      <c r="BO636" s="449">
        <f t="shared" si="558"/>
        <v>0</v>
      </c>
      <c r="BP636" s="449">
        <f t="shared" si="558"/>
        <v>0</v>
      </c>
      <c r="BQ636" s="449">
        <f t="shared" si="558"/>
        <v>0</v>
      </c>
      <c r="BR636" s="449">
        <f t="shared" si="558"/>
        <v>0</v>
      </c>
      <c r="BS636" s="449">
        <f t="shared" si="558"/>
        <v>0</v>
      </c>
      <c r="BT636" s="449">
        <f t="shared" si="558"/>
        <v>0</v>
      </c>
    </row>
    <row r="637" spans="1:72" ht="15" x14ac:dyDescent="0.25">
      <c r="A637" s="502" t="s">
        <v>1037</v>
      </c>
      <c r="B637" s="502" t="s">
        <v>1038</v>
      </c>
      <c r="C637" s="538"/>
      <c r="D637" s="500">
        <f t="shared" si="543"/>
        <v>0</v>
      </c>
      <c r="E637" s="449">
        <v>0</v>
      </c>
      <c r="F637" s="449">
        <f t="shared" si="544"/>
        <v>0</v>
      </c>
      <c r="G637" s="421">
        <f t="shared" si="545"/>
        <v>0</v>
      </c>
      <c r="H637" s="449">
        <v>0</v>
      </c>
      <c r="I637" s="449">
        <f t="shared" si="546"/>
        <v>0</v>
      </c>
      <c r="J637" s="426">
        <f t="shared" si="547"/>
        <v>0</v>
      </c>
      <c r="K637" s="421"/>
      <c r="L637" s="449">
        <v>0</v>
      </c>
      <c r="M637" s="449">
        <v>0</v>
      </c>
      <c r="N637" s="449">
        <v>0</v>
      </c>
      <c r="O637" s="449">
        <v>0</v>
      </c>
      <c r="P637" s="449">
        <v>0</v>
      </c>
      <c r="Q637" s="449">
        <v>0</v>
      </c>
      <c r="R637" s="449">
        <f>($H637-SUM($L637:Q637))/R$694</f>
        <v>0</v>
      </c>
      <c r="S637" s="449">
        <f>($H637-SUM($L637:R637))/S$694</f>
        <v>0</v>
      </c>
      <c r="T637" s="449">
        <f>($H637-SUM($L637:S637))/T$694</f>
        <v>0</v>
      </c>
      <c r="U637" s="449">
        <f>($H637-SUM($L637:T637))/U$694</f>
        <v>0</v>
      </c>
      <c r="V637" s="449">
        <f>($H637-SUM($L637:U637))/V$694</f>
        <v>0</v>
      </c>
      <c r="W637" s="449">
        <f>($H637-SUM($L637:V637))/W$694</f>
        <v>0</v>
      </c>
      <c r="X637" s="449"/>
      <c r="Y637" s="449">
        <f t="shared" si="548"/>
        <v>0</v>
      </c>
      <c r="Z637" s="531"/>
      <c r="AA637" s="449">
        <f t="shared" si="549"/>
        <v>0</v>
      </c>
      <c r="AB637" s="449">
        <f t="shared" si="549"/>
        <v>0</v>
      </c>
      <c r="AC637" s="449">
        <f t="shared" si="549"/>
        <v>0</v>
      </c>
      <c r="AD637" s="449">
        <f t="shared" si="549"/>
        <v>0</v>
      </c>
      <c r="AE637" s="449">
        <f t="shared" si="549"/>
        <v>0</v>
      </c>
      <c r="AF637" s="449">
        <f t="shared" si="549"/>
        <v>0</v>
      </c>
      <c r="AG637" s="449">
        <f t="shared" si="549"/>
        <v>0</v>
      </c>
      <c r="AH637" s="449">
        <f t="shared" si="549"/>
        <v>0</v>
      </c>
      <c r="AI637" s="449">
        <f t="shared" si="549"/>
        <v>0</v>
      </c>
      <c r="AJ637" s="449">
        <f t="shared" si="549"/>
        <v>0</v>
      </c>
      <c r="AK637" s="449">
        <f t="shared" si="549"/>
        <v>0</v>
      </c>
      <c r="AL637" s="449">
        <f t="shared" si="549"/>
        <v>0</v>
      </c>
      <c r="AN637" s="500">
        <f t="shared" si="550"/>
        <v>0</v>
      </c>
      <c r="AO637" s="449">
        <f t="shared" si="551"/>
        <v>0</v>
      </c>
      <c r="AP637" s="449">
        <f t="shared" si="552"/>
        <v>0</v>
      </c>
      <c r="AQ637" s="453" t="str">
        <f t="shared" si="553"/>
        <v>-</v>
      </c>
      <c r="AR637" s="449">
        <f t="shared" si="554"/>
        <v>0</v>
      </c>
      <c r="AS637" s="449">
        <f t="shared" si="555"/>
        <v>0</v>
      </c>
      <c r="AT637" s="426">
        <f t="shared" si="556"/>
        <v>0</v>
      </c>
      <c r="AU637" s="421"/>
      <c r="AV637" s="449">
        <f t="shared" si="557"/>
        <v>0</v>
      </c>
      <c r="AW637" s="449">
        <f t="shared" si="557"/>
        <v>0</v>
      </c>
      <c r="AX637" s="449">
        <f t="shared" si="557"/>
        <v>0</v>
      </c>
      <c r="AY637" s="449">
        <f t="shared" si="557"/>
        <v>0</v>
      </c>
      <c r="AZ637" s="449">
        <f t="shared" si="557"/>
        <v>0</v>
      </c>
      <c r="BA637" s="449">
        <f t="shared" si="557"/>
        <v>0</v>
      </c>
      <c r="BB637" s="449">
        <f t="shared" si="557"/>
        <v>0</v>
      </c>
      <c r="BC637" s="449">
        <f t="shared" si="557"/>
        <v>0</v>
      </c>
      <c r="BD637" s="449">
        <f t="shared" si="557"/>
        <v>0</v>
      </c>
      <c r="BE637" s="449">
        <f t="shared" si="557"/>
        <v>0</v>
      </c>
      <c r="BF637" s="449">
        <f t="shared" si="557"/>
        <v>0</v>
      </c>
      <c r="BG637" s="449">
        <f t="shared" si="557"/>
        <v>0</v>
      </c>
      <c r="BH637" s="400"/>
      <c r="BI637" s="449">
        <f t="shared" si="558"/>
        <v>0</v>
      </c>
      <c r="BJ637" s="449">
        <f t="shared" si="558"/>
        <v>0</v>
      </c>
      <c r="BK637" s="449">
        <f t="shared" si="558"/>
        <v>0</v>
      </c>
      <c r="BL637" s="449">
        <f t="shared" si="558"/>
        <v>0</v>
      </c>
      <c r="BM637" s="449">
        <f t="shared" si="558"/>
        <v>0</v>
      </c>
      <c r="BN637" s="449">
        <f t="shared" si="558"/>
        <v>0</v>
      </c>
      <c r="BO637" s="449">
        <f t="shared" si="558"/>
        <v>0</v>
      </c>
      <c r="BP637" s="449">
        <f t="shared" si="558"/>
        <v>0</v>
      </c>
      <c r="BQ637" s="449">
        <f t="shared" si="558"/>
        <v>0</v>
      </c>
      <c r="BR637" s="449">
        <f t="shared" si="558"/>
        <v>0</v>
      </c>
      <c r="BS637" s="449">
        <f t="shared" si="558"/>
        <v>0</v>
      </c>
      <c r="BT637" s="449">
        <f t="shared" si="558"/>
        <v>0</v>
      </c>
    </row>
    <row r="638" spans="1:72" ht="15" x14ac:dyDescent="0.25">
      <c r="A638" s="502" t="s">
        <v>1039</v>
      </c>
      <c r="B638" s="502" t="s">
        <v>1040</v>
      </c>
      <c r="C638" s="538"/>
      <c r="D638" s="500">
        <f t="shared" si="543"/>
        <v>334375</v>
      </c>
      <c r="E638" s="449">
        <v>0</v>
      </c>
      <c r="F638" s="449">
        <f t="shared" si="544"/>
        <v>334375</v>
      </c>
      <c r="G638" s="421">
        <f t="shared" si="545"/>
        <v>0</v>
      </c>
      <c r="H638" s="449">
        <v>334375</v>
      </c>
      <c r="I638" s="449">
        <f t="shared" si="546"/>
        <v>0</v>
      </c>
      <c r="J638" s="426">
        <f t="shared" si="547"/>
        <v>0</v>
      </c>
      <c r="K638" s="421"/>
      <c r="L638" s="449">
        <v>0</v>
      </c>
      <c r="M638" s="449">
        <v>334375.45</v>
      </c>
      <c r="N638" s="449">
        <v>0</v>
      </c>
      <c r="O638" s="449">
        <v>0</v>
      </c>
      <c r="P638" s="449">
        <v>0</v>
      </c>
      <c r="Q638" s="449">
        <v>-66625</v>
      </c>
      <c r="R638" s="449">
        <f>($H638-SUM($L638:Q638))/R$694</f>
        <v>11104.091666666665</v>
      </c>
      <c r="S638" s="449">
        <f>($H638-SUM($L638:R638))/S$694</f>
        <v>11104.091666666664</v>
      </c>
      <c r="T638" s="449">
        <f>($H638-SUM($L638:S638))/T$694</f>
        <v>11104.09166666666</v>
      </c>
      <c r="U638" s="449">
        <f>($H638-SUM($L638:T638))/U$694</f>
        <v>11104.091666666654</v>
      </c>
      <c r="V638" s="449">
        <f>($H638-SUM($L638:U638))/V$694</f>
        <v>11104.091666666645</v>
      </c>
      <c r="W638" s="449">
        <f>($H638-SUM($L638:V638))/W$694</f>
        <v>11104.091666666674</v>
      </c>
      <c r="X638" s="449"/>
      <c r="Y638" s="449">
        <f t="shared" si="548"/>
        <v>334375</v>
      </c>
      <c r="Z638" s="531"/>
      <c r="AA638" s="449">
        <f t="shared" si="549"/>
        <v>27864.583333333332</v>
      </c>
      <c r="AB638" s="449">
        <f t="shared" si="549"/>
        <v>27864.583333333332</v>
      </c>
      <c r="AC638" s="449">
        <f t="shared" si="549"/>
        <v>27864.583333333332</v>
      </c>
      <c r="AD638" s="449">
        <f t="shared" si="549"/>
        <v>27864.583333333332</v>
      </c>
      <c r="AE638" s="449">
        <f t="shared" si="549"/>
        <v>27864.583333333332</v>
      </c>
      <c r="AF638" s="449">
        <f t="shared" si="549"/>
        <v>27864.583333333332</v>
      </c>
      <c r="AG638" s="449">
        <f t="shared" si="549"/>
        <v>27864.583333333332</v>
      </c>
      <c r="AH638" s="449">
        <f t="shared" si="549"/>
        <v>27864.583333333332</v>
      </c>
      <c r="AI638" s="449">
        <f t="shared" si="549"/>
        <v>27864.583333333332</v>
      </c>
      <c r="AJ638" s="449">
        <f t="shared" si="549"/>
        <v>27864.583333333332</v>
      </c>
      <c r="AK638" s="449">
        <f t="shared" si="549"/>
        <v>27864.583333333332</v>
      </c>
      <c r="AL638" s="449">
        <f t="shared" si="549"/>
        <v>27864.583333333332</v>
      </c>
      <c r="AN638" s="500">
        <f t="shared" si="550"/>
        <v>334375</v>
      </c>
      <c r="AO638" s="449">
        <f t="shared" si="551"/>
        <v>0</v>
      </c>
      <c r="AP638" s="449">
        <f t="shared" si="552"/>
        <v>-334375</v>
      </c>
      <c r="AQ638" s="453">
        <f t="shared" si="553"/>
        <v>-1</v>
      </c>
      <c r="AR638" s="449">
        <f t="shared" si="554"/>
        <v>0</v>
      </c>
      <c r="AS638" s="449">
        <f t="shared" si="555"/>
        <v>0</v>
      </c>
      <c r="AT638" s="426">
        <f t="shared" si="556"/>
        <v>0</v>
      </c>
      <c r="AU638" s="421"/>
      <c r="AV638" s="449">
        <f t="shared" si="557"/>
        <v>0</v>
      </c>
      <c r="AW638" s="449">
        <f t="shared" si="557"/>
        <v>0</v>
      </c>
      <c r="AX638" s="449">
        <f t="shared" si="557"/>
        <v>0</v>
      </c>
      <c r="AY638" s="449">
        <f t="shared" si="557"/>
        <v>0</v>
      </c>
      <c r="AZ638" s="449">
        <f t="shared" si="557"/>
        <v>0</v>
      </c>
      <c r="BA638" s="449">
        <f t="shared" si="557"/>
        <v>0</v>
      </c>
      <c r="BB638" s="449">
        <f t="shared" si="557"/>
        <v>0</v>
      </c>
      <c r="BC638" s="449">
        <f t="shared" si="557"/>
        <v>0</v>
      </c>
      <c r="BD638" s="449">
        <f t="shared" si="557"/>
        <v>0</v>
      </c>
      <c r="BE638" s="449">
        <f t="shared" si="557"/>
        <v>0</v>
      </c>
      <c r="BF638" s="449">
        <f t="shared" si="557"/>
        <v>0</v>
      </c>
      <c r="BG638" s="449">
        <f t="shared" si="557"/>
        <v>0</v>
      </c>
      <c r="BH638" s="400"/>
      <c r="BI638" s="449">
        <v>0</v>
      </c>
      <c r="BJ638" s="449">
        <v>0</v>
      </c>
      <c r="BK638" s="449">
        <v>0</v>
      </c>
      <c r="BL638" s="449">
        <v>0</v>
      </c>
      <c r="BM638" s="449">
        <v>0</v>
      </c>
      <c r="BN638" s="449">
        <v>0</v>
      </c>
      <c r="BO638" s="449">
        <v>0</v>
      </c>
      <c r="BP638" s="449">
        <v>0</v>
      </c>
      <c r="BQ638" s="449">
        <v>0</v>
      </c>
      <c r="BR638" s="449">
        <v>0</v>
      </c>
      <c r="BS638" s="449">
        <v>0</v>
      </c>
      <c r="BT638" s="449">
        <v>0</v>
      </c>
    </row>
    <row r="639" spans="1:72" ht="15" x14ac:dyDescent="0.25">
      <c r="A639" s="502" t="s">
        <v>1041</v>
      </c>
      <c r="B639" s="502" t="s">
        <v>1042</v>
      </c>
      <c r="C639" s="538"/>
      <c r="D639" s="500">
        <f t="shared" si="543"/>
        <v>32500</v>
      </c>
      <c r="E639" s="449">
        <v>0</v>
      </c>
      <c r="F639" s="449">
        <f t="shared" si="544"/>
        <v>32500</v>
      </c>
      <c r="G639" s="421">
        <f t="shared" si="545"/>
        <v>0</v>
      </c>
      <c r="H639" s="449">
        <v>32500</v>
      </c>
      <c r="I639" s="449">
        <f t="shared" si="546"/>
        <v>0</v>
      </c>
      <c r="J639" s="426">
        <f t="shared" si="547"/>
        <v>0</v>
      </c>
      <c r="K639" s="421"/>
      <c r="L639" s="449">
        <v>0</v>
      </c>
      <c r="M639" s="449">
        <v>32499.91</v>
      </c>
      <c r="N639" s="449">
        <v>0</v>
      </c>
      <c r="O639" s="449">
        <v>0</v>
      </c>
      <c r="P639" s="449">
        <v>0</v>
      </c>
      <c r="Q639" s="449">
        <v>0</v>
      </c>
      <c r="R639" s="449">
        <f>($H639-SUM($L639:Q639))/R$694</f>
        <v>1.5000000000024253E-2</v>
      </c>
      <c r="S639" s="449">
        <f>($H639-SUM($L639:R639))/S$694</f>
        <v>1.5000000000145518E-2</v>
      </c>
      <c r="T639" s="449">
        <f>($H639-SUM($L639:S639))/T$694</f>
        <v>1.5000000000327418E-2</v>
      </c>
      <c r="U639" s="449">
        <f>($H639-SUM($L639:T639))/U$694</f>
        <v>1.5000000000630584E-2</v>
      </c>
      <c r="V639" s="449">
        <f>($H639-SUM($L639:U639))/V$694</f>
        <v>1.5000000001236913E-2</v>
      </c>
      <c r="W639" s="449">
        <f>($H639-SUM($L639:V639))/W$694</f>
        <v>1.4999999999417923E-2</v>
      </c>
      <c r="X639" s="449"/>
      <c r="Y639" s="449">
        <f t="shared" si="548"/>
        <v>32500</v>
      </c>
      <c r="Z639" s="531"/>
      <c r="AA639" s="449">
        <f t="shared" si="549"/>
        <v>2708.3333333333335</v>
      </c>
      <c r="AB639" s="449">
        <f t="shared" si="549"/>
        <v>2708.3333333333335</v>
      </c>
      <c r="AC639" s="449">
        <f t="shared" si="549"/>
        <v>2708.3333333333335</v>
      </c>
      <c r="AD639" s="449">
        <f t="shared" si="549"/>
        <v>2708.3333333333335</v>
      </c>
      <c r="AE639" s="449">
        <f t="shared" si="549"/>
        <v>2708.3333333333335</v>
      </c>
      <c r="AF639" s="449">
        <f t="shared" si="549"/>
        <v>2708.3333333333335</v>
      </c>
      <c r="AG639" s="449">
        <f t="shared" si="549"/>
        <v>2708.3333333333335</v>
      </c>
      <c r="AH639" s="449">
        <f t="shared" si="549"/>
        <v>2708.3333333333335</v>
      </c>
      <c r="AI639" s="449">
        <f t="shared" si="549"/>
        <v>2708.3333333333335</v>
      </c>
      <c r="AJ639" s="449">
        <f t="shared" si="549"/>
        <v>2708.3333333333335</v>
      </c>
      <c r="AK639" s="449">
        <f t="shared" si="549"/>
        <v>2708.3333333333335</v>
      </c>
      <c r="AL639" s="449">
        <f t="shared" si="549"/>
        <v>2708.3333333333335</v>
      </c>
      <c r="AN639" s="500">
        <f t="shared" si="550"/>
        <v>32500</v>
      </c>
      <c r="AO639" s="449">
        <f t="shared" si="551"/>
        <v>0</v>
      </c>
      <c r="AP639" s="449">
        <f t="shared" si="552"/>
        <v>-32500</v>
      </c>
      <c r="AQ639" s="453">
        <f t="shared" si="553"/>
        <v>-1</v>
      </c>
      <c r="AR639" s="449">
        <f t="shared" si="554"/>
        <v>0</v>
      </c>
      <c r="AS639" s="449">
        <f t="shared" si="555"/>
        <v>0</v>
      </c>
      <c r="AT639" s="426">
        <f t="shared" si="556"/>
        <v>0</v>
      </c>
      <c r="AU639" s="421"/>
      <c r="AV639" s="449">
        <f t="shared" si="557"/>
        <v>0</v>
      </c>
      <c r="AW639" s="449">
        <f t="shared" si="557"/>
        <v>0</v>
      </c>
      <c r="AX639" s="449">
        <f t="shared" si="557"/>
        <v>0</v>
      </c>
      <c r="AY639" s="449">
        <f t="shared" si="557"/>
        <v>0</v>
      </c>
      <c r="AZ639" s="449">
        <f t="shared" si="557"/>
        <v>0</v>
      </c>
      <c r="BA639" s="449">
        <f t="shared" si="557"/>
        <v>0</v>
      </c>
      <c r="BB639" s="449">
        <f t="shared" si="557"/>
        <v>0</v>
      </c>
      <c r="BC639" s="449">
        <f t="shared" si="557"/>
        <v>0</v>
      </c>
      <c r="BD639" s="449">
        <f t="shared" si="557"/>
        <v>0</v>
      </c>
      <c r="BE639" s="449">
        <f t="shared" si="557"/>
        <v>0</v>
      </c>
      <c r="BF639" s="449">
        <f t="shared" si="557"/>
        <v>0</v>
      </c>
      <c r="BG639" s="449">
        <f t="shared" si="557"/>
        <v>0</v>
      </c>
      <c r="BH639" s="400"/>
      <c r="BI639" s="449">
        <v>0</v>
      </c>
      <c r="BJ639" s="449">
        <v>0</v>
      </c>
      <c r="BK639" s="449">
        <v>0</v>
      </c>
      <c r="BL639" s="449">
        <v>0</v>
      </c>
      <c r="BM639" s="449">
        <v>0</v>
      </c>
      <c r="BN639" s="449">
        <v>0</v>
      </c>
      <c r="BO639" s="449">
        <v>0</v>
      </c>
      <c r="BP639" s="449">
        <v>0</v>
      </c>
      <c r="BQ639" s="449">
        <v>0</v>
      </c>
      <c r="BR639" s="449">
        <v>0</v>
      </c>
      <c r="BS639" s="449">
        <v>0</v>
      </c>
      <c r="BT639" s="449">
        <v>0</v>
      </c>
    </row>
    <row r="640" spans="1:72" ht="15" x14ac:dyDescent="0.25">
      <c r="A640" s="502" t="s">
        <v>1043</v>
      </c>
      <c r="B640" s="502" t="s">
        <v>1044</v>
      </c>
      <c r="C640" s="538"/>
      <c r="D640" s="500">
        <f t="shared" si="543"/>
        <v>0</v>
      </c>
      <c r="E640" s="449">
        <v>0</v>
      </c>
      <c r="F640" s="449">
        <f t="shared" si="544"/>
        <v>0</v>
      </c>
      <c r="G640" s="421">
        <f t="shared" si="545"/>
        <v>0</v>
      </c>
      <c r="H640" s="449">
        <v>0</v>
      </c>
      <c r="I640" s="449">
        <f t="shared" si="546"/>
        <v>0</v>
      </c>
      <c r="J640" s="426">
        <f t="shared" si="547"/>
        <v>0</v>
      </c>
      <c r="K640" s="421"/>
      <c r="L640" s="449">
        <v>0</v>
      </c>
      <c r="M640" s="449">
        <v>0</v>
      </c>
      <c r="N640" s="449">
        <v>0</v>
      </c>
      <c r="O640" s="449">
        <v>0</v>
      </c>
      <c r="P640" s="449">
        <v>0</v>
      </c>
      <c r="Q640" s="449">
        <v>0</v>
      </c>
      <c r="R640" s="449">
        <f>($H640-SUM($L640:Q640))/R$694</f>
        <v>0</v>
      </c>
      <c r="S640" s="449">
        <f>($H640-SUM($L640:R640))/S$694</f>
        <v>0</v>
      </c>
      <c r="T640" s="449">
        <f>($H640-SUM($L640:S640))/T$694</f>
        <v>0</v>
      </c>
      <c r="U640" s="449">
        <f>($H640-SUM($L640:T640))/U$694</f>
        <v>0</v>
      </c>
      <c r="V640" s="449">
        <f>($H640-SUM($L640:U640))/V$694</f>
        <v>0</v>
      </c>
      <c r="W640" s="449">
        <f>($H640-SUM($L640:V640))/W$694</f>
        <v>0</v>
      </c>
      <c r="X640" s="449"/>
      <c r="Y640" s="449">
        <f t="shared" si="548"/>
        <v>0</v>
      </c>
      <c r="Z640" s="531"/>
      <c r="AA640" s="449">
        <f t="shared" si="549"/>
        <v>0</v>
      </c>
      <c r="AB640" s="449">
        <f t="shared" si="549"/>
        <v>0</v>
      </c>
      <c r="AC640" s="449">
        <f t="shared" si="549"/>
        <v>0</v>
      </c>
      <c r="AD640" s="449">
        <f t="shared" si="549"/>
        <v>0</v>
      </c>
      <c r="AE640" s="449">
        <f t="shared" si="549"/>
        <v>0</v>
      </c>
      <c r="AF640" s="449">
        <f t="shared" si="549"/>
        <v>0</v>
      </c>
      <c r="AG640" s="449">
        <f t="shared" si="549"/>
        <v>0</v>
      </c>
      <c r="AH640" s="449">
        <f t="shared" si="549"/>
        <v>0</v>
      </c>
      <c r="AI640" s="449">
        <f t="shared" si="549"/>
        <v>0</v>
      </c>
      <c r="AJ640" s="449">
        <f t="shared" si="549"/>
        <v>0</v>
      </c>
      <c r="AK640" s="449">
        <f t="shared" si="549"/>
        <v>0</v>
      </c>
      <c r="AL640" s="449">
        <f t="shared" si="549"/>
        <v>0</v>
      </c>
      <c r="AN640" s="500">
        <f t="shared" si="550"/>
        <v>0</v>
      </c>
      <c r="AO640" s="449">
        <f t="shared" si="551"/>
        <v>0</v>
      </c>
      <c r="AP640" s="449">
        <f t="shared" si="552"/>
        <v>0</v>
      </c>
      <c r="AQ640" s="453" t="str">
        <f t="shared" si="553"/>
        <v>-</v>
      </c>
      <c r="AR640" s="449">
        <f t="shared" si="554"/>
        <v>0</v>
      </c>
      <c r="AS640" s="449">
        <f t="shared" si="555"/>
        <v>0</v>
      </c>
      <c r="AT640" s="426">
        <f t="shared" si="556"/>
        <v>0</v>
      </c>
      <c r="AU640" s="421"/>
      <c r="AV640" s="449">
        <f t="shared" si="557"/>
        <v>0</v>
      </c>
      <c r="AW640" s="449">
        <f t="shared" si="557"/>
        <v>0</v>
      </c>
      <c r="AX640" s="449">
        <f t="shared" si="557"/>
        <v>0</v>
      </c>
      <c r="AY640" s="449">
        <f t="shared" si="557"/>
        <v>0</v>
      </c>
      <c r="AZ640" s="449">
        <f t="shared" si="557"/>
        <v>0</v>
      </c>
      <c r="BA640" s="449">
        <f t="shared" si="557"/>
        <v>0</v>
      </c>
      <c r="BB640" s="449">
        <f t="shared" si="557"/>
        <v>0</v>
      </c>
      <c r="BC640" s="449">
        <f t="shared" si="557"/>
        <v>0</v>
      </c>
      <c r="BD640" s="449">
        <f t="shared" si="557"/>
        <v>0</v>
      </c>
      <c r="BE640" s="449">
        <f t="shared" si="557"/>
        <v>0</v>
      </c>
      <c r="BF640" s="449">
        <f t="shared" si="557"/>
        <v>0</v>
      </c>
      <c r="BG640" s="449">
        <f t="shared" si="557"/>
        <v>0</v>
      </c>
      <c r="BH640" s="400"/>
      <c r="BI640" s="449">
        <f t="shared" si="558"/>
        <v>0</v>
      </c>
      <c r="BJ640" s="449">
        <f t="shared" si="558"/>
        <v>0</v>
      </c>
      <c r="BK640" s="449">
        <f t="shared" si="558"/>
        <v>0</v>
      </c>
      <c r="BL640" s="449">
        <f t="shared" si="558"/>
        <v>0</v>
      </c>
      <c r="BM640" s="449">
        <f t="shared" si="558"/>
        <v>0</v>
      </c>
      <c r="BN640" s="449">
        <f t="shared" si="558"/>
        <v>0</v>
      </c>
      <c r="BO640" s="449">
        <f t="shared" si="558"/>
        <v>0</v>
      </c>
      <c r="BP640" s="449">
        <f t="shared" si="558"/>
        <v>0</v>
      </c>
      <c r="BQ640" s="449">
        <f t="shared" si="558"/>
        <v>0</v>
      </c>
      <c r="BR640" s="449">
        <f t="shared" si="558"/>
        <v>0</v>
      </c>
      <c r="BS640" s="449">
        <f t="shared" si="558"/>
        <v>0</v>
      </c>
      <c r="BT640" s="449">
        <f t="shared" si="558"/>
        <v>0</v>
      </c>
    </row>
    <row r="641" spans="1:72" ht="15" x14ac:dyDescent="0.25">
      <c r="A641" s="502" t="s">
        <v>1045</v>
      </c>
      <c r="B641" s="502" t="s">
        <v>1046</v>
      </c>
      <c r="C641" s="538"/>
      <c r="D641" s="500">
        <f t="shared" si="543"/>
        <v>449114</v>
      </c>
      <c r="E641" s="449">
        <v>449114.375</v>
      </c>
      <c r="F641" s="449">
        <f t="shared" si="544"/>
        <v>-0.375</v>
      </c>
      <c r="G641" s="421">
        <f t="shared" si="545"/>
        <v>-8.3497661369667806E-7</v>
      </c>
      <c r="H641" s="449">
        <v>449114</v>
      </c>
      <c r="I641" s="449">
        <f t="shared" si="546"/>
        <v>0</v>
      </c>
      <c r="J641" s="426">
        <f t="shared" si="547"/>
        <v>0</v>
      </c>
      <c r="K641" s="421"/>
      <c r="L641" s="449">
        <v>0</v>
      </c>
      <c r="M641" s="449">
        <v>0</v>
      </c>
      <c r="N641" s="449">
        <v>0</v>
      </c>
      <c r="O641" s="449">
        <v>0</v>
      </c>
      <c r="P641" s="449">
        <v>0</v>
      </c>
      <c r="Q641" s="449">
        <v>0</v>
      </c>
      <c r="R641" s="449">
        <f>($H641-SUM($L641:Q641))/R$694</f>
        <v>74852.333333333328</v>
      </c>
      <c r="S641" s="449">
        <f>($H641-SUM($L641:R641))/S$694</f>
        <v>74852.333333333343</v>
      </c>
      <c r="T641" s="449">
        <f>($H641-SUM($L641:S641))/T$694</f>
        <v>74852.333333333328</v>
      </c>
      <c r="U641" s="449">
        <f>($H641-SUM($L641:T641))/U$694</f>
        <v>74852.333333333328</v>
      </c>
      <c r="V641" s="449">
        <f>($H641-SUM($L641:U641))/V$694</f>
        <v>74852.333333333343</v>
      </c>
      <c r="W641" s="449">
        <f>($H641-SUM($L641:V641))/W$694</f>
        <v>74852.333333333372</v>
      </c>
      <c r="X641" s="449"/>
      <c r="Y641" s="449">
        <f t="shared" si="548"/>
        <v>449114</v>
      </c>
      <c r="Z641" s="531"/>
      <c r="AA641" s="449">
        <f t="shared" si="549"/>
        <v>37426.166666666664</v>
      </c>
      <c r="AB641" s="449">
        <f t="shared" si="549"/>
        <v>37426.166666666664</v>
      </c>
      <c r="AC641" s="449">
        <f t="shared" si="549"/>
        <v>37426.166666666664</v>
      </c>
      <c r="AD641" s="449">
        <f t="shared" si="549"/>
        <v>37426.166666666664</v>
      </c>
      <c r="AE641" s="449">
        <f t="shared" si="549"/>
        <v>37426.166666666664</v>
      </c>
      <c r="AF641" s="449">
        <f t="shared" si="549"/>
        <v>37426.166666666664</v>
      </c>
      <c r="AG641" s="449">
        <f t="shared" si="549"/>
        <v>37426.166666666664</v>
      </c>
      <c r="AH641" s="449">
        <f t="shared" si="549"/>
        <v>37426.166666666664</v>
      </c>
      <c r="AI641" s="449">
        <f t="shared" si="549"/>
        <v>37426.166666666664</v>
      </c>
      <c r="AJ641" s="449">
        <f t="shared" si="549"/>
        <v>37426.166666666664</v>
      </c>
      <c r="AK641" s="449">
        <f t="shared" si="549"/>
        <v>37426.166666666664</v>
      </c>
      <c r="AL641" s="449">
        <f t="shared" si="549"/>
        <v>37426.166666666664</v>
      </c>
      <c r="AN641" s="500">
        <f t="shared" si="550"/>
        <v>449114</v>
      </c>
      <c r="AO641" s="449">
        <f t="shared" si="551"/>
        <v>449114.00000000006</v>
      </c>
      <c r="AP641" s="449">
        <f t="shared" si="552"/>
        <v>5.8207660913467407E-11</v>
      </c>
      <c r="AQ641" s="453">
        <f t="shared" si="553"/>
        <v>1.296055364862093E-16</v>
      </c>
      <c r="AR641" s="449">
        <f t="shared" si="554"/>
        <v>449114.00000000006</v>
      </c>
      <c r="AS641" s="449">
        <f t="shared" si="555"/>
        <v>0</v>
      </c>
      <c r="AT641" s="426">
        <f t="shared" si="556"/>
        <v>0</v>
      </c>
      <c r="AU641" s="421"/>
      <c r="AV641" s="449">
        <f t="shared" si="557"/>
        <v>37426.166666666664</v>
      </c>
      <c r="AW641" s="449">
        <f t="shared" si="557"/>
        <v>37426.166666666664</v>
      </c>
      <c r="AX641" s="449">
        <f t="shared" si="557"/>
        <v>37426.166666666664</v>
      </c>
      <c r="AY641" s="449">
        <f t="shared" si="557"/>
        <v>37426.166666666664</v>
      </c>
      <c r="AZ641" s="449">
        <f t="shared" si="557"/>
        <v>37426.166666666664</v>
      </c>
      <c r="BA641" s="449">
        <f t="shared" si="557"/>
        <v>37426.166666666664</v>
      </c>
      <c r="BB641" s="449">
        <f t="shared" si="557"/>
        <v>37426.166666666664</v>
      </c>
      <c r="BC641" s="449">
        <f t="shared" si="557"/>
        <v>37426.166666666664</v>
      </c>
      <c r="BD641" s="449">
        <f t="shared" si="557"/>
        <v>37426.166666666664</v>
      </c>
      <c r="BE641" s="449">
        <f t="shared" si="557"/>
        <v>37426.166666666664</v>
      </c>
      <c r="BF641" s="449">
        <f t="shared" si="557"/>
        <v>37426.166666666664</v>
      </c>
      <c r="BG641" s="449">
        <f t="shared" si="557"/>
        <v>37426.166666666664</v>
      </c>
      <c r="BH641" s="400"/>
      <c r="BI641" s="449">
        <f t="shared" ref="BI641:BT642" si="559">IFERROR($H641/12,0)</f>
        <v>37426.166666666664</v>
      </c>
      <c r="BJ641" s="449">
        <f t="shared" si="559"/>
        <v>37426.166666666664</v>
      </c>
      <c r="BK641" s="449">
        <f t="shared" si="559"/>
        <v>37426.166666666664</v>
      </c>
      <c r="BL641" s="449">
        <f t="shared" si="559"/>
        <v>37426.166666666664</v>
      </c>
      <c r="BM641" s="449">
        <f t="shared" si="559"/>
        <v>37426.166666666664</v>
      </c>
      <c r="BN641" s="449">
        <f t="shared" si="559"/>
        <v>37426.166666666664</v>
      </c>
      <c r="BO641" s="449">
        <f t="shared" si="559"/>
        <v>37426.166666666664</v>
      </c>
      <c r="BP641" s="449">
        <f t="shared" si="559"/>
        <v>37426.166666666664</v>
      </c>
      <c r="BQ641" s="449">
        <f t="shared" si="559"/>
        <v>37426.166666666664</v>
      </c>
      <c r="BR641" s="449">
        <f t="shared" si="559"/>
        <v>37426.166666666664</v>
      </c>
      <c r="BS641" s="449">
        <f t="shared" si="559"/>
        <v>37426.166666666664</v>
      </c>
      <c r="BT641" s="449">
        <f t="shared" si="559"/>
        <v>37426.166666666664</v>
      </c>
    </row>
    <row r="642" spans="1:72" ht="15" x14ac:dyDescent="0.25">
      <c r="A642" s="502" t="s">
        <v>1047</v>
      </c>
      <c r="B642" s="502" t="s">
        <v>1048</v>
      </c>
      <c r="C642" s="538"/>
      <c r="D642" s="500">
        <f t="shared" si="543"/>
        <v>20308</v>
      </c>
      <c r="E642" s="449">
        <v>20307.5</v>
      </c>
      <c r="F642" s="449">
        <f t="shared" si="544"/>
        <v>0.5</v>
      </c>
      <c r="G642" s="421">
        <f t="shared" si="545"/>
        <v>2.4621445278837867E-5</v>
      </c>
      <c r="H642" s="449">
        <v>20308</v>
      </c>
      <c r="I642" s="449">
        <f t="shared" si="546"/>
        <v>0</v>
      </c>
      <c r="J642" s="426">
        <f t="shared" si="547"/>
        <v>0</v>
      </c>
      <c r="K642" s="421"/>
      <c r="L642" s="449">
        <v>0</v>
      </c>
      <c r="M642" s="449">
        <v>0</v>
      </c>
      <c r="N642" s="449">
        <v>0</v>
      </c>
      <c r="O642" s="449">
        <v>0</v>
      </c>
      <c r="P642" s="449">
        <v>0</v>
      </c>
      <c r="Q642" s="449">
        <v>0</v>
      </c>
      <c r="R642" s="449">
        <f>($H642-SUM($L642:Q642))/R$694</f>
        <v>3384.6666666666665</v>
      </c>
      <c r="S642" s="449">
        <f>($H642-SUM($L642:R642))/S$694</f>
        <v>3384.6666666666665</v>
      </c>
      <c r="T642" s="449">
        <f>($H642-SUM($L642:S642))/T$694</f>
        <v>3384.666666666667</v>
      </c>
      <c r="U642" s="449">
        <f>($H642-SUM($L642:T642))/U$694</f>
        <v>3384.6666666666665</v>
      </c>
      <c r="V642" s="449">
        <f>($H642-SUM($L642:U642))/V$694</f>
        <v>3384.666666666667</v>
      </c>
      <c r="W642" s="449">
        <f>($H642-SUM($L642:V642))/W$694</f>
        <v>3384.6666666666679</v>
      </c>
      <c r="X642" s="449"/>
      <c r="Y642" s="449">
        <f t="shared" si="548"/>
        <v>20308</v>
      </c>
      <c r="Z642" s="531"/>
      <c r="AA642" s="449">
        <f t="shared" si="549"/>
        <v>1692.3333333333333</v>
      </c>
      <c r="AB642" s="449">
        <f t="shared" si="549"/>
        <v>1692.3333333333333</v>
      </c>
      <c r="AC642" s="449">
        <f t="shared" si="549"/>
        <v>1692.3333333333333</v>
      </c>
      <c r="AD642" s="449">
        <f t="shared" si="549"/>
        <v>1692.3333333333333</v>
      </c>
      <c r="AE642" s="449">
        <f t="shared" si="549"/>
        <v>1692.3333333333333</v>
      </c>
      <c r="AF642" s="449">
        <f t="shared" si="549"/>
        <v>1692.3333333333333</v>
      </c>
      <c r="AG642" s="449">
        <f t="shared" si="549"/>
        <v>1692.3333333333333</v>
      </c>
      <c r="AH642" s="449">
        <f t="shared" si="549"/>
        <v>1692.3333333333333</v>
      </c>
      <c r="AI642" s="449">
        <f t="shared" si="549"/>
        <v>1692.3333333333333</v>
      </c>
      <c r="AJ642" s="449">
        <f t="shared" si="549"/>
        <v>1692.3333333333333</v>
      </c>
      <c r="AK642" s="449">
        <f t="shared" si="549"/>
        <v>1692.3333333333333</v>
      </c>
      <c r="AL642" s="449">
        <f t="shared" si="549"/>
        <v>1692.3333333333333</v>
      </c>
      <c r="AN642" s="500">
        <f t="shared" si="550"/>
        <v>20308</v>
      </c>
      <c r="AO642" s="449">
        <f t="shared" si="551"/>
        <v>20308</v>
      </c>
      <c r="AP642" s="449">
        <f t="shared" si="552"/>
        <v>0</v>
      </c>
      <c r="AQ642" s="453">
        <f t="shared" si="553"/>
        <v>0</v>
      </c>
      <c r="AR642" s="449">
        <f t="shared" si="554"/>
        <v>20308</v>
      </c>
      <c r="AS642" s="449">
        <f t="shared" si="555"/>
        <v>0</v>
      </c>
      <c r="AT642" s="426">
        <f t="shared" si="556"/>
        <v>0</v>
      </c>
      <c r="AU642" s="421"/>
      <c r="AV642" s="449">
        <f t="shared" si="557"/>
        <v>1692.3333333333333</v>
      </c>
      <c r="AW642" s="449">
        <f t="shared" si="557"/>
        <v>1692.3333333333333</v>
      </c>
      <c r="AX642" s="449">
        <f t="shared" si="557"/>
        <v>1692.3333333333333</v>
      </c>
      <c r="AY642" s="449">
        <f t="shared" si="557"/>
        <v>1692.3333333333333</v>
      </c>
      <c r="AZ642" s="449">
        <f t="shared" si="557"/>
        <v>1692.3333333333333</v>
      </c>
      <c r="BA642" s="449">
        <f t="shared" si="557"/>
        <v>1692.3333333333333</v>
      </c>
      <c r="BB642" s="449">
        <f t="shared" si="557"/>
        <v>1692.3333333333333</v>
      </c>
      <c r="BC642" s="449">
        <f t="shared" si="557"/>
        <v>1692.3333333333333</v>
      </c>
      <c r="BD642" s="449">
        <f t="shared" si="557"/>
        <v>1692.3333333333333</v>
      </c>
      <c r="BE642" s="449">
        <f t="shared" si="557"/>
        <v>1692.3333333333333</v>
      </c>
      <c r="BF642" s="449">
        <f t="shared" si="557"/>
        <v>1692.3333333333333</v>
      </c>
      <c r="BG642" s="449">
        <f t="shared" si="557"/>
        <v>1692.3333333333333</v>
      </c>
      <c r="BH642" s="400"/>
      <c r="BI642" s="449">
        <f t="shared" si="559"/>
        <v>1692.3333333333333</v>
      </c>
      <c r="BJ642" s="449">
        <f t="shared" si="559"/>
        <v>1692.3333333333333</v>
      </c>
      <c r="BK642" s="449">
        <f t="shared" si="559"/>
        <v>1692.3333333333333</v>
      </c>
      <c r="BL642" s="449">
        <f t="shared" si="559"/>
        <v>1692.3333333333333</v>
      </c>
      <c r="BM642" s="449">
        <f t="shared" si="559"/>
        <v>1692.3333333333333</v>
      </c>
      <c r="BN642" s="449">
        <f t="shared" si="559"/>
        <v>1692.3333333333333</v>
      </c>
      <c r="BO642" s="449">
        <f t="shared" si="559"/>
        <v>1692.3333333333333</v>
      </c>
      <c r="BP642" s="449">
        <f t="shared" si="559"/>
        <v>1692.3333333333333</v>
      </c>
      <c r="BQ642" s="449">
        <f t="shared" si="559"/>
        <v>1692.3333333333333</v>
      </c>
      <c r="BR642" s="449">
        <f t="shared" si="559"/>
        <v>1692.3333333333333</v>
      </c>
      <c r="BS642" s="449">
        <f t="shared" si="559"/>
        <v>1692.3333333333333</v>
      </c>
      <c r="BT642" s="449">
        <f t="shared" si="559"/>
        <v>1692.3333333333333</v>
      </c>
    </row>
    <row r="643" spans="1:72" ht="15" customHeight="1" x14ac:dyDescent="0.25">
      <c r="A643" s="502" t="s">
        <v>1049</v>
      </c>
      <c r="B643" s="502" t="s">
        <v>1050</v>
      </c>
      <c r="C643" s="538"/>
      <c r="D643" s="500">
        <f t="shared" si="543"/>
        <v>0</v>
      </c>
      <c r="E643" s="449">
        <v>0</v>
      </c>
      <c r="F643" s="449">
        <f t="shared" si="544"/>
        <v>0</v>
      </c>
      <c r="G643" s="421">
        <f t="shared" si="545"/>
        <v>0</v>
      </c>
      <c r="H643" s="449">
        <v>0</v>
      </c>
      <c r="I643" s="449">
        <f t="shared" si="546"/>
        <v>0</v>
      </c>
      <c r="J643" s="426">
        <f t="shared" si="547"/>
        <v>0</v>
      </c>
      <c r="K643" s="421"/>
      <c r="L643" s="449">
        <v>0</v>
      </c>
      <c r="M643" s="449">
        <v>0</v>
      </c>
      <c r="N643" s="449">
        <v>0</v>
      </c>
      <c r="O643" s="449">
        <v>0</v>
      </c>
      <c r="P643" s="449">
        <v>0</v>
      </c>
      <c r="Q643" s="449">
        <v>0</v>
      </c>
      <c r="R643" s="449">
        <f>($H643-SUM($L643:Q643))/R$694</f>
        <v>0</v>
      </c>
      <c r="S643" s="449">
        <f>($H643-SUM($L643:R643))/S$694</f>
        <v>0</v>
      </c>
      <c r="T643" s="449">
        <f>($H643-SUM($L643:S643))/T$694</f>
        <v>0</v>
      </c>
      <c r="U643" s="449">
        <f>($H643-SUM($L643:T643))/U$694</f>
        <v>0</v>
      </c>
      <c r="V643" s="449">
        <f>($H643-SUM($L643:U643))/V$694</f>
        <v>0</v>
      </c>
      <c r="W643" s="449">
        <f>($H643-SUM($L643:V643))/W$694</f>
        <v>0</v>
      </c>
      <c r="X643" s="449"/>
      <c r="Y643" s="449">
        <f t="shared" si="548"/>
        <v>0</v>
      </c>
      <c r="Z643" s="531"/>
      <c r="AA643" s="449">
        <f t="shared" si="549"/>
        <v>0</v>
      </c>
      <c r="AB643" s="449">
        <f t="shared" si="549"/>
        <v>0</v>
      </c>
      <c r="AC643" s="449">
        <f t="shared" si="549"/>
        <v>0</v>
      </c>
      <c r="AD643" s="449">
        <f t="shared" si="549"/>
        <v>0</v>
      </c>
      <c r="AE643" s="449">
        <f t="shared" si="549"/>
        <v>0</v>
      </c>
      <c r="AF643" s="449">
        <f t="shared" si="549"/>
        <v>0</v>
      </c>
      <c r="AG643" s="449">
        <f t="shared" si="549"/>
        <v>0</v>
      </c>
      <c r="AH643" s="449">
        <f t="shared" si="549"/>
        <v>0</v>
      </c>
      <c r="AI643" s="449">
        <f t="shared" si="549"/>
        <v>0</v>
      </c>
      <c r="AJ643" s="449">
        <f t="shared" si="549"/>
        <v>0</v>
      </c>
      <c r="AK643" s="449">
        <f t="shared" si="549"/>
        <v>0</v>
      </c>
      <c r="AL643" s="449">
        <f t="shared" si="549"/>
        <v>0</v>
      </c>
      <c r="AN643" s="500">
        <f t="shared" si="550"/>
        <v>0</v>
      </c>
      <c r="AO643" s="449">
        <f t="shared" si="551"/>
        <v>0</v>
      </c>
      <c r="AP643" s="449">
        <f t="shared" si="552"/>
        <v>0</v>
      </c>
      <c r="AQ643" s="453" t="str">
        <f t="shared" si="553"/>
        <v>-</v>
      </c>
      <c r="AR643" s="449">
        <f t="shared" si="554"/>
        <v>0</v>
      </c>
      <c r="AS643" s="449">
        <f t="shared" si="555"/>
        <v>0</v>
      </c>
      <c r="AT643" s="426">
        <f t="shared" si="556"/>
        <v>0</v>
      </c>
      <c r="AU643" s="421"/>
      <c r="AV643" s="449">
        <f t="shared" si="557"/>
        <v>0</v>
      </c>
      <c r="AW643" s="449">
        <f t="shared" si="557"/>
        <v>0</v>
      </c>
      <c r="AX643" s="449">
        <f t="shared" si="557"/>
        <v>0</v>
      </c>
      <c r="AY643" s="449">
        <f t="shared" si="557"/>
        <v>0</v>
      </c>
      <c r="AZ643" s="449">
        <f t="shared" si="557"/>
        <v>0</v>
      </c>
      <c r="BA643" s="449">
        <f t="shared" si="557"/>
        <v>0</v>
      </c>
      <c r="BB643" s="449">
        <f t="shared" si="557"/>
        <v>0</v>
      </c>
      <c r="BC643" s="449">
        <f t="shared" si="557"/>
        <v>0</v>
      </c>
      <c r="BD643" s="449">
        <f t="shared" si="557"/>
        <v>0</v>
      </c>
      <c r="BE643" s="449">
        <f t="shared" si="557"/>
        <v>0</v>
      </c>
      <c r="BF643" s="449">
        <f t="shared" si="557"/>
        <v>0</v>
      </c>
      <c r="BG643" s="449">
        <f t="shared" si="557"/>
        <v>0</v>
      </c>
      <c r="BH643" s="400"/>
      <c r="BI643" s="449">
        <f t="shared" ref="BI643:BT643" si="560">IFERROR((($H643/$H$5)*BI$5)/12,0)</f>
        <v>0</v>
      </c>
      <c r="BJ643" s="449">
        <f t="shared" si="560"/>
        <v>0</v>
      </c>
      <c r="BK643" s="449">
        <f t="shared" si="560"/>
        <v>0</v>
      </c>
      <c r="BL643" s="449">
        <f t="shared" si="560"/>
        <v>0</v>
      </c>
      <c r="BM643" s="449">
        <f t="shared" si="560"/>
        <v>0</v>
      </c>
      <c r="BN643" s="449">
        <f t="shared" si="560"/>
        <v>0</v>
      </c>
      <c r="BO643" s="449">
        <f t="shared" si="560"/>
        <v>0</v>
      </c>
      <c r="BP643" s="449">
        <f t="shared" si="560"/>
        <v>0</v>
      </c>
      <c r="BQ643" s="449">
        <f t="shared" si="560"/>
        <v>0</v>
      </c>
      <c r="BR643" s="449">
        <f t="shared" si="560"/>
        <v>0</v>
      </c>
      <c r="BS643" s="449">
        <f t="shared" si="560"/>
        <v>0</v>
      </c>
      <c r="BT643" s="449">
        <f t="shared" si="560"/>
        <v>0</v>
      </c>
    </row>
    <row r="644" spans="1:72" ht="15" customHeight="1" x14ac:dyDescent="0.25">
      <c r="A644" s="612" t="s">
        <v>1051</v>
      </c>
      <c r="B644" s="502" t="s">
        <v>1052</v>
      </c>
      <c r="C644" s="538"/>
      <c r="D644" s="500">
        <f t="shared" si="543"/>
        <v>1677350</v>
      </c>
      <c r="E644" s="449">
        <v>1677350</v>
      </c>
      <c r="F644" s="449">
        <f t="shared" si="544"/>
        <v>0</v>
      </c>
      <c r="G644" s="421">
        <f t="shared" si="545"/>
        <v>0</v>
      </c>
      <c r="H644" s="449">
        <v>1677350</v>
      </c>
      <c r="I644" s="449">
        <f t="shared" si="546"/>
        <v>0</v>
      </c>
      <c r="J644" s="426">
        <f t="shared" si="547"/>
        <v>0</v>
      </c>
      <c r="K644" s="421"/>
      <c r="L644" s="449">
        <v>0</v>
      </c>
      <c r="M644" s="449">
        <v>0</v>
      </c>
      <c r="N644" s="449">
        <v>0</v>
      </c>
      <c r="O644" s="449">
        <v>0</v>
      </c>
      <c r="P644" s="449">
        <v>0</v>
      </c>
      <c r="Q644" s="449">
        <v>840481</v>
      </c>
      <c r="R644" s="449">
        <f>($H644-SUM($L644:Q644))/R$694</f>
        <v>139478.16666666666</v>
      </c>
      <c r="S644" s="449">
        <f>($H644-SUM($L644:R644))/S$694</f>
        <v>139478.16666666669</v>
      </c>
      <c r="T644" s="449">
        <f>($H644-SUM($L644:S644))/T$694</f>
        <v>139478.16666666669</v>
      </c>
      <c r="U644" s="449">
        <f>($H644-SUM($L644:T644))/U$694</f>
        <v>139478.16666666666</v>
      </c>
      <c r="V644" s="449">
        <f>($H644-SUM($L644:U644))/V$694</f>
        <v>139478.16666666663</v>
      </c>
      <c r="W644" s="449">
        <f>($H644-SUM($L644:V644))/W$694</f>
        <v>139478.16666666651</v>
      </c>
      <c r="X644" s="449"/>
      <c r="Y644" s="449">
        <f t="shared" si="548"/>
        <v>1677350</v>
      </c>
      <c r="Z644" s="531"/>
      <c r="AA644" s="449">
        <f t="shared" si="549"/>
        <v>139779.16666666666</v>
      </c>
      <c r="AB644" s="449">
        <f t="shared" si="549"/>
        <v>139779.16666666666</v>
      </c>
      <c r="AC644" s="449">
        <f t="shared" si="549"/>
        <v>139779.16666666666</v>
      </c>
      <c r="AD644" s="449">
        <f t="shared" si="549"/>
        <v>139779.16666666666</v>
      </c>
      <c r="AE644" s="449">
        <f t="shared" si="549"/>
        <v>139779.16666666666</v>
      </c>
      <c r="AF644" s="449">
        <f t="shared" si="549"/>
        <v>139779.16666666666</v>
      </c>
      <c r="AG644" s="449">
        <f t="shared" si="549"/>
        <v>139779.16666666666</v>
      </c>
      <c r="AH644" s="449">
        <f t="shared" si="549"/>
        <v>139779.16666666666</v>
      </c>
      <c r="AI644" s="449">
        <f t="shared" si="549"/>
        <v>139779.16666666666</v>
      </c>
      <c r="AJ644" s="449">
        <f t="shared" si="549"/>
        <v>139779.16666666666</v>
      </c>
      <c r="AK644" s="449">
        <f t="shared" si="549"/>
        <v>139779.16666666666</v>
      </c>
      <c r="AL644" s="449">
        <f t="shared" si="549"/>
        <v>139779.16666666666</v>
      </c>
      <c r="AN644" s="500">
        <f t="shared" si="550"/>
        <v>1677350</v>
      </c>
      <c r="AO644" s="449">
        <f t="shared" si="551"/>
        <v>1763199.5</v>
      </c>
      <c r="AP644" s="449">
        <f t="shared" si="552"/>
        <v>85849.5</v>
      </c>
      <c r="AQ644" s="453">
        <f t="shared" si="553"/>
        <v>5.1181625778758164E-2</v>
      </c>
      <c r="AR644" s="449">
        <f t="shared" si="554"/>
        <v>1763199.5</v>
      </c>
      <c r="AS644" s="449">
        <f t="shared" si="555"/>
        <v>0</v>
      </c>
      <c r="AT644" s="426">
        <f t="shared" si="556"/>
        <v>0</v>
      </c>
      <c r="AU644" s="421"/>
      <c r="AV644" s="449">
        <f t="shared" si="557"/>
        <v>0</v>
      </c>
      <c r="AW644" s="449">
        <f t="shared" si="557"/>
        <v>0</v>
      </c>
      <c r="AX644" s="449">
        <f t="shared" si="557"/>
        <v>0</v>
      </c>
      <c r="AY644" s="449">
        <f t="shared" si="557"/>
        <v>0</v>
      </c>
      <c r="AZ644" s="449">
        <f t="shared" si="557"/>
        <v>0</v>
      </c>
      <c r="BA644" s="449">
        <f t="shared" si="557"/>
        <v>881599.75</v>
      </c>
      <c r="BB644" s="449">
        <f t="shared" si="557"/>
        <v>0</v>
      </c>
      <c r="BC644" s="449">
        <f t="shared" si="557"/>
        <v>0</v>
      </c>
      <c r="BD644" s="449">
        <f t="shared" si="557"/>
        <v>0</v>
      </c>
      <c r="BE644" s="449">
        <f t="shared" si="557"/>
        <v>0</v>
      </c>
      <c r="BF644" s="449">
        <f t="shared" si="557"/>
        <v>0</v>
      </c>
      <c r="BG644" s="449">
        <f t="shared" si="557"/>
        <v>881599.75</v>
      </c>
      <c r="BH644" s="400"/>
      <c r="BI644" s="449">
        <v>0</v>
      </c>
      <c r="BJ644" s="449">
        <v>0</v>
      </c>
      <c r="BK644" s="449">
        <v>0</v>
      </c>
      <c r="BL644" s="449">
        <v>0</v>
      </c>
      <c r="BM644" s="449">
        <v>0</v>
      </c>
      <c r="BN644" s="449">
        <f>1763199.5*0.5</f>
        <v>881599.75</v>
      </c>
      <c r="BO644" s="449">
        <v>0</v>
      </c>
      <c r="BP644" s="449">
        <v>0</v>
      </c>
      <c r="BQ644" s="449">
        <v>0</v>
      </c>
      <c r="BR644" s="449">
        <v>0</v>
      </c>
      <c r="BS644" s="449">
        <v>0</v>
      </c>
      <c r="BT644" s="449">
        <f>1763199.5*0.5</f>
        <v>881599.75</v>
      </c>
    </row>
    <row r="645" spans="1:72" ht="15" customHeight="1" x14ac:dyDescent="0.25">
      <c r="A645" s="502" t="s">
        <v>1053</v>
      </c>
      <c r="B645" s="502" t="s">
        <v>1052</v>
      </c>
      <c r="C645" s="538"/>
      <c r="D645" s="500">
        <f t="shared" si="543"/>
        <v>0</v>
      </c>
      <c r="E645" s="449">
        <v>0</v>
      </c>
      <c r="F645" s="449">
        <f t="shared" si="544"/>
        <v>0</v>
      </c>
      <c r="G645" s="421">
        <f t="shared" si="545"/>
        <v>0</v>
      </c>
      <c r="H645" s="449">
        <v>0</v>
      </c>
      <c r="I645" s="449">
        <f t="shared" si="546"/>
        <v>0</v>
      </c>
      <c r="J645" s="426">
        <f t="shared" si="547"/>
        <v>0</v>
      </c>
      <c r="K645" s="421"/>
      <c r="L645" s="449">
        <v>0</v>
      </c>
      <c r="M645" s="449">
        <v>0</v>
      </c>
      <c r="N645" s="449">
        <v>0</v>
      </c>
      <c r="O645" s="449">
        <v>0</v>
      </c>
      <c r="P645" s="449">
        <v>0</v>
      </c>
      <c r="Q645" s="449">
        <v>0</v>
      </c>
      <c r="R645" s="449">
        <f>($H645-SUM($L645:Q645))/R$694</f>
        <v>0</v>
      </c>
      <c r="S645" s="449">
        <f>($H645-SUM($L645:R645))/S$694</f>
        <v>0</v>
      </c>
      <c r="T645" s="449">
        <f>($H645-SUM($L645:S645))/T$694</f>
        <v>0</v>
      </c>
      <c r="U645" s="449">
        <f>($H645-SUM($L645:T645))/U$694</f>
        <v>0</v>
      </c>
      <c r="V645" s="449">
        <f>($H645-SUM($L645:U645))/V$694</f>
        <v>0</v>
      </c>
      <c r="W645" s="449">
        <f>($H645-SUM($L645:V645))/W$694</f>
        <v>0</v>
      </c>
      <c r="X645" s="449"/>
      <c r="Y645" s="449">
        <f t="shared" si="548"/>
        <v>0</v>
      </c>
      <c r="Z645" s="531"/>
      <c r="AA645" s="449">
        <f t="shared" si="549"/>
        <v>0</v>
      </c>
      <c r="AB645" s="449">
        <f t="shared" si="549"/>
        <v>0</v>
      </c>
      <c r="AC645" s="449">
        <f t="shared" si="549"/>
        <v>0</v>
      </c>
      <c r="AD645" s="449">
        <f t="shared" si="549"/>
        <v>0</v>
      </c>
      <c r="AE645" s="449">
        <f t="shared" si="549"/>
        <v>0</v>
      </c>
      <c r="AF645" s="449">
        <f t="shared" si="549"/>
        <v>0</v>
      </c>
      <c r="AG645" s="449">
        <f t="shared" si="549"/>
        <v>0</v>
      </c>
      <c r="AH645" s="449">
        <f t="shared" si="549"/>
        <v>0</v>
      </c>
      <c r="AI645" s="449">
        <f t="shared" si="549"/>
        <v>0</v>
      </c>
      <c r="AJ645" s="449">
        <f t="shared" si="549"/>
        <v>0</v>
      </c>
      <c r="AK645" s="449">
        <f t="shared" si="549"/>
        <v>0</v>
      </c>
      <c r="AL645" s="449">
        <f t="shared" si="549"/>
        <v>0</v>
      </c>
      <c r="AN645" s="500">
        <f t="shared" si="550"/>
        <v>0</v>
      </c>
      <c r="AO645" s="449">
        <f t="shared" si="551"/>
        <v>0</v>
      </c>
      <c r="AP645" s="449">
        <f t="shared" si="552"/>
        <v>0</v>
      </c>
      <c r="AQ645" s="553" t="str">
        <f t="shared" si="553"/>
        <v>-</v>
      </c>
      <c r="AR645" s="449">
        <f t="shared" si="554"/>
        <v>0</v>
      </c>
      <c r="AS645" s="449">
        <f t="shared" si="555"/>
        <v>0</v>
      </c>
      <c r="AT645" s="426">
        <f t="shared" si="556"/>
        <v>0</v>
      </c>
      <c r="AU645" s="421"/>
      <c r="AV645" s="449">
        <f t="shared" si="557"/>
        <v>0</v>
      </c>
      <c r="AW645" s="449">
        <f t="shared" si="557"/>
        <v>0</v>
      </c>
      <c r="AX645" s="449">
        <f t="shared" si="557"/>
        <v>0</v>
      </c>
      <c r="AY645" s="449">
        <f t="shared" si="557"/>
        <v>0</v>
      </c>
      <c r="AZ645" s="449">
        <f t="shared" si="557"/>
        <v>0</v>
      </c>
      <c r="BA645" s="449">
        <f t="shared" si="557"/>
        <v>0</v>
      </c>
      <c r="BB645" s="449">
        <f t="shared" si="557"/>
        <v>0</v>
      </c>
      <c r="BC645" s="449">
        <f t="shared" si="557"/>
        <v>0</v>
      </c>
      <c r="BD645" s="449">
        <f t="shared" si="557"/>
        <v>0</v>
      </c>
      <c r="BE645" s="449">
        <f t="shared" si="557"/>
        <v>0</v>
      </c>
      <c r="BF645" s="449">
        <f t="shared" si="557"/>
        <v>0</v>
      </c>
      <c r="BG645" s="449">
        <f t="shared" si="557"/>
        <v>0</v>
      </c>
      <c r="BH645" s="400"/>
      <c r="BI645" s="449">
        <f t="shared" ref="BI645:BT645" si="561">IFERROR((($H645/$H$5)*BI$5)/12,0)</f>
        <v>0</v>
      </c>
      <c r="BJ645" s="449">
        <f t="shared" si="561"/>
        <v>0</v>
      </c>
      <c r="BK645" s="449">
        <f t="shared" si="561"/>
        <v>0</v>
      </c>
      <c r="BL645" s="449">
        <f t="shared" si="561"/>
        <v>0</v>
      </c>
      <c r="BM645" s="449">
        <f t="shared" si="561"/>
        <v>0</v>
      </c>
      <c r="BN645" s="449">
        <f t="shared" si="561"/>
        <v>0</v>
      </c>
      <c r="BO645" s="449">
        <f t="shared" si="561"/>
        <v>0</v>
      </c>
      <c r="BP645" s="449">
        <f t="shared" si="561"/>
        <v>0</v>
      </c>
      <c r="BQ645" s="449">
        <f t="shared" si="561"/>
        <v>0</v>
      </c>
      <c r="BR645" s="449">
        <f t="shared" si="561"/>
        <v>0</v>
      </c>
      <c r="BS645" s="449">
        <f t="shared" si="561"/>
        <v>0</v>
      </c>
      <c r="BT645" s="449">
        <f t="shared" si="561"/>
        <v>0</v>
      </c>
    </row>
    <row r="646" spans="1:72" ht="15" customHeight="1" x14ac:dyDescent="0.25">
      <c r="A646" s="502" t="s">
        <v>1054</v>
      </c>
      <c r="B646" s="502" t="s">
        <v>1055</v>
      </c>
      <c r="C646" s="538"/>
      <c r="D646" s="500">
        <f t="shared" si="543"/>
        <v>9627</v>
      </c>
      <c r="E646" s="449">
        <v>3595.02</v>
      </c>
      <c r="F646" s="449">
        <f t="shared" si="544"/>
        <v>6031.98</v>
      </c>
      <c r="G646" s="421">
        <f t="shared" si="545"/>
        <v>1.6778710549593603</v>
      </c>
      <c r="H646" s="449">
        <v>7000</v>
      </c>
      <c r="I646" s="449">
        <f t="shared" si="546"/>
        <v>2627</v>
      </c>
      <c r="J646" s="426">
        <f t="shared" si="547"/>
        <v>0.37528571428571428</v>
      </c>
      <c r="K646" s="421"/>
      <c r="L646" s="449">
        <v>0</v>
      </c>
      <c r="M646" s="449">
        <v>0</v>
      </c>
      <c r="N646" s="449">
        <v>0</v>
      </c>
      <c r="O646" s="449">
        <v>9627</v>
      </c>
      <c r="P646" s="449">
        <v>0</v>
      </c>
      <c r="Q646" s="449">
        <v>0</v>
      </c>
      <c r="R646" s="449">
        <v>0</v>
      </c>
      <c r="S646" s="449">
        <v>0</v>
      </c>
      <c r="T646" s="449">
        <v>0</v>
      </c>
      <c r="U646" s="449">
        <v>0</v>
      </c>
      <c r="V646" s="449">
        <v>0</v>
      </c>
      <c r="W646" s="449">
        <v>0</v>
      </c>
      <c r="X646" s="449"/>
      <c r="Y646" s="449">
        <f t="shared" si="548"/>
        <v>9627</v>
      </c>
      <c r="Z646" s="531"/>
      <c r="AA646" s="449">
        <f t="shared" si="549"/>
        <v>583.33333333333337</v>
      </c>
      <c r="AB646" s="449">
        <f t="shared" si="549"/>
        <v>583.33333333333337</v>
      </c>
      <c r="AC646" s="449">
        <f t="shared" si="549"/>
        <v>583.33333333333337</v>
      </c>
      <c r="AD646" s="449">
        <f t="shared" si="549"/>
        <v>583.33333333333337</v>
      </c>
      <c r="AE646" s="449">
        <f t="shared" si="549"/>
        <v>583.33333333333337</v>
      </c>
      <c r="AF646" s="449">
        <f t="shared" si="549"/>
        <v>583.33333333333337</v>
      </c>
      <c r="AG646" s="449">
        <f t="shared" si="549"/>
        <v>583.33333333333337</v>
      </c>
      <c r="AH646" s="449">
        <f t="shared" si="549"/>
        <v>583.33333333333337</v>
      </c>
      <c r="AI646" s="449">
        <f t="shared" si="549"/>
        <v>583.33333333333337</v>
      </c>
      <c r="AJ646" s="449">
        <f t="shared" si="549"/>
        <v>583.33333333333337</v>
      </c>
      <c r="AK646" s="449">
        <f t="shared" si="549"/>
        <v>583.33333333333337</v>
      </c>
      <c r="AL646" s="449">
        <f t="shared" si="549"/>
        <v>583.33333333333337</v>
      </c>
      <c r="AN646" s="500">
        <f t="shared" si="550"/>
        <v>9627</v>
      </c>
      <c r="AO646" s="449">
        <f t="shared" si="551"/>
        <v>10585.833734939757</v>
      </c>
      <c r="AP646" s="449">
        <f t="shared" si="552"/>
        <v>958.83373493975705</v>
      </c>
      <c r="AQ646" s="453">
        <f t="shared" si="553"/>
        <v>9.9598393574296978E-2</v>
      </c>
      <c r="AR646" s="449">
        <f t="shared" si="554"/>
        <v>10585.833734939757</v>
      </c>
      <c r="AS646" s="449">
        <f t="shared" si="555"/>
        <v>0</v>
      </c>
      <c r="AT646" s="426">
        <f t="shared" si="556"/>
        <v>0</v>
      </c>
      <c r="AU646" s="421"/>
      <c r="AV646" s="449">
        <f t="shared" si="557"/>
        <v>882.15281124497994</v>
      </c>
      <c r="AW646" s="449">
        <f t="shared" si="557"/>
        <v>882.15281124497994</v>
      </c>
      <c r="AX646" s="449">
        <f t="shared" si="557"/>
        <v>882.15281124497994</v>
      </c>
      <c r="AY646" s="449">
        <f t="shared" si="557"/>
        <v>882.15281124497994</v>
      </c>
      <c r="AZ646" s="449">
        <f t="shared" si="557"/>
        <v>882.15281124497994</v>
      </c>
      <c r="BA646" s="449">
        <f t="shared" si="557"/>
        <v>882.15281124497994</v>
      </c>
      <c r="BB646" s="449">
        <f t="shared" si="557"/>
        <v>882.15281124497994</v>
      </c>
      <c r="BC646" s="449">
        <f t="shared" si="557"/>
        <v>882.15281124497994</v>
      </c>
      <c r="BD646" s="449">
        <f t="shared" si="557"/>
        <v>882.15281124497994</v>
      </c>
      <c r="BE646" s="449">
        <f t="shared" si="557"/>
        <v>882.15281124497994</v>
      </c>
      <c r="BF646" s="449">
        <f t="shared" si="557"/>
        <v>882.15281124497994</v>
      </c>
      <c r="BG646" s="449">
        <f t="shared" si="557"/>
        <v>882.15281124497994</v>
      </c>
      <c r="BH646" s="400"/>
      <c r="BI646" s="449">
        <f t="shared" ref="BI646:BT646" si="562">IFERROR((($D646/$H$5)*BI$5)/12,0)</f>
        <v>882.15281124497994</v>
      </c>
      <c r="BJ646" s="449">
        <f t="shared" si="562"/>
        <v>882.15281124497994</v>
      </c>
      <c r="BK646" s="449">
        <f t="shared" si="562"/>
        <v>882.15281124497994</v>
      </c>
      <c r="BL646" s="449">
        <f t="shared" si="562"/>
        <v>882.15281124497994</v>
      </c>
      <c r="BM646" s="449">
        <f t="shared" si="562"/>
        <v>882.15281124497994</v>
      </c>
      <c r="BN646" s="449">
        <f t="shared" si="562"/>
        <v>882.15281124497994</v>
      </c>
      <c r="BO646" s="449">
        <f t="shared" si="562"/>
        <v>882.15281124497994</v>
      </c>
      <c r="BP646" s="449">
        <f t="shared" si="562"/>
        <v>882.15281124497994</v>
      </c>
      <c r="BQ646" s="449">
        <f t="shared" si="562"/>
        <v>882.15281124497994</v>
      </c>
      <c r="BR646" s="449">
        <f t="shared" si="562"/>
        <v>882.15281124497994</v>
      </c>
      <c r="BS646" s="449">
        <f t="shared" si="562"/>
        <v>882.15281124497994</v>
      </c>
      <c r="BT646" s="449">
        <f t="shared" si="562"/>
        <v>882.15281124497994</v>
      </c>
    </row>
    <row r="647" spans="1:72" s="536" customFormat="1" ht="8.25" customHeight="1" x14ac:dyDescent="0.25">
      <c r="A647" s="502"/>
      <c r="B647" s="502"/>
      <c r="C647" s="538"/>
      <c r="D647" s="500"/>
      <c r="E647" s="449"/>
      <c r="F647" s="449"/>
      <c r="G647" s="421"/>
      <c r="H647" s="449"/>
      <c r="I647" s="449"/>
      <c r="J647" s="426"/>
      <c r="K647" s="421"/>
      <c r="L647" s="449"/>
      <c r="M647" s="449"/>
      <c r="N647" s="449"/>
      <c r="O647" s="449"/>
      <c r="P647" s="449"/>
      <c r="Q647" s="449"/>
      <c r="R647" s="449"/>
      <c r="S647" s="449"/>
      <c r="T647" s="449"/>
      <c r="U647" s="449"/>
      <c r="V647" s="449"/>
      <c r="W647" s="449"/>
      <c r="X647" s="449"/>
      <c r="Y647" s="449"/>
      <c r="Z647" s="531"/>
      <c r="AA647" s="449"/>
      <c r="AB647" s="449"/>
      <c r="AC647" s="449"/>
      <c r="AD647" s="449"/>
      <c r="AE647" s="449"/>
      <c r="AF647" s="449"/>
      <c r="AG647" s="449"/>
      <c r="AH647" s="449"/>
      <c r="AI647" s="449"/>
      <c r="AJ647" s="449"/>
      <c r="AK647" s="449"/>
      <c r="AL647" s="449"/>
      <c r="AN647" s="500"/>
      <c r="AO647" s="449"/>
      <c r="AP647" s="449"/>
      <c r="AQ647" s="453"/>
      <c r="AR647" s="449"/>
      <c r="AS647" s="449"/>
      <c r="AT647" s="426"/>
      <c r="AU647" s="421"/>
      <c r="AV647" s="449"/>
      <c r="AW647" s="449"/>
      <c r="AX647" s="449"/>
      <c r="AY647" s="449"/>
      <c r="AZ647" s="449"/>
      <c r="BA647" s="449"/>
      <c r="BB647" s="449"/>
      <c r="BC647" s="449"/>
      <c r="BD647" s="449"/>
      <c r="BE647" s="449"/>
      <c r="BF647" s="449"/>
      <c r="BG647" s="449"/>
      <c r="BH647" s="531"/>
      <c r="BI647" s="449"/>
      <c r="BJ647" s="449"/>
      <c r="BK647" s="449"/>
      <c r="BL647" s="449"/>
      <c r="BM647" s="449"/>
      <c r="BN647" s="449"/>
      <c r="BO647" s="449"/>
      <c r="BP647" s="449"/>
      <c r="BQ647" s="449"/>
      <c r="BR647" s="449"/>
      <c r="BS647" s="449"/>
      <c r="BT647" s="449"/>
    </row>
    <row r="648" spans="1:72" s="536" customFormat="1" ht="15" customHeight="1" thickBot="1" x14ac:dyDescent="0.3">
      <c r="A648" s="524"/>
      <c r="B648" s="524" t="s">
        <v>1056</v>
      </c>
      <c r="C648" s="535"/>
      <c r="D648" s="532">
        <f>SUM(D634:D647)</f>
        <v>2523274</v>
      </c>
      <c r="E648" s="533">
        <f>SUM(E634:E647)</f>
        <v>2150366.895</v>
      </c>
      <c r="F648" s="533">
        <f>IFERROR(D648-E648,0)</f>
        <v>372907.10499999998</v>
      </c>
      <c r="G648" s="520">
        <f>IFERROR(F648/ABS(E648),0)</f>
        <v>0.1734155719505717</v>
      </c>
      <c r="H648" s="533">
        <f>SUM(H634:H646)</f>
        <v>2520647</v>
      </c>
      <c r="I648" s="533">
        <f>IFERROR(D648-H648,0)</f>
        <v>2627</v>
      </c>
      <c r="J648" s="521">
        <f>IFERROR(I648/ABS(H648),0)</f>
        <v>1.0421927386103647E-3</v>
      </c>
      <c r="K648" s="507"/>
      <c r="L648" s="533">
        <f>SUM(L634:L647)</f>
        <v>0</v>
      </c>
      <c r="M648" s="533">
        <f t="shared" ref="M648:W648" si="563">SUM(M634:M647)</f>
        <v>366875.36</v>
      </c>
      <c r="N648" s="533">
        <f t="shared" si="563"/>
        <v>0</v>
      </c>
      <c r="O648" s="533">
        <f t="shared" si="563"/>
        <v>9627</v>
      </c>
      <c r="P648" s="533">
        <f t="shared" si="563"/>
        <v>0</v>
      </c>
      <c r="Q648" s="533">
        <f t="shared" si="563"/>
        <v>773856</v>
      </c>
      <c r="R648" s="533">
        <f t="shared" si="563"/>
        <v>228819.27333333332</v>
      </c>
      <c r="S648" s="533">
        <f t="shared" si="563"/>
        <v>228819.27333333337</v>
      </c>
      <c r="T648" s="533">
        <f t="shared" si="563"/>
        <v>228819.27333333335</v>
      </c>
      <c r="U648" s="533">
        <f t="shared" si="563"/>
        <v>228819.27333333332</v>
      </c>
      <c r="V648" s="533">
        <f t="shared" si="563"/>
        <v>228819.27333333329</v>
      </c>
      <c r="W648" s="533">
        <f t="shared" si="563"/>
        <v>228819.27333333323</v>
      </c>
      <c r="X648" s="533"/>
      <c r="Y648" s="533">
        <f>SUM(L648:W648)</f>
        <v>2523274.0000000005</v>
      </c>
      <c r="Z648" s="508"/>
      <c r="AA648" s="533">
        <f t="shared" ref="AA648:AL648" si="564">SUM(AA634:AA647)</f>
        <v>210053.91666666666</v>
      </c>
      <c r="AB648" s="533">
        <f t="shared" si="564"/>
        <v>210053.91666666666</v>
      </c>
      <c r="AC648" s="533">
        <f t="shared" si="564"/>
        <v>210053.91666666666</v>
      </c>
      <c r="AD648" s="533">
        <f t="shared" si="564"/>
        <v>210053.91666666666</v>
      </c>
      <c r="AE648" s="533">
        <f t="shared" si="564"/>
        <v>210053.91666666666</v>
      </c>
      <c r="AF648" s="533">
        <f t="shared" si="564"/>
        <v>210053.91666666666</v>
      </c>
      <c r="AG648" s="533">
        <f t="shared" si="564"/>
        <v>210053.91666666666</v>
      </c>
      <c r="AH648" s="533">
        <f t="shared" si="564"/>
        <v>210053.91666666666</v>
      </c>
      <c r="AI648" s="533">
        <f t="shared" si="564"/>
        <v>210053.91666666666</v>
      </c>
      <c r="AJ648" s="533">
        <f t="shared" si="564"/>
        <v>210053.91666666666</v>
      </c>
      <c r="AK648" s="533">
        <f t="shared" si="564"/>
        <v>210053.91666666666</v>
      </c>
      <c r="AL648" s="533">
        <f t="shared" si="564"/>
        <v>210053.91666666666</v>
      </c>
      <c r="AN648" s="532">
        <f>SUM(AN634:AN647)</f>
        <v>2523274</v>
      </c>
      <c r="AO648" s="533">
        <f>SUM(AO634:AO647)</f>
        <v>2243207.3337349398</v>
      </c>
      <c r="AP648" s="533">
        <f>IFERROR(AO648-AN648,0)</f>
        <v>-280066.66626506019</v>
      </c>
      <c r="AQ648" s="523">
        <f>IFERROR(AP648/ABS(AN648),"-")</f>
        <v>-0.11099336269666323</v>
      </c>
      <c r="AR648" s="533">
        <f>SUM(AR634:AR647)</f>
        <v>2243207.3337349398</v>
      </c>
      <c r="AS648" s="533">
        <f>IFERROR(AO648-AR648,0)</f>
        <v>0</v>
      </c>
      <c r="AT648" s="521">
        <f>IFERROR(AS648/ABS(AR648),0)</f>
        <v>0</v>
      </c>
      <c r="AU648" s="507"/>
      <c r="AV648" s="533">
        <f>SUM(AV634:AV647)</f>
        <v>40000.652811244981</v>
      </c>
      <c r="AW648" s="533">
        <f t="shared" ref="AW648:BG648" si="565">SUM(AW634:AW647)</f>
        <v>40000.652811244981</v>
      </c>
      <c r="AX648" s="533">
        <f t="shared" si="565"/>
        <v>40000.652811244981</v>
      </c>
      <c r="AY648" s="533">
        <f t="shared" si="565"/>
        <v>40000.652811244981</v>
      </c>
      <c r="AZ648" s="533">
        <f t="shared" si="565"/>
        <v>40000.652811244981</v>
      </c>
      <c r="BA648" s="533">
        <f t="shared" si="565"/>
        <v>921600.40281124495</v>
      </c>
      <c r="BB648" s="533">
        <f t="shared" si="565"/>
        <v>40000.652811244981</v>
      </c>
      <c r="BC648" s="533">
        <f t="shared" si="565"/>
        <v>40000.652811244981</v>
      </c>
      <c r="BD648" s="533">
        <f t="shared" si="565"/>
        <v>40000.652811244981</v>
      </c>
      <c r="BE648" s="533">
        <f t="shared" si="565"/>
        <v>40000.652811244981</v>
      </c>
      <c r="BF648" s="533">
        <f t="shared" si="565"/>
        <v>40000.652811244981</v>
      </c>
      <c r="BG648" s="533">
        <f t="shared" si="565"/>
        <v>921600.40281124495</v>
      </c>
      <c r="BH648" s="508"/>
      <c r="BI648" s="533">
        <f t="shared" ref="BI648:BT648" si="566">SUM(BI634:BI647)</f>
        <v>40000.652811244981</v>
      </c>
      <c r="BJ648" s="533">
        <f t="shared" si="566"/>
        <v>40000.652811244981</v>
      </c>
      <c r="BK648" s="533">
        <f t="shared" si="566"/>
        <v>40000.652811244981</v>
      </c>
      <c r="BL648" s="533">
        <f t="shared" si="566"/>
        <v>40000.652811244981</v>
      </c>
      <c r="BM648" s="533">
        <f t="shared" si="566"/>
        <v>40000.652811244981</v>
      </c>
      <c r="BN648" s="533">
        <f t="shared" si="566"/>
        <v>921600.40281124495</v>
      </c>
      <c r="BO648" s="533">
        <f t="shared" si="566"/>
        <v>40000.652811244981</v>
      </c>
      <c r="BP648" s="533">
        <f t="shared" si="566"/>
        <v>40000.652811244981</v>
      </c>
      <c r="BQ648" s="533">
        <f t="shared" si="566"/>
        <v>40000.652811244981</v>
      </c>
      <c r="BR648" s="533">
        <f t="shared" si="566"/>
        <v>40000.652811244981</v>
      </c>
      <c r="BS648" s="533">
        <f t="shared" si="566"/>
        <v>40000.652811244981</v>
      </c>
      <c r="BT648" s="533">
        <f t="shared" si="566"/>
        <v>921600.40281124495</v>
      </c>
    </row>
    <row r="649" spans="1:72" s="536" customFormat="1" ht="15" customHeight="1" thickTop="1" x14ac:dyDescent="0.25">
      <c r="A649" s="502"/>
      <c r="B649" s="502"/>
      <c r="C649" s="538"/>
      <c r="D649" s="500"/>
      <c r="E649" s="449"/>
      <c r="F649" s="449"/>
      <c r="G649" s="421"/>
      <c r="H649" s="449"/>
      <c r="I649" s="449"/>
      <c r="J649" s="426"/>
      <c r="K649" s="421"/>
      <c r="L649" s="449"/>
      <c r="M649" s="449"/>
      <c r="N649" s="449"/>
      <c r="O649" s="449"/>
      <c r="P649" s="449"/>
      <c r="Q649" s="449"/>
      <c r="R649" s="449"/>
      <c r="S649" s="449"/>
      <c r="T649" s="449"/>
      <c r="U649" s="449"/>
      <c r="V649" s="449"/>
      <c r="W649" s="449"/>
      <c r="X649" s="449"/>
      <c r="Y649" s="449"/>
      <c r="Z649" s="531"/>
      <c r="AA649" s="449"/>
      <c r="AB649" s="449"/>
      <c r="AC649" s="449"/>
      <c r="AD649" s="449"/>
      <c r="AE649" s="449"/>
      <c r="AF649" s="449"/>
      <c r="AG649" s="449"/>
      <c r="AH649" s="449"/>
      <c r="AI649" s="449"/>
      <c r="AJ649" s="449"/>
      <c r="AK649" s="449"/>
      <c r="AL649" s="449"/>
      <c r="AN649" s="500"/>
      <c r="AO649" s="449"/>
      <c r="AP649" s="449"/>
      <c r="AQ649" s="453"/>
      <c r="AR649" s="449"/>
      <c r="AS649" s="449"/>
      <c r="AT649" s="426"/>
      <c r="AU649" s="421"/>
      <c r="AV649" s="449"/>
      <c r="AW649" s="449"/>
      <c r="AX649" s="449"/>
      <c r="AY649" s="449"/>
      <c r="AZ649" s="449"/>
      <c r="BA649" s="449"/>
      <c r="BB649" s="449"/>
      <c r="BC649" s="449"/>
      <c r="BD649" s="449"/>
      <c r="BE649" s="449"/>
      <c r="BF649" s="449"/>
      <c r="BG649" s="449"/>
      <c r="BH649" s="531"/>
      <c r="BI649" s="449"/>
      <c r="BJ649" s="449"/>
      <c r="BK649" s="449"/>
      <c r="BL649" s="449"/>
      <c r="BM649" s="449"/>
      <c r="BN649" s="449"/>
      <c r="BO649" s="449"/>
      <c r="BP649" s="449"/>
      <c r="BQ649" s="449"/>
      <c r="BR649" s="449"/>
      <c r="BS649" s="449"/>
      <c r="BT649" s="449"/>
    </row>
    <row r="650" spans="1:72" s="536" customFormat="1" ht="15" customHeight="1" x14ac:dyDescent="0.25">
      <c r="A650" s="524" t="s">
        <v>1057</v>
      </c>
      <c r="B650" s="502"/>
      <c r="C650" s="538"/>
      <c r="D650" s="550">
        <f>+D630-D648</f>
        <v>-1184284.54</v>
      </c>
      <c r="E650" s="551">
        <f>+E630-E648</f>
        <v>-714781.26500000013</v>
      </c>
      <c r="F650" s="551">
        <f>IFERROR(D650-E650,0)</f>
        <v>-469503.27499999991</v>
      </c>
      <c r="G650" s="507">
        <f>IFERROR(F650/ABS(E650),0)</f>
        <v>-0.65684888229408167</v>
      </c>
      <c r="H650" s="551">
        <f>+H630-H648</f>
        <v>-1189549</v>
      </c>
      <c r="I650" s="551">
        <f>IFERROR(D650-H650,0)</f>
        <v>5264.4599999999627</v>
      </c>
      <c r="J650" s="529">
        <f>IFERROR(I650/ABS(H650),0)</f>
        <v>4.4255932290304667E-3</v>
      </c>
      <c r="K650" s="507"/>
      <c r="L650" s="551">
        <f t="shared" ref="L650:W650" si="567">+L630-L648</f>
        <v>83192.049999999988</v>
      </c>
      <c r="M650" s="551">
        <f t="shared" si="567"/>
        <v>-286256.55</v>
      </c>
      <c r="N650" s="551">
        <f t="shared" si="567"/>
        <v>79720.040000000008</v>
      </c>
      <c r="O650" s="551">
        <f t="shared" si="567"/>
        <v>75772.829999999987</v>
      </c>
      <c r="P650" s="551">
        <f t="shared" si="567"/>
        <v>79613.050000000047</v>
      </c>
      <c r="Q650" s="551">
        <f t="shared" si="567"/>
        <v>-629237.00000000012</v>
      </c>
      <c r="R650" s="551">
        <f t="shared" si="567"/>
        <v>-97848.159999999974</v>
      </c>
      <c r="S650" s="551">
        <f t="shared" si="567"/>
        <v>-97848.160000000047</v>
      </c>
      <c r="T650" s="551">
        <f t="shared" si="567"/>
        <v>-97848.16</v>
      </c>
      <c r="U650" s="551">
        <f t="shared" si="567"/>
        <v>-97848.15999999996</v>
      </c>
      <c r="V650" s="551">
        <f t="shared" si="567"/>
        <v>-97848.159999999887</v>
      </c>
      <c r="W650" s="551">
        <f t="shared" si="567"/>
        <v>-97848.159999999945</v>
      </c>
      <c r="X650" s="551"/>
      <c r="Y650" s="551">
        <f>SUM(L650:W650)</f>
        <v>-1184284.5399999998</v>
      </c>
      <c r="Z650" s="508"/>
      <c r="AA650" s="551">
        <f t="shared" ref="AA650:AL650" si="568">+AA630-AA648</f>
        <v>-99129.083333333314</v>
      </c>
      <c r="AB650" s="551">
        <f t="shared" si="568"/>
        <v>-99129.083333333314</v>
      </c>
      <c r="AC650" s="551">
        <f t="shared" si="568"/>
        <v>-99129.083333333314</v>
      </c>
      <c r="AD650" s="551">
        <f t="shared" si="568"/>
        <v>-99129.083333333314</v>
      </c>
      <c r="AE650" s="551">
        <f t="shared" si="568"/>
        <v>-99129.083333333314</v>
      </c>
      <c r="AF650" s="551">
        <f t="shared" si="568"/>
        <v>-99129.083333333314</v>
      </c>
      <c r="AG650" s="551">
        <f t="shared" si="568"/>
        <v>-99129.083333333314</v>
      </c>
      <c r="AH650" s="551">
        <f t="shared" si="568"/>
        <v>-99129.083333333314</v>
      </c>
      <c r="AI650" s="551">
        <f t="shared" si="568"/>
        <v>-99129.083333333314</v>
      </c>
      <c r="AJ650" s="551">
        <f t="shared" si="568"/>
        <v>-99129.083333333314</v>
      </c>
      <c r="AK650" s="551">
        <f t="shared" si="568"/>
        <v>-99129.083333333314</v>
      </c>
      <c r="AL650" s="551">
        <f t="shared" si="568"/>
        <v>-99129.083333333314</v>
      </c>
      <c r="AN650" s="550">
        <f>+AN630-AN648</f>
        <v>-1184284.54</v>
      </c>
      <c r="AO650" s="551">
        <f>+AO630-AO648</f>
        <v>-452116.37373493961</v>
      </c>
      <c r="AP650" s="551">
        <f>IFERROR(AO650-AN650,0)</f>
        <v>732168.16626506043</v>
      </c>
      <c r="AQ650" s="499">
        <f>IFERROR(AP650/ABS(AN650),"-")</f>
        <v>0.61823670033306388</v>
      </c>
      <c r="AR650" s="551">
        <f>+AR630-AR648</f>
        <v>-452116.37373493961</v>
      </c>
      <c r="AS650" s="551">
        <f>IFERROR(AO650-AR650,0)</f>
        <v>0</v>
      </c>
      <c r="AT650" s="529">
        <f>IFERROR(AS650/ABS(AR650),0)</f>
        <v>0</v>
      </c>
      <c r="AU650" s="507"/>
      <c r="AV650" s="551">
        <f t="shared" ref="AV650:BG650" si="569">+AV630-AV648</f>
        <v>109256.92718875501</v>
      </c>
      <c r="AW650" s="551">
        <f t="shared" si="569"/>
        <v>109256.92718875501</v>
      </c>
      <c r="AX650" s="551">
        <f t="shared" si="569"/>
        <v>109256.92718875501</v>
      </c>
      <c r="AY650" s="551">
        <f t="shared" si="569"/>
        <v>109256.92718875501</v>
      </c>
      <c r="AZ650" s="551">
        <f t="shared" si="569"/>
        <v>109256.92718875501</v>
      </c>
      <c r="BA650" s="551">
        <f t="shared" si="569"/>
        <v>-772342.82281124499</v>
      </c>
      <c r="BB650" s="551">
        <f t="shared" si="569"/>
        <v>109256.92718875501</v>
      </c>
      <c r="BC650" s="551">
        <f t="shared" si="569"/>
        <v>109256.92718875501</v>
      </c>
      <c r="BD650" s="551">
        <f t="shared" si="569"/>
        <v>109256.92718875501</v>
      </c>
      <c r="BE650" s="551">
        <f t="shared" si="569"/>
        <v>109256.92718875501</v>
      </c>
      <c r="BF650" s="551">
        <f t="shared" si="569"/>
        <v>109256.92718875501</v>
      </c>
      <c r="BG650" s="551">
        <f t="shared" si="569"/>
        <v>-772342.82281124499</v>
      </c>
      <c r="BH650" s="508"/>
      <c r="BI650" s="551">
        <f t="shared" ref="BI650:BT650" si="570">+BI630-BI648</f>
        <v>109256.92718875501</v>
      </c>
      <c r="BJ650" s="551">
        <f t="shared" si="570"/>
        <v>109256.92718875501</v>
      </c>
      <c r="BK650" s="551">
        <f t="shared" si="570"/>
        <v>109256.92718875501</v>
      </c>
      <c r="BL650" s="551">
        <f t="shared" si="570"/>
        <v>109256.92718875501</v>
      </c>
      <c r="BM650" s="551">
        <f t="shared" si="570"/>
        <v>109256.92718875501</v>
      </c>
      <c r="BN650" s="551">
        <f t="shared" si="570"/>
        <v>-772342.82281124499</v>
      </c>
      <c r="BO650" s="551">
        <f t="shared" si="570"/>
        <v>109256.92718875501</v>
      </c>
      <c r="BP650" s="551">
        <f t="shared" si="570"/>
        <v>109256.92718875501</v>
      </c>
      <c r="BQ650" s="551">
        <f t="shared" si="570"/>
        <v>109256.92718875501</v>
      </c>
      <c r="BR650" s="551">
        <f t="shared" si="570"/>
        <v>109256.92718875501</v>
      </c>
      <c r="BS650" s="551">
        <f t="shared" si="570"/>
        <v>109256.92718875501</v>
      </c>
      <c r="BT650" s="551">
        <f t="shared" si="570"/>
        <v>-772342.82281124499</v>
      </c>
    </row>
    <row r="651" spans="1:72" s="536" customFormat="1" ht="9" hidden="1" customHeight="1" x14ac:dyDescent="0.25">
      <c r="A651" s="502"/>
      <c r="B651" s="502"/>
      <c r="C651" s="538"/>
      <c r="D651" s="500"/>
      <c r="E651" s="449"/>
      <c r="F651" s="449"/>
      <c r="G651" s="421"/>
      <c r="H651" s="449"/>
      <c r="I651" s="449"/>
      <c r="J651" s="426"/>
      <c r="K651" s="421"/>
      <c r="L651" s="449"/>
      <c r="M651" s="449"/>
      <c r="N651" s="449"/>
      <c r="O651" s="449"/>
      <c r="P651" s="449"/>
      <c r="Q651" s="449"/>
      <c r="R651" s="449"/>
      <c r="S651" s="449"/>
      <c r="T651" s="449"/>
      <c r="U651" s="449"/>
      <c r="V651" s="449"/>
      <c r="W651" s="449"/>
      <c r="X651" s="449"/>
      <c r="Y651" s="449"/>
      <c r="Z651" s="531"/>
      <c r="AA651" s="449"/>
      <c r="AB651" s="449"/>
      <c r="AC651" s="449"/>
      <c r="AD651" s="449"/>
      <c r="AE651" s="449"/>
      <c r="AF651" s="449"/>
      <c r="AG651" s="449"/>
      <c r="AH651" s="449"/>
      <c r="AI651" s="449"/>
      <c r="AJ651" s="449"/>
      <c r="AK651" s="449"/>
      <c r="AL651" s="449"/>
      <c r="AN651" s="500"/>
      <c r="AO651" s="449"/>
      <c r="AP651" s="449"/>
      <c r="AQ651" s="453"/>
      <c r="AR651" s="449"/>
      <c r="AS651" s="449"/>
      <c r="AT651" s="426"/>
      <c r="AU651" s="421"/>
      <c r="AV651" s="449"/>
      <c r="AW651" s="449"/>
      <c r="AX651" s="449"/>
      <c r="AY651" s="449"/>
      <c r="AZ651" s="449"/>
      <c r="BA651" s="449"/>
      <c r="BB651" s="449"/>
      <c r="BC651" s="449"/>
      <c r="BD651" s="449"/>
      <c r="BE651" s="449"/>
      <c r="BF651" s="449"/>
      <c r="BG651" s="449"/>
      <c r="BH651" s="531"/>
      <c r="BI651" s="449"/>
      <c r="BJ651" s="449"/>
      <c r="BK651" s="449"/>
      <c r="BL651" s="449"/>
      <c r="BM651" s="449"/>
      <c r="BN651" s="449"/>
      <c r="BO651" s="449"/>
      <c r="BP651" s="449"/>
      <c r="BQ651" s="449"/>
      <c r="BR651" s="449"/>
      <c r="BS651" s="449"/>
      <c r="BT651" s="449"/>
    </row>
    <row r="652" spans="1:72" s="536" customFormat="1" ht="15" hidden="1" customHeight="1" x14ac:dyDescent="0.25">
      <c r="A652" s="524" t="s">
        <v>1058</v>
      </c>
      <c r="B652" s="502"/>
      <c r="C652" s="538"/>
      <c r="D652" s="550"/>
      <c r="E652" s="551">
        <v>-1859211</v>
      </c>
      <c r="F652" s="551"/>
      <c r="G652" s="507"/>
      <c r="H652" s="551">
        <v>-1859211</v>
      </c>
      <c r="I652" s="551"/>
      <c r="J652" s="529"/>
      <c r="K652" s="507"/>
      <c r="L652" s="551"/>
      <c r="M652" s="551"/>
      <c r="N652" s="551"/>
      <c r="O652" s="551"/>
      <c r="P652" s="551"/>
      <c r="Q652" s="551"/>
      <c r="R652" s="551"/>
      <c r="S652" s="551"/>
      <c r="T652" s="551"/>
      <c r="U652" s="551"/>
      <c r="V652" s="551"/>
      <c r="W652" s="551"/>
      <c r="X652" s="551"/>
      <c r="Y652" s="551"/>
      <c r="Z652" s="508"/>
      <c r="AA652" s="551"/>
      <c r="AB652" s="551"/>
      <c r="AC652" s="551"/>
      <c r="AD652" s="551"/>
      <c r="AE652" s="551"/>
      <c r="AF652" s="551"/>
      <c r="AG652" s="551"/>
      <c r="AH652" s="551"/>
      <c r="AI652" s="551"/>
      <c r="AJ652" s="551"/>
      <c r="AK652" s="551"/>
      <c r="AL652" s="551"/>
      <c r="AN652" s="550"/>
      <c r="AO652" s="551"/>
      <c r="AP652" s="551"/>
      <c r="AQ652" s="499"/>
      <c r="AR652" s="528">
        <f>H654</f>
        <v>-3048760</v>
      </c>
      <c r="AS652" s="551"/>
      <c r="AT652" s="529"/>
      <c r="AU652" s="507"/>
      <c r="AV652" s="551"/>
      <c r="AW652" s="551"/>
      <c r="AX652" s="551"/>
      <c r="AY652" s="551"/>
      <c r="AZ652" s="551"/>
      <c r="BA652" s="551"/>
      <c r="BB652" s="551"/>
      <c r="BC652" s="551"/>
      <c r="BD652" s="551"/>
      <c r="BE652" s="551"/>
      <c r="BF652" s="551"/>
      <c r="BG652" s="551"/>
      <c r="BH652" s="508"/>
      <c r="BI652" s="551"/>
      <c r="BJ652" s="551"/>
      <c r="BK652" s="551"/>
      <c r="BL652" s="551"/>
      <c r="BM652" s="551"/>
      <c r="BN652" s="551"/>
      <c r="BO652" s="551"/>
      <c r="BP652" s="551"/>
      <c r="BQ652" s="551"/>
      <c r="BR652" s="551"/>
      <c r="BS652" s="551"/>
      <c r="BT652" s="551"/>
    </row>
    <row r="653" spans="1:72" s="536" customFormat="1" ht="7.5" hidden="1" customHeight="1" x14ac:dyDescent="0.25">
      <c r="A653" s="502"/>
      <c r="B653" s="502"/>
      <c r="C653" s="538"/>
      <c r="D653" s="500"/>
      <c r="E653" s="449"/>
      <c r="F653" s="449"/>
      <c r="G653" s="421"/>
      <c r="H653" s="449"/>
      <c r="I653" s="449"/>
      <c r="J653" s="426"/>
      <c r="K653" s="421"/>
      <c r="L653" s="449"/>
      <c r="M653" s="449"/>
      <c r="N653" s="449"/>
      <c r="O653" s="449"/>
      <c r="P653" s="449"/>
      <c r="Q653" s="449"/>
      <c r="R653" s="449"/>
      <c r="S653" s="449"/>
      <c r="T653" s="449"/>
      <c r="U653" s="449"/>
      <c r="V653" s="449"/>
      <c r="W653" s="449"/>
      <c r="X653" s="449"/>
      <c r="Y653" s="449"/>
      <c r="Z653" s="531"/>
      <c r="AA653" s="449"/>
      <c r="AB653" s="449"/>
      <c r="AC653" s="449"/>
      <c r="AD653" s="449"/>
      <c r="AE653" s="449"/>
      <c r="AF653" s="449"/>
      <c r="AG653" s="449"/>
      <c r="AH653" s="449"/>
      <c r="AI653" s="449"/>
      <c r="AJ653" s="449"/>
      <c r="AK653" s="449"/>
      <c r="AL653" s="449"/>
      <c r="AN653" s="500"/>
      <c r="AO653" s="449"/>
      <c r="AP653" s="449"/>
      <c r="AQ653" s="453"/>
      <c r="AR653" s="449"/>
      <c r="AS653" s="449"/>
      <c r="AT653" s="426"/>
      <c r="AU653" s="421"/>
      <c r="AV653" s="449"/>
      <c r="AW653" s="449"/>
      <c r="AX653" s="449"/>
      <c r="AY653" s="449"/>
      <c r="AZ653" s="449"/>
      <c r="BA653" s="449"/>
      <c r="BB653" s="449"/>
      <c r="BC653" s="449"/>
      <c r="BD653" s="449"/>
      <c r="BE653" s="449"/>
      <c r="BF653" s="449"/>
      <c r="BG653" s="449"/>
      <c r="BH653" s="531"/>
      <c r="BI653" s="449"/>
      <c r="BJ653" s="449"/>
      <c r="BK653" s="449"/>
      <c r="BL653" s="449"/>
      <c r="BM653" s="449"/>
      <c r="BN653" s="449"/>
      <c r="BO653" s="449"/>
      <c r="BP653" s="449"/>
      <c r="BQ653" s="449"/>
      <c r="BR653" s="449"/>
      <c r="BS653" s="449"/>
      <c r="BT653" s="449"/>
    </row>
    <row r="654" spans="1:72" s="536" customFormat="1" ht="15" hidden="1" customHeight="1" thickBot="1" x14ac:dyDescent="0.3">
      <c r="A654" s="524" t="s">
        <v>1059</v>
      </c>
      <c r="B654" s="502"/>
      <c r="C654" s="538"/>
      <c r="D654" s="550"/>
      <c r="E654" s="533">
        <f>E650+E652</f>
        <v>-2573992.2650000001</v>
      </c>
      <c r="F654" s="551"/>
      <c r="G654" s="507"/>
      <c r="H654" s="533">
        <f>+H650+H652</f>
        <v>-3048760</v>
      </c>
      <c r="I654" s="551"/>
      <c r="J654" s="529"/>
      <c r="K654" s="507"/>
      <c r="L654" s="551"/>
      <c r="M654" s="551"/>
      <c r="N654" s="551"/>
      <c r="O654" s="551"/>
      <c r="P654" s="551"/>
      <c r="Q654" s="551"/>
      <c r="R654" s="551"/>
      <c r="S654" s="551"/>
      <c r="T654" s="551"/>
      <c r="U654" s="551"/>
      <c r="V654" s="551"/>
      <c r="W654" s="551"/>
      <c r="X654" s="551"/>
      <c r="Y654" s="551"/>
      <c r="Z654" s="508"/>
      <c r="AA654" s="551"/>
      <c r="AB654" s="551"/>
      <c r="AC654" s="551"/>
      <c r="AD654" s="551"/>
      <c r="AE654" s="551"/>
      <c r="AF654" s="551"/>
      <c r="AG654" s="551"/>
      <c r="AH654" s="551"/>
      <c r="AI654" s="551"/>
      <c r="AJ654" s="551"/>
      <c r="AK654" s="551"/>
      <c r="AL654" s="551"/>
      <c r="AN654" s="550"/>
      <c r="AO654" s="551"/>
      <c r="AP654" s="551"/>
      <c r="AQ654" s="499"/>
      <c r="AR654" s="533">
        <f>+AR650+AR652</f>
        <v>-3500876.3737349398</v>
      </c>
      <c r="AS654" s="551"/>
      <c r="AT654" s="529"/>
      <c r="AU654" s="507"/>
      <c r="AV654" s="551"/>
      <c r="AW654" s="551"/>
      <c r="AX654" s="551"/>
      <c r="AY654" s="551"/>
      <c r="AZ654" s="551"/>
      <c r="BA654" s="551"/>
      <c r="BB654" s="551"/>
      <c r="BC654" s="551"/>
      <c r="BD654" s="551"/>
      <c r="BE654" s="551"/>
      <c r="BF654" s="551"/>
      <c r="BG654" s="551"/>
      <c r="BH654" s="508"/>
      <c r="BI654" s="551"/>
      <c r="BJ654" s="551"/>
      <c r="BK654" s="551"/>
      <c r="BL654" s="551"/>
      <c r="BM654" s="551"/>
      <c r="BN654" s="551"/>
      <c r="BO654" s="551"/>
      <c r="BP654" s="551"/>
      <c r="BQ654" s="551"/>
      <c r="BR654" s="551"/>
      <c r="BS654" s="551"/>
      <c r="BT654" s="551"/>
    </row>
    <row r="655" spans="1:72" s="536" customFormat="1" ht="15" hidden="1" customHeight="1" thickTop="1" x14ac:dyDescent="0.25">
      <c r="A655" s="502"/>
      <c r="B655" s="502"/>
      <c r="C655" s="538"/>
      <c r="D655" s="500"/>
      <c r="E655" s="449"/>
      <c r="F655" s="449"/>
      <c r="G655" s="421"/>
      <c r="H655" s="449"/>
      <c r="I655" s="449"/>
      <c r="J655" s="426"/>
      <c r="K655" s="421"/>
      <c r="L655" s="449"/>
      <c r="M655" s="449"/>
      <c r="N655" s="449"/>
      <c r="O655" s="449"/>
      <c r="P655" s="449"/>
      <c r="Q655" s="449"/>
      <c r="R655" s="449"/>
      <c r="S655" s="449"/>
      <c r="T655" s="449"/>
      <c r="U655" s="449"/>
      <c r="V655" s="449"/>
      <c r="W655" s="449"/>
      <c r="X655" s="449"/>
      <c r="Y655" s="449"/>
      <c r="Z655" s="531"/>
      <c r="AA655" s="449"/>
      <c r="AB655" s="449"/>
      <c r="AC655" s="449"/>
      <c r="AD655" s="449"/>
      <c r="AE655" s="449"/>
      <c r="AF655" s="449"/>
      <c r="AG655" s="449"/>
      <c r="AH655" s="449"/>
      <c r="AI655" s="449"/>
      <c r="AJ655" s="449"/>
      <c r="AK655" s="449"/>
      <c r="AL655" s="449"/>
      <c r="AN655" s="500"/>
      <c r="AO655" s="449"/>
      <c r="AP655" s="449"/>
      <c r="AQ655" s="453"/>
      <c r="AR655" s="449"/>
      <c r="AS655" s="449"/>
      <c r="AT655" s="426"/>
      <c r="AU655" s="421"/>
      <c r="AV655" s="449"/>
      <c r="AW655" s="449"/>
      <c r="AX655" s="449"/>
      <c r="AY655" s="449"/>
      <c r="AZ655" s="449"/>
      <c r="BA655" s="449"/>
      <c r="BB655" s="449"/>
      <c r="BC655" s="449"/>
      <c r="BD655" s="449"/>
      <c r="BE655" s="449"/>
      <c r="BF655" s="449"/>
      <c r="BG655" s="449"/>
      <c r="BH655" s="531"/>
      <c r="BI655" s="449"/>
      <c r="BJ655" s="449"/>
      <c r="BK655" s="449"/>
      <c r="BL655" s="449"/>
      <c r="BM655" s="449"/>
      <c r="BN655" s="449"/>
      <c r="BO655" s="449"/>
      <c r="BP655" s="449"/>
      <c r="BQ655" s="449"/>
      <c r="BR655" s="449"/>
      <c r="BS655" s="449"/>
      <c r="BT655" s="449"/>
    </row>
    <row r="656" spans="1:72" s="536" customFormat="1" ht="15" customHeight="1" x14ac:dyDescent="0.25">
      <c r="A656" s="502"/>
      <c r="B656" s="502"/>
      <c r="C656" s="538"/>
      <c r="D656" s="500"/>
      <c r="E656" s="449"/>
      <c r="F656" s="449"/>
      <c r="G656" s="421"/>
      <c r="H656" s="449"/>
      <c r="I656" s="449"/>
      <c r="J656" s="426"/>
      <c r="K656" s="421"/>
      <c r="L656" s="449"/>
      <c r="M656" s="449"/>
      <c r="N656" s="449"/>
      <c r="O656" s="449"/>
      <c r="P656" s="449"/>
      <c r="Q656" s="449"/>
      <c r="R656" s="449"/>
      <c r="S656" s="449"/>
      <c r="T656" s="449"/>
      <c r="U656" s="449"/>
      <c r="V656" s="449"/>
      <c r="W656" s="449"/>
      <c r="X656" s="449"/>
      <c r="Y656" s="449"/>
      <c r="Z656" s="531"/>
      <c r="AA656" s="449"/>
      <c r="AB656" s="449"/>
      <c r="AC656" s="449"/>
      <c r="AD656" s="449"/>
      <c r="AE656" s="449"/>
      <c r="AF656" s="449"/>
      <c r="AG656" s="449"/>
      <c r="AH656" s="449"/>
      <c r="AI656" s="449"/>
      <c r="AJ656" s="449"/>
      <c r="AK656" s="449"/>
      <c r="AL656" s="449"/>
      <c r="AN656" s="500"/>
      <c r="AO656" s="449"/>
      <c r="AP656" s="449"/>
      <c r="AQ656" s="453"/>
      <c r="AR656" s="449"/>
      <c r="AS656" s="449"/>
      <c r="AT656" s="426"/>
      <c r="AU656" s="421"/>
      <c r="AV656" s="449"/>
      <c r="AW656" s="449"/>
      <c r="AX656" s="449"/>
      <c r="AY656" s="449"/>
      <c r="AZ656" s="449"/>
      <c r="BA656" s="449"/>
      <c r="BB656" s="449"/>
      <c r="BC656" s="449"/>
      <c r="BD656" s="449"/>
      <c r="BE656" s="449"/>
      <c r="BF656" s="449"/>
      <c r="BG656" s="449"/>
      <c r="BH656" s="531"/>
      <c r="BI656" s="449"/>
      <c r="BJ656" s="449"/>
      <c r="BK656" s="449"/>
      <c r="BL656" s="449"/>
      <c r="BM656" s="449"/>
      <c r="BN656" s="449"/>
      <c r="BO656" s="449"/>
      <c r="BP656" s="449"/>
      <c r="BQ656" s="449"/>
      <c r="BR656" s="449"/>
      <c r="BS656" s="449"/>
      <c r="BT656" s="449"/>
    </row>
    <row r="657" spans="1:72" s="536" customFormat="1" ht="15" customHeight="1" x14ac:dyDescent="0.25">
      <c r="A657" s="502"/>
      <c r="B657" s="552" t="s">
        <v>1060</v>
      </c>
      <c r="C657" s="538"/>
      <c r="D657" s="500"/>
      <c r="E657" s="449"/>
      <c r="F657" s="449"/>
      <c r="G657" s="421"/>
      <c r="H657" s="449"/>
      <c r="I657" s="449"/>
      <c r="J657" s="426"/>
      <c r="K657" s="421"/>
      <c r="L657" s="449"/>
      <c r="M657" s="449"/>
      <c r="N657" s="449"/>
      <c r="O657" s="449"/>
      <c r="P657" s="449"/>
      <c r="Q657" s="449"/>
      <c r="R657" s="449"/>
      <c r="S657" s="449"/>
      <c r="T657" s="449"/>
      <c r="U657" s="449"/>
      <c r="V657" s="449"/>
      <c r="W657" s="449"/>
      <c r="X657" s="449"/>
      <c r="Y657" s="449"/>
      <c r="Z657" s="531"/>
      <c r="AA657" s="449"/>
      <c r="AB657" s="449"/>
      <c r="AC657" s="449"/>
      <c r="AD657" s="449"/>
      <c r="AE657" s="449"/>
      <c r="AF657" s="449"/>
      <c r="AG657" s="449"/>
      <c r="AH657" s="449"/>
      <c r="AI657" s="449"/>
      <c r="AJ657" s="449"/>
      <c r="AK657" s="449"/>
      <c r="AL657" s="449"/>
      <c r="AN657" s="500"/>
      <c r="AO657" s="449"/>
      <c r="AP657" s="449"/>
      <c r="AQ657" s="453"/>
      <c r="AR657" s="449"/>
      <c r="AS657" s="449"/>
      <c r="AT657" s="426"/>
      <c r="AU657" s="421"/>
      <c r="AV657" s="449"/>
      <c r="AW657" s="449"/>
      <c r="AX657" s="449"/>
      <c r="AY657" s="449"/>
      <c r="AZ657" s="449"/>
      <c r="BA657" s="449"/>
      <c r="BB657" s="449"/>
      <c r="BC657" s="449"/>
      <c r="BD657" s="449"/>
      <c r="BE657" s="449"/>
      <c r="BF657" s="449"/>
      <c r="BG657" s="449"/>
      <c r="BH657" s="531"/>
      <c r="BI657" s="449"/>
      <c r="BJ657" s="449"/>
      <c r="BK657" s="449"/>
      <c r="BL657" s="449"/>
      <c r="BM657" s="449"/>
      <c r="BN657" s="449"/>
      <c r="BO657" s="449"/>
      <c r="BP657" s="449"/>
      <c r="BQ657" s="449"/>
      <c r="BR657" s="449"/>
      <c r="BS657" s="449"/>
      <c r="BT657" s="449"/>
    </row>
    <row r="658" spans="1:72" s="536" customFormat="1" ht="15" customHeight="1" x14ac:dyDescent="0.25">
      <c r="A658" s="502"/>
      <c r="B658" s="502"/>
      <c r="C658" s="538"/>
      <c r="D658" s="500"/>
      <c r="E658" s="449"/>
      <c r="F658" s="449"/>
      <c r="G658" s="421"/>
      <c r="H658" s="449"/>
      <c r="I658" s="449"/>
      <c r="J658" s="426"/>
      <c r="K658" s="421"/>
      <c r="L658" s="449"/>
      <c r="M658" s="449"/>
      <c r="N658" s="449"/>
      <c r="O658" s="449"/>
      <c r="P658" s="449"/>
      <c r="Q658" s="449"/>
      <c r="R658" s="449"/>
      <c r="S658" s="449"/>
      <c r="T658" s="449"/>
      <c r="U658" s="449"/>
      <c r="V658" s="449"/>
      <c r="W658" s="449"/>
      <c r="X658" s="449"/>
      <c r="Y658" s="449"/>
      <c r="Z658" s="531"/>
      <c r="AA658" s="449"/>
      <c r="AB658" s="449"/>
      <c r="AC658" s="449"/>
      <c r="AD658" s="449"/>
      <c r="AE658" s="449"/>
      <c r="AF658" s="449"/>
      <c r="AG658" s="449"/>
      <c r="AH658" s="449"/>
      <c r="AI658" s="449"/>
      <c r="AJ658" s="449"/>
      <c r="AK658" s="449"/>
      <c r="AL658" s="449"/>
      <c r="AN658" s="500"/>
      <c r="AO658" s="449"/>
      <c r="AP658" s="449"/>
      <c r="AQ658" s="453"/>
      <c r="AR658" s="449"/>
      <c r="AS658" s="449"/>
      <c r="AT658" s="426"/>
      <c r="AU658" s="421"/>
      <c r="AV658" s="449"/>
      <c r="AW658" s="449"/>
      <c r="AX658" s="449"/>
      <c r="AY658" s="449"/>
      <c r="AZ658" s="449"/>
      <c r="BA658" s="449"/>
      <c r="BB658" s="449"/>
      <c r="BC658" s="449"/>
      <c r="BD658" s="449"/>
      <c r="BE658" s="449"/>
      <c r="BF658" s="449"/>
      <c r="BG658" s="449"/>
      <c r="BH658" s="531"/>
      <c r="BI658" s="449"/>
      <c r="BJ658" s="449"/>
      <c r="BK658" s="449"/>
      <c r="BL658" s="449"/>
      <c r="BM658" s="449"/>
      <c r="BN658" s="449"/>
      <c r="BO658" s="449"/>
      <c r="BP658" s="449"/>
      <c r="BQ658" s="449"/>
      <c r="BR658" s="449"/>
      <c r="BS658" s="449"/>
      <c r="BT658" s="449"/>
    </row>
    <row r="659" spans="1:72" s="536" customFormat="1" ht="15" customHeight="1" x14ac:dyDescent="0.25">
      <c r="A659" s="502"/>
      <c r="B659" s="524" t="s">
        <v>1061</v>
      </c>
      <c r="C659" s="538"/>
      <c r="D659" s="500"/>
      <c r="E659" s="449"/>
      <c r="F659" s="449"/>
      <c r="G659" s="421"/>
      <c r="H659" s="449"/>
      <c r="I659" s="449"/>
      <c r="J659" s="426"/>
      <c r="K659" s="421"/>
      <c r="L659" s="449"/>
      <c r="M659" s="449"/>
      <c r="N659" s="449"/>
      <c r="O659" s="449"/>
      <c r="P659" s="449"/>
      <c r="Q659" s="449"/>
      <c r="R659" s="449"/>
      <c r="S659" s="449"/>
      <c r="T659" s="449"/>
      <c r="U659" s="449"/>
      <c r="V659" s="449"/>
      <c r="W659" s="449"/>
      <c r="X659" s="449"/>
      <c r="Y659" s="449"/>
      <c r="Z659" s="531"/>
      <c r="AA659" s="449"/>
      <c r="AB659" s="449"/>
      <c r="AC659" s="449"/>
      <c r="AD659" s="449"/>
      <c r="AE659" s="449"/>
      <c r="AF659" s="449"/>
      <c r="AG659" s="449"/>
      <c r="AH659" s="449"/>
      <c r="AI659" s="449"/>
      <c r="AJ659" s="449"/>
      <c r="AK659" s="449"/>
      <c r="AL659" s="449"/>
      <c r="AN659" s="500"/>
      <c r="AO659" s="449"/>
      <c r="AP659" s="449"/>
      <c r="AQ659" s="453"/>
      <c r="AR659" s="449"/>
      <c r="AS659" s="449"/>
      <c r="AT659" s="426"/>
      <c r="AU659" s="421"/>
      <c r="AV659" s="449"/>
      <c r="AW659" s="449"/>
      <c r="AX659" s="449"/>
      <c r="AY659" s="449"/>
      <c r="AZ659" s="449"/>
      <c r="BA659" s="449"/>
      <c r="BB659" s="449"/>
      <c r="BC659" s="449"/>
      <c r="BD659" s="449"/>
      <c r="BE659" s="449"/>
      <c r="BF659" s="449"/>
      <c r="BG659" s="449"/>
      <c r="BH659" s="531"/>
      <c r="BI659" s="449"/>
      <c r="BJ659" s="449"/>
      <c r="BK659" s="449"/>
      <c r="BL659" s="449"/>
      <c r="BM659" s="449"/>
      <c r="BN659" s="449"/>
      <c r="BO659" s="449"/>
      <c r="BP659" s="449"/>
      <c r="BQ659" s="449"/>
      <c r="BR659" s="449"/>
      <c r="BS659" s="449"/>
      <c r="BT659" s="449"/>
    </row>
    <row r="660" spans="1:72" ht="15" customHeight="1" x14ac:dyDescent="0.25">
      <c r="A660" s="502" t="s">
        <v>1062</v>
      </c>
      <c r="B660" s="502" t="s">
        <v>1063</v>
      </c>
      <c r="C660" s="400"/>
      <c r="D660" s="500">
        <f t="shared" ref="D660:D666" si="571">SUM(L660:W660)</f>
        <v>16075</v>
      </c>
      <c r="E660" s="449">
        <v>16075</v>
      </c>
      <c r="F660" s="449">
        <f t="shared" ref="F660:F666" si="572">IFERROR(D660-E660,0)</f>
        <v>0</v>
      </c>
      <c r="G660" s="421">
        <f t="shared" ref="G660:G666" si="573">IFERROR(F660/ABS(E660),0)</f>
        <v>0</v>
      </c>
      <c r="H660" s="449">
        <v>16075</v>
      </c>
      <c r="I660" s="449">
        <f t="shared" ref="I660:I666" si="574">IFERROR(D660-H660,0)</f>
        <v>0</v>
      </c>
      <c r="J660" s="426">
        <f t="shared" ref="J660:J666" si="575">IFERROR(I660/ABS(H660),0)</f>
        <v>0</v>
      </c>
      <c r="K660" s="421"/>
      <c r="L660" s="449">
        <v>465.2</v>
      </c>
      <c r="M660" s="449">
        <v>0</v>
      </c>
      <c r="N660" s="449">
        <v>0</v>
      </c>
      <c r="O660" s="449">
        <v>0</v>
      </c>
      <c r="P660" s="449">
        <v>39.600000000000023</v>
      </c>
      <c r="Q660" s="449">
        <v>15.949999999999989</v>
      </c>
      <c r="R660" s="449">
        <f>($H660-SUM($L660:Q660))/R$694</f>
        <v>2592.375</v>
      </c>
      <c r="S660" s="449">
        <f>($H660-SUM($L660:R660))/S$694</f>
        <v>2592.375</v>
      </c>
      <c r="T660" s="449">
        <f>($H660-SUM($L660:S660))/T$694</f>
        <v>2592.375</v>
      </c>
      <c r="U660" s="449">
        <f>($H660-SUM($L660:T660))/U$694</f>
        <v>2592.375</v>
      </c>
      <c r="V660" s="449">
        <f>($H660-SUM($L660:U660))/V$694</f>
        <v>2592.375</v>
      </c>
      <c r="W660" s="449">
        <f>($H660-SUM($L660:V660))/W$694</f>
        <v>2592.375</v>
      </c>
      <c r="X660" s="449"/>
      <c r="Y660" s="449">
        <f t="shared" ref="Y660:Y666" si="576">SUM(L660:W660)</f>
        <v>16075</v>
      </c>
      <c r="Z660" s="501"/>
      <c r="AA660" s="449">
        <f t="shared" ref="AA660:AL666" si="577">IFERROR($H660/12,0)</f>
        <v>1339.5833333333333</v>
      </c>
      <c r="AB660" s="449">
        <f t="shared" si="577"/>
        <v>1339.5833333333333</v>
      </c>
      <c r="AC660" s="449">
        <f t="shared" si="577"/>
        <v>1339.5833333333333</v>
      </c>
      <c r="AD660" s="449">
        <f t="shared" si="577"/>
        <v>1339.5833333333333</v>
      </c>
      <c r="AE660" s="449">
        <f t="shared" si="577"/>
        <v>1339.5833333333333</v>
      </c>
      <c r="AF660" s="449">
        <f t="shared" si="577"/>
        <v>1339.5833333333333</v>
      </c>
      <c r="AG660" s="449">
        <f t="shared" si="577"/>
        <v>1339.5833333333333</v>
      </c>
      <c r="AH660" s="449">
        <f t="shared" si="577"/>
        <v>1339.5833333333333</v>
      </c>
      <c r="AI660" s="449">
        <f t="shared" si="577"/>
        <v>1339.5833333333333</v>
      </c>
      <c r="AJ660" s="449">
        <f t="shared" si="577"/>
        <v>1339.5833333333333</v>
      </c>
      <c r="AK660" s="449">
        <f t="shared" si="577"/>
        <v>1339.5833333333333</v>
      </c>
      <c r="AL660" s="449">
        <f t="shared" si="577"/>
        <v>1339.5833333333333</v>
      </c>
      <c r="AN660" s="500">
        <f t="shared" ref="AN660:AN666" si="578">SUM(L660:W660)</f>
        <v>16075</v>
      </c>
      <c r="AO660" s="449">
        <f t="shared" ref="AO660:AO666" si="579">SUM(BI660:BT660)</f>
        <v>17676.04417670683</v>
      </c>
      <c r="AP660" s="449">
        <f t="shared" ref="AP660:AP666" si="580">IFERROR(AO660-AN660,0)</f>
        <v>1601.0441767068296</v>
      </c>
      <c r="AQ660" s="453">
        <f t="shared" ref="AQ660:AQ666" si="581">IFERROR(AP660/ABS(AN660),"-")</f>
        <v>9.9598393574297325E-2</v>
      </c>
      <c r="AR660" s="449">
        <f t="shared" ref="AR660:AR666" si="582">SUM(BI660:BT660)</f>
        <v>17676.04417670683</v>
      </c>
      <c r="AS660" s="449">
        <f t="shared" ref="AS660:AS666" si="583">IFERROR(AO660-AR660,0)</f>
        <v>0</v>
      </c>
      <c r="AT660" s="426">
        <f t="shared" ref="AT660:AT666" si="584">IFERROR(AS660/ABS(AR660),0)</f>
        <v>0</v>
      </c>
      <c r="AU660" s="421"/>
      <c r="AV660" s="449">
        <f t="shared" ref="AV660:BG666" si="585">BI660</f>
        <v>1473.0036813922359</v>
      </c>
      <c r="AW660" s="449">
        <f t="shared" si="585"/>
        <v>1473.0036813922359</v>
      </c>
      <c r="AX660" s="449">
        <f t="shared" si="585"/>
        <v>1473.0036813922359</v>
      </c>
      <c r="AY660" s="449">
        <f t="shared" si="585"/>
        <v>1473.0036813922359</v>
      </c>
      <c r="AZ660" s="449">
        <f t="shared" si="585"/>
        <v>1473.0036813922359</v>
      </c>
      <c r="BA660" s="449">
        <f t="shared" si="585"/>
        <v>1473.0036813922359</v>
      </c>
      <c r="BB660" s="449">
        <f t="shared" si="585"/>
        <v>1473.0036813922359</v>
      </c>
      <c r="BC660" s="449">
        <f t="shared" si="585"/>
        <v>1473.0036813922359</v>
      </c>
      <c r="BD660" s="449">
        <f t="shared" si="585"/>
        <v>1473.0036813922359</v>
      </c>
      <c r="BE660" s="449">
        <f t="shared" si="585"/>
        <v>1473.0036813922359</v>
      </c>
      <c r="BF660" s="449">
        <f t="shared" si="585"/>
        <v>1473.0036813922359</v>
      </c>
      <c r="BG660" s="449">
        <f t="shared" si="585"/>
        <v>1473.0036813922359</v>
      </c>
      <c r="BH660" s="400"/>
      <c r="BI660" s="449">
        <f t="shared" ref="BI660:BT662" si="586">IFERROR((($H660/$H$5)*BI$5)/12,0)</f>
        <v>1473.0036813922359</v>
      </c>
      <c r="BJ660" s="449">
        <f t="shared" si="586"/>
        <v>1473.0036813922359</v>
      </c>
      <c r="BK660" s="449">
        <f t="shared" si="586"/>
        <v>1473.0036813922359</v>
      </c>
      <c r="BL660" s="449">
        <f t="shared" si="586"/>
        <v>1473.0036813922359</v>
      </c>
      <c r="BM660" s="449">
        <f t="shared" si="586"/>
        <v>1473.0036813922359</v>
      </c>
      <c r="BN660" s="449">
        <f t="shared" si="586"/>
        <v>1473.0036813922359</v>
      </c>
      <c r="BO660" s="449">
        <f t="shared" si="586"/>
        <v>1473.0036813922359</v>
      </c>
      <c r="BP660" s="449">
        <f t="shared" si="586"/>
        <v>1473.0036813922359</v>
      </c>
      <c r="BQ660" s="449">
        <f t="shared" si="586"/>
        <v>1473.0036813922359</v>
      </c>
      <c r="BR660" s="449">
        <f t="shared" si="586"/>
        <v>1473.0036813922359</v>
      </c>
      <c r="BS660" s="449">
        <f t="shared" si="586"/>
        <v>1473.0036813922359</v>
      </c>
      <c r="BT660" s="449">
        <f t="shared" si="586"/>
        <v>1473.0036813922359</v>
      </c>
    </row>
    <row r="661" spans="1:72" ht="15" customHeight="1" x14ac:dyDescent="0.25">
      <c r="A661" s="502" t="s">
        <v>1064</v>
      </c>
      <c r="B661" s="502" t="s">
        <v>1065</v>
      </c>
      <c r="C661" s="400"/>
      <c r="D661" s="500">
        <f t="shared" si="571"/>
        <v>48225</v>
      </c>
      <c r="E661" s="449">
        <v>48225</v>
      </c>
      <c r="F661" s="449">
        <f t="shared" si="572"/>
        <v>0</v>
      </c>
      <c r="G661" s="421">
        <f t="shared" si="573"/>
        <v>0</v>
      </c>
      <c r="H661" s="449">
        <v>48225</v>
      </c>
      <c r="I661" s="449">
        <f t="shared" si="574"/>
        <v>0</v>
      </c>
      <c r="J661" s="426">
        <f t="shared" si="575"/>
        <v>0</v>
      </c>
      <c r="K661" s="421"/>
      <c r="L661" s="449">
        <v>0</v>
      </c>
      <c r="M661" s="449">
        <v>0</v>
      </c>
      <c r="N661" s="449">
        <v>0</v>
      </c>
      <c r="O661" s="449">
        <v>8700</v>
      </c>
      <c r="P661" s="449">
        <v>1839</v>
      </c>
      <c r="Q661" s="449">
        <v>1654</v>
      </c>
      <c r="R661" s="449">
        <f>($H661-SUM($L661:Q661))/R$694</f>
        <v>6005.333333333333</v>
      </c>
      <c r="S661" s="449">
        <f>($H661-SUM($L661:R661))/S$694</f>
        <v>6005.3333333333339</v>
      </c>
      <c r="T661" s="449">
        <f>($H661-SUM($L661:S661))/T$694</f>
        <v>6005.3333333333339</v>
      </c>
      <c r="U661" s="449">
        <f>($H661-SUM($L661:T661))/U$694</f>
        <v>6005.333333333333</v>
      </c>
      <c r="V661" s="449">
        <f>($H661-SUM($L661:U661))/V$694</f>
        <v>6005.3333333333321</v>
      </c>
      <c r="W661" s="449">
        <f>($H661-SUM($L661:V661))/W$694</f>
        <v>6005.3333333333285</v>
      </c>
      <c r="X661" s="449"/>
      <c r="Y661" s="449">
        <f t="shared" si="576"/>
        <v>48225</v>
      </c>
      <c r="Z661" s="501"/>
      <c r="AA661" s="449">
        <f t="shared" si="577"/>
        <v>4018.75</v>
      </c>
      <c r="AB661" s="449">
        <f t="shared" si="577"/>
        <v>4018.75</v>
      </c>
      <c r="AC661" s="449">
        <f t="shared" si="577"/>
        <v>4018.75</v>
      </c>
      <c r="AD661" s="449">
        <f t="shared" si="577"/>
        <v>4018.75</v>
      </c>
      <c r="AE661" s="449">
        <f t="shared" si="577"/>
        <v>4018.75</v>
      </c>
      <c r="AF661" s="449">
        <f t="shared" si="577"/>
        <v>4018.75</v>
      </c>
      <c r="AG661" s="449">
        <f t="shared" si="577"/>
        <v>4018.75</v>
      </c>
      <c r="AH661" s="449">
        <f t="shared" si="577"/>
        <v>4018.75</v>
      </c>
      <c r="AI661" s="449">
        <f t="shared" si="577"/>
        <v>4018.75</v>
      </c>
      <c r="AJ661" s="449">
        <f t="shared" si="577"/>
        <v>4018.75</v>
      </c>
      <c r="AK661" s="449">
        <f t="shared" si="577"/>
        <v>4018.75</v>
      </c>
      <c r="AL661" s="449">
        <f t="shared" si="577"/>
        <v>4018.75</v>
      </c>
      <c r="AN661" s="500">
        <f t="shared" si="578"/>
        <v>48225</v>
      </c>
      <c r="AO661" s="449">
        <f t="shared" si="579"/>
        <v>53028.1325301205</v>
      </c>
      <c r="AP661" s="449">
        <f t="shared" si="580"/>
        <v>4803.1325301204997</v>
      </c>
      <c r="AQ661" s="453">
        <f t="shared" si="581"/>
        <v>9.9598393574297561E-2</v>
      </c>
      <c r="AR661" s="449">
        <f t="shared" si="582"/>
        <v>53028.1325301205</v>
      </c>
      <c r="AS661" s="449">
        <f t="shared" si="583"/>
        <v>0</v>
      </c>
      <c r="AT661" s="426">
        <f t="shared" si="584"/>
        <v>0</v>
      </c>
      <c r="AU661" s="421"/>
      <c r="AV661" s="449">
        <f t="shared" si="585"/>
        <v>4419.0110441767074</v>
      </c>
      <c r="AW661" s="449">
        <f t="shared" si="585"/>
        <v>4419.0110441767074</v>
      </c>
      <c r="AX661" s="449">
        <f t="shared" si="585"/>
        <v>4419.0110441767074</v>
      </c>
      <c r="AY661" s="449">
        <f t="shared" si="585"/>
        <v>4419.0110441767074</v>
      </c>
      <c r="AZ661" s="449">
        <f t="shared" si="585"/>
        <v>4419.0110441767074</v>
      </c>
      <c r="BA661" s="449">
        <f t="shared" si="585"/>
        <v>4419.0110441767074</v>
      </c>
      <c r="BB661" s="449">
        <f t="shared" si="585"/>
        <v>4419.0110441767074</v>
      </c>
      <c r="BC661" s="449">
        <f t="shared" si="585"/>
        <v>4419.0110441767074</v>
      </c>
      <c r="BD661" s="449">
        <f t="shared" si="585"/>
        <v>4419.0110441767074</v>
      </c>
      <c r="BE661" s="449">
        <f t="shared" si="585"/>
        <v>4419.0110441767074</v>
      </c>
      <c r="BF661" s="449">
        <f t="shared" si="585"/>
        <v>4419.0110441767074</v>
      </c>
      <c r="BG661" s="449">
        <f t="shared" si="585"/>
        <v>4419.0110441767074</v>
      </c>
      <c r="BH661" s="400"/>
      <c r="BI661" s="449">
        <f t="shared" si="586"/>
        <v>4419.0110441767074</v>
      </c>
      <c r="BJ661" s="449">
        <f t="shared" si="586"/>
        <v>4419.0110441767074</v>
      </c>
      <c r="BK661" s="449">
        <f t="shared" si="586"/>
        <v>4419.0110441767074</v>
      </c>
      <c r="BL661" s="449">
        <f t="shared" si="586"/>
        <v>4419.0110441767074</v>
      </c>
      <c r="BM661" s="449">
        <f t="shared" si="586"/>
        <v>4419.0110441767074</v>
      </c>
      <c r="BN661" s="449">
        <f t="shared" si="586"/>
        <v>4419.0110441767074</v>
      </c>
      <c r="BO661" s="449">
        <f t="shared" si="586"/>
        <v>4419.0110441767074</v>
      </c>
      <c r="BP661" s="449">
        <f t="shared" si="586"/>
        <v>4419.0110441767074</v>
      </c>
      <c r="BQ661" s="449">
        <f t="shared" si="586"/>
        <v>4419.0110441767074</v>
      </c>
      <c r="BR661" s="449">
        <f t="shared" si="586"/>
        <v>4419.0110441767074</v>
      </c>
      <c r="BS661" s="449">
        <f t="shared" si="586"/>
        <v>4419.0110441767074</v>
      </c>
      <c r="BT661" s="449">
        <f t="shared" si="586"/>
        <v>4419.0110441767074</v>
      </c>
    </row>
    <row r="662" spans="1:72" ht="15" customHeight="1" x14ac:dyDescent="0.25">
      <c r="A662" s="502" t="s">
        <v>1066</v>
      </c>
      <c r="B662" s="502" t="s">
        <v>1067</v>
      </c>
      <c r="C662" s="400"/>
      <c r="D662" s="500">
        <f t="shared" si="571"/>
        <v>102880</v>
      </c>
      <c r="E662" s="449">
        <v>102880</v>
      </c>
      <c r="F662" s="449">
        <f t="shared" si="572"/>
        <v>0</v>
      </c>
      <c r="G662" s="421">
        <f t="shared" si="573"/>
        <v>0</v>
      </c>
      <c r="H662" s="449">
        <v>102880</v>
      </c>
      <c r="I662" s="449">
        <f t="shared" si="574"/>
        <v>0</v>
      </c>
      <c r="J662" s="426">
        <f t="shared" si="575"/>
        <v>0</v>
      </c>
      <c r="K662" s="421"/>
      <c r="L662" s="449">
        <v>6.39</v>
      </c>
      <c r="M662" s="449">
        <v>0</v>
      </c>
      <c r="N662" s="449">
        <v>1247.9399999999998</v>
      </c>
      <c r="O662" s="449">
        <v>27448.239999999998</v>
      </c>
      <c r="P662" s="449">
        <v>890.88000000000102</v>
      </c>
      <c r="Q662" s="449">
        <v>695.52999999999884</v>
      </c>
      <c r="R662" s="449">
        <f>($H662-SUM($L662:Q662))/R$694</f>
        <v>12098.503333333334</v>
      </c>
      <c r="S662" s="449">
        <f>($H662-SUM($L662:R662))/S$694</f>
        <v>12098.503333333332</v>
      </c>
      <c r="T662" s="449">
        <f>($H662-SUM($L662:S662))/T$694</f>
        <v>12098.503333333332</v>
      </c>
      <c r="U662" s="449">
        <f>($H662-SUM($L662:T662))/U$694</f>
        <v>12098.503333333332</v>
      </c>
      <c r="V662" s="449">
        <f>($H662-SUM($L662:U662))/V$694</f>
        <v>12098.503333333334</v>
      </c>
      <c r="W662" s="449">
        <f>($H662-SUM($L662:V662))/W$694</f>
        <v>12098.503333333327</v>
      </c>
      <c r="X662" s="449"/>
      <c r="Y662" s="449">
        <f t="shared" si="576"/>
        <v>102880</v>
      </c>
      <c r="Z662" s="501"/>
      <c r="AA662" s="449">
        <f t="shared" si="577"/>
        <v>8573.3333333333339</v>
      </c>
      <c r="AB662" s="449">
        <f t="shared" si="577"/>
        <v>8573.3333333333339</v>
      </c>
      <c r="AC662" s="449">
        <f t="shared" si="577"/>
        <v>8573.3333333333339</v>
      </c>
      <c r="AD662" s="449">
        <f t="shared" si="577"/>
        <v>8573.3333333333339</v>
      </c>
      <c r="AE662" s="449">
        <f t="shared" si="577"/>
        <v>8573.3333333333339</v>
      </c>
      <c r="AF662" s="449">
        <f t="shared" si="577"/>
        <v>8573.3333333333339</v>
      </c>
      <c r="AG662" s="449">
        <f t="shared" si="577"/>
        <v>8573.3333333333339</v>
      </c>
      <c r="AH662" s="449">
        <f t="shared" si="577"/>
        <v>8573.3333333333339</v>
      </c>
      <c r="AI662" s="449">
        <f t="shared" si="577"/>
        <v>8573.3333333333339</v>
      </c>
      <c r="AJ662" s="449">
        <f t="shared" si="577"/>
        <v>8573.3333333333339</v>
      </c>
      <c r="AK662" s="449">
        <f t="shared" si="577"/>
        <v>8573.3333333333339</v>
      </c>
      <c r="AL662" s="449">
        <f t="shared" si="577"/>
        <v>8573.3333333333339</v>
      </c>
      <c r="AN662" s="500">
        <f t="shared" si="578"/>
        <v>102880</v>
      </c>
      <c r="AO662" s="449">
        <f t="shared" si="579"/>
        <v>113126.6827309237</v>
      </c>
      <c r="AP662" s="449">
        <f t="shared" si="580"/>
        <v>10246.682730923698</v>
      </c>
      <c r="AQ662" s="453">
        <f t="shared" si="581"/>
        <v>9.9598393574297214E-2</v>
      </c>
      <c r="AR662" s="449">
        <f t="shared" si="582"/>
        <v>113126.6827309237</v>
      </c>
      <c r="AS662" s="449">
        <f t="shared" si="583"/>
        <v>0</v>
      </c>
      <c r="AT662" s="426">
        <f t="shared" si="584"/>
        <v>0</v>
      </c>
      <c r="AU662" s="421"/>
      <c r="AV662" s="449">
        <f t="shared" si="585"/>
        <v>9427.2235609103082</v>
      </c>
      <c r="AW662" s="449">
        <f t="shared" si="585"/>
        <v>9427.2235609103082</v>
      </c>
      <c r="AX662" s="449">
        <f t="shared" si="585"/>
        <v>9427.2235609103082</v>
      </c>
      <c r="AY662" s="449">
        <f t="shared" si="585"/>
        <v>9427.2235609103082</v>
      </c>
      <c r="AZ662" s="449">
        <f t="shared" si="585"/>
        <v>9427.2235609103082</v>
      </c>
      <c r="BA662" s="449">
        <f t="shared" si="585"/>
        <v>9427.2235609103082</v>
      </c>
      <c r="BB662" s="449">
        <f t="shared" si="585"/>
        <v>9427.2235609103082</v>
      </c>
      <c r="BC662" s="449">
        <f t="shared" si="585"/>
        <v>9427.2235609103082</v>
      </c>
      <c r="BD662" s="449">
        <f t="shared" si="585"/>
        <v>9427.2235609103082</v>
      </c>
      <c r="BE662" s="449">
        <f t="shared" si="585"/>
        <v>9427.2235609103082</v>
      </c>
      <c r="BF662" s="449">
        <f t="shared" si="585"/>
        <v>9427.2235609103082</v>
      </c>
      <c r="BG662" s="449">
        <f t="shared" si="585"/>
        <v>9427.2235609103082</v>
      </c>
      <c r="BH662" s="400"/>
      <c r="BI662" s="449">
        <f t="shared" si="586"/>
        <v>9427.2235609103082</v>
      </c>
      <c r="BJ662" s="449">
        <f t="shared" si="586"/>
        <v>9427.2235609103082</v>
      </c>
      <c r="BK662" s="449">
        <f t="shared" si="586"/>
        <v>9427.2235609103082</v>
      </c>
      <c r="BL662" s="449">
        <f t="shared" si="586"/>
        <v>9427.2235609103082</v>
      </c>
      <c r="BM662" s="449">
        <f t="shared" si="586"/>
        <v>9427.2235609103082</v>
      </c>
      <c r="BN662" s="449">
        <f t="shared" si="586"/>
        <v>9427.2235609103082</v>
      </c>
      <c r="BO662" s="449">
        <f t="shared" si="586"/>
        <v>9427.2235609103082</v>
      </c>
      <c r="BP662" s="449">
        <f t="shared" si="586"/>
        <v>9427.2235609103082</v>
      </c>
      <c r="BQ662" s="449">
        <f t="shared" si="586"/>
        <v>9427.2235609103082</v>
      </c>
      <c r="BR662" s="449">
        <f t="shared" si="586"/>
        <v>9427.2235609103082</v>
      </c>
      <c r="BS662" s="449">
        <f t="shared" si="586"/>
        <v>9427.2235609103082</v>
      </c>
      <c r="BT662" s="449">
        <f t="shared" si="586"/>
        <v>9427.2235609103082</v>
      </c>
    </row>
    <row r="663" spans="1:72" ht="15" x14ac:dyDescent="0.25">
      <c r="A663" s="502" t="s">
        <v>1068</v>
      </c>
      <c r="B663" s="502" t="s">
        <v>1069</v>
      </c>
      <c r="C663" s="400"/>
      <c r="D663" s="500">
        <f t="shared" si="571"/>
        <v>5000</v>
      </c>
      <c r="E663" s="449">
        <v>5000</v>
      </c>
      <c r="F663" s="449">
        <f t="shared" si="572"/>
        <v>0</v>
      </c>
      <c r="G663" s="421">
        <f t="shared" si="573"/>
        <v>0</v>
      </c>
      <c r="H663" s="449">
        <v>5000</v>
      </c>
      <c r="I663" s="449">
        <f t="shared" si="574"/>
        <v>0</v>
      </c>
      <c r="J663" s="426">
        <f t="shared" si="575"/>
        <v>0</v>
      </c>
      <c r="K663" s="421"/>
      <c r="L663" s="449">
        <v>0</v>
      </c>
      <c r="M663" s="449">
        <v>0</v>
      </c>
      <c r="N663" s="449">
        <v>0</v>
      </c>
      <c r="O663" s="449">
        <v>0</v>
      </c>
      <c r="P663" s="449">
        <v>0</v>
      </c>
      <c r="Q663" s="449">
        <v>100</v>
      </c>
      <c r="R663" s="449">
        <f>($H663-SUM($L663:Q663))/R$694</f>
        <v>816.66666666666663</v>
      </c>
      <c r="S663" s="449">
        <f>($H663-SUM($L663:R663))/S$694</f>
        <v>816.66666666666674</v>
      </c>
      <c r="T663" s="449">
        <f>($H663-SUM($L663:S663))/T$694</f>
        <v>816.66666666666663</v>
      </c>
      <c r="U663" s="449">
        <f>($H663-SUM($L663:T663))/U$694</f>
        <v>816.66666666666663</v>
      </c>
      <c r="V663" s="449">
        <f>($H663-SUM($L663:U663))/V$694</f>
        <v>816.66666666666674</v>
      </c>
      <c r="W663" s="449">
        <f>($H663-SUM($L663:V663))/W$694</f>
        <v>816.66666666666697</v>
      </c>
      <c r="X663" s="449"/>
      <c r="Y663" s="449">
        <f t="shared" si="576"/>
        <v>5000</v>
      </c>
      <c r="Z663" s="501"/>
      <c r="AA663" s="449">
        <f t="shared" si="577"/>
        <v>416.66666666666669</v>
      </c>
      <c r="AB663" s="449">
        <f t="shared" si="577"/>
        <v>416.66666666666669</v>
      </c>
      <c r="AC663" s="449">
        <f t="shared" si="577"/>
        <v>416.66666666666669</v>
      </c>
      <c r="AD663" s="449">
        <f t="shared" si="577"/>
        <v>416.66666666666669</v>
      </c>
      <c r="AE663" s="449">
        <f t="shared" si="577"/>
        <v>416.66666666666669</v>
      </c>
      <c r="AF663" s="449">
        <f t="shared" si="577"/>
        <v>416.66666666666669</v>
      </c>
      <c r="AG663" s="449">
        <f t="shared" si="577"/>
        <v>416.66666666666669</v>
      </c>
      <c r="AH663" s="449">
        <f t="shared" si="577"/>
        <v>416.66666666666669</v>
      </c>
      <c r="AI663" s="449">
        <f t="shared" si="577"/>
        <v>416.66666666666669</v>
      </c>
      <c r="AJ663" s="449">
        <f t="shared" si="577"/>
        <v>416.66666666666669</v>
      </c>
      <c r="AK663" s="449">
        <f t="shared" si="577"/>
        <v>416.66666666666669</v>
      </c>
      <c r="AL663" s="449">
        <f t="shared" si="577"/>
        <v>416.66666666666669</v>
      </c>
      <c r="AN663" s="500">
        <f t="shared" si="578"/>
        <v>5000</v>
      </c>
      <c r="AO663" s="449">
        <f t="shared" si="579"/>
        <v>5000</v>
      </c>
      <c r="AP663" s="449">
        <f t="shared" si="580"/>
        <v>0</v>
      </c>
      <c r="AQ663" s="453">
        <f t="shared" si="581"/>
        <v>0</v>
      </c>
      <c r="AR663" s="449">
        <f t="shared" si="582"/>
        <v>5000</v>
      </c>
      <c r="AS663" s="449">
        <f t="shared" si="583"/>
        <v>0</v>
      </c>
      <c r="AT663" s="426">
        <f t="shared" si="584"/>
        <v>0</v>
      </c>
      <c r="AU663" s="421"/>
      <c r="AV663" s="449">
        <f t="shared" si="585"/>
        <v>416.66666666666669</v>
      </c>
      <c r="AW663" s="449">
        <f t="shared" si="585"/>
        <v>416.66666666666669</v>
      </c>
      <c r="AX663" s="449">
        <f t="shared" si="585"/>
        <v>416.66666666666669</v>
      </c>
      <c r="AY663" s="449">
        <f t="shared" si="585"/>
        <v>416.66666666666669</v>
      </c>
      <c r="AZ663" s="449">
        <f t="shared" si="585"/>
        <v>416.66666666666669</v>
      </c>
      <c r="BA663" s="449">
        <f t="shared" si="585"/>
        <v>416.66666666666669</v>
      </c>
      <c r="BB663" s="449">
        <f t="shared" si="585"/>
        <v>416.66666666666669</v>
      </c>
      <c r="BC663" s="449">
        <f t="shared" si="585"/>
        <v>416.66666666666669</v>
      </c>
      <c r="BD663" s="449">
        <f t="shared" si="585"/>
        <v>416.66666666666669</v>
      </c>
      <c r="BE663" s="449">
        <f t="shared" si="585"/>
        <v>416.66666666666669</v>
      </c>
      <c r="BF663" s="449">
        <f t="shared" si="585"/>
        <v>416.66666666666669</v>
      </c>
      <c r="BG663" s="449">
        <f t="shared" si="585"/>
        <v>416.66666666666669</v>
      </c>
      <c r="BH663" s="400"/>
      <c r="BI663" s="449">
        <f t="shared" ref="BI663:BT663" si="587">IFERROR($H663/12,0)</f>
        <v>416.66666666666669</v>
      </c>
      <c r="BJ663" s="449">
        <f t="shared" si="587"/>
        <v>416.66666666666669</v>
      </c>
      <c r="BK663" s="449">
        <f t="shared" si="587"/>
        <v>416.66666666666669</v>
      </c>
      <c r="BL663" s="449">
        <f t="shared" si="587"/>
        <v>416.66666666666669</v>
      </c>
      <c r="BM663" s="449">
        <f t="shared" si="587"/>
        <v>416.66666666666669</v>
      </c>
      <c r="BN663" s="449">
        <f t="shared" si="587"/>
        <v>416.66666666666669</v>
      </c>
      <c r="BO663" s="449">
        <f t="shared" si="587"/>
        <v>416.66666666666669</v>
      </c>
      <c r="BP663" s="449">
        <f t="shared" si="587"/>
        <v>416.66666666666669</v>
      </c>
      <c r="BQ663" s="449">
        <f t="shared" si="587"/>
        <v>416.66666666666669</v>
      </c>
      <c r="BR663" s="449">
        <f t="shared" si="587"/>
        <v>416.66666666666669</v>
      </c>
      <c r="BS663" s="449">
        <f t="shared" si="587"/>
        <v>416.66666666666669</v>
      </c>
      <c r="BT663" s="449">
        <f t="shared" si="587"/>
        <v>416.66666666666669</v>
      </c>
    </row>
    <row r="664" spans="1:72" ht="15" x14ac:dyDescent="0.25">
      <c r="A664" s="502" t="s">
        <v>1070</v>
      </c>
      <c r="B664" s="502" t="s">
        <v>1071</v>
      </c>
      <c r="C664" s="400"/>
      <c r="D664" s="500">
        <f t="shared" si="571"/>
        <v>16075</v>
      </c>
      <c r="E664" s="449">
        <v>16075</v>
      </c>
      <c r="F664" s="449">
        <f t="shared" si="572"/>
        <v>0</v>
      </c>
      <c r="G664" s="421">
        <f t="shared" si="573"/>
        <v>0</v>
      </c>
      <c r="H664" s="449">
        <v>16075</v>
      </c>
      <c r="I664" s="449">
        <f t="shared" si="574"/>
        <v>0</v>
      </c>
      <c r="J664" s="426">
        <f t="shared" si="575"/>
        <v>0</v>
      </c>
      <c r="K664" s="421"/>
      <c r="L664" s="449">
        <v>0</v>
      </c>
      <c r="M664" s="449">
        <v>490</v>
      </c>
      <c r="N664" s="449">
        <v>90</v>
      </c>
      <c r="O664" s="449">
        <v>1596</v>
      </c>
      <c r="P664" s="449">
        <v>842</v>
      </c>
      <c r="Q664" s="449">
        <v>323.7199999999998</v>
      </c>
      <c r="R664" s="449">
        <f>($H664-SUM($L664:Q664))/R$694</f>
        <v>2122.2133333333336</v>
      </c>
      <c r="S664" s="449">
        <f>($H664-SUM($L664:R664))/S$694</f>
        <v>2122.2133333333331</v>
      </c>
      <c r="T664" s="449">
        <f>($H664-SUM($L664:S664))/T$694</f>
        <v>2122.2133333333331</v>
      </c>
      <c r="U664" s="449">
        <f>($H664-SUM($L664:T664))/U$694</f>
        <v>2122.2133333333331</v>
      </c>
      <c r="V664" s="449">
        <f>($H664-SUM($L664:U664))/V$694</f>
        <v>2122.2133333333331</v>
      </c>
      <c r="W664" s="449">
        <f>($H664-SUM($L664:V664))/W$694</f>
        <v>2122.2133333333331</v>
      </c>
      <c r="X664" s="449"/>
      <c r="Y664" s="449">
        <f t="shared" si="576"/>
        <v>16075</v>
      </c>
      <c r="Z664" s="501"/>
      <c r="AA664" s="449">
        <f t="shared" si="577"/>
        <v>1339.5833333333333</v>
      </c>
      <c r="AB664" s="449">
        <f t="shared" si="577"/>
        <v>1339.5833333333333</v>
      </c>
      <c r="AC664" s="449">
        <f t="shared" si="577"/>
        <v>1339.5833333333333</v>
      </c>
      <c r="AD664" s="449">
        <f t="shared" si="577"/>
        <v>1339.5833333333333</v>
      </c>
      <c r="AE664" s="449">
        <f t="shared" si="577"/>
        <v>1339.5833333333333</v>
      </c>
      <c r="AF664" s="449">
        <f t="shared" si="577"/>
        <v>1339.5833333333333</v>
      </c>
      <c r="AG664" s="449">
        <f t="shared" si="577"/>
        <v>1339.5833333333333</v>
      </c>
      <c r="AH664" s="449">
        <f t="shared" si="577"/>
        <v>1339.5833333333333</v>
      </c>
      <c r="AI664" s="449">
        <f t="shared" si="577"/>
        <v>1339.5833333333333</v>
      </c>
      <c r="AJ664" s="449">
        <f t="shared" si="577"/>
        <v>1339.5833333333333</v>
      </c>
      <c r="AK664" s="449">
        <f t="shared" si="577"/>
        <v>1339.5833333333333</v>
      </c>
      <c r="AL664" s="449">
        <f t="shared" si="577"/>
        <v>1339.5833333333333</v>
      </c>
      <c r="AN664" s="500">
        <f t="shared" si="578"/>
        <v>16075</v>
      </c>
      <c r="AO664" s="449">
        <f t="shared" si="579"/>
        <v>17676.04417670683</v>
      </c>
      <c r="AP664" s="449">
        <f t="shared" si="580"/>
        <v>1601.0441767068296</v>
      </c>
      <c r="AQ664" s="453">
        <f t="shared" si="581"/>
        <v>9.9598393574297325E-2</v>
      </c>
      <c r="AR664" s="449">
        <f t="shared" si="582"/>
        <v>17676.04417670683</v>
      </c>
      <c r="AS664" s="449">
        <f t="shared" si="583"/>
        <v>0</v>
      </c>
      <c r="AT664" s="426">
        <f t="shared" si="584"/>
        <v>0</v>
      </c>
      <c r="AU664" s="421"/>
      <c r="AV664" s="449">
        <f t="shared" si="585"/>
        <v>1473.0036813922359</v>
      </c>
      <c r="AW664" s="449">
        <f t="shared" si="585"/>
        <v>1473.0036813922359</v>
      </c>
      <c r="AX664" s="449">
        <f t="shared" si="585"/>
        <v>1473.0036813922359</v>
      </c>
      <c r="AY664" s="449">
        <f t="shared" si="585"/>
        <v>1473.0036813922359</v>
      </c>
      <c r="AZ664" s="449">
        <f t="shared" si="585"/>
        <v>1473.0036813922359</v>
      </c>
      <c r="BA664" s="449">
        <f t="shared" si="585"/>
        <v>1473.0036813922359</v>
      </c>
      <c r="BB664" s="449">
        <f t="shared" si="585"/>
        <v>1473.0036813922359</v>
      </c>
      <c r="BC664" s="449">
        <f t="shared" si="585"/>
        <v>1473.0036813922359</v>
      </c>
      <c r="BD664" s="449">
        <f t="shared" si="585"/>
        <v>1473.0036813922359</v>
      </c>
      <c r="BE664" s="449">
        <f t="shared" si="585"/>
        <v>1473.0036813922359</v>
      </c>
      <c r="BF664" s="449">
        <f t="shared" si="585"/>
        <v>1473.0036813922359</v>
      </c>
      <c r="BG664" s="449">
        <f t="shared" si="585"/>
        <v>1473.0036813922359</v>
      </c>
      <c r="BH664" s="400"/>
      <c r="BI664" s="449">
        <f t="shared" ref="BI664:BT665" si="588">IFERROR((($H664/$H$5)*BI$5)/12,0)</f>
        <v>1473.0036813922359</v>
      </c>
      <c r="BJ664" s="449">
        <f t="shared" si="588"/>
        <v>1473.0036813922359</v>
      </c>
      <c r="BK664" s="449">
        <f t="shared" si="588"/>
        <v>1473.0036813922359</v>
      </c>
      <c r="BL664" s="449">
        <f t="shared" si="588"/>
        <v>1473.0036813922359</v>
      </c>
      <c r="BM664" s="449">
        <f t="shared" si="588"/>
        <v>1473.0036813922359</v>
      </c>
      <c r="BN664" s="449">
        <f t="shared" si="588"/>
        <v>1473.0036813922359</v>
      </c>
      <c r="BO664" s="449">
        <f t="shared" si="588"/>
        <v>1473.0036813922359</v>
      </c>
      <c r="BP664" s="449">
        <f t="shared" si="588"/>
        <v>1473.0036813922359</v>
      </c>
      <c r="BQ664" s="449">
        <f t="shared" si="588"/>
        <v>1473.0036813922359</v>
      </c>
      <c r="BR664" s="449">
        <f t="shared" si="588"/>
        <v>1473.0036813922359</v>
      </c>
      <c r="BS664" s="449">
        <f t="shared" si="588"/>
        <v>1473.0036813922359</v>
      </c>
      <c r="BT664" s="449">
        <f t="shared" si="588"/>
        <v>1473.0036813922359</v>
      </c>
    </row>
    <row r="665" spans="1:72" ht="15" x14ac:dyDescent="0.25">
      <c r="A665" s="502" t="s">
        <v>1072</v>
      </c>
      <c r="B665" s="502" t="s">
        <v>1073</v>
      </c>
      <c r="C665" s="400"/>
      <c r="D665" s="500">
        <f t="shared" si="571"/>
        <v>1608</v>
      </c>
      <c r="E665" s="449">
        <v>1607.5</v>
      </c>
      <c r="F665" s="449">
        <f t="shared" si="572"/>
        <v>0.5</v>
      </c>
      <c r="G665" s="421">
        <f t="shared" si="573"/>
        <v>3.1104199066874026E-4</v>
      </c>
      <c r="H665" s="449">
        <v>1608</v>
      </c>
      <c r="I665" s="449">
        <f t="shared" si="574"/>
        <v>0</v>
      </c>
      <c r="J665" s="426">
        <f t="shared" si="575"/>
        <v>0</v>
      </c>
      <c r="K665" s="421"/>
      <c r="L665" s="449">
        <v>0</v>
      </c>
      <c r="M665" s="449">
        <v>0</v>
      </c>
      <c r="N665" s="449">
        <v>0</v>
      </c>
      <c r="O665" s="449">
        <v>625</v>
      </c>
      <c r="P665" s="449">
        <v>40</v>
      </c>
      <c r="Q665" s="449">
        <v>0</v>
      </c>
      <c r="R665" s="449">
        <f>($H665-SUM($L665:Q665))/R$694</f>
        <v>157.16666666666666</v>
      </c>
      <c r="S665" s="449">
        <f>($H665-SUM($L665:R665))/S$694</f>
        <v>157.16666666666669</v>
      </c>
      <c r="T665" s="449">
        <f>($H665-SUM($L665:S665))/T$694</f>
        <v>157.16666666666669</v>
      </c>
      <c r="U665" s="449">
        <f>($H665-SUM($L665:T665))/U$694</f>
        <v>157.16666666666666</v>
      </c>
      <c r="V665" s="449">
        <f>($H665-SUM($L665:U665))/V$694</f>
        <v>157.16666666666663</v>
      </c>
      <c r="W665" s="449">
        <f>($H665-SUM($L665:V665))/W$694</f>
        <v>157.16666666666652</v>
      </c>
      <c r="X665" s="449"/>
      <c r="Y665" s="449">
        <f t="shared" si="576"/>
        <v>1608</v>
      </c>
      <c r="Z665" s="501"/>
      <c r="AA665" s="449">
        <f t="shared" si="577"/>
        <v>134</v>
      </c>
      <c r="AB665" s="449">
        <f t="shared" si="577"/>
        <v>134</v>
      </c>
      <c r="AC665" s="449">
        <f t="shared" si="577"/>
        <v>134</v>
      </c>
      <c r="AD665" s="449">
        <f t="shared" si="577"/>
        <v>134</v>
      </c>
      <c r="AE665" s="449">
        <f t="shared" si="577"/>
        <v>134</v>
      </c>
      <c r="AF665" s="449">
        <f t="shared" si="577"/>
        <v>134</v>
      </c>
      <c r="AG665" s="449">
        <f t="shared" si="577"/>
        <v>134</v>
      </c>
      <c r="AH665" s="449">
        <f t="shared" si="577"/>
        <v>134</v>
      </c>
      <c r="AI665" s="449">
        <f t="shared" si="577"/>
        <v>134</v>
      </c>
      <c r="AJ665" s="449">
        <f t="shared" si="577"/>
        <v>134</v>
      </c>
      <c r="AK665" s="449">
        <f t="shared" si="577"/>
        <v>134</v>
      </c>
      <c r="AL665" s="449">
        <f t="shared" si="577"/>
        <v>134</v>
      </c>
      <c r="AN665" s="500">
        <f t="shared" si="578"/>
        <v>1608</v>
      </c>
      <c r="AO665" s="449">
        <f t="shared" si="579"/>
        <v>1768.1542168674698</v>
      </c>
      <c r="AP665" s="449">
        <f t="shared" si="580"/>
        <v>160.15421686746981</v>
      </c>
      <c r="AQ665" s="453">
        <f t="shared" si="581"/>
        <v>9.9598393574297145E-2</v>
      </c>
      <c r="AR665" s="449">
        <f t="shared" si="582"/>
        <v>1768.1542168674698</v>
      </c>
      <c r="AS665" s="449">
        <f t="shared" si="583"/>
        <v>0</v>
      </c>
      <c r="AT665" s="426">
        <f t="shared" si="584"/>
        <v>0</v>
      </c>
      <c r="AU665" s="421"/>
      <c r="AV665" s="449">
        <f t="shared" si="585"/>
        <v>147.34618473895583</v>
      </c>
      <c r="AW665" s="449">
        <f t="shared" si="585"/>
        <v>147.34618473895583</v>
      </c>
      <c r="AX665" s="449">
        <f t="shared" si="585"/>
        <v>147.34618473895583</v>
      </c>
      <c r="AY665" s="449">
        <f t="shared" si="585"/>
        <v>147.34618473895583</v>
      </c>
      <c r="AZ665" s="449">
        <f t="shared" si="585"/>
        <v>147.34618473895583</v>
      </c>
      <c r="BA665" s="449">
        <f t="shared" si="585"/>
        <v>147.34618473895583</v>
      </c>
      <c r="BB665" s="449">
        <f t="shared" si="585"/>
        <v>147.34618473895583</v>
      </c>
      <c r="BC665" s="449">
        <f t="shared" si="585"/>
        <v>147.34618473895583</v>
      </c>
      <c r="BD665" s="449">
        <f t="shared" si="585"/>
        <v>147.34618473895583</v>
      </c>
      <c r="BE665" s="449">
        <f t="shared" si="585"/>
        <v>147.34618473895583</v>
      </c>
      <c r="BF665" s="449">
        <f t="shared" si="585"/>
        <v>147.34618473895583</v>
      </c>
      <c r="BG665" s="449">
        <f t="shared" si="585"/>
        <v>147.34618473895583</v>
      </c>
      <c r="BH665" s="400"/>
      <c r="BI665" s="449">
        <f t="shared" si="588"/>
        <v>147.34618473895583</v>
      </c>
      <c r="BJ665" s="449">
        <f t="shared" si="588"/>
        <v>147.34618473895583</v>
      </c>
      <c r="BK665" s="449">
        <f t="shared" si="588"/>
        <v>147.34618473895583</v>
      </c>
      <c r="BL665" s="449">
        <f t="shared" si="588"/>
        <v>147.34618473895583</v>
      </c>
      <c r="BM665" s="449">
        <f t="shared" si="588"/>
        <v>147.34618473895583</v>
      </c>
      <c r="BN665" s="449">
        <f t="shared" si="588"/>
        <v>147.34618473895583</v>
      </c>
      <c r="BO665" s="449">
        <f t="shared" si="588"/>
        <v>147.34618473895583</v>
      </c>
      <c r="BP665" s="449">
        <f t="shared" si="588"/>
        <v>147.34618473895583</v>
      </c>
      <c r="BQ665" s="449">
        <f t="shared" si="588"/>
        <v>147.34618473895583</v>
      </c>
      <c r="BR665" s="449">
        <f t="shared" si="588"/>
        <v>147.34618473895583</v>
      </c>
      <c r="BS665" s="449">
        <f t="shared" si="588"/>
        <v>147.34618473895583</v>
      </c>
      <c r="BT665" s="449">
        <f t="shared" si="588"/>
        <v>147.34618473895583</v>
      </c>
    </row>
    <row r="666" spans="1:72" ht="15" x14ac:dyDescent="0.25">
      <c r="A666" s="502" t="s">
        <v>1074</v>
      </c>
      <c r="B666" s="502" t="s">
        <v>1075</v>
      </c>
      <c r="C666" s="400"/>
      <c r="D666" s="500">
        <f t="shared" si="571"/>
        <v>10076.84</v>
      </c>
      <c r="E666" s="449">
        <v>4822.5</v>
      </c>
      <c r="F666" s="449">
        <f t="shared" si="572"/>
        <v>5254.34</v>
      </c>
      <c r="G666" s="421">
        <f t="shared" si="573"/>
        <v>1.0895469155002593</v>
      </c>
      <c r="H666" s="449">
        <v>4823</v>
      </c>
      <c r="I666" s="449">
        <f t="shared" si="574"/>
        <v>5253.84</v>
      </c>
      <c r="J666" s="426">
        <f t="shared" si="575"/>
        <v>1.0893302923491603</v>
      </c>
      <c r="K666" s="421"/>
      <c r="L666" s="449">
        <v>5500</v>
      </c>
      <c r="M666" s="449">
        <v>832.36999999999989</v>
      </c>
      <c r="N666" s="449">
        <v>477</v>
      </c>
      <c r="O666" s="449">
        <v>799</v>
      </c>
      <c r="P666" s="449">
        <v>2216.7200000000003</v>
      </c>
      <c r="Q666" s="449">
        <v>251.75</v>
      </c>
      <c r="R666" s="449">
        <v>0</v>
      </c>
      <c r="S666" s="449">
        <v>0</v>
      </c>
      <c r="T666" s="449">
        <v>0</v>
      </c>
      <c r="U666" s="449">
        <v>0</v>
      </c>
      <c r="V666" s="449">
        <v>0</v>
      </c>
      <c r="W666" s="449">
        <v>0</v>
      </c>
      <c r="X666" s="449"/>
      <c r="Y666" s="449">
        <f t="shared" si="576"/>
        <v>10076.84</v>
      </c>
      <c r="Z666" s="501"/>
      <c r="AA666" s="449">
        <f t="shared" si="577"/>
        <v>401.91666666666669</v>
      </c>
      <c r="AB666" s="449">
        <f t="shared" si="577"/>
        <v>401.91666666666669</v>
      </c>
      <c r="AC666" s="449">
        <f t="shared" si="577"/>
        <v>401.91666666666669</v>
      </c>
      <c r="AD666" s="449">
        <f t="shared" si="577"/>
        <v>401.91666666666669</v>
      </c>
      <c r="AE666" s="449">
        <f t="shared" si="577"/>
        <v>401.91666666666669</v>
      </c>
      <c r="AF666" s="449">
        <f t="shared" si="577"/>
        <v>401.91666666666669</v>
      </c>
      <c r="AG666" s="449">
        <f t="shared" si="577"/>
        <v>401.91666666666669</v>
      </c>
      <c r="AH666" s="449">
        <f t="shared" si="577"/>
        <v>401.91666666666669</v>
      </c>
      <c r="AI666" s="449">
        <f t="shared" si="577"/>
        <v>401.91666666666669</v>
      </c>
      <c r="AJ666" s="449">
        <f t="shared" si="577"/>
        <v>401.91666666666669</v>
      </c>
      <c r="AK666" s="449">
        <f t="shared" si="577"/>
        <v>401.91666666666669</v>
      </c>
      <c r="AL666" s="449">
        <f t="shared" si="577"/>
        <v>401.91666666666669</v>
      </c>
      <c r="AN666" s="500">
        <f t="shared" si="578"/>
        <v>10076.84</v>
      </c>
      <c r="AO666" s="449">
        <f t="shared" si="579"/>
        <v>11080.477076305222</v>
      </c>
      <c r="AP666" s="449">
        <f t="shared" si="580"/>
        <v>1003.6370763052219</v>
      </c>
      <c r="AQ666" s="453">
        <f t="shared" si="581"/>
        <v>9.9598393574297284E-2</v>
      </c>
      <c r="AR666" s="449">
        <f t="shared" si="582"/>
        <v>11080.477076305222</v>
      </c>
      <c r="AS666" s="449">
        <f t="shared" si="583"/>
        <v>0</v>
      </c>
      <c r="AT666" s="426">
        <f t="shared" si="584"/>
        <v>0</v>
      </c>
      <c r="AU666" s="421"/>
      <c r="AV666" s="449">
        <f t="shared" si="585"/>
        <v>923.37308969210164</v>
      </c>
      <c r="AW666" s="449">
        <f t="shared" si="585"/>
        <v>923.37308969210164</v>
      </c>
      <c r="AX666" s="449">
        <f t="shared" si="585"/>
        <v>923.37308969210164</v>
      </c>
      <c r="AY666" s="449">
        <f t="shared" si="585"/>
        <v>923.37308969210164</v>
      </c>
      <c r="AZ666" s="449">
        <f t="shared" si="585"/>
        <v>923.37308969210164</v>
      </c>
      <c r="BA666" s="449">
        <f t="shared" si="585"/>
        <v>923.37308969210164</v>
      </c>
      <c r="BB666" s="449">
        <f t="shared" si="585"/>
        <v>923.37308969210164</v>
      </c>
      <c r="BC666" s="449">
        <f t="shared" si="585"/>
        <v>923.37308969210164</v>
      </c>
      <c r="BD666" s="449">
        <f t="shared" si="585"/>
        <v>923.37308969210164</v>
      </c>
      <c r="BE666" s="449">
        <f t="shared" si="585"/>
        <v>923.37308969210164</v>
      </c>
      <c r="BF666" s="449">
        <f t="shared" si="585"/>
        <v>923.37308969210164</v>
      </c>
      <c r="BG666" s="449">
        <f t="shared" si="585"/>
        <v>923.37308969210164</v>
      </c>
      <c r="BH666" s="400"/>
      <c r="BI666" s="449">
        <f t="shared" ref="BI666:BT666" si="589">IFERROR((($D666/$H$5)*BI$5)/12,0)</f>
        <v>923.37308969210164</v>
      </c>
      <c r="BJ666" s="449">
        <f t="shared" si="589"/>
        <v>923.37308969210164</v>
      </c>
      <c r="BK666" s="449">
        <f t="shared" si="589"/>
        <v>923.37308969210164</v>
      </c>
      <c r="BL666" s="449">
        <f t="shared" si="589"/>
        <v>923.37308969210164</v>
      </c>
      <c r="BM666" s="449">
        <f t="shared" si="589"/>
        <v>923.37308969210164</v>
      </c>
      <c r="BN666" s="449">
        <f t="shared" si="589"/>
        <v>923.37308969210164</v>
      </c>
      <c r="BO666" s="449">
        <f t="shared" si="589"/>
        <v>923.37308969210164</v>
      </c>
      <c r="BP666" s="449">
        <f t="shared" si="589"/>
        <v>923.37308969210164</v>
      </c>
      <c r="BQ666" s="449">
        <f t="shared" si="589"/>
        <v>923.37308969210164</v>
      </c>
      <c r="BR666" s="449">
        <f t="shared" si="589"/>
        <v>923.37308969210164</v>
      </c>
      <c r="BS666" s="449">
        <f t="shared" si="589"/>
        <v>923.37308969210164</v>
      </c>
      <c r="BT666" s="449">
        <f t="shared" si="589"/>
        <v>923.37308969210164</v>
      </c>
    </row>
    <row r="667" spans="1:72" ht="15" x14ac:dyDescent="0.25">
      <c r="A667" s="587"/>
      <c r="B667" s="502"/>
      <c r="C667" s="400"/>
      <c r="D667" s="500"/>
      <c r="E667" s="449"/>
      <c r="F667" s="449"/>
      <c r="G667" s="421"/>
      <c r="H667" s="449"/>
      <c r="I667" s="449"/>
      <c r="J667" s="426"/>
      <c r="K667" s="421"/>
      <c r="L667" s="449"/>
      <c r="M667" s="449"/>
      <c r="N667" s="449"/>
      <c r="O667" s="449"/>
      <c r="P667" s="449"/>
      <c r="Q667" s="449"/>
      <c r="R667" s="449"/>
      <c r="S667" s="449"/>
      <c r="T667" s="449"/>
      <c r="U667" s="449"/>
      <c r="V667" s="449"/>
      <c r="W667" s="449"/>
      <c r="X667" s="449"/>
      <c r="Y667" s="449"/>
      <c r="Z667" s="501"/>
      <c r="AA667" s="449"/>
      <c r="AB667" s="449"/>
      <c r="AC667" s="449"/>
      <c r="AD667" s="449"/>
      <c r="AE667" s="449"/>
      <c r="AF667" s="449"/>
      <c r="AG667" s="449"/>
      <c r="AH667" s="449"/>
      <c r="AI667" s="449"/>
      <c r="AJ667" s="449"/>
      <c r="AK667" s="449"/>
      <c r="AL667" s="449"/>
      <c r="AN667" s="500"/>
      <c r="AO667" s="449"/>
      <c r="AP667" s="449"/>
      <c r="AQ667" s="453"/>
      <c r="AR667" s="449"/>
      <c r="AS667" s="449"/>
      <c r="AT667" s="426"/>
      <c r="AU667" s="421"/>
      <c r="AV667" s="449"/>
      <c r="AW667" s="449"/>
      <c r="AX667" s="449"/>
      <c r="AY667" s="449"/>
      <c r="AZ667" s="449"/>
      <c r="BA667" s="449"/>
      <c r="BB667" s="449"/>
      <c r="BC667" s="449"/>
      <c r="BD667" s="449"/>
      <c r="BE667" s="449"/>
      <c r="BF667" s="449"/>
      <c r="BG667" s="449"/>
      <c r="BH667" s="501"/>
      <c r="BI667" s="449"/>
      <c r="BJ667" s="449"/>
      <c r="BK667" s="449"/>
      <c r="BL667" s="449"/>
      <c r="BM667" s="449"/>
      <c r="BN667" s="449"/>
      <c r="BO667" s="449"/>
      <c r="BP667" s="449"/>
      <c r="BQ667" s="449"/>
      <c r="BR667" s="449"/>
      <c r="BS667" s="449"/>
      <c r="BT667" s="449"/>
    </row>
    <row r="668" spans="1:72" s="536" customFormat="1" ht="15.75" thickBot="1" x14ac:dyDescent="0.3">
      <c r="A668" s="526"/>
      <c r="B668" s="524" t="s">
        <v>1076</v>
      </c>
      <c r="D668" s="532">
        <f>SUM(D660:D667)</f>
        <v>199939.84</v>
      </c>
      <c r="E668" s="533">
        <f>SUM(E660:E667)</f>
        <v>194685</v>
      </c>
      <c r="F668" s="533">
        <f>IFERROR(D668-E668,0)</f>
        <v>5254.8399999999965</v>
      </c>
      <c r="G668" s="520">
        <f>IFERROR(F668/ABS(E668),0)</f>
        <v>2.6991499088270778E-2</v>
      </c>
      <c r="H668" s="533">
        <f>SUM(H660:H667)</f>
        <v>194686</v>
      </c>
      <c r="I668" s="533">
        <f>IFERROR(D668-H668,0)</f>
        <v>5253.8399999999965</v>
      </c>
      <c r="J668" s="521">
        <f>IFERROR(I668/ABS(H668),0)</f>
        <v>2.698622397090698E-2</v>
      </c>
      <c r="K668" s="507"/>
      <c r="L668" s="533">
        <f>SUM(L660:L667)</f>
        <v>5971.59</v>
      </c>
      <c r="M668" s="533">
        <f t="shared" ref="M668:W668" si="590">SUM(M660:M667)</f>
        <v>1322.37</v>
      </c>
      <c r="N668" s="533">
        <f t="shared" si="590"/>
        <v>1814.9399999999998</v>
      </c>
      <c r="O668" s="533">
        <f t="shared" si="590"/>
        <v>39168.239999999998</v>
      </c>
      <c r="P668" s="533">
        <f t="shared" si="590"/>
        <v>5868.2000000000007</v>
      </c>
      <c r="Q668" s="533">
        <f t="shared" si="590"/>
        <v>3040.9499999999985</v>
      </c>
      <c r="R668" s="533">
        <f t="shared" si="590"/>
        <v>23792.258333333335</v>
      </c>
      <c r="S668" s="533">
        <f t="shared" si="590"/>
        <v>23792.258333333335</v>
      </c>
      <c r="T668" s="533">
        <f t="shared" si="590"/>
        <v>23792.258333333335</v>
      </c>
      <c r="U668" s="533">
        <f t="shared" si="590"/>
        <v>23792.258333333331</v>
      </c>
      <c r="V668" s="533">
        <f t="shared" si="590"/>
        <v>23792.258333333335</v>
      </c>
      <c r="W668" s="533">
        <f t="shared" si="590"/>
        <v>23792.258333333324</v>
      </c>
      <c r="X668" s="533"/>
      <c r="Y668" s="533">
        <f>SUM(L668:W668)</f>
        <v>199939.83999999997</v>
      </c>
      <c r="Z668" s="508"/>
      <c r="AA668" s="533">
        <f t="shared" ref="AA668:AL668" si="591">SUM(AA660:AA667)</f>
        <v>16223.833333333334</v>
      </c>
      <c r="AB668" s="533">
        <f t="shared" si="591"/>
        <v>16223.833333333334</v>
      </c>
      <c r="AC668" s="533">
        <f t="shared" si="591"/>
        <v>16223.833333333334</v>
      </c>
      <c r="AD668" s="533">
        <f t="shared" si="591"/>
        <v>16223.833333333334</v>
      </c>
      <c r="AE668" s="533">
        <f t="shared" si="591"/>
        <v>16223.833333333334</v>
      </c>
      <c r="AF668" s="533">
        <f t="shared" si="591"/>
        <v>16223.833333333334</v>
      </c>
      <c r="AG668" s="533">
        <f t="shared" si="591"/>
        <v>16223.833333333334</v>
      </c>
      <c r="AH668" s="533">
        <f t="shared" si="591"/>
        <v>16223.833333333334</v>
      </c>
      <c r="AI668" s="533">
        <f t="shared" si="591"/>
        <v>16223.833333333334</v>
      </c>
      <c r="AJ668" s="533">
        <f t="shared" si="591"/>
        <v>16223.833333333334</v>
      </c>
      <c r="AK668" s="533">
        <f t="shared" si="591"/>
        <v>16223.833333333334</v>
      </c>
      <c r="AL668" s="533">
        <f t="shared" si="591"/>
        <v>16223.833333333334</v>
      </c>
      <c r="AN668" s="532">
        <f>SUM(AN660:AN667)</f>
        <v>199939.84</v>
      </c>
      <c r="AO668" s="533">
        <f>SUM(AO660:AO667)</f>
        <v>219355.53490763056</v>
      </c>
      <c r="AP668" s="533">
        <f>IFERROR(AO668-AN668,0)</f>
        <v>19415.694907630561</v>
      </c>
      <c r="AQ668" s="523">
        <f>IFERROR(AP668/ABS(AN668),"-")</f>
        <v>9.710768452965933E-2</v>
      </c>
      <c r="AR668" s="533">
        <f>SUM(AR660:AR667)</f>
        <v>219355.53490763056</v>
      </c>
      <c r="AS668" s="533">
        <f>IFERROR(AO668-AR668,0)</f>
        <v>0</v>
      </c>
      <c r="AT668" s="521">
        <f>IFERROR(AS668/ABS(AR668),0)</f>
        <v>0</v>
      </c>
      <c r="AU668" s="507"/>
      <c r="AV668" s="533">
        <f>SUM(AV660:AV667)</f>
        <v>18279.627908969211</v>
      </c>
      <c r="AW668" s="533">
        <f t="shared" ref="AW668:BG668" si="592">SUM(AW660:AW667)</f>
        <v>18279.627908969211</v>
      </c>
      <c r="AX668" s="533">
        <f t="shared" si="592"/>
        <v>18279.627908969211</v>
      </c>
      <c r="AY668" s="533">
        <f t="shared" si="592"/>
        <v>18279.627908969211</v>
      </c>
      <c r="AZ668" s="533">
        <f t="shared" si="592"/>
        <v>18279.627908969211</v>
      </c>
      <c r="BA668" s="533">
        <f t="shared" si="592"/>
        <v>18279.627908969211</v>
      </c>
      <c r="BB668" s="533">
        <f t="shared" si="592"/>
        <v>18279.627908969211</v>
      </c>
      <c r="BC668" s="533">
        <f t="shared" si="592"/>
        <v>18279.627908969211</v>
      </c>
      <c r="BD668" s="533">
        <f t="shared" si="592"/>
        <v>18279.627908969211</v>
      </c>
      <c r="BE668" s="533">
        <f t="shared" si="592"/>
        <v>18279.627908969211</v>
      </c>
      <c r="BF668" s="533">
        <f t="shared" si="592"/>
        <v>18279.627908969211</v>
      </c>
      <c r="BG668" s="533">
        <f t="shared" si="592"/>
        <v>18279.627908969211</v>
      </c>
      <c r="BH668" s="508"/>
      <c r="BI668" s="533">
        <f t="shared" ref="BI668:BT668" si="593">SUM(BI660:BI667)</f>
        <v>18279.627908969211</v>
      </c>
      <c r="BJ668" s="533">
        <f t="shared" si="593"/>
        <v>18279.627908969211</v>
      </c>
      <c r="BK668" s="533">
        <f t="shared" si="593"/>
        <v>18279.627908969211</v>
      </c>
      <c r="BL668" s="533">
        <f t="shared" si="593"/>
        <v>18279.627908969211</v>
      </c>
      <c r="BM668" s="533">
        <f t="shared" si="593"/>
        <v>18279.627908969211</v>
      </c>
      <c r="BN668" s="533">
        <f t="shared" si="593"/>
        <v>18279.627908969211</v>
      </c>
      <c r="BO668" s="533">
        <f t="shared" si="593"/>
        <v>18279.627908969211</v>
      </c>
      <c r="BP668" s="533">
        <f t="shared" si="593"/>
        <v>18279.627908969211</v>
      </c>
      <c r="BQ668" s="533">
        <f t="shared" si="593"/>
        <v>18279.627908969211</v>
      </c>
      <c r="BR668" s="533">
        <f t="shared" si="593"/>
        <v>18279.627908969211</v>
      </c>
      <c r="BS668" s="533">
        <f t="shared" si="593"/>
        <v>18279.627908969211</v>
      </c>
      <c r="BT668" s="533">
        <f t="shared" si="593"/>
        <v>18279.627908969211</v>
      </c>
    </row>
    <row r="669" spans="1:72" ht="15.75" thickTop="1" x14ac:dyDescent="0.25">
      <c r="A669" s="587"/>
      <c r="B669" s="502"/>
      <c r="C669" s="400"/>
      <c r="D669" s="500"/>
      <c r="E669" s="449"/>
      <c r="F669" s="449"/>
      <c r="G669" s="421"/>
      <c r="H669" s="449"/>
      <c r="I669" s="449"/>
      <c r="J669" s="426"/>
      <c r="K669" s="421"/>
      <c r="L669" s="449"/>
      <c r="M669" s="449"/>
      <c r="N669" s="449"/>
      <c r="O669" s="449"/>
      <c r="P669" s="449"/>
      <c r="Q669" s="449"/>
      <c r="R669" s="449"/>
      <c r="S669" s="449"/>
      <c r="T669" s="449"/>
      <c r="U669" s="449"/>
      <c r="V669" s="449"/>
      <c r="W669" s="449"/>
      <c r="X669" s="449"/>
      <c r="Y669" s="449"/>
      <c r="Z669" s="501"/>
      <c r="AA669" s="449"/>
      <c r="AB669" s="449"/>
      <c r="AC669" s="449"/>
      <c r="AD669" s="449"/>
      <c r="AE669" s="449"/>
      <c r="AF669" s="449"/>
      <c r="AG669" s="449"/>
      <c r="AH669" s="449"/>
      <c r="AI669" s="449"/>
      <c r="AJ669" s="449"/>
      <c r="AK669" s="449"/>
      <c r="AL669" s="449"/>
      <c r="AN669" s="500"/>
      <c r="AO669" s="449"/>
      <c r="AP669" s="449"/>
      <c r="AQ669" s="453"/>
      <c r="AR669" s="449"/>
      <c r="AS669" s="449"/>
      <c r="AT669" s="426"/>
      <c r="AU669" s="421"/>
      <c r="AV669" s="449"/>
      <c r="AW669" s="449"/>
      <c r="AX669" s="449"/>
      <c r="AY669" s="449"/>
      <c r="AZ669" s="449"/>
      <c r="BA669" s="449"/>
      <c r="BB669" s="449"/>
      <c r="BC669" s="449"/>
      <c r="BD669" s="449"/>
      <c r="BE669" s="449"/>
      <c r="BF669" s="449"/>
      <c r="BG669" s="449"/>
      <c r="BH669" s="501"/>
      <c r="BI669" s="449"/>
      <c r="BJ669" s="449"/>
      <c r="BK669" s="449"/>
      <c r="BL669" s="449"/>
      <c r="BM669" s="449"/>
      <c r="BN669" s="449"/>
      <c r="BO669" s="449"/>
      <c r="BP669" s="449"/>
      <c r="BQ669" s="449"/>
      <c r="BR669" s="449"/>
      <c r="BS669" s="449"/>
      <c r="BT669" s="449"/>
    </row>
    <row r="670" spans="1:72" ht="15" x14ac:dyDescent="0.25">
      <c r="A670" s="587"/>
      <c r="B670" s="524" t="s">
        <v>1077</v>
      </c>
      <c r="C670" s="400"/>
      <c r="D670" s="500"/>
      <c r="E670" s="449"/>
      <c r="F670" s="449"/>
      <c r="G670" s="421"/>
      <c r="H670" s="449"/>
      <c r="I670" s="449"/>
      <c r="J670" s="426"/>
      <c r="K670" s="421"/>
      <c r="L670" s="449"/>
      <c r="M670" s="449"/>
      <c r="N670" s="449"/>
      <c r="O670" s="449"/>
      <c r="P670" s="449"/>
      <c r="Q670" s="449"/>
      <c r="R670" s="449"/>
      <c r="S670" s="449"/>
      <c r="T670" s="449"/>
      <c r="U670" s="449"/>
      <c r="V670" s="449"/>
      <c r="W670" s="449"/>
      <c r="X670" s="449"/>
      <c r="Y670" s="449"/>
      <c r="Z670" s="501"/>
      <c r="AA670" s="449"/>
      <c r="AB670" s="449"/>
      <c r="AC670" s="449"/>
      <c r="AD670" s="449"/>
      <c r="AE670" s="449"/>
      <c r="AF670" s="449"/>
      <c r="AG670" s="449"/>
      <c r="AH670" s="449"/>
      <c r="AI670" s="449"/>
      <c r="AJ670" s="449"/>
      <c r="AK670" s="449"/>
      <c r="AL670" s="449"/>
      <c r="AN670" s="500"/>
      <c r="AO670" s="449"/>
      <c r="AP670" s="449"/>
      <c r="AQ670" s="453"/>
      <c r="AR670" s="449"/>
      <c r="AS670" s="449"/>
      <c r="AT670" s="426"/>
      <c r="AU670" s="421"/>
      <c r="AV670" s="449"/>
      <c r="AW670" s="449"/>
      <c r="AX670" s="449"/>
      <c r="AY670" s="449"/>
      <c r="AZ670" s="449"/>
      <c r="BA670" s="449"/>
      <c r="BB670" s="449"/>
      <c r="BC670" s="449"/>
      <c r="BD670" s="449"/>
      <c r="BE670" s="449"/>
      <c r="BF670" s="449"/>
      <c r="BG670" s="449"/>
      <c r="BH670" s="501"/>
      <c r="BI670" s="449"/>
      <c r="BJ670" s="449"/>
      <c r="BK670" s="449"/>
      <c r="BL670" s="449"/>
      <c r="BM670" s="449"/>
      <c r="BN670" s="449"/>
      <c r="BO670" s="449"/>
      <c r="BP670" s="449"/>
      <c r="BQ670" s="449"/>
      <c r="BR670" s="449"/>
      <c r="BS670" s="449"/>
      <c r="BT670" s="449"/>
    </row>
    <row r="671" spans="1:72" ht="15" x14ac:dyDescent="0.25">
      <c r="A671" s="502" t="s">
        <v>1078</v>
      </c>
      <c r="B671" s="502" t="s">
        <v>1079</v>
      </c>
      <c r="C671" s="538"/>
      <c r="D671" s="500">
        <f t="shared" ref="D671:D679" si="594">SUM(L671:W671)</f>
        <v>48225</v>
      </c>
      <c r="E671" s="449">
        <v>48225</v>
      </c>
      <c r="F671" s="449">
        <f t="shared" ref="F671:F679" si="595">IFERROR(D671-E671,0)</f>
        <v>0</v>
      </c>
      <c r="G671" s="421">
        <f t="shared" ref="G671:G679" si="596">IFERROR(F671/ABS(E671),0)</f>
        <v>0</v>
      </c>
      <c r="H671" s="449">
        <v>48225</v>
      </c>
      <c r="I671" s="449">
        <f t="shared" ref="I671:I679" si="597">IFERROR(D671-H671,0)</f>
        <v>0</v>
      </c>
      <c r="J671" s="426">
        <f t="shared" ref="J671:J679" si="598">IFERROR(I671/ABS(H671),0)</f>
        <v>0</v>
      </c>
      <c r="K671" s="421"/>
      <c r="L671" s="449">
        <v>0</v>
      </c>
      <c r="M671" s="449">
        <v>0</v>
      </c>
      <c r="N671" s="449">
        <v>0</v>
      </c>
      <c r="O671" s="449">
        <v>6607.5</v>
      </c>
      <c r="P671" s="449">
        <v>4015.59</v>
      </c>
      <c r="Q671" s="449">
        <v>0</v>
      </c>
      <c r="R671" s="449">
        <f>($H671-SUM($L671:Q671))/R$694</f>
        <v>6266.9850000000006</v>
      </c>
      <c r="S671" s="449">
        <f>($H671-SUM($L671:R671))/S$694</f>
        <v>6266.9849999999997</v>
      </c>
      <c r="T671" s="449">
        <f>($H671-SUM($L671:S671))/T$694</f>
        <v>6266.9849999999997</v>
      </c>
      <c r="U671" s="449">
        <f>($H671-SUM($L671:T671))/U$694</f>
        <v>6266.9849999999997</v>
      </c>
      <c r="V671" s="449">
        <f>($H671-SUM($L671:U671))/V$694</f>
        <v>6266.9850000000006</v>
      </c>
      <c r="W671" s="449">
        <f>($H671-SUM($L671:V671))/W$694</f>
        <v>6266.9850000000006</v>
      </c>
      <c r="X671" s="449"/>
      <c r="Y671" s="449">
        <f t="shared" ref="Y671:Y679" si="599">SUM(L671:W671)</f>
        <v>48225</v>
      </c>
      <c r="Z671" s="531"/>
      <c r="AA671" s="449">
        <f t="shared" ref="AA671:AL679" si="600">IFERROR($H671/12,0)</f>
        <v>4018.75</v>
      </c>
      <c r="AB671" s="449">
        <f t="shared" si="600"/>
        <v>4018.75</v>
      </c>
      <c r="AC671" s="449">
        <f t="shared" si="600"/>
        <v>4018.75</v>
      </c>
      <c r="AD671" s="449">
        <f t="shared" si="600"/>
        <v>4018.75</v>
      </c>
      <c r="AE671" s="449">
        <f t="shared" si="600"/>
        <v>4018.75</v>
      </c>
      <c r="AF671" s="449">
        <f t="shared" si="600"/>
        <v>4018.75</v>
      </c>
      <c r="AG671" s="449">
        <f t="shared" si="600"/>
        <v>4018.75</v>
      </c>
      <c r="AH671" s="449">
        <f t="shared" si="600"/>
        <v>4018.75</v>
      </c>
      <c r="AI671" s="449">
        <f t="shared" si="600"/>
        <v>4018.75</v>
      </c>
      <c r="AJ671" s="449">
        <f t="shared" si="600"/>
        <v>4018.75</v>
      </c>
      <c r="AK671" s="449">
        <f t="shared" si="600"/>
        <v>4018.75</v>
      </c>
      <c r="AL671" s="449">
        <f t="shared" si="600"/>
        <v>4018.75</v>
      </c>
      <c r="AN671" s="500">
        <f t="shared" ref="AN671:AN679" si="601">SUM(L671:W671)</f>
        <v>48225</v>
      </c>
      <c r="AO671" s="449">
        <f t="shared" ref="AO671:AO679" si="602">SUM(BI671:BT671)</f>
        <v>53028.1325301205</v>
      </c>
      <c r="AP671" s="449">
        <f t="shared" ref="AP671:AP679" si="603">IFERROR(AO671-AN671,0)</f>
        <v>4803.1325301204997</v>
      </c>
      <c r="AQ671" s="453">
        <f t="shared" ref="AQ671:AQ679" si="604">IFERROR(AP671/ABS(AN671),"-")</f>
        <v>9.9598393574297561E-2</v>
      </c>
      <c r="AR671" s="449">
        <f t="shared" ref="AR671:AR679" si="605">SUM(BI671:BT671)</f>
        <v>53028.1325301205</v>
      </c>
      <c r="AS671" s="449">
        <f t="shared" ref="AS671:AS679" si="606">IFERROR(AO671-AR671,0)</f>
        <v>0</v>
      </c>
      <c r="AT671" s="426">
        <f t="shared" ref="AT671:AT679" si="607">IFERROR(AS671/ABS(AR671),0)</f>
        <v>0</v>
      </c>
      <c r="AU671" s="421"/>
      <c r="AV671" s="449">
        <f t="shared" ref="AV671:BG679" si="608">BI671</f>
        <v>4419.0110441767074</v>
      </c>
      <c r="AW671" s="449">
        <f t="shared" si="608"/>
        <v>4419.0110441767074</v>
      </c>
      <c r="AX671" s="449">
        <f t="shared" si="608"/>
        <v>4419.0110441767074</v>
      </c>
      <c r="AY671" s="449">
        <f t="shared" si="608"/>
        <v>4419.0110441767074</v>
      </c>
      <c r="AZ671" s="449">
        <f t="shared" si="608"/>
        <v>4419.0110441767074</v>
      </c>
      <c r="BA671" s="449">
        <f t="shared" si="608"/>
        <v>4419.0110441767074</v>
      </c>
      <c r="BB671" s="449">
        <f t="shared" si="608"/>
        <v>4419.0110441767074</v>
      </c>
      <c r="BC671" s="449">
        <f t="shared" si="608"/>
        <v>4419.0110441767074</v>
      </c>
      <c r="BD671" s="449">
        <f t="shared" si="608"/>
        <v>4419.0110441767074</v>
      </c>
      <c r="BE671" s="449">
        <f t="shared" si="608"/>
        <v>4419.0110441767074</v>
      </c>
      <c r="BF671" s="449">
        <f t="shared" si="608"/>
        <v>4419.0110441767074</v>
      </c>
      <c r="BG671" s="449">
        <f t="shared" si="608"/>
        <v>4419.0110441767074</v>
      </c>
      <c r="BH671" s="400"/>
      <c r="BI671" s="449">
        <f t="shared" ref="BI671:BT675" si="609">IFERROR((($H671/$H$5)*BI$5)/12,0)</f>
        <v>4419.0110441767074</v>
      </c>
      <c r="BJ671" s="449">
        <f t="shared" si="609"/>
        <v>4419.0110441767074</v>
      </c>
      <c r="BK671" s="449">
        <f t="shared" si="609"/>
        <v>4419.0110441767074</v>
      </c>
      <c r="BL671" s="449">
        <f t="shared" si="609"/>
        <v>4419.0110441767074</v>
      </c>
      <c r="BM671" s="449">
        <f t="shared" si="609"/>
        <v>4419.0110441767074</v>
      </c>
      <c r="BN671" s="449">
        <f t="shared" si="609"/>
        <v>4419.0110441767074</v>
      </c>
      <c r="BO671" s="449">
        <f t="shared" si="609"/>
        <v>4419.0110441767074</v>
      </c>
      <c r="BP671" s="449">
        <f t="shared" si="609"/>
        <v>4419.0110441767074</v>
      </c>
      <c r="BQ671" s="449">
        <f t="shared" si="609"/>
        <v>4419.0110441767074</v>
      </c>
      <c r="BR671" s="449">
        <f t="shared" si="609"/>
        <v>4419.0110441767074</v>
      </c>
      <c r="BS671" s="449">
        <f t="shared" si="609"/>
        <v>4419.0110441767074</v>
      </c>
      <c r="BT671" s="449">
        <f t="shared" si="609"/>
        <v>4419.0110441767074</v>
      </c>
    </row>
    <row r="672" spans="1:72" ht="15" x14ac:dyDescent="0.25">
      <c r="A672" s="502" t="s">
        <v>1080</v>
      </c>
      <c r="B672" s="502" t="s">
        <v>1081</v>
      </c>
      <c r="C672" s="538"/>
      <c r="D672" s="500">
        <f t="shared" si="594"/>
        <v>161</v>
      </c>
      <c r="E672" s="449">
        <v>160.75</v>
      </c>
      <c r="F672" s="449">
        <f t="shared" si="595"/>
        <v>0.25</v>
      </c>
      <c r="G672" s="421">
        <f t="shared" si="596"/>
        <v>1.5552099533437014E-3</v>
      </c>
      <c r="H672" s="449">
        <v>161</v>
      </c>
      <c r="I672" s="449">
        <f t="shared" si="597"/>
        <v>0</v>
      </c>
      <c r="J672" s="426">
        <f t="shared" si="598"/>
        <v>0</v>
      </c>
      <c r="K672" s="421"/>
      <c r="L672" s="449">
        <v>0</v>
      </c>
      <c r="M672" s="449">
        <v>0</v>
      </c>
      <c r="N672" s="449">
        <v>0</v>
      </c>
      <c r="O672" s="449">
        <v>0</v>
      </c>
      <c r="P672" s="449">
        <v>0</v>
      </c>
      <c r="Q672" s="449">
        <v>0</v>
      </c>
      <c r="R672" s="449">
        <f>($H672-SUM($L672:Q672))/R$694</f>
        <v>26.833333333333332</v>
      </c>
      <c r="S672" s="449">
        <f>($H672-SUM($L672:R672))/S$694</f>
        <v>26.833333333333332</v>
      </c>
      <c r="T672" s="449">
        <f>($H672-SUM($L672:S672))/T$694</f>
        <v>26.833333333333336</v>
      </c>
      <c r="U672" s="449">
        <f>($H672-SUM($L672:T672))/U$694</f>
        <v>26.833333333333332</v>
      </c>
      <c r="V672" s="449">
        <f>($H672-SUM($L672:U672))/V$694</f>
        <v>26.833333333333336</v>
      </c>
      <c r="W672" s="449">
        <f>($H672-SUM($L672:V672))/W$694</f>
        <v>26.833333333333343</v>
      </c>
      <c r="X672" s="449"/>
      <c r="Y672" s="449">
        <f t="shared" si="599"/>
        <v>161</v>
      </c>
      <c r="Z672" s="531"/>
      <c r="AA672" s="449">
        <f t="shared" si="600"/>
        <v>13.416666666666666</v>
      </c>
      <c r="AB672" s="449">
        <f t="shared" si="600"/>
        <v>13.416666666666666</v>
      </c>
      <c r="AC672" s="449">
        <f t="shared" si="600"/>
        <v>13.416666666666666</v>
      </c>
      <c r="AD672" s="449">
        <f t="shared" si="600"/>
        <v>13.416666666666666</v>
      </c>
      <c r="AE672" s="449">
        <f t="shared" si="600"/>
        <v>13.416666666666666</v>
      </c>
      <c r="AF672" s="449">
        <f t="shared" si="600"/>
        <v>13.416666666666666</v>
      </c>
      <c r="AG672" s="449">
        <f t="shared" si="600"/>
        <v>13.416666666666666</v>
      </c>
      <c r="AH672" s="449">
        <f t="shared" si="600"/>
        <v>13.416666666666666</v>
      </c>
      <c r="AI672" s="449">
        <f t="shared" si="600"/>
        <v>13.416666666666666</v>
      </c>
      <c r="AJ672" s="449">
        <f t="shared" si="600"/>
        <v>13.416666666666666</v>
      </c>
      <c r="AK672" s="449">
        <f t="shared" si="600"/>
        <v>13.416666666666666</v>
      </c>
      <c r="AL672" s="449">
        <f t="shared" si="600"/>
        <v>13.416666666666666</v>
      </c>
      <c r="AN672" s="500">
        <f t="shared" si="601"/>
        <v>161</v>
      </c>
      <c r="AO672" s="449">
        <f t="shared" si="602"/>
        <v>177.03534136546185</v>
      </c>
      <c r="AP672" s="449">
        <f t="shared" si="603"/>
        <v>16.035341365461846</v>
      </c>
      <c r="AQ672" s="453">
        <f t="shared" si="604"/>
        <v>9.9598393574297187E-2</v>
      </c>
      <c r="AR672" s="449">
        <f t="shared" si="605"/>
        <v>177.03534136546185</v>
      </c>
      <c r="AS672" s="449">
        <f t="shared" si="606"/>
        <v>0</v>
      </c>
      <c r="AT672" s="426">
        <f t="shared" si="607"/>
        <v>0</v>
      </c>
      <c r="AU672" s="421"/>
      <c r="AV672" s="449">
        <f t="shared" si="608"/>
        <v>14.752945113788487</v>
      </c>
      <c r="AW672" s="449">
        <f t="shared" si="608"/>
        <v>14.752945113788487</v>
      </c>
      <c r="AX672" s="449">
        <f t="shared" si="608"/>
        <v>14.752945113788487</v>
      </c>
      <c r="AY672" s="449">
        <f t="shared" si="608"/>
        <v>14.752945113788487</v>
      </c>
      <c r="AZ672" s="449">
        <f t="shared" si="608"/>
        <v>14.752945113788487</v>
      </c>
      <c r="BA672" s="449">
        <f t="shared" si="608"/>
        <v>14.752945113788487</v>
      </c>
      <c r="BB672" s="449">
        <f t="shared" si="608"/>
        <v>14.752945113788487</v>
      </c>
      <c r="BC672" s="449">
        <f t="shared" si="608"/>
        <v>14.752945113788487</v>
      </c>
      <c r="BD672" s="449">
        <f t="shared" si="608"/>
        <v>14.752945113788487</v>
      </c>
      <c r="BE672" s="449">
        <f t="shared" si="608"/>
        <v>14.752945113788487</v>
      </c>
      <c r="BF672" s="449">
        <f t="shared" si="608"/>
        <v>14.752945113788487</v>
      </c>
      <c r="BG672" s="449">
        <f t="shared" si="608"/>
        <v>14.752945113788487</v>
      </c>
      <c r="BH672" s="400"/>
      <c r="BI672" s="449">
        <f t="shared" si="609"/>
        <v>14.752945113788487</v>
      </c>
      <c r="BJ672" s="449">
        <f t="shared" si="609"/>
        <v>14.752945113788487</v>
      </c>
      <c r="BK672" s="449">
        <f t="shared" si="609"/>
        <v>14.752945113788487</v>
      </c>
      <c r="BL672" s="449">
        <f t="shared" si="609"/>
        <v>14.752945113788487</v>
      </c>
      <c r="BM672" s="449">
        <f t="shared" si="609"/>
        <v>14.752945113788487</v>
      </c>
      <c r="BN672" s="449">
        <f t="shared" si="609"/>
        <v>14.752945113788487</v>
      </c>
      <c r="BO672" s="449">
        <f t="shared" si="609"/>
        <v>14.752945113788487</v>
      </c>
      <c r="BP672" s="449">
        <f t="shared" si="609"/>
        <v>14.752945113788487</v>
      </c>
      <c r="BQ672" s="449">
        <f t="shared" si="609"/>
        <v>14.752945113788487</v>
      </c>
      <c r="BR672" s="449">
        <f t="shared" si="609"/>
        <v>14.752945113788487</v>
      </c>
      <c r="BS672" s="449">
        <f t="shared" si="609"/>
        <v>14.752945113788487</v>
      </c>
      <c r="BT672" s="449">
        <f t="shared" si="609"/>
        <v>14.752945113788487</v>
      </c>
    </row>
    <row r="673" spans="1:72" ht="15" x14ac:dyDescent="0.25">
      <c r="A673" s="502" t="s">
        <v>1082</v>
      </c>
      <c r="B673" s="502" t="s">
        <v>1063</v>
      </c>
      <c r="C673" s="538"/>
      <c r="D673" s="500">
        <f t="shared" si="594"/>
        <v>24113</v>
      </c>
      <c r="E673" s="449">
        <v>24112.5</v>
      </c>
      <c r="F673" s="449">
        <f t="shared" si="595"/>
        <v>0.5</v>
      </c>
      <c r="G673" s="421">
        <f t="shared" si="596"/>
        <v>2.0736132711249351E-5</v>
      </c>
      <c r="H673" s="449">
        <v>24113</v>
      </c>
      <c r="I673" s="449">
        <f t="shared" si="597"/>
        <v>0</v>
      </c>
      <c r="J673" s="426">
        <f t="shared" si="598"/>
        <v>0</v>
      </c>
      <c r="K673" s="421"/>
      <c r="L673" s="449">
        <v>0</v>
      </c>
      <c r="M673" s="449">
        <v>0</v>
      </c>
      <c r="N673" s="449">
        <v>0</v>
      </c>
      <c r="O673" s="449">
        <v>0</v>
      </c>
      <c r="P673" s="449">
        <v>0</v>
      </c>
      <c r="Q673" s="449">
        <v>1125</v>
      </c>
      <c r="R673" s="449">
        <f>($H673-SUM($L673:Q673))/R$694</f>
        <v>3831.3333333333335</v>
      </c>
      <c r="S673" s="449">
        <f>($H673-SUM($L673:R673))/S$694</f>
        <v>3831.333333333333</v>
      </c>
      <c r="T673" s="449">
        <f>($H673-SUM($L673:S673))/T$694</f>
        <v>3831.333333333333</v>
      </c>
      <c r="U673" s="449">
        <f>($H673-SUM($L673:T673))/U$694</f>
        <v>3831.3333333333335</v>
      </c>
      <c r="V673" s="449">
        <f>($H673-SUM($L673:U673))/V$694</f>
        <v>3831.3333333333339</v>
      </c>
      <c r="W673" s="449">
        <f>($H673-SUM($L673:V673))/W$694</f>
        <v>3831.3333333333358</v>
      </c>
      <c r="X673" s="449"/>
      <c r="Y673" s="449">
        <f t="shared" si="599"/>
        <v>24113</v>
      </c>
      <c r="Z673" s="531"/>
      <c r="AA673" s="449">
        <f t="shared" si="600"/>
        <v>2009.4166666666667</v>
      </c>
      <c r="AB673" s="449">
        <f t="shared" si="600"/>
        <v>2009.4166666666667</v>
      </c>
      <c r="AC673" s="449">
        <f t="shared" si="600"/>
        <v>2009.4166666666667</v>
      </c>
      <c r="AD673" s="449">
        <f t="shared" si="600"/>
        <v>2009.4166666666667</v>
      </c>
      <c r="AE673" s="449">
        <f t="shared" si="600"/>
        <v>2009.4166666666667</v>
      </c>
      <c r="AF673" s="449">
        <f t="shared" si="600"/>
        <v>2009.4166666666667</v>
      </c>
      <c r="AG673" s="449">
        <f t="shared" si="600"/>
        <v>2009.4166666666667</v>
      </c>
      <c r="AH673" s="449">
        <f t="shared" si="600"/>
        <v>2009.4166666666667</v>
      </c>
      <c r="AI673" s="449">
        <f t="shared" si="600"/>
        <v>2009.4166666666667</v>
      </c>
      <c r="AJ673" s="449">
        <f t="shared" si="600"/>
        <v>2009.4166666666667</v>
      </c>
      <c r="AK673" s="449">
        <f t="shared" si="600"/>
        <v>2009.4166666666667</v>
      </c>
      <c r="AL673" s="449">
        <f t="shared" si="600"/>
        <v>2009.4166666666667</v>
      </c>
      <c r="AN673" s="500">
        <f t="shared" si="601"/>
        <v>24113</v>
      </c>
      <c r="AO673" s="449">
        <f t="shared" si="602"/>
        <v>26514.616064257028</v>
      </c>
      <c r="AP673" s="449">
        <f t="shared" si="603"/>
        <v>2401.6160642570285</v>
      </c>
      <c r="AQ673" s="453">
        <f t="shared" si="604"/>
        <v>9.95983935742972E-2</v>
      </c>
      <c r="AR673" s="449">
        <f t="shared" si="605"/>
        <v>26514.616064257028</v>
      </c>
      <c r="AS673" s="449">
        <f t="shared" si="606"/>
        <v>0</v>
      </c>
      <c r="AT673" s="426">
        <f t="shared" si="607"/>
        <v>0</v>
      </c>
      <c r="AU673" s="421"/>
      <c r="AV673" s="449">
        <f t="shared" si="608"/>
        <v>2209.5513386880862</v>
      </c>
      <c r="AW673" s="449">
        <f t="shared" si="608"/>
        <v>2209.5513386880862</v>
      </c>
      <c r="AX673" s="449">
        <f t="shared" si="608"/>
        <v>2209.5513386880862</v>
      </c>
      <c r="AY673" s="449">
        <f t="shared" si="608"/>
        <v>2209.5513386880862</v>
      </c>
      <c r="AZ673" s="449">
        <f t="shared" si="608"/>
        <v>2209.5513386880862</v>
      </c>
      <c r="BA673" s="449">
        <f t="shared" si="608"/>
        <v>2209.5513386880862</v>
      </c>
      <c r="BB673" s="449">
        <f t="shared" si="608"/>
        <v>2209.5513386880862</v>
      </c>
      <c r="BC673" s="449">
        <f t="shared" si="608"/>
        <v>2209.5513386880862</v>
      </c>
      <c r="BD673" s="449">
        <f t="shared" si="608"/>
        <v>2209.5513386880862</v>
      </c>
      <c r="BE673" s="449">
        <f t="shared" si="608"/>
        <v>2209.5513386880862</v>
      </c>
      <c r="BF673" s="449">
        <f t="shared" si="608"/>
        <v>2209.5513386880862</v>
      </c>
      <c r="BG673" s="449">
        <f t="shared" si="608"/>
        <v>2209.5513386880862</v>
      </c>
      <c r="BH673" s="400"/>
      <c r="BI673" s="449">
        <f t="shared" si="609"/>
        <v>2209.5513386880862</v>
      </c>
      <c r="BJ673" s="449">
        <f t="shared" si="609"/>
        <v>2209.5513386880862</v>
      </c>
      <c r="BK673" s="449">
        <f t="shared" si="609"/>
        <v>2209.5513386880862</v>
      </c>
      <c r="BL673" s="449">
        <f t="shared" si="609"/>
        <v>2209.5513386880862</v>
      </c>
      <c r="BM673" s="449">
        <f t="shared" si="609"/>
        <v>2209.5513386880862</v>
      </c>
      <c r="BN673" s="449">
        <f t="shared" si="609"/>
        <v>2209.5513386880862</v>
      </c>
      <c r="BO673" s="449">
        <f t="shared" si="609"/>
        <v>2209.5513386880862</v>
      </c>
      <c r="BP673" s="449">
        <f t="shared" si="609"/>
        <v>2209.5513386880862</v>
      </c>
      <c r="BQ673" s="449">
        <f t="shared" si="609"/>
        <v>2209.5513386880862</v>
      </c>
      <c r="BR673" s="449">
        <f t="shared" si="609"/>
        <v>2209.5513386880862</v>
      </c>
      <c r="BS673" s="449">
        <f t="shared" si="609"/>
        <v>2209.5513386880862</v>
      </c>
      <c r="BT673" s="449">
        <f t="shared" si="609"/>
        <v>2209.5513386880862</v>
      </c>
    </row>
    <row r="674" spans="1:72" ht="15" x14ac:dyDescent="0.25">
      <c r="A674" s="502" t="s">
        <v>1083</v>
      </c>
      <c r="B674" s="502" t="s">
        <v>1084</v>
      </c>
      <c r="C674" s="538"/>
      <c r="D674" s="500">
        <f t="shared" si="594"/>
        <v>38580</v>
      </c>
      <c r="E674" s="449">
        <v>38580</v>
      </c>
      <c r="F674" s="449">
        <f t="shared" si="595"/>
        <v>0</v>
      </c>
      <c r="G674" s="421">
        <f t="shared" si="596"/>
        <v>0</v>
      </c>
      <c r="H674" s="449">
        <v>38580</v>
      </c>
      <c r="I674" s="449">
        <f t="shared" si="597"/>
        <v>0</v>
      </c>
      <c r="J674" s="426">
        <f t="shared" si="598"/>
        <v>0</v>
      </c>
      <c r="K674" s="421"/>
      <c r="L674" s="449">
        <v>0</v>
      </c>
      <c r="M674" s="449">
        <v>0</v>
      </c>
      <c r="N674" s="449">
        <v>0</v>
      </c>
      <c r="O674" s="449">
        <v>0</v>
      </c>
      <c r="P674" s="449">
        <v>975</v>
      </c>
      <c r="Q674" s="449">
        <v>-975</v>
      </c>
      <c r="R674" s="449">
        <f>($H674-SUM($L674:Q674))/R$694</f>
        <v>6430</v>
      </c>
      <c r="S674" s="449">
        <f>($H674-SUM($L674:R674))/S$694</f>
        <v>6430</v>
      </c>
      <c r="T674" s="449">
        <f>($H674-SUM($L674:S674))/T$694</f>
        <v>6430</v>
      </c>
      <c r="U674" s="449">
        <f>($H674-SUM($L674:T674))/U$694</f>
        <v>6430</v>
      </c>
      <c r="V674" s="449">
        <f>($H674-SUM($L674:U674))/V$694</f>
        <v>6430</v>
      </c>
      <c r="W674" s="449">
        <f>($H674-SUM($L674:V674))/W$694</f>
        <v>6430</v>
      </c>
      <c r="X674" s="449"/>
      <c r="Y674" s="449">
        <f t="shared" si="599"/>
        <v>38580</v>
      </c>
      <c r="Z674" s="531"/>
      <c r="AA674" s="449">
        <f t="shared" si="600"/>
        <v>3215</v>
      </c>
      <c r="AB674" s="449">
        <f t="shared" si="600"/>
        <v>3215</v>
      </c>
      <c r="AC674" s="449">
        <f t="shared" si="600"/>
        <v>3215</v>
      </c>
      <c r="AD674" s="449">
        <f t="shared" si="600"/>
        <v>3215</v>
      </c>
      <c r="AE674" s="449">
        <f t="shared" si="600"/>
        <v>3215</v>
      </c>
      <c r="AF674" s="449">
        <f t="shared" si="600"/>
        <v>3215</v>
      </c>
      <c r="AG674" s="449">
        <f t="shared" si="600"/>
        <v>3215</v>
      </c>
      <c r="AH674" s="449">
        <f t="shared" si="600"/>
        <v>3215</v>
      </c>
      <c r="AI674" s="449">
        <f t="shared" si="600"/>
        <v>3215</v>
      </c>
      <c r="AJ674" s="449">
        <f t="shared" si="600"/>
        <v>3215</v>
      </c>
      <c r="AK674" s="449">
        <f t="shared" si="600"/>
        <v>3215</v>
      </c>
      <c r="AL674" s="449">
        <f t="shared" si="600"/>
        <v>3215</v>
      </c>
      <c r="AN674" s="500">
        <f t="shared" si="601"/>
        <v>38580</v>
      </c>
      <c r="AO674" s="449">
        <f t="shared" si="602"/>
        <v>42422.506024096372</v>
      </c>
      <c r="AP674" s="449">
        <f t="shared" si="603"/>
        <v>3842.5060240963721</v>
      </c>
      <c r="AQ674" s="453">
        <f t="shared" si="604"/>
        <v>9.959839357429684E-2</v>
      </c>
      <c r="AR674" s="449">
        <f t="shared" si="605"/>
        <v>42422.506024096372</v>
      </c>
      <c r="AS674" s="449">
        <f t="shared" si="606"/>
        <v>0</v>
      </c>
      <c r="AT674" s="426">
        <f t="shared" si="607"/>
        <v>0</v>
      </c>
      <c r="AU674" s="421"/>
      <c r="AV674" s="449">
        <f t="shared" si="608"/>
        <v>3535.2088353413656</v>
      </c>
      <c r="AW674" s="449">
        <f t="shared" si="608"/>
        <v>3535.2088353413656</v>
      </c>
      <c r="AX674" s="449">
        <f t="shared" si="608"/>
        <v>3535.2088353413656</v>
      </c>
      <c r="AY674" s="449">
        <f t="shared" si="608"/>
        <v>3535.2088353413656</v>
      </c>
      <c r="AZ674" s="449">
        <f t="shared" si="608"/>
        <v>3535.2088353413656</v>
      </c>
      <c r="BA674" s="449">
        <f t="shared" si="608"/>
        <v>3535.2088353413656</v>
      </c>
      <c r="BB674" s="449">
        <f t="shared" si="608"/>
        <v>3535.2088353413656</v>
      </c>
      <c r="BC674" s="449">
        <f t="shared" si="608"/>
        <v>3535.2088353413656</v>
      </c>
      <c r="BD674" s="449">
        <f t="shared" si="608"/>
        <v>3535.2088353413656</v>
      </c>
      <c r="BE674" s="449">
        <f t="shared" si="608"/>
        <v>3535.2088353413656</v>
      </c>
      <c r="BF674" s="449">
        <f t="shared" si="608"/>
        <v>3535.2088353413656</v>
      </c>
      <c r="BG674" s="449">
        <f t="shared" si="608"/>
        <v>3535.2088353413656</v>
      </c>
      <c r="BH674" s="400"/>
      <c r="BI674" s="449">
        <f t="shared" si="609"/>
        <v>3535.2088353413656</v>
      </c>
      <c r="BJ674" s="449">
        <f t="shared" si="609"/>
        <v>3535.2088353413656</v>
      </c>
      <c r="BK674" s="449">
        <f t="shared" si="609"/>
        <v>3535.2088353413656</v>
      </c>
      <c r="BL674" s="449">
        <f t="shared" si="609"/>
        <v>3535.2088353413656</v>
      </c>
      <c r="BM674" s="449">
        <f t="shared" si="609"/>
        <v>3535.2088353413656</v>
      </c>
      <c r="BN674" s="449">
        <f t="shared" si="609"/>
        <v>3535.2088353413656</v>
      </c>
      <c r="BO674" s="449">
        <f t="shared" si="609"/>
        <v>3535.2088353413656</v>
      </c>
      <c r="BP674" s="449">
        <f t="shared" si="609"/>
        <v>3535.2088353413656</v>
      </c>
      <c r="BQ674" s="449">
        <f t="shared" si="609"/>
        <v>3535.2088353413656</v>
      </c>
      <c r="BR674" s="449">
        <f t="shared" si="609"/>
        <v>3535.2088353413656</v>
      </c>
      <c r="BS674" s="449">
        <f t="shared" si="609"/>
        <v>3535.2088353413656</v>
      </c>
      <c r="BT674" s="449">
        <f t="shared" si="609"/>
        <v>3535.2088353413656</v>
      </c>
    </row>
    <row r="675" spans="1:72" ht="15" x14ac:dyDescent="0.25">
      <c r="A675" s="502" t="s">
        <v>1085</v>
      </c>
      <c r="B675" s="502" t="s">
        <v>1086</v>
      </c>
      <c r="C675" s="538"/>
      <c r="D675" s="500">
        <f t="shared" si="594"/>
        <v>2572</v>
      </c>
      <c r="E675" s="449">
        <v>2572</v>
      </c>
      <c r="F675" s="449">
        <f t="shared" si="595"/>
        <v>0</v>
      </c>
      <c r="G675" s="421">
        <f t="shared" si="596"/>
        <v>0</v>
      </c>
      <c r="H675" s="449">
        <v>2572</v>
      </c>
      <c r="I675" s="449">
        <f t="shared" si="597"/>
        <v>0</v>
      </c>
      <c r="J675" s="426">
        <f t="shared" si="598"/>
        <v>0</v>
      </c>
      <c r="K675" s="421"/>
      <c r="L675" s="449">
        <v>0</v>
      </c>
      <c r="M675" s="449">
        <v>0</v>
      </c>
      <c r="N675" s="449">
        <v>0</v>
      </c>
      <c r="O675" s="449">
        <v>0</v>
      </c>
      <c r="P675" s="449">
        <v>132.47</v>
      </c>
      <c r="Q675" s="449">
        <v>0</v>
      </c>
      <c r="R675" s="449">
        <f>($H675-SUM($L675:Q675))/R$694</f>
        <v>406.58833333333337</v>
      </c>
      <c r="S675" s="449">
        <f>($H675-SUM($L675:R675))/S$694</f>
        <v>406.58833333333331</v>
      </c>
      <c r="T675" s="449">
        <f>($H675-SUM($L675:S675))/T$694</f>
        <v>406.58833333333331</v>
      </c>
      <c r="U675" s="449">
        <f>($H675-SUM($L675:T675))/U$694</f>
        <v>406.58833333333331</v>
      </c>
      <c r="V675" s="449">
        <f>($H675-SUM($L675:U675))/V$694</f>
        <v>406.58833333333325</v>
      </c>
      <c r="W675" s="449">
        <f>($H675-SUM($L675:V675))/W$694</f>
        <v>406.58833333333314</v>
      </c>
      <c r="X675" s="449"/>
      <c r="Y675" s="449">
        <f t="shared" si="599"/>
        <v>2572</v>
      </c>
      <c r="Z675" s="531"/>
      <c r="AA675" s="449">
        <f t="shared" si="600"/>
        <v>214.33333333333334</v>
      </c>
      <c r="AB675" s="449">
        <f t="shared" si="600"/>
        <v>214.33333333333334</v>
      </c>
      <c r="AC675" s="449">
        <f t="shared" si="600"/>
        <v>214.33333333333334</v>
      </c>
      <c r="AD675" s="449">
        <f t="shared" si="600"/>
        <v>214.33333333333334</v>
      </c>
      <c r="AE675" s="449">
        <f t="shared" si="600"/>
        <v>214.33333333333334</v>
      </c>
      <c r="AF675" s="449">
        <f t="shared" si="600"/>
        <v>214.33333333333334</v>
      </c>
      <c r="AG675" s="449">
        <f t="shared" si="600"/>
        <v>214.33333333333334</v>
      </c>
      <c r="AH675" s="449">
        <f t="shared" si="600"/>
        <v>214.33333333333334</v>
      </c>
      <c r="AI675" s="449">
        <f t="shared" si="600"/>
        <v>214.33333333333334</v>
      </c>
      <c r="AJ675" s="449">
        <f t="shared" si="600"/>
        <v>214.33333333333334</v>
      </c>
      <c r="AK675" s="449">
        <f t="shared" si="600"/>
        <v>214.33333333333334</v>
      </c>
      <c r="AL675" s="449">
        <f t="shared" si="600"/>
        <v>214.33333333333334</v>
      </c>
      <c r="AN675" s="500">
        <f t="shared" si="601"/>
        <v>2572</v>
      </c>
      <c r="AO675" s="449">
        <f t="shared" si="602"/>
        <v>2828.1670682730928</v>
      </c>
      <c r="AP675" s="449">
        <f t="shared" si="603"/>
        <v>256.16706827309281</v>
      </c>
      <c r="AQ675" s="453">
        <f t="shared" si="604"/>
        <v>9.9598393574297353E-2</v>
      </c>
      <c r="AR675" s="449">
        <f t="shared" si="605"/>
        <v>2828.1670682730928</v>
      </c>
      <c r="AS675" s="449">
        <f t="shared" si="606"/>
        <v>0</v>
      </c>
      <c r="AT675" s="426">
        <f t="shared" si="607"/>
        <v>0</v>
      </c>
      <c r="AU675" s="421"/>
      <c r="AV675" s="449">
        <f t="shared" si="608"/>
        <v>235.68058902275769</v>
      </c>
      <c r="AW675" s="449">
        <f t="shared" si="608"/>
        <v>235.68058902275769</v>
      </c>
      <c r="AX675" s="449">
        <f t="shared" si="608"/>
        <v>235.68058902275769</v>
      </c>
      <c r="AY675" s="449">
        <f t="shared" si="608"/>
        <v>235.68058902275769</v>
      </c>
      <c r="AZ675" s="449">
        <f t="shared" si="608"/>
        <v>235.68058902275769</v>
      </c>
      <c r="BA675" s="449">
        <f t="shared" si="608"/>
        <v>235.68058902275769</v>
      </c>
      <c r="BB675" s="449">
        <f t="shared" si="608"/>
        <v>235.68058902275769</v>
      </c>
      <c r="BC675" s="449">
        <f t="shared" si="608"/>
        <v>235.68058902275769</v>
      </c>
      <c r="BD675" s="449">
        <f t="shared" si="608"/>
        <v>235.68058902275769</v>
      </c>
      <c r="BE675" s="449">
        <f t="shared" si="608"/>
        <v>235.68058902275769</v>
      </c>
      <c r="BF675" s="449">
        <f t="shared" si="608"/>
        <v>235.68058902275769</v>
      </c>
      <c r="BG675" s="449">
        <f t="shared" si="608"/>
        <v>235.68058902275769</v>
      </c>
      <c r="BH675" s="400"/>
      <c r="BI675" s="449">
        <f t="shared" si="609"/>
        <v>235.68058902275769</v>
      </c>
      <c r="BJ675" s="449">
        <f t="shared" si="609"/>
        <v>235.68058902275769</v>
      </c>
      <c r="BK675" s="449">
        <f t="shared" si="609"/>
        <v>235.68058902275769</v>
      </c>
      <c r="BL675" s="449">
        <f t="shared" si="609"/>
        <v>235.68058902275769</v>
      </c>
      <c r="BM675" s="449">
        <f t="shared" si="609"/>
        <v>235.68058902275769</v>
      </c>
      <c r="BN675" s="449">
        <f t="shared" si="609"/>
        <v>235.68058902275769</v>
      </c>
      <c r="BO675" s="449">
        <f t="shared" si="609"/>
        <v>235.68058902275769</v>
      </c>
      <c r="BP675" s="449">
        <f t="shared" si="609"/>
        <v>235.68058902275769</v>
      </c>
      <c r="BQ675" s="449">
        <f t="shared" si="609"/>
        <v>235.68058902275769</v>
      </c>
      <c r="BR675" s="449">
        <f t="shared" si="609"/>
        <v>235.68058902275769</v>
      </c>
      <c r="BS675" s="449">
        <f t="shared" si="609"/>
        <v>235.68058902275769</v>
      </c>
      <c r="BT675" s="449">
        <f t="shared" si="609"/>
        <v>235.68058902275769</v>
      </c>
    </row>
    <row r="676" spans="1:72" ht="15" x14ac:dyDescent="0.25">
      <c r="A676" s="502" t="s">
        <v>1087</v>
      </c>
      <c r="B676" s="502" t="s">
        <v>1088</v>
      </c>
      <c r="C676" s="538"/>
      <c r="D676" s="500">
        <f t="shared" si="594"/>
        <v>7038.62</v>
      </c>
      <c r="E676" s="449">
        <v>6751.5</v>
      </c>
      <c r="F676" s="449">
        <f t="shared" si="595"/>
        <v>287.11999999999989</v>
      </c>
      <c r="G676" s="421">
        <f t="shared" si="596"/>
        <v>4.2526845886099368E-2</v>
      </c>
      <c r="H676" s="449">
        <v>6752</v>
      </c>
      <c r="I676" s="449">
        <f t="shared" si="597"/>
        <v>286.61999999999989</v>
      </c>
      <c r="J676" s="426">
        <f t="shared" si="598"/>
        <v>4.2449644549763015E-2</v>
      </c>
      <c r="K676" s="421"/>
      <c r="L676" s="449">
        <v>0</v>
      </c>
      <c r="M676" s="449">
        <v>1021.76</v>
      </c>
      <c r="N676" s="449">
        <v>1144.9100000000001</v>
      </c>
      <c r="O676" s="449">
        <v>0</v>
      </c>
      <c r="P676" s="449">
        <v>4871.95</v>
      </c>
      <c r="Q676" s="449">
        <v>0</v>
      </c>
      <c r="R676" s="449">
        <v>0</v>
      </c>
      <c r="S676" s="449">
        <v>0</v>
      </c>
      <c r="T676" s="449">
        <v>0</v>
      </c>
      <c r="U676" s="449">
        <v>0</v>
      </c>
      <c r="V676" s="449">
        <v>0</v>
      </c>
      <c r="W676" s="449">
        <v>0</v>
      </c>
      <c r="X676" s="449"/>
      <c r="Y676" s="449">
        <f t="shared" si="599"/>
        <v>7038.62</v>
      </c>
      <c r="Z676" s="531"/>
      <c r="AA676" s="449">
        <f t="shared" si="600"/>
        <v>562.66666666666663</v>
      </c>
      <c r="AB676" s="449">
        <f t="shared" si="600"/>
        <v>562.66666666666663</v>
      </c>
      <c r="AC676" s="449">
        <f t="shared" si="600"/>
        <v>562.66666666666663</v>
      </c>
      <c r="AD676" s="449">
        <f t="shared" si="600"/>
        <v>562.66666666666663</v>
      </c>
      <c r="AE676" s="449">
        <f t="shared" si="600"/>
        <v>562.66666666666663</v>
      </c>
      <c r="AF676" s="449">
        <f t="shared" si="600"/>
        <v>562.66666666666663</v>
      </c>
      <c r="AG676" s="449">
        <f t="shared" si="600"/>
        <v>562.66666666666663</v>
      </c>
      <c r="AH676" s="449">
        <f t="shared" si="600"/>
        <v>562.66666666666663</v>
      </c>
      <c r="AI676" s="449">
        <f t="shared" si="600"/>
        <v>562.66666666666663</v>
      </c>
      <c r="AJ676" s="449">
        <f t="shared" si="600"/>
        <v>562.66666666666663</v>
      </c>
      <c r="AK676" s="449">
        <f t="shared" si="600"/>
        <v>562.66666666666663</v>
      </c>
      <c r="AL676" s="449">
        <f t="shared" si="600"/>
        <v>562.66666666666663</v>
      </c>
      <c r="AN676" s="500">
        <f t="shared" si="601"/>
        <v>7038.62</v>
      </c>
      <c r="AO676" s="449">
        <f t="shared" si="602"/>
        <v>7739.6552449799201</v>
      </c>
      <c r="AP676" s="449">
        <f t="shared" si="603"/>
        <v>701.03524497992021</v>
      </c>
      <c r="AQ676" s="453">
        <f t="shared" si="604"/>
        <v>9.959839357429727E-2</v>
      </c>
      <c r="AR676" s="449">
        <f t="shared" si="605"/>
        <v>7739.6552449799201</v>
      </c>
      <c r="AS676" s="449">
        <f t="shared" si="606"/>
        <v>0</v>
      </c>
      <c r="AT676" s="426">
        <f t="shared" si="607"/>
        <v>0</v>
      </c>
      <c r="AU676" s="421"/>
      <c r="AV676" s="449">
        <f t="shared" si="608"/>
        <v>644.97127041499334</v>
      </c>
      <c r="AW676" s="449">
        <f t="shared" si="608"/>
        <v>644.97127041499334</v>
      </c>
      <c r="AX676" s="449">
        <f t="shared" si="608"/>
        <v>644.97127041499334</v>
      </c>
      <c r="AY676" s="449">
        <f t="shared" si="608"/>
        <v>644.97127041499334</v>
      </c>
      <c r="AZ676" s="449">
        <f t="shared" si="608"/>
        <v>644.97127041499334</v>
      </c>
      <c r="BA676" s="449">
        <f t="shared" si="608"/>
        <v>644.97127041499334</v>
      </c>
      <c r="BB676" s="449">
        <f t="shared" si="608"/>
        <v>644.97127041499334</v>
      </c>
      <c r="BC676" s="449">
        <f t="shared" si="608"/>
        <v>644.97127041499334</v>
      </c>
      <c r="BD676" s="449">
        <f t="shared" si="608"/>
        <v>644.97127041499334</v>
      </c>
      <c r="BE676" s="449">
        <f t="shared" si="608"/>
        <v>644.97127041499334</v>
      </c>
      <c r="BF676" s="449">
        <f t="shared" si="608"/>
        <v>644.97127041499334</v>
      </c>
      <c r="BG676" s="449">
        <f t="shared" si="608"/>
        <v>644.97127041499334</v>
      </c>
      <c r="BH676" s="400"/>
      <c r="BI676" s="449">
        <f t="shared" ref="BI676:BT676" si="610">IFERROR((($D676/$H$5)*BI$5)/12,0)</f>
        <v>644.97127041499334</v>
      </c>
      <c r="BJ676" s="449">
        <f t="shared" si="610"/>
        <v>644.97127041499334</v>
      </c>
      <c r="BK676" s="449">
        <f t="shared" si="610"/>
        <v>644.97127041499334</v>
      </c>
      <c r="BL676" s="449">
        <f t="shared" si="610"/>
        <v>644.97127041499334</v>
      </c>
      <c r="BM676" s="449">
        <f t="shared" si="610"/>
        <v>644.97127041499334</v>
      </c>
      <c r="BN676" s="449">
        <f t="shared" si="610"/>
        <v>644.97127041499334</v>
      </c>
      <c r="BO676" s="449">
        <f t="shared" si="610"/>
        <v>644.97127041499334</v>
      </c>
      <c r="BP676" s="449">
        <f t="shared" si="610"/>
        <v>644.97127041499334</v>
      </c>
      <c r="BQ676" s="449">
        <f t="shared" si="610"/>
        <v>644.97127041499334</v>
      </c>
      <c r="BR676" s="449">
        <f t="shared" si="610"/>
        <v>644.97127041499334</v>
      </c>
      <c r="BS676" s="449">
        <f t="shared" si="610"/>
        <v>644.97127041499334</v>
      </c>
      <c r="BT676" s="449">
        <f t="shared" si="610"/>
        <v>644.97127041499334</v>
      </c>
    </row>
    <row r="677" spans="1:72" ht="15" x14ac:dyDescent="0.25">
      <c r="A677" s="502" t="s">
        <v>1089</v>
      </c>
      <c r="B677" s="502" t="s">
        <v>1090</v>
      </c>
      <c r="C677" s="538"/>
      <c r="D677" s="500">
        <f t="shared" si="594"/>
        <v>32150</v>
      </c>
      <c r="E677" s="449">
        <v>32150</v>
      </c>
      <c r="F677" s="449">
        <f t="shared" si="595"/>
        <v>0</v>
      </c>
      <c r="G677" s="421">
        <f t="shared" si="596"/>
        <v>0</v>
      </c>
      <c r="H677" s="449">
        <v>32150</v>
      </c>
      <c r="I677" s="449">
        <f t="shared" si="597"/>
        <v>0</v>
      </c>
      <c r="J677" s="426">
        <f t="shared" si="598"/>
        <v>0</v>
      </c>
      <c r="K677" s="421"/>
      <c r="L677" s="449">
        <v>0</v>
      </c>
      <c r="M677" s="449">
        <v>0</v>
      </c>
      <c r="N677" s="449">
        <v>0</v>
      </c>
      <c r="O677" s="449">
        <v>0</v>
      </c>
      <c r="P677" s="449">
        <v>1492.01</v>
      </c>
      <c r="Q677" s="449">
        <v>0</v>
      </c>
      <c r="R677" s="449">
        <f>($H677-SUM($L677:Q677))/R$694</f>
        <v>5109.665</v>
      </c>
      <c r="S677" s="449">
        <f>($H677-SUM($L677:R677))/S$694</f>
        <v>5109.665</v>
      </c>
      <c r="T677" s="449">
        <f>($H677-SUM($L677:S677))/T$694</f>
        <v>5109.665</v>
      </c>
      <c r="U677" s="449">
        <f>($H677-SUM($L677:T677))/U$694</f>
        <v>5109.665</v>
      </c>
      <c r="V677" s="449">
        <f>($H677-SUM($L677:U677))/V$694</f>
        <v>5109.6649999999991</v>
      </c>
      <c r="W677" s="449">
        <f>($H677-SUM($L677:V677))/W$694</f>
        <v>5109.6650000000009</v>
      </c>
      <c r="X677" s="449"/>
      <c r="Y677" s="449">
        <f t="shared" si="599"/>
        <v>32150</v>
      </c>
      <c r="Z677" s="531"/>
      <c r="AA677" s="449">
        <f t="shared" si="600"/>
        <v>2679.1666666666665</v>
      </c>
      <c r="AB677" s="449">
        <f t="shared" si="600"/>
        <v>2679.1666666666665</v>
      </c>
      <c r="AC677" s="449">
        <f t="shared" si="600"/>
        <v>2679.1666666666665</v>
      </c>
      <c r="AD677" s="449">
        <f t="shared" si="600"/>
        <v>2679.1666666666665</v>
      </c>
      <c r="AE677" s="449">
        <f t="shared" si="600"/>
        <v>2679.1666666666665</v>
      </c>
      <c r="AF677" s="449">
        <f t="shared" si="600"/>
        <v>2679.1666666666665</v>
      </c>
      <c r="AG677" s="449">
        <f t="shared" si="600"/>
        <v>2679.1666666666665</v>
      </c>
      <c r="AH677" s="449">
        <f t="shared" si="600"/>
        <v>2679.1666666666665</v>
      </c>
      <c r="AI677" s="449">
        <f t="shared" si="600"/>
        <v>2679.1666666666665</v>
      </c>
      <c r="AJ677" s="449">
        <f t="shared" si="600"/>
        <v>2679.1666666666665</v>
      </c>
      <c r="AK677" s="449">
        <f t="shared" si="600"/>
        <v>2679.1666666666665</v>
      </c>
      <c r="AL677" s="449">
        <f t="shared" si="600"/>
        <v>2679.1666666666665</v>
      </c>
      <c r="AN677" s="500">
        <f t="shared" si="601"/>
        <v>32150</v>
      </c>
      <c r="AO677" s="449">
        <f t="shared" si="602"/>
        <v>35352.088353413659</v>
      </c>
      <c r="AP677" s="449">
        <f t="shared" si="603"/>
        <v>3202.0883534136592</v>
      </c>
      <c r="AQ677" s="453">
        <f t="shared" si="604"/>
        <v>9.9598393574297325E-2</v>
      </c>
      <c r="AR677" s="449">
        <f t="shared" si="605"/>
        <v>35352.088353413659</v>
      </c>
      <c r="AS677" s="449">
        <f t="shared" si="606"/>
        <v>0</v>
      </c>
      <c r="AT677" s="426">
        <f t="shared" si="607"/>
        <v>0</v>
      </c>
      <c r="AU677" s="421"/>
      <c r="AV677" s="449">
        <f t="shared" si="608"/>
        <v>2946.0073627844718</v>
      </c>
      <c r="AW677" s="449">
        <f t="shared" si="608"/>
        <v>2946.0073627844718</v>
      </c>
      <c r="AX677" s="449">
        <f t="shared" si="608"/>
        <v>2946.0073627844718</v>
      </c>
      <c r="AY677" s="449">
        <f t="shared" si="608"/>
        <v>2946.0073627844718</v>
      </c>
      <c r="AZ677" s="449">
        <f t="shared" si="608"/>
        <v>2946.0073627844718</v>
      </c>
      <c r="BA677" s="449">
        <f t="shared" si="608"/>
        <v>2946.0073627844718</v>
      </c>
      <c r="BB677" s="449">
        <f t="shared" si="608"/>
        <v>2946.0073627844718</v>
      </c>
      <c r="BC677" s="449">
        <f t="shared" si="608"/>
        <v>2946.0073627844718</v>
      </c>
      <c r="BD677" s="449">
        <f t="shared" si="608"/>
        <v>2946.0073627844718</v>
      </c>
      <c r="BE677" s="449">
        <f t="shared" si="608"/>
        <v>2946.0073627844718</v>
      </c>
      <c r="BF677" s="449">
        <f t="shared" si="608"/>
        <v>2946.0073627844718</v>
      </c>
      <c r="BG677" s="449">
        <f t="shared" si="608"/>
        <v>2946.0073627844718</v>
      </c>
      <c r="BH677" s="400"/>
      <c r="BI677" s="449">
        <f t="shared" ref="BI677:BT679" si="611">IFERROR((($H677/$H$5)*BI$5)/12,0)</f>
        <v>2946.0073627844718</v>
      </c>
      <c r="BJ677" s="449">
        <f t="shared" si="611"/>
        <v>2946.0073627844718</v>
      </c>
      <c r="BK677" s="449">
        <f t="shared" si="611"/>
        <v>2946.0073627844718</v>
      </c>
      <c r="BL677" s="449">
        <f t="shared" si="611"/>
        <v>2946.0073627844718</v>
      </c>
      <c r="BM677" s="449">
        <f t="shared" si="611"/>
        <v>2946.0073627844718</v>
      </c>
      <c r="BN677" s="449">
        <f t="shared" si="611"/>
        <v>2946.0073627844718</v>
      </c>
      <c r="BO677" s="449">
        <f t="shared" si="611"/>
        <v>2946.0073627844718</v>
      </c>
      <c r="BP677" s="449">
        <f t="shared" si="611"/>
        <v>2946.0073627844718</v>
      </c>
      <c r="BQ677" s="449">
        <f t="shared" si="611"/>
        <v>2946.0073627844718</v>
      </c>
      <c r="BR677" s="449">
        <f t="shared" si="611"/>
        <v>2946.0073627844718</v>
      </c>
      <c r="BS677" s="449">
        <f t="shared" si="611"/>
        <v>2946.0073627844718</v>
      </c>
      <c r="BT677" s="449">
        <f t="shared" si="611"/>
        <v>2946.0073627844718</v>
      </c>
    </row>
    <row r="678" spans="1:72" ht="15" customHeight="1" x14ac:dyDescent="0.25">
      <c r="A678" s="502" t="s">
        <v>1091</v>
      </c>
      <c r="B678" s="502" t="s">
        <v>1092</v>
      </c>
      <c r="C678" s="538"/>
      <c r="D678" s="500">
        <f t="shared" si="594"/>
        <v>8038</v>
      </c>
      <c r="E678" s="449">
        <v>8037.5</v>
      </c>
      <c r="F678" s="449">
        <f t="shared" si="595"/>
        <v>0.5</v>
      </c>
      <c r="G678" s="421">
        <f t="shared" si="596"/>
        <v>6.2208398133748054E-5</v>
      </c>
      <c r="H678" s="449">
        <v>8038</v>
      </c>
      <c r="I678" s="449">
        <f t="shared" si="597"/>
        <v>0</v>
      </c>
      <c r="J678" s="426">
        <f t="shared" si="598"/>
        <v>0</v>
      </c>
      <c r="K678" s="421"/>
      <c r="L678" s="449">
        <v>0</v>
      </c>
      <c r="M678" s="449">
        <v>0</v>
      </c>
      <c r="N678" s="449">
        <v>0</v>
      </c>
      <c r="O678" s="449">
        <v>0</v>
      </c>
      <c r="P678" s="449">
        <v>0</v>
      </c>
      <c r="Q678" s="449">
        <v>0</v>
      </c>
      <c r="R678" s="449">
        <f>($H678-SUM($L678:Q678))/R$694</f>
        <v>1339.6666666666667</v>
      </c>
      <c r="S678" s="449">
        <f>($H678-SUM($L678:R678))/S$694</f>
        <v>1339.6666666666665</v>
      </c>
      <c r="T678" s="449">
        <f>($H678-SUM($L678:S678))/T$694</f>
        <v>1339.6666666666667</v>
      </c>
      <c r="U678" s="449">
        <f>($H678-SUM($L678:T678))/U$694</f>
        <v>1339.6666666666667</v>
      </c>
      <c r="V678" s="449">
        <f>($H678-SUM($L678:U678))/V$694</f>
        <v>1339.6666666666665</v>
      </c>
      <c r="W678" s="449">
        <f>($H678-SUM($L678:V678))/W$694</f>
        <v>1339.6666666666661</v>
      </c>
      <c r="X678" s="449"/>
      <c r="Y678" s="449">
        <f t="shared" si="599"/>
        <v>8038</v>
      </c>
      <c r="Z678" s="531"/>
      <c r="AA678" s="449">
        <f t="shared" si="600"/>
        <v>669.83333333333337</v>
      </c>
      <c r="AB678" s="449">
        <f t="shared" si="600"/>
        <v>669.83333333333337</v>
      </c>
      <c r="AC678" s="449">
        <f t="shared" si="600"/>
        <v>669.83333333333337</v>
      </c>
      <c r="AD678" s="449">
        <f t="shared" si="600"/>
        <v>669.83333333333337</v>
      </c>
      <c r="AE678" s="449">
        <f t="shared" si="600"/>
        <v>669.83333333333337</v>
      </c>
      <c r="AF678" s="449">
        <f t="shared" si="600"/>
        <v>669.83333333333337</v>
      </c>
      <c r="AG678" s="449">
        <f t="shared" si="600"/>
        <v>669.83333333333337</v>
      </c>
      <c r="AH678" s="449">
        <f t="shared" si="600"/>
        <v>669.83333333333337</v>
      </c>
      <c r="AI678" s="449">
        <f t="shared" si="600"/>
        <v>669.83333333333337</v>
      </c>
      <c r="AJ678" s="449">
        <f t="shared" si="600"/>
        <v>669.83333333333337</v>
      </c>
      <c r="AK678" s="449">
        <f t="shared" si="600"/>
        <v>669.83333333333337</v>
      </c>
      <c r="AL678" s="449">
        <f t="shared" si="600"/>
        <v>669.83333333333337</v>
      </c>
      <c r="AN678" s="500">
        <f t="shared" si="601"/>
        <v>8038</v>
      </c>
      <c r="AO678" s="449">
        <f t="shared" si="602"/>
        <v>8838.5718875502025</v>
      </c>
      <c r="AP678" s="449">
        <f t="shared" si="603"/>
        <v>800.57188755020252</v>
      </c>
      <c r="AQ678" s="453">
        <f t="shared" si="604"/>
        <v>9.9598393574297409E-2</v>
      </c>
      <c r="AR678" s="449">
        <f t="shared" si="605"/>
        <v>8838.5718875502025</v>
      </c>
      <c r="AS678" s="449">
        <f t="shared" si="606"/>
        <v>0</v>
      </c>
      <c r="AT678" s="426">
        <f t="shared" si="607"/>
        <v>0</v>
      </c>
      <c r="AU678" s="421"/>
      <c r="AV678" s="449">
        <f t="shared" si="608"/>
        <v>736.54765729585006</v>
      </c>
      <c r="AW678" s="449">
        <f t="shared" si="608"/>
        <v>736.54765729585006</v>
      </c>
      <c r="AX678" s="449">
        <f t="shared" si="608"/>
        <v>736.54765729585006</v>
      </c>
      <c r="AY678" s="449">
        <f t="shared" si="608"/>
        <v>736.54765729585006</v>
      </c>
      <c r="AZ678" s="449">
        <f t="shared" si="608"/>
        <v>736.54765729585006</v>
      </c>
      <c r="BA678" s="449">
        <f t="shared" si="608"/>
        <v>736.54765729585006</v>
      </c>
      <c r="BB678" s="449">
        <f t="shared" si="608"/>
        <v>736.54765729585006</v>
      </c>
      <c r="BC678" s="449">
        <f t="shared" si="608"/>
        <v>736.54765729585006</v>
      </c>
      <c r="BD678" s="449">
        <f t="shared" si="608"/>
        <v>736.54765729585006</v>
      </c>
      <c r="BE678" s="449">
        <f t="shared" si="608"/>
        <v>736.54765729585006</v>
      </c>
      <c r="BF678" s="449">
        <f t="shared" si="608"/>
        <v>736.54765729585006</v>
      </c>
      <c r="BG678" s="449">
        <f t="shared" si="608"/>
        <v>736.54765729585006</v>
      </c>
      <c r="BH678" s="400"/>
      <c r="BI678" s="449">
        <f t="shared" si="611"/>
        <v>736.54765729585006</v>
      </c>
      <c r="BJ678" s="449">
        <f t="shared" si="611"/>
        <v>736.54765729585006</v>
      </c>
      <c r="BK678" s="449">
        <f t="shared" si="611"/>
        <v>736.54765729585006</v>
      </c>
      <c r="BL678" s="449">
        <f t="shared" si="611"/>
        <v>736.54765729585006</v>
      </c>
      <c r="BM678" s="449">
        <f t="shared" si="611"/>
        <v>736.54765729585006</v>
      </c>
      <c r="BN678" s="449">
        <f t="shared" si="611"/>
        <v>736.54765729585006</v>
      </c>
      <c r="BO678" s="449">
        <f t="shared" si="611"/>
        <v>736.54765729585006</v>
      </c>
      <c r="BP678" s="449">
        <f t="shared" si="611"/>
        <v>736.54765729585006</v>
      </c>
      <c r="BQ678" s="449">
        <f t="shared" si="611"/>
        <v>736.54765729585006</v>
      </c>
      <c r="BR678" s="449">
        <f t="shared" si="611"/>
        <v>736.54765729585006</v>
      </c>
      <c r="BS678" s="449">
        <f t="shared" si="611"/>
        <v>736.54765729585006</v>
      </c>
      <c r="BT678" s="449">
        <f t="shared" si="611"/>
        <v>736.54765729585006</v>
      </c>
    </row>
    <row r="679" spans="1:72" ht="15" customHeight="1" x14ac:dyDescent="0.25">
      <c r="A679" s="502" t="s">
        <v>1093</v>
      </c>
      <c r="B679" s="502" t="s">
        <v>1094</v>
      </c>
      <c r="C679" s="538"/>
      <c r="D679" s="500">
        <f t="shared" si="594"/>
        <v>4823</v>
      </c>
      <c r="E679" s="449">
        <v>4822.5</v>
      </c>
      <c r="F679" s="449">
        <f t="shared" si="595"/>
        <v>0.5</v>
      </c>
      <c r="G679" s="421">
        <f t="shared" si="596"/>
        <v>1.0368066355624676E-4</v>
      </c>
      <c r="H679" s="449">
        <v>4823</v>
      </c>
      <c r="I679" s="449">
        <f t="shared" si="597"/>
        <v>0</v>
      </c>
      <c r="J679" s="426">
        <f t="shared" si="598"/>
        <v>0</v>
      </c>
      <c r="K679" s="421"/>
      <c r="L679" s="449">
        <v>469</v>
      </c>
      <c r="M679" s="449">
        <v>230.39999999999998</v>
      </c>
      <c r="N679" s="449">
        <v>0</v>
      </c>
      <c r="O679" s="449">
        <v>1065.83</v>
      </c>
      <c r="P679" s="449">
        <v>262.53999999999996</v>
      </c>
      <c r="Q679" s="449">
        <v>661.7199999999998</v>
      </c>
      <c r="R679" s="449">
        <f>($H679-SUM($L679:Q679))/R$694</f>
        <v>355.58500000000004</v>
      </c>
      <c r="S679" s="449">
        <f>($H679-SUM($L679:R679))/S$694</f>
        <v>355.58500000000004</v>
      </c>
      <c r="T679" s="449">
        <f>($H679-SUM($L679:S679))/T$694</f>
        <v>355.58500000000004</v>
      </c>
      <c r="U679" s="449">
        <f>($H679-SUM($L679:T679))/U$694</f>
        <v>355.58500000000004</v>
      </c>
      <c r="V679" s="449">
        <f>($H679-SUM($L679:U679))/V$694</f>
        <v>355.58500000000004</v>
      </c>
      <c r="W679" s="449">
        <f>($H679-SUM($L679:V679))/W$694</f>
        <v>355.58500000000004</v>
      </c>
      <c r="X679" s="449"/>
      <c r="Y679" s="449">
        <f t="shared" si="599"/>
        <v>4823</v>
      </c>
      <c r="Z679" s="531"/>
      <c r="AA679" s="449">
        <f t="shared" si="600"/>
        <v>401.91666666666669</v>
      </c>
      <c r="AB679" s="449">
        <f t="shared" si="600"/>
        <v>401.91666666666669</v>
      </c>
      <c r="AC679" s="449">
        <f t="shared" si="600"/>
        <v>401.91666666666669</v>
      </c>
      <c r="AD679" s="449">
        <f t="shared" si="600"/>
        <v>401.91666666666669</v>
      </c>
      <c r="AE679" s="449">
        <f t="shared" si="600"/>
        <v>401.91666666666669</v>
      </c>
      <c r="AF679" s="449">
        <f t="shared" si="600"/>
        <v>401.91666666666669</v>
      </c>
      <c r="AG679" s="449">
        <f t="shared" si="600"/>
        <v>401.91666666666669</v>
      </c>
      <c r="AH679" s="449">
        <f t="shared" si="600"/>
        <v>401.91666666666669</v>
      </c>
      <c r="AI679" s="449">
        <f t="shared" si="600"/>
        <v>401.91666666666669</v>
      </c>
      <c r="AJ679" s="449">
        <f t="shared" si="600"/>
        <v>401.91666666666669</v>
      </c>
      <c r="AK679" s="449">
        <f t="shared" si="600"/>
        <v>401.91666666666669</v>
      </c>
      <c r="AL679" s="449">
        <f t="shared" si="600"/>
        <v>401.91666666666669</v>
      </c>
      <c r="AN679" s="500">
        <f t="shared" si="601"/>
        <v>4823</v>
      </c>
      <c r="AO679" s="449">
        <f t="shared" si="602"/>
        <v>5303.3630522088351</v>
      </c>
      <c r="AP679" s="449">
        <f t="shared" si="603"/>
        <v>480.36305220883514</v>
      </c>
      <c r="AQ679" s="453">
        <f t="shared" si="604"/>
        <v>9.9598393574297145E-2</v>
      </c>
      <c r="AR679" s="449">
        <f t="shared" si="605"/>
        <v>5303.3630522088351</v>
      </c>
      <c r="AS679" s="449">
        <f t="shared" si="606"/>
        <v>0</v>
      </c>
      <c r="AT679" s="426">
        <f t="shared" si="607"/>
        <v>0</v>
      </c>
      <c r="AU679" s="421"/>
      <c r="AV679" s="449">
        <f t="shared" si="608"/>
        <v>441.94692101740293</v>
      </c>
      <c r="AW679" s="449">
        <f t="shared" si="608"/>
        <v>441.94692101740293</v>
      </c>
      <c r="AX679" s="449">
        <f t="shared" si="608"/>
        <v>441.94692101740293</v>
      </c>
      <c r="AY679" s="449">
        <f t="shared" si="608"/>
        <v>441.94692101740293</v>
      </c>
      <c r="AZ679" s="449">
        <f t="shared" si="608"/>
        <v>441.94692101740293</v>
      </c>
      <c r="BA679" s="449">
        <f t="shared" si="608"/>
        <v>441.94692101740293</v>
      </c>
      <c r="BB679" s="449">
        <f t="shared" si="608"/>
        <v>441.94692101740293</v>
      </c>
      <c r="BC679" s="449">
        <f t="shared" si="608"/>
        <v>441.94692101740293</v>
      </c>
      <c r="BD679" s="449">
        <f t="shared" si="608"/>
        <v>441.94692101740293</v>
      </c>
      <c r="BE679" s="449">
        <f t="shared" si="608"/>
        <v>441.94692101740293</v>
      </c>
      <c r="BF679" s="449">
        <f t="shared" si="608"/>
        <v>441.94692101740293</v>
      </c>
      <c r="BG679" s="449">
        <f t="shared" si="608"/>
        <v>441.94692101740293</v>
      </c>
      <c r="BH679" s="400"/>
      <c r="BI679" s="449">
        <f t="shared" si="611"/>
        <v>441.94692101740293</v>
      </c>
      <c r="BJ679" s="449">
        <f t="shared" si="611"/>
        <v>441.94692101740293</v>
      </c>
      <c r="BK679" s="449">
        <f t="shared" si="611"/>
        <v>441.94692101740293</v>
      </c>
      <c r="BL679" s="449">
        <f t="shared" si="611"/>
        <v>441.94692101740293</v>
      </c>
      <c r="BM679" s="449">
        <f t="shared" si="611"/>
        <v>441.94692101740293</v>
      </c>
      <c r="BN679" s="449">
        <f t="shared" si="611"/>
        <v>441.94692101740293</v>
      </c>
      <c r="BO679" s="449">
        <f t="shared" si="611"/>
        <v>441.94692101740293</v>
      </c>
      <c r="BP679" s="449">
        <f t="shared" si="611"/>
        <v>441.94692101740293</v>
      </c>
      <c r="BQ679" s="449">
        <f t="shared" si="611"/>
        <v>441.94692101740293</v>
      </c>
      <c r="BR679" s="449">
        <f t="shared" si="611"/>
        <v>441.94692101740293</v>
      </c>
      <c r="BS679" s="449">
        <f t="shared" si="611"/>
        <v>441.94692101740293</v>
      </c>
      <c r="BT679" s="449">
        <f t="shared" si="611"/>
        <v>441.94692101740293</v>
      </c>
    </row>
    <row r="680" spans="1:72" x14ac:dyDescent="0.25">
      <c r="D680" s="556"/>
      <c r="E680" s="407"/>
      <c r="H680" s="407"/>
      <c r="J680" s="557"/>
      <c r="L680" s="473"/>
      <c r="M680" s="473"/>
      <c r="N680" s="473"/>
      <c r="O680" s="473"/>
      <c r="P680" s="473"/>
      <c r="Q680" s="473"/>
      <c r="R680" s="473"/>
      <c r="S680" s="473"/>
      <c r="T680" s="473"/>
      <c r="U680" s="473"/>
      <c r="V680" s="473"/>
      <c r="W680" s="473"/>
      <c r="X680" s="473"/>
      <c r="Y680" s="473"/>
      <c r="AA680" s="473"/>
      <c r="AB680" s="473"/>
      <c r="AC680" s="473"/>
      <c r="AD680" s="473"/>
      <c r="AE680" s="473"/>
      <c r="AF680" s="473"/>
      <c r="AG680" s="473"/>
      <c r="AH680" s="473"/>
      <c r="AI680" s="473"/>
      <c r="AJ680" s="473"/>
      <c r="AK680" s="473"/>
      <c r="AL680" s="473"/>
      <c r="AN680" s="556"/>
      <c r="AO680" s="407"/>
      <c r="AQ680" s="517"/>
      <c r="AR680" s="407"/>
      <c r="AT680" s="557"/>
      <c r="AV680" s="473"/>
      <c r="AW680" s="473"/>
      <c r="AX680" s="473"/>
      <c r="AY680" s="473"/>
      <c r="AZ680" s="473"/>
      <c r="BA680" s="473"/>
      <c r="BB680" s="473"/>
      <c r="BC680" s="473"/>
      <c r="BD680" s="473"/>
      <c r="BE680" s="473"/>
      <c r="BF680" s="473"/>
      <c r="BG680" s="473"/>
      <c r="BI680" s="473"/>
      <c r="BJ680" s="473"/>
      <c r="BK680" s="473"/>
      <c r="BL680" s="473"/>
      <c r="BM680" s="473"/>
      <c r="BN680" s="473"/>
      <c r="BO680" s="473"/>
      <c r="BP680" s="473"/>
      <c r="BQ680" s="473"/>
      <c r="BR680" s="473"/>
      <c r="BS680" s="473"/>
      <c r="BT680" s="473"/>
    </row>
    <row r="681" spans="1:72" ht="15.75" thickBot="1" x14ac:dyDescent="0.3">
      <c r="B681" s="524" t="s">
        <v>1095</v>
      </c>
      <c r="D681" s="558">
        <f>SUM(D671:D680)</f>
        <v>165700.62</v>
      </c>
      <c r="E681" s="559">
        <f>SUM(E671:E680)</f>
        <v>165411.75</v>
      </c>
      <c r="F681" s="559">
        <f>IFERROR(D681-E681,0)</f>
        <v>288.86999999999534</v>
      </c>
      <c r="G681" s="560">
        <f>IFERROR(F681/ABS(E681),0)</f>
        <v>1.7463692875505843E-3</v>
      </c>
      <c r="H681" s="559">
        <f>SUM(H671:H680)</f>
        <v>165414</v>
      </c>
      <c r="I681" s="559">
        <f>IFERROR(D681-H681,0)</f>
        <v>286.61999999999534</v>
      </c>
      <c r="J681" s="561">
        <f>IFERROR(I681/ABS(H681),0)</f>
        <v>1.7327432986324939E-3</v>
      </c>
      <c r="K681" s="492"/>
      <c r="L681" s="559">
        <f>SUM(L671:L680)</f>
        <v>469</v>
      </c>
      <c r="M681" s="559">
        <f t="shared" ref="M681:W681" si="612">SUM(M671:M680)</f>
        <v>1252.1599999999999</v>
      </c>
      <c r="N681" s="559">
        <f t="shared" si="612"/>
        <v>1144.9100000000001</v>
      </c>
      <c r="O681" s="559">
        <f t="shared" si="612"/>
        <v>7673.33</v>
      </c>
      <c r="P681" s="559">
        <f t="shared" si="612"/>
        <v>11749.560000000001</v>
      </c>
      <c r="Q681" s="559">
        <f t="shared" si="612"/>
        <v>811.7199999999998</v>
      </c>
      <c r="R681" s="559">
        <f t="shared" si="612"/>
        <v>23766.656666666666</v>
      </c>
      <c r="S681" s="559">
        <f t="shared" si="612"/>
        <v>23766.656666666666</v>
      </c>
      <c r="T681" s="559">
        <f t="shared" si="612"/>
        <v>23766.656666666666</v>
      </c>
      <c r="U681" s="559">
        <f t="shared" si="612"/>
        <v>23766.656666666666</v>
      </c>
      <c r="V681" s="559">
        <f t="shared" si="612"/>
        <v>23766.656666666666</v>
      </c>
      <c r="W681" s="559">
        <f t="shared" si="612"/>
        <v>23766.656666666669</v>
      </c>
      <c r="X681" s="559"/>
      <c r="Y681" s="559">
        <f>SUM(L681:W681)</f>
        <v>165700.62</v>
      </c>
      <c r="Z681" s="562"/>
      <c r="AA681" s="559">
        <f t="shared" ref="AA681:AL681" si="613">SUM(AA671:AA680)</f>
        <v>13784.499999999998</v>
      </c>
      <c r="AB681" s="559">
        <f t="shared" si="613"/>
        <v>13784.499999999998</v>
      </c>
      <c r="AC681" s="559">
        <f t="shared" si="613"/>
        <v>13784.499999999998</v>
      </c>
      <c r="AD681" s="559">
        <f t="shared" si="613"/>
        <v>13784.499999999998</v>
      </c>
      <c r="AE681" s="559">
        <f t="shared" si="613"/>
        <v>13784.499999999998</v>
      </c>
      <c r="AF681" s="559">
        <f t="shared" si="613"/>
        <v>13784.499999999998</v>
      </c>
      <c r="AG681" s="559">
        <f t="shared" si="613"/>
        <v>13784.499999999998</v>
      </c>
      <c r="AH681" s="559">
        <f t="shared" si="613"/>
        <v>13784.499999999998</v>
      </c>
      <c r="AI681" s="559">
        <f t="shared" si="613"/>
        <v>13784.499999999998</v>
      </c>
      <c r="AJ681" s="559">
        <f t="shared" si="613"/>
        <v>13784.499999999998</v>
      </c>
      <c r="AK681" s="559">
        <f t="shared" si="613"/>
        <v>13784.499999999998</v>
      </c>
      <c r="AL681" s="559">
        <f t="shared" si="613"/>
        <v>13784.499999999998</v>
      </c>
      <c r="AN681" s="558">
        <f>SUM(AN671:AN680)</f>
        <v>165700.62</v>
      </c>
      <c r="AO681" s="559">
        <f>SUM(AO671:AO680)</f>
        <v>182204.13556626509</v>
      </c>
      <c r="AP681" s="559">
        <f>IFERROR(AO681-AN681,0)</f>
        <v>16503.515566265094</v>
      </c>
      <c r="AQ681" s="523">
        <f>IFERROR(AP681/ABS(AN681),"-")</f>
        <v>9.9598393574297395E-2</v>
      </c>
      <c r="AR681" s="559">
        <f>SUM(AR671:AR680)</f>
        <v>182204.13556626509</v>
      </c>
      <c r="AS681" s="559">
        <f>IFERROR(AO681-AR681,0)</f>
        <v>0</v>
      </c>
      <c r="AT681" s="561">
        <f>IFERROR(AS681/ABS(AR681),0)</f>
        <v>0</v>
      </c>
      <c r="AU681" s="492"/>
      <c r="AV681" s="559">
        <f>SUM(AV671:AV680)</f>
        <v>15183.677963855424</v>
      </c>
      <c r="AW681" s="559">
        <f t="shared" ref="AW681:BG681" si="614">SUM(AW671:AW680)</f>
        <v>15183.677963855424</v>
      </c>
      <c r="AX681" s="559">
        <f t="shared" si="614"/>
        <v>15183.677963855424</v>
      </c>
      <c r="AY681" s="559">
        <f t="shared" si="614"/>
        <v>15183.677963855424</v>
      </c>
      <c r="AZ681" s="559">
        <f t="shared" si="614"/>
        <v>15183.677963855424</v>
      </c>
      <c r="BA681" s="559">
        <f t="shared" si="614"/>
        <v>15183.677963855424</v>
      </c>
      <c r="BB681" s="559">
        <f t="shared" si="614"/>
        <v>15183.677963855424</v>
      </c>
      <c r="BC681" s="559">
        <f t="shared" si="614"/>
        <v>15183.677963855424</v>
      </c>
      <c r="BD681" s="559">
        <f t="shared" si="614"/>
        <v>15183.677963855424</v>
      </c>
      <c r="BE681" s="559">
        <f t="shared" si="614"/>
        <v>15183.677963855424</v>
      </c>
      <c r="BF681" s="559">
        <f t="shared" si="614"/>
        <v>15183.677963855424</v>
      </c>
      <c r="BG681" s="559">
        <f t="shared" si="614"/>
        <v>15183.677963855424</v>
      </c>
      <c r="BH681" s="562"/>
      <c r="BI681" s="559">
        <f t="shared" ref="BI681:BT681" si="615">SUM(BI671:BI680)</f>
        <v>15183.677963855424</v>
      </c>
      <c r="BJ681" s="559">
        <f t="shared" si="615"/>
        <v>15183.677963855424</v>
      </c>
      <c r="BK681" s="559">
        <f t="shared" si="615"/>
        <v>15183.677963855424</v>
      </c>
      <c r="BL681" s="559">
        <f t="shared" si="615"/>
        <v>15183.677963855424</v>
      </c>
      <c r="BM681" s="559">
        <f t="shared" si="615"/>
        <v>15183.677963855424</v>
      </c>
      <c r="BN681" s="559">
        <f t="shared" si="615"/>
        <v>15183.677963855424</v>
      </c>
      <c r="BO681" s="559">
        <f t="shared" si="615"/>
        <v>15183.677963855424</v>
      </c>
      <c r="BP681" s="559">
        <f t="shared" si="615"/>
        <v>15183.677963855424</v>
      </c>
      <c r="BQ681" s="559">
        <f t="shared" si="615"/>
        <v>15183.677963855424</v>
      </c>
      <c r="BR681" s="559">
        <f t="shared" si="615"/>
        <v>15183.677963855424</v>
      </c>
      <c r="BS681" s="559">
        <f t="shared" si="615"/>
        <v>15183.677963855424</v>
      </c>
      <c r="BT681" s="559">
        <f t="shared" si="615"/>
        <v>15183.677963855424</v>
      </c>
    </row>
    <row r="682" spans="1:72" ht="13.5" thickTop="1" x14ac:dyDescent="0.25">
      <c r="D682" s="556"/>
      <c r="E682" s="407"/>
      <c r="H682" s="407"/>
      <c r="J682" s="557"/>
      <c r="L682" s="473"/>
      <c r="M682" s="473"/>
      <c r="N682" s="473"/>
      <c r="O682" s="473"/>
      <c r="P682" s="473"/>
      <c r="Q682" s="473"/>
      <c r="R682" s="473"/>
      <c r="S682" s="473"/>
      <c r="T682" s="473"/>
      <c r="U682" s="473"/>
      <c r="V682" s="473"/>
      <c r="W682" s="473"/>
      <c r="X682" s="473"/>
      <c r="Y682" s="473"/>
      <c r="AA682" s="473"/>
      <c r="AB682" s="473"/>
      <c r="AC682" s="473"/>
      <c r="AD682" s="473"/>
      <c r="AE682" s="473"/>
      <c r="AF682" s="473"/>
      <c r="AG682" s="473"/>
      <c r="AH682" s="473"/>
      <c r="AI682" s="473"/>
      <c r="AJ682" s="473"/>
      <c r="AK682" s="473"/>
      <c r="AL682" s="473"/>
      <c r="AN682" s="556"/>
      <c r="AO682" s="407"/>
      <c r="AQ682" s="517"/>
      <c r="AR682" s="407"/>
      <c r="AT682" s="557"/>
      <c r="AV682" s="473"/>
      <c r="AW682" s="473"/>
      <c r="AX682" s="473"/>
      <c r="AY682" s="473"/>
      <c r="AZ682" s="473"/>
      <c r="BA682" s="473"/>
      <c r="BB682" s="473"/>
      <c r="BC682" s="473"/>
      <c r="BD682" s="473"/>
      <c r="BE682" s="473"/>
      <c r="BF682" s="473"/>
      <c r="BG682" s="473"/>
      <c r="BI682" s="473"/>
      <c r="BJ682" s="473"/>
      <c r="BK682" s="473"/>
      <c r="BL682" s="473"/>
      <c r="BM682" s="473"/>
      <c r="BN682" s="473"/>
      <c r="BO682" s="473"/>
      <c r="BP682" s="473"/>
      <c r="BQ682" s="473"/>
      <c r="BR682" s="473"/>
      <c r="BS682" s="473"/>
      <c r="BT682" s="473"/>
    </row>
    <row r="683" spans="1:72" ht="15" x14ac:dyDescent="0.25">
      <c r="A683" s="524" t="s">
        <v>1021</v>
      </c>
      <c r="D683" s="563">
        <f>+D668-D681</f>
        <v>34239.22</v>
      </c>
      <c r="E683" s="564">
        <f>+E668-E681</f>
        <v>29273.25</v>
      </c>
      <c r="F683" s="564">
        <f>IFERROR(D683-E683,0)</f>
        <v>4965.9700000000012</v>
      </c>
      <c r="G683" s="492">
        <f>IFERROR(F683/ABS(E683),0)</f>
        <v>0.16964190856840294</v>
      </c>
      <c r="H683" s="564">
        <f>+H668-H681</f>
        <v>29272</v>
      </c>
      <c r="I683" s="564">
        <f>IFERROR(D683-H683,0)</f>
        <v>4967.2200000000012</v>
      </c>
      <c r="J683" s="491">
        <f>IFERROR(I683/ABS(H683),0)</f>
        <v>0.16969185569827827</v>
      </c>
      <c r="K683" s="492"/>
      <c r="L683" s="564">
        <f t="shared" ref="L683:W683" si="616">+L668-L681</f>
        <v>5502.59</v>
      </c>
      <c r="M683" s="564">
        <f t="shared" si="616"/>
        <v>70.210000000000036</v>
      </c>
      <c r="N683" s="564">
        <f t="shared" si="616"/>
        <v>670.02999999999975</v>
      </c>
      <c r="O683" s="564">
        <f t="shared" si="616"/>
        <v>31494.909999999996</v>
      </c>
      <c r="P683" s="564">
        <f t="shared" si="616"/>
        <v>-5881.3600000000006</v>
      </c>
      <c r="Q683" s="564">
        <f t="shared" si="616"/>
        <v>2229.2299999999987</v>
      </c>
      <c r="R683" s="564">
        <f t="shared" si="616"/>
        <v>25.601666666669189</v>
      </c>
      <c r="S683" s="564">
        <f t="shared" si="616"/>
        <v>25.601666666669189</v>
      </c>
      <c r="T683" s="564">
        <f t="shared" si="616"/>
        <v>25.601666666669189</v>
      </c>
      <c r="U683" s="564">
        <f t="shared" si="616"/>
        <v>25.601666666665551</v>
      </c>
      <c r="V683" s="564">
        <f t="shared" si="616"/>
        <v>25.601666666669189</v>
      </c>
      <c r="W683" s="564">
        <f t="shared" si="616"/>
        <v>25.601666666654637</v>
      </c>
      <c r="X683" s="564"/>
      <c r="Y683" s="564">
        <f>SUM(L683:W683)</f>
        <v>34239.219999999987</v>
      </c>
      <c r="Z683" s="562"/>
      <c r="AA683" s="564">
        <f t="shared" ref="AA683:AL683" si="617">+AA668-AA681</f>
        <v>2439.3333333333358</v>
      </c>
      <c r="AB683" s="564">
        <f t="shared" si="617"/>
        <v>2439.3333333333358</v>
      </c>
      <c r="AC683" s="564">
        <f t="shared" si="617"/>
        <v>2439.3333333333358</v>
      </c>
      <c r="AD683" s="564">
        <f t="shared" si="617"/>
        <v>2439.3333333333358</v>
      </c>
      <c r="AE683" s="564">
        <f t="shared" si="617"/>
        <v>2439.3333333333358</v>
      </c>
      <c r="AF683" s="564">
        <f t="shared" si="617"/>
        <v>2439.3333333333358</v>
      </c>
      <c r="AG683" s="564">
        <f t="shared" si="617"/>
        <v>2439.3333333333358</v>
      </c>
      <c r="AH683" s="564">
        <f t="shared" si="617"/>
        <v>2439.3333333333358</v>
      </c>
      <c r="AI683" s="564">
        <f t="shared" si="617"/>
        <v>2439.3333333333358</v>
      </c>
      <c r="AJ683" s="564">
        <f t="shared" si="617"/>
        <v>2439.3333333333358</v>
      </c>
      <c r="AK683" s="564">
        <f t="shared" si="617"/>
        <v>2439.3333333333358</v>
      </c>
      <c r="AL683" s="564">
        <f t="shared" si="617"/>
        <v>2439.3333333333358</v>
      </c>
      <c r="AN683" s="566">
        <f>+AN668-AN681</f>
        <v>34239.22</v>
      </c>
      <c r="AO683" s="568">
        <f>+AO668-AO681</f>
        <v>37151.399341365468</v>
      </c>
      <c r="AP683" s="568">
        <f>IFERROR(AO683-AN683,0)</f>
        <v>2912.1793413654668</v>
      </c>
      <c r="AQ683" s="571">
        <f>IFERROR(AP683/ABS(AN683),"-")</f>
        <v>8.505390430522268E-2</v>
      </c>
      <c r="AR683" s="564">
        <f>+AR668-AR681</f>
        <v>37151.399341365468</v>
      </c>
      <c r="AS683" s="564">
        <f>IFERROR(AO683-AR683,0)</f>
        <v>0</v>
      </c>
      <c r="AT683" s="491">
        <f>IFERROR(AS683/ABS(AR683),0)</f>
        <v>0</v>
      </c>
      <c r="AU683" s="492"/>
      <c r="AV683" s="564">
        <f t="shared" ref="AV683:BG683" si="618">+AV668-AV681</f>
        <v>3095.9499451137872</v>
      </c>
      <c r="AW683" s="564">
        <f t="shared" si="618"/>
        <v>3095.9499451137872</v>
      </c>
      <c r="AX683" s="564">
        <f t="shared" si="618"/>
        <v>3095.9499451137872</v>
      </c>
      <c r="AY683" s="564">
        <f t="shared" si="618"/>
        <v>3095.9499451137872</v>
      </c>
      <c r="AZ683" s="564">
        <f t="shared" si="618"/>
        <v>3095.9499451137872</v>
      </c>
      <c r="BA683" s="564">
        <f t="shared" si="618"/>
        <v>3095.9499451137872</v>
      </c>
      <c r="BB683" s="564">
        <f t="shared" si="618"/>
        <v>3095.9499451137872</v>
      </c>
      <c r="BC683" s="564">
        <f t="shared" si="618"/>
        <v>3095.9499451137872</v>
      </c>
      <c r="BD683" s="564">
        <f t="shared" si="618"/>
        <v>3095.9499451137872</v>
      </c>
      <c r="BE683" s="564">
        <f t="shared" si="618"/>
        <v>3095.9499451137872</v>
      </c>
      <c r="BF683" s="564">
        <f t="shared" si="618"/>
        <v>3095.9499451137872</v>
      </c>
      <c r="BG683" s="564">
        <f t="shared" si="618"/>
        <v>3095.9499451137872</v>
      </c>
      <c r="BH683" s="562"/>
      <c r="BI683" s="564">
        <f t="shared" ref="BI683:BT683" si="619">+BI668-BI681</f>
        <v>3095.9499451137872</v>
      </c>
      <c r="BJ683" s="564">
        <f t="shared" si="619"/>
        <v>3095.9499451137872</v>
      </c>
      <c r="BK683" s="564">
        <f t="shared" si="619"/>
        <v>3095.9499451137872</v>
      </c>
      <c r="BL683" s="564">
        <f t="shared" si="619"/>
        <v>3095.9499451137872</v>
      </c>
      <c r="BM683" s="564">
        <f t="shared" si="619"/>
        <v>3095.9499451137872</v>
      </c>
      <c r="BN683" s="564">
        <f t="shared" si="619"/>
        <v>3095.9499451137872</v>
      </c>
      <c r="BO683" s="564">
        <f t="shared" si="619"/>
        <v>3095.9499451137872</v>
      </c>
      <c r="BP683" s="564">
        <f t="shared" si="619"/>
        <v>3095.9499451137872</v>
      </c>
      <c r="BQ683" s="564">
        <f t="shared" si="619"/>
        <v>3095.9499451137872</v>
      </c>
      <c r="BR683" s="564">
        <f t="shared" si="619"/>
        <v>3095.9499451137872</v>
      </c>
      <c r="BS683" s="564">
        <f t="shared" si="619"/>
        <v>3095.9499451137872</v>
      </c>
      <c r="BT683" s="564">
        <f t="shared" si="619"/>
        <v>3095.9499451137872</v>
      </c>
    </row>
    <row r="684" spans="1:72" ht="8.25" hidden="1" customHeight="1" x14ac:dyDescent="0.25">
      <c r="A684" s="502"/>
      <c r="D684" s="550"/>
      <c r="E684" s="564"/>
      <c r="F684" s="551"/>
      <c r="G684" s="565"/>
      <c r="H684" s="564"/>
      <c r="I684" s="551"/>
      <c r="J684" s="529"/>
      <c r="K684" s="507"/>
      <c r="L684" s="551"/>
      <c r="M684" s="551"/>
      <c r="N684" s="551"/>
      <c r="O684" s="551"/>
      <c r="P684" s="551"/>
      <c r="Q684" s="551"/>
      <c r="R684" s="551"/>
      <c r="S684" s="551"/>
      <c r="T684" s="551"/>
      <c r="U684" s="551"/>
      <c r="V684" s="551"/>
      <c r="W684" s="551"/>
      <c r="X684" s="551"/>
      <c r="Y684" s="551"/>
      <c r="Z684" s="508"/>
      <c r="AA684" s="551"/>
      <c r="AB684" s="551"/>
      <c r="AC684" s="551"/>
      <c r="AD684" s="551"/>
      <c r="AE684" s="551"/>
      <c r="AF684" s="551"/>
      <c r="AG684" s="551"/>
      <c r="AH684" s="551"/>
      <c r="AI684" s="551"/>
      <c r="AJ684" s="551"/>
      <c r="AK684" s="551"/>
      <c r="AL684" s="551"/>
      <c r="AN684" s="550"/>
      <c r="AO684" s="564"/>
      <c r="AP684" s="551"/>
      <c r="AQ684" s="499"/>
      <c r="AR684" s="564"/>
      <c r="AS684" s="551"/>
      <c r="AT684" s="529"/>
      <c r="AU684" s="507"/>
      <c r="AV684" s="508"/>
      <c r="AW684" s="508"/>
      <c r="AX684" s="508"/>
      <c r="AY684" s="508"/>
      <c r="AZ684" s="508"/>
      <c r="BA684" s="508"/>
      <c r="BB684" s="508"/>
      <c r="BC684" s="508"/>
      <c r="BD684" s="508"/>
      <c r="BE684" s="508"/>
      <c r="BF684" s="508"/>
      <c r="BG684" s="508"/>
      <c r="BH684" s="508"/>
      <c r="BI684" s="551"/>
      <c r="BJ684" s="551"/>
      <c r="BK684" s="551"/>
      <c r="BL684" s="551"/>
      <c r="BM684" s="551"/>
      <c r="BN684" s="551"/>
      <c r="BO684" s="551"/>
      <c r="BP684" s="551"/>
      <c r="BQ684" s="551"/>
      <c r="BR684" s="551"/>
      <c r="BS684" s="551"/>
      <c r="BT684" s="551"/>
    </row>
    <row r="685" spans="1:72" ht="15" hidden="1" x14ac:dyDescent="0.25">
      <c r="A685" s="524" t="s">
        <v>1022</v>
      </c>
      <c r="D685" s="550"/>
      <c r="E685" s="564">
        <v>140981</v>
      </c>
      <c r="F685" s="551"/>
      <c r="G685" s="565"/>
      <c r="H685" s="564">
        <v>140981</v>
      </c>
      <c r="I685" s="551"/>
      <c r="J685" s="529"/>
      <c r="K685" s="507"/>
      <c r="L685" s="551"/>
      <c r="M685" s="551"/>
      <c r="N685" s="551"/>
      <c r="O685" s="551"/>
      <c r="P685" s="551"/>
      <c r="Q685" s="551"/>
      <c r="R685" s="551"/>
      <c r="S685" s="551"/>
      <c r="T685" s="551"/>
      <c r="U685" s="551"/>
      <c r="V685" s="551"/>
      <c r="W685" s="551"/>
      <c r="X685" s="551"/>
      <c r="Y685" s="551"/>
      <c r="Z685" s="508"/>
      <c r="AA685" s="551"/>
      <c r="AB685" s="551"/>
      <c r="AC685" s="551"/>
      <c r="AD685" s="551"/>
      <c r="AE685" s="551"/>
      <c r="AF685" s="551"/>
      <c r="AG685" s="551"/>
      <c r="AH685" s="551"/>
      <c r="AI685" s="551"/>
      <c r="AJ685" s="551"/>
      <c r="AK685" s="551"/>
      <c r="AL685" s="551"/>
      <c r="AN685" s="550"/>
      <c r="AO685" s="564"/>
      <c r="AP685" s="551"/>
      <c r="AQ685" s="499"/>
      <c r="AR685" s="528">
        <f>H687</f>
        <v>170253</v>
      </c>
      <c r="AS685" s="551"/>
      <c r="AT685" s="529"/>
      <c r="AU685" s="507"/>
      <c r="AV685" s="508"/>
      <c r="AW685" s="508"/>
      <c r="AX685" s="508"/>
      <c r="AY685" s="508"/>
      <c r="AZ685" s="508"/>
      <c r="BA685" s="508"/>
      <c r="BB685" s="508"/>
      <c r="BC685" s="508"/>
      <c r="BD685" s="508"/>
      <c r="BE685" s="508"/>
      <c r="BF685" s="508"/>
      <c r="BG685" s="508"/>
      <c r="BH685" s="508"/>
      <c r="BI685" s="551"/>
      <c r="BJ685" s="551"/>
      <c r="BK685" s="551"/>
      <c r="BL685" s="551"/>
      <c r="BM685" s="551"/>
      <c r="BN685" s="551"/>
      <c r="BO685" s="551"/>
      <c r="BP685" s="551"/>
      <c r="BQ685" s="551"/>
      <c r="BR685" s="551"/>
      <c r="BS685" s="551"/>
      <c r="BT685" s="551"/>
    </row>
    <row r="686" spans="1:72" ht="6.75" hidden="1" customHeight="1" x14ac:dyDescent="0.25">
      <c r="A686" s="502"/>
      <c r="D686" s="550"/>
      <c r="E686" s="564"/>
      <c r="F686" s="551"/>
      <c r="G686" s="565"/>
      <c r="H686" s="564"/>
      <c r="I686" s="551"/>
      <c r="J686" s="529"/>
      <c r="K686" s="507"/>
      <c r="L686" s="551"/>
      <c r="M686" s="551"/>
      <c r="N686" s="551"/>
      <c r="O686" s="551"/>
      <c r="P686" s="551"/>
      <c r="Q686" s="551"/>
      <c r="R686" s="551"/>
      <c r="S686" s="551"/>
      <c r="T686" s="551"/>
      <c r="U686" s="551"/>
      <c r="V686" s="551"/>
      <c r="W686" s="551"/>
      <c r="X686" s="551"/>
      <c r="Y686" s="551"/>
      <c r="Z686" s="508"/>
      <c r="AA686" s="551"/>
      <c r="AB686" s="551"/>
      <c r="AC686" s="551"/>
      <c r="AD686" s="551"/>
      <c r="AE686" s="551"/>
      <c r="AF686" s="551"/>
      <c r="AG686" s="551"/>
      <c r="AH686" s="551"/>
      <c r="AI686" s="551"/>
      <c r="AJ686" s="551"/>
      <c r="AK686" s="551"/>
      <c r="AL686" s="551"/>
      <c r="AN686" s="550"/>
      <c r="AO686" s="564"/>
      <c r="AP686" s="551"/>
      <c r="AQ686" s="499"/>
      <c r="AR686" s="564"/>
      <c r="AS686" s="551"/>
      <c r="AT686" s="529"/>
      <c r="AU686" s="507"/>
      <c r="AV686" s="508"/>
      <c r="AW686" s="508"/>
      <c r="AX686" s="508"/>
      <c r="AY686" s="508"/>
      <c r="AZ686" s="508"/>
      <c r="BA686" s="508"/>
      <c r="BB686" s="508"/>
      <c r="BC686" s="508"/>
      <c r="BD686" s="508"/>
      <c r="BE686" s="508"/>
      <c r="BF686" s="508"/>
      <c r="BG686" s="508"/>
      <c r="BH686" s="508"/>
      <c r="BI686" s="551"/>
      <c r="BJ686" s="551"/>
      <c r="BK686" s="551"/>
      <c r="BL686" s="551"/>
      <c r="BM686" s="551"/>
      <c r="BN686" s="551"/>
      <c r="BO686" s="551"/>
      <c r="BP686" s="551"/>
      <c r="BQ686" s="551"/>
      <c r="BR686" s="551"/>
      <c r="BS686" s="551"/>
      <c r="BT686" s="551"/>
    </row>
    <row r="687" spans="1:72" ht="15" hidden="1" x14ac:dyDescent="0.25">
      <c r="A687" s="524" t="s">
        <v>1023</v>
      </c>
      <c r="D687" s="566"/>
      <c r="E687" s="567">
        <f>E685+E683</f>
        <v>170254.25</v>
      </c>
      <c r="F687" s="568"/>
      <c r="G687" s="569"/>
      <c r="H687" s="567">
        <f>+H683+H685</f>
        <v>170253</v>
      </c>
      <c r="I687" s="568"/>
      <c r="J687" s="570"/>
      <c r="K687" s="492"/>
      <c r="L687" s="564"/>
      <c r="M687" s="564"/>
      <c r="N687" s="564"/>
      <c r="O687" s="564"/>
      <c r="P687" s="564"/>
      <c r="Q687" s="564"/>
      <c r="R687" s="564"/>
      <c r="S687" s="564"/>
      <c r="T687" s="564"/>
      <c r="U687" s="564"/>
      <c r="V687" s="564"/>
      <c r="W687" s="564"/>
      <c r="X687" s="564"/>
      <c r="Y687" s="551"/>
      <c r="Z687" s="562"/>
      <c r="AA687" s="564"/>
      <c r="AB687" s="564"/>
      <c r="AC687" s="564"/>
      <c r="AD687" s="564"/>
      <c r="AE687" s="564"/>
      <c r="AF687" s="564"/>
      <c r="AG687" s="564"/>
      <c r="AH687" s="564"/>
      <c r="AI687" s="564"/>
      <c r="AJ687" s="564"/>
      <c r="AK687" s="564"/>
      <c r="AL687" s="564"/>
      <c r="AN687" s="566"/>
      <c r="AO687" s="568"/>
      <c r="AP687" s="568"/>
      <c r="AQ687" s="571"/>
      <c r="AR687" s="567">
        <f>+AR683+AR685</f>
        <v>207404.39934136547</v>
      </c>
      <c r="AS687" s="568"/>
      <c r="AT687" s="570"/>
      <c r="AU687" s="492"/>
      <c r="AV687" s="562"/>
      <c r="AW687" s="562"/>
      <c r="AX687" s="562"/>
      <c r="AY687" s="562"/>
      <c r="AZ687" s="562"/>
      <c r="BA687" s="562"/>
      <c r="BB687" s="562"/>
      <c r="BC687" s="562"/>
      <c r="BD687" s="562"/>
      <c r="BE687" s="562"/>
      <c r="BF687" s="562"/>
      <c r="BG687" s="562"/>
      <c r="BH687" s="562"/>
      <c r="BI687" s="564"/>
      <c r="BJ687" s="564"/>
      <c r="BK687" s="564"/>
      <c r="BL687" s="564"/>
      <c r="BM687" s="564"/>
      <c r="BN687" s="564"/>
      <c r="BO687" s="564"/>
      <c r="BP687" s="564"/>
      <c r="BQ687" s="564"/>
      <c r="BR687" s="564"/>
      <c r="BS687" s="564"/>
      <c r="BT687" s="564"/>
    </row>
    <row r="688" spans="1:72" hidden="1" x14ac:dyDescent="0.25">
      <c r="D688" s="473"/>
      <c r="E688" s="473"/>
      <c r="G688" s="572"/>
      <c r="H688" s="407"/>
      <c r="L688" s="473"/>
      <c r="M688" s="473"/>
      <c r="N688" s="473"/>
      <c r="O688" s="473"/>
      <c r="P688" s="473"/>
      <c r="Q688" s="473"/>
      <c r="R688" s="473"/>
      <c r="S688" s="473"/>
      <c r="T688" s="473"/>
      <c r="U688" s="473"/>
      <c r="V688" s="473"/>
      <c r="W688" s="473"/>
      <c r="X688" s="473"/>
      <c r="Y688" s="473"/>
      <c r="AA688" s="473"/>
      <c r="AB688" s="473"/>
      <c r="AC688" s="473"/>
      <c r="AD688" s="473"/>
      <c r="AE688" s="473"/>
      <c r="AF688" s="473"/>
      <c r="AG688" s="473"/>
      <c r="AH688" s="473"/>
      <c r="AI688" s="473"/>
      <c r="AJ688" s="473"/>
      <c r="AK688" s="473"/>
      <c r="AL688" s="473"/>
      <c r="AN688" s="473"/>
      <c r="AO688" s="407"/>
      <c r="AR688" s="407"/>
      <c r="BI688" s="473"/>
      <c r="BJ688" s="473"/>
      <c r="BK688" s="473"/>
      <c r="BL688" s="473"/>
      <c r="BM688" s="473"/>
      <c r="BN688" s="473"/>
      <c r="BO688" s="473"/>
      <c r="BP688" s="473"/>
      <c r="BQ688" s="473"/>
      <c r="BR688" s="473"/>
      <c r="BS688" s="473"/>
      <c r="BT688" s="473"/>
    </row>
    <row r="689" spans="1:72" ht="15" hidden="1" x14ac:dyDescent="0.25">
      <c r="D689" s="449">
        <f>+D55+D585+D630+D668</f>
        <v>11905305.919999998</v>
      </c>
      <c r="E689" s="449">
        <f>+E55+E585+E630+E668</f>
        <v>11778010.373999998</v>
      </c>
      <c r="F689" s="449"/>
      <c r="G689" s="573"/>
      <c r="H689" s="449">
        <f>+H55+H585+H630+H668</f>
        <v>11824851</v>
      </c>
      <c r="I689" s="449"/>
      <c r="J689" s="421"/>
      <c r="K689" s="421"/>
      <c r="L689" s="449">
        <f t="shared" ref="L689:W689" si="620">+L55+L585+L630+L668</f>
        <v>819476.39</v>
      </c>
      <c r="M689" s="449">
        <f t="shared" si="620"/>
        <v>930016.97999999986</v>
      </c>
      <c r="N689" s="449">
        <f t="shared" si="620"/>
        <v>1047337.5300000001</v>
      </c>
      <c r="O689" s="449">
        <f t="shared" si="620"/>
        <v>966896.18999999983</v>
      </c>
      <c r="P689" s="449">
        <f t="shared" si="620"/>
        <v>847092.00999999966</v>
      </c>
      <c r="Q689" s="449">
        <f t="shared" si="620"/>
        <v>1099526.6300000001</v>
      </c>
      <c r="R689" s="449">
        <f t="shared" si="620"/>
        <v>1032493.3650000002</v>
      </c>
      <c r="S689" s="449">
        <f t="shared" si="620"/>
        <v>1032493.3650000001</v>
      </c>
      <c r="T689" s="449">
        <f t="shared" si="620"/>
        <v>1032493.3650000002</v>
      </c>
      <c r="U689" s="449">
        <f t="shared" si="620"/>
        <v>1032493.3650000002</v>
      </c>
      <c r="V689" s="449">
        <f t="shared" si="620"/>
        <v>1032493.3650000002</v>
      </c>
      <c r="W689" s="449">
        <f t="shared" si="620"/>
        <v>1032493.3650000006</v>
      </c>
      <c r="X689" s="449"/>
      <c r="Y689" s="449">
        <f>+Y55+Y585+Y630+Y668</f>
        <v>11905305.920000002</v>
      </c>
      <c r="Z689" s="531"/>
      <c r="AA689" s="449">
        <f t="shared" ref="AA689:AL689" si="621">+AA55+AA585+AA630+AA668</f>
        <v>985404.25000000012</v>
      </c>
      <c r="AB689" s="449">
        <f t="shared" si="621"/>
        <v>985404.25000000012</v>
      </c>
      <c r="AC689" s="449">
        <f t="shared" si="621"/>
        <v>985404.25000000012</v>
      </c>
      <c r="AD689" s="449">
        <f t="shared" si="621"/>
        <v>985404.25000000012</v>
      </c>
      <c r="AE689" s="449">
        <f t="shared" si="621"/>
        <v>985404.25000000012</v>
      </c>
      <c r="AF689" s="449">
        <f t="shared" si="621"/>
        <v>985404.25000000012</v>
      </c>
      <c r="AG689" s="449">
        <f t="shared" si="621"/>
        <v>985404.25000000012</v>
      </c>
      <c r="AH689" s="449">
        <f t="shared" si="621"/>
        <v>985404.25000000012</v>
      </c>
      <c r="AI689" s="449">
        <f t="shared" si="621"/>
        <v>985404.25000000012</v>
      </c>
      <c r="AJ689" s="449">
        <f t="shared" si="621"/>
        <v>985404.25000000012</v>
      </c>
      <c r="AK689" s="449">
        <f t="shared" si="621"/>
        <v>985404.25000000012</v>
      </c>
      <c r="AL689" s="449">
        <f t="shared" si="621"/>
        <v>985404.25000000012</v>
      </c>
      <c r="AN689" s="449">
        <f>+AN55+AN585+AN630+AN668</f>
        <v>11905305.919999998</v>
      </c>
      <c r="AO689" s="449">
        <f>+AO55+AO585+AO630+AO668</f>
        <v>12796739.13908368</v>
      </c>
      <c r="AP689" s="449"/>
      <c r="AQ689" s="419"/>
      <c r="AR689" s="449">
        <f>+AR55+AR585+AR630+AR668</f>
        <v>12796739.13908368</v>
      </c>
      <c r="AS689" s="449"/>
      <c r="AT689" s="421"/>
      <c r="AU689" s="421"/>
      <c r="AV689" s="449">
        <f t="shared" ref="AV689:BG689" si="622">+AV55+AV585+AV630+AV668</f>
        <v>1067274.3084594065</v>
      </c>
      <c r="AW689" s="449">
        <f t="shared" si="622"/>
        <v>1134487.6328113598</v>
      </c>
      <c r="AX689" s="449">
        <f t="shared" si="622"/>
        <v>1047787.3636442913</v>
      </c>
      <c r="AY689" s="449">
        <f t="shared" si="622"/>
        <v>1067787.3636442914</v>
      </c>
      <c r="AZ689" s="449">
        <f t="shared" si="622"/>
        <v>1051791.3636442914</v>
      </c>
      <c r="BA689" s="449">
        <f t="shared" si="622"/>
        <v>1047787.3636442913</v>
      </c>
      <c r="BB689" s="449">
        <f t="shared" si="622"/>
        <v>1047787.3636442913</v>
      </c>
      <c r="BC689" s="449">
        <f t="shared" si="622"/>
        <v>1051791.3636442914</v>
      </c>
      <c r="BD689" s="449">
        <f t="shared" si="622"/>
        <v>1092787.3636442914</v>
      </c>
      <c r="BE689" s="449">
        <f t="shared" si="622"/>
        <v>1047787.3636442913</v>
      </c>
      <c r="BF689" s="449">
        <f t="shared" si="622"/>
        <v>1047787.3636442913</v>
      </c>
      <c r="BG689" s="449">
        <f t="shared" si="622"/>
        <v>1091882.9250142914</v>
      </c>
      <c r="BH689" s="531"/>
      <c r="BI689" s="449">
        <f t="shared" ref="BI689:BT689" si="623">+BI55+BI585+BI630+BI668</f>
        <v>1067274.3084594065</v>
      </c>
      <c r="BJ689" s="449">
        <f t="shared" si="623"/>
        <v>1134487.6328113598</v>
      </c>
      <c r="BK689" s="449">
        <f t="shared" si="623"/>
        <v>1047787.3636442913</v>
      </c>
      <c r="BL689" s="449">
        <f t="shared" si="623"/>
        <v>1067787.3636442914</v>
      </c>
      <c r="BM689" s="449">
        <f t="shared" si="623"/>
        <v>1051791.3636442914</v>
      </c>
      <c r="BN689" s="449">
        <f t="shared" si="623"/>
        <v>1047787.3636442913</v>
      </c>
      <c r="BO689" s="449">
        <f t="shared" si="623"/>
        <v>1047787.3636442913</v>
      </c>
      <c r="BP689" s="449">
        <f t="shared" si="623"/>
        <v>1051791.3636442914</v>
      </c>
      <c r="BQ689" s="449">
        <f t="shared" si="623"/>
        <v>1092787.3636442914</v>
      </c>
      <c r="BR689" s="449">
        <f t="shared" si="623"/>
        <v>1047787.3636442913</v>
      </c>
      <c r="BS689" s="449">
        <f t="shared" si="623"/>
        <v>1047787.3636442913</v>
      </c>
      <c r="BT689" s="449">
        <f t="shared" si="623"/>
        <v>1091882.9250142914</v>
      </c>
    </row>
    <row r="690" spans="1:72" ht="15" hidden="1" x14ac:dyDescent="0.25">
      <c r="D690" s="449">
        <f>+D566+D606+D648+D681</f>
        <v>12987710.529999999</v>
      </c>
      <c r="E690" s="449">
        <f>+E566+E606+E648+E681</f>
        <v>12437554.706573999</v>
      </c>
      <c r="F690" s="449"/>
      <c r="G690" s="573"/>
      <c r="H690" s="449">
        <f>+H566+H606+H648+H681</f>
        <v>12809685.030000001</v>
      </c>
      <c r="I690" s="449"/>
      <c r="J690" s="421"/>
      <c r="K690" s="421"/>
      <c r="L690" s="449">
        <f t="shared" ref="L690:W690" si="624">+L566+L606+L648+L681</f>
        <v>568363.82999999984</v>
      </c>
      <c r="M690" s="449">
        <f t="shared" si="624"/>
        <v>1361083.7699999998</v>
      </c>
      <c r="N690" s="449">
        <f t="shared" si="624"/>
        <v>696470.44000000018</v>
      </c>
      <c r="O690" s="449">
        <f t="shared" si="624"/>
        <v>916028.99999999988</v>
      </c>
      <c r="P690" s="449">
        <f t="shared" si="624"/>
        <v>691268</v>
      </c>
      <c r="Q690" s="449">
        <f t="shared" si="624"/>
        <v>1524270.7100000002</v>
      </c>
      <c r="R690" s="449">
        <f t="shared" si="624"/>
        <v>1205037.4633333334</v>
      </c>
      <c r="S690" s="449">
        <f t="shared" si="624"/>
        <v>1205037.4633333336</v>
      </c>
      <c r="T690" s="449">
        <f t="shared" si="624"/>
        <v>1205037.4633333336</v>
      </c>
      <c r="U690" s="449">
        <f t="shared" si="624"/>
        <v>1205037.4633333334</v>
      </c>
      <c r="V690" s="449">
        <f t="shared" si="624"/>
        <v>1205037.4633333334</v>
      </c>
      <c r="W690" s="449">
        <f t="shared" si="624"/>
        <v>1205037.4633333334</v>
      </c>
      <c r="X690" s="449"/>
      <c r="Y690" s="449">
        <f>+Y566+Y606+Y648+Y681</f>
        <v>12987710.530000001</v>
      </c>
      <c r="Z690" s="531"/>
      <c r="AA690" s="449">
        <f t="shared" ref="AA690:AL690" si="625">+AA566+AA606+AA648+AA681</f>
        <v>1067473.7525000002</v>
      </c>
      <c r="AB690" s="449">
        <f t="shared" si="625"/>
        <v>1067473.7525000002</v>
      </c>
      <c r="AC690" s="449">
        <f t="shared" si="625"/>
        <v>1067473.7525000002</v>
      </c>
      <c r="AD690" s="449">
        <f t="shared" si="625"/>
        <v>1067473.7525000002</v>
      </c>
      <c r="AE690" s="449">
        <f t="shared" si="625"/>
        <v>1067473.7525000002</v>
      </c>
      <c r="AF690" s="449">
        <f t="shared" si="625"/>
        <v>1067473.7525000002</v>
      </c>
      <c r="AG690" s="449">
        <f t="shared" si="625"/>
        <v>1067473.7525000002</v>
      </c>
      <c r="AH690" s="449">
        <f t="shared" si="625"/>
        <v>1067473.7525000002</v>
      </c>
      <c r="AI690" s="449">
        <f t="shared" si="625"/>
        <v>1067473.7525000002</v>
      </c>
      <c r="AJ690" s="449">
        <f t="shared" si="625"/>
        <v>1067473.7525000002</v>
      </c>
      <c r="AK690" s="449">
        <f t="shared" si="625"/>
        <v>1067473.7525000002</v>
      </c>
      <c r="AL690" s="449">
        <f t="shared" si="625"/>
        <v>1067473.7525000002</v>
      </c>
      <c r="AN690" s="449">
        <f>+AN566+AN606+AN648+AN681</f>
        <v>12987710.529999999</v>
      </c>
      <c r="AO690" s="449">
        <f>+AO566+AO606+AO648+AO681</f>
        <v>13568060.954863288</v>
      </c>
      <c r="AP690" s="449"/>
      <c r="AQ690" s="419"/>
      <c r="AR690" s="449">
        <f>+AR566+AR606+AR648+AR681</f>
        <v>13568060.954863288</v>
      </c>
      <c r="AS690" s="449"/>
      <c r="AT690" s="421"/>
      <c r="AU690" s="421"/>
      <c r="AV690" s="449">
        <f t="shared" ref="AV690:BG690" si="626">+AV566+AV606+AV648+AV681</f>
        <v>785833.72817320284</v>
      </c>
      <c r="AW690" s="449">
        <f t="shared" si="626"/>
        <v>968633.08028963674</v>
      </c>
      <c r="AX690" s="449">
        <f t="shared" si="626"/>
        <v>959278.33547271707</v>
      </c>
      <c r="AY690" s="449">
        <f t="shared" si="626"/>
        <v>1218997.8354727172</v>
      </c>
      <c r="AZ690" s="449">
        <f t="shared" si="626"/>
        <v>959278.33547271707</v>
      </c>
      <c r="BA690" s="449">
        <f t="shared" si="626"/>
        <v>1798966.1908456755</v>
      </c>
      <c r="BB690" s="449">
        <f t="shared" si="626"/>
        <v>1017856.5508456755</v>
      </c>
      <c r="BC690" s="449">
        <f t="shared" si="626"/>
        <v>917366.44084567553</v>
      </c>
      <c r="BD690" s="449">
        <f t="shared" si="626"/>
        <v>917366.44084567553</v>
      </c>
      <c r="BE690" s="449">
        <f t="shared" si="626"/>
        <v>964085.94084567542</v>
      </c>
      <c r="BF690" s="449">
        <f t="shared" si="626"/>
        <v>917366.44084567553</v>
      </c>
      <c r="BG690" s="449">
        <f t="shared" si="626"/>
        <v>2143031.6349082417</v>
      </c>
      <c r="BH690" s="531"/>
      <c r="BI690" s="449">
        <f t="shared" ref="BI690:BT690" si="627">+BI566+BI606+BI648+BI681</f>
        <v>785833.72817320284</v>
      </c>
      <c r="BJ690" s="449">
        <f t="shared" si="627"/>
        <v>968633.08028963674</v>
      </c>
      <c r="BK690" s="449">
        <f t="shared" si="627"/>
        <v>959278.33547271707</v>
      </c>
      <c r="BL690" s="449">
        <f t="shared" si="627"/>
        <v>1218997.8354727172</v>
      </c>
      <c r="BM690" s="449">
        <f t="shared" si="627"/>
        <v>959278.33547271707</v>
      </c>
      <c r="BN690" s="449">
        <f t="shared" si="627"/>
        <v>1798966.1908456755</v>
      </c>
      <c r="BO690" s="449">
        <f t="shared" si="627"/>
        <v>1017856.5508456755</v>
      </c>
      <c r="BP690" s="449">
        <f t="shared" si="627"/>
        <v>917366.44084567553</v>
      </c>
      <c r="BQ690" s="449">
        <f t="shared" si="627"/>
        <v>917366.44084567553</v>
      </c>
      <c r="BR690" s="449">
        <f t="shared" si="627"/>
        <v>964085.94084567542</v>
      </c>
      <c r="BS690" s="449">
        <f t="shared" si="627"/>
        <v>917366.44084567553</v>
      </c>
      <c r="BT690" s="449">
        <f t="shared" si="627"/>
        <v>2143031.6349082417</v>
      </c>
    </row>
    <row r="691" spans="1:72" ht="15" hidden="1" x14ac:dyDescent="0.25">
      <c r="D691" s="449">
        <f>+D689-D690</f>
        <v>-1082404.6100000013</v>
      </c>
      <c r="E691" s="449">
        <f>+E689-E690</f>
        <v>-659544.33257400058</v>
      </c>
      <c r="F691" s="449"/>
      <c r="G691" s="573"/>
      <c r="H691" s="449">
        <f>+H689-H690</f>
        <v>-984834.03000000119</v>
      </c>
      <c r="I691" s="449"/>
      <c r="J691" s="421"/>
      <c r="K691" s="421"/>
      <c r="L691" s="449">
        <f t="shared" ref="L691:W691" si="628">+L689-L690</f>
        <v>251112.56000000017</v>
      </c>
      <c r="M691" s="449">
        <f t="shared" si="628"/>
        <v>-431066.78999999992</v>
      </c>
      <c r="N691" s="449">
        <f t="shared" si="628"/>
        <v>350867.08999999997</v>
      </c>
      <c r="O691" s="449">
        <f t="shared" si="628"/>
        <v>50867.189999999944</v>
      </c>
      <c r="P691" s="449">
        <f t="shared" si="628"/>
        <v>155824.00999999966</v>
      </c>
      <c r="Q691" s="449">
        <f t="shared" si="628"/>
        <v>-424744.08000000007</v>
      </c>
      <c r="R691" s="449">
        <f t="shared" si="628"/>
        <v>-172544.09833333315</v>
      </c>
      <c r="S691" s="449">
        <f t="shared" si="628"/>
        <v>-172544.0983333335</v>
      </c>
      <c r="T691" s="449">
        <f t="shared" si="628"/>
        <v>-172544.09833333339</v>
      </c>
      <c r="U691" s="449">
        <f t="shared" si="628"/>
        <v>-172544.09833333315</v>
      </c>
      <c r="V691" s="449">
        <f t="shared" si="628"/>
        <v>-172544.09833333315</v>
      </c>
      <c r="W691" s="449">
        <f t="shared" si="628"/>
        <v>-172544.0983333328</v>
      </c>
      <c r="X691" s="449"/>
      <c r="Y691" s="449">
        <f>+Y689-Y690</f>
        <v>-1082404.6099999994</v>
      </c>
      <c r="Z691" s="531"/>
      <c r="AA691" s="449">
        <f t="shared" ref="AA691:AL691" si="629">+AA689-AA690</f>
        <v>-82069.502500000061</v>
      </c>
      <c r="AB691" s="449">
        <f t="shared" si="629"/>
        <v>-82069.502500000061</v>
      </c>
      <c r="AC691" s="449">
        <f t="shared" si="629"/>
        <v>-82069.502500000061</v>
      </c>
      <c r="AD691" s="449">
        <f t="shared" si="629"/>
        <v>-82069.502500000061</v>
      </c>
      <c r="AE691" s="449">
        <f t="shared" si="629"/>
        <v>-82069.502500000061</v>
      </c>
      <c r="AF691" s="449">
        <f t="shared" si="629"/>
        <v>-82069.502500000061</v>
      </c>
      <c r="AG691" s="449">
        <f t="shared" si="629"/>
        <v>-82069.502500000061</v>
      </c>
      <c r="AH691" s="449">
        <f t="shared" si="629"/>
        <v>-82069.502500000061</v>
      </c>
      <c r="AI691" s="449">
        <f t="shared" si="629"/>
        <v>-82069.502500000061</v>
      </c>
      <c r="AJ691" s="449">
        <f t="shared" si="629"/>
        <v>-82069.502500000061</v>
      </c>
      <c r="AK691" s="449">
        <f t="shared" si="629"/>
        <v>-82069.502500000061</v>
      </c>
      <c r="AL691" s="449">
        <f t="shared" si="629"/>
        <v>-82069.502500000061</v>
      </c>
      <c r="AN691" s="449">
        <f>+AN689-AN690</f>
        <v>-1082404.6100000013</v>
      </c>
      <c r="AO691" s="449">
        <f>+AO689-AO690</f>
        <v>-771321.81577960774</v>
      </c>
      <c r="AP691" s="449"/>
      <c r="AQ691" s="419"/>
      <c r="AR691" s="449">
        <f>+AR689-AR690</f>
        <v>-771321.81577960774</v>
      </c>
      <c r="AS691" s="449"/>
      <c r="AT691" s="421"/>
      <c r="AU691" s="421"/>
      <c r="AV691" s="449">
        <f t="shared" ref="AV691:BG691" si="630">+AV689-AV690</f>
        <v>281440.58028620365</v>
      </c>
      <c r="AW691" s="449">
        <f t="shared" si="630"/>
        <v>165854.55252172309</v>
      </c>
      <c r="AX691" s="449">
        <f t="shared" si="630"/>
        <v>88509.028171574231</v>
      </c>
      <c r="AY691" s="449">
        <f t="shared" si="630"/>
        <v>-151210.47182842577</v>
      </c>
      <c r="AZ691" s="449">
        <f t="shared" si="630"/>
        <v>92513.028171574348</v>
      </c>
      <c r="BA691" s="449">
        <f t="shared" si="630"/>
        <v>-751178.82720138424</v>
      </c>
      <c r="BB691" s="449">
        <f t="shared" si="630"/>
        <v>29930.812798615778</v>
      </c>
      <c r="BC691" s="449">
        <f t="shared" si="630"/>
        <v>134424.92279861588</v>
      </c>
      <c r="BD691" s="449">
        <f t="shared" si="630"/>
        <v>175420.92279861588</v>
      </c>
      <c r="BE691" s="449">
        <f t="shared" si="630"/>
        <v>83701.42279861588</v>
      </c>
      <c r="BF691" s="449">
        <f t="shared" si="630"/>
        <v>130420.92279861576</v>
      </c>
      <c r="BG691" s="449">
        <f t="shared" si="630"/>
        <v>-1051148.7098939503</v>
      </c>
      <c r="BH691" s="531"/>
      <c r="BI691" s="449">
        <f t="shared" ref="BI691:BT691" si="631">+BI689-BI690</f>
        <v>281440.58028620365</v>
      </c>
      <c r="BJ691" s="449">
        <f t="shared" si="631"/>
        <v>165854.55252172309</v>
      </c>
      <c r="BK691" s="449">
        <f t="shared" si="631"/>
        <v>88509.028171574231</v>
      </c>
      <c r="BL691" s="449">
        <f t="shared" si="631"/>
        <v>-151210.47182842577</v>
      </c>
      <c r="BM691" s="449">
        <f t="shared" si="631"/>
        <v>92513.028171574348</v>
      </c>
      <c r="BN691" s="449">
        <f t="shared" si="631"/>
        <v>-751178.82720138424</v>
      </c>
      <c r="BO691" s="449">
        <f t="shared" si="631"/>
        <v>29930.812798615778</v>
      </c>
      <c r="BP691" s="449">
        <f t="shared" si="631"/>
        <v>134424.92279861588</v>
      </c>
      <c r="BQ691" s="449">
        <f t="shared" si="631"/>
        <v>175420.92279861588</v>
      </c>
      <c r="BR691" s="449">
        <f t="shared" si="631"/>
        <v>83701.42279861588</v>
      </c>
      <c r="BS691" s="449">
        <f t="shared" si="631"/>
        <v>130420.92279861576</v>
      </c>
      <c r="BT691" s="449">
        <f t="shared" si="631"/>
        <v>-1051148.7098939503</v>
      </c>
    </row>
    <row r="692" spans="1:72" hidden="1" x14ac:dyDescent="0.25"/>
    <row r="693" spans="1:72" s="588" customFormat="1" ht="15" hidden="1" customHeight="1" x14ac:dyDescent="0.25">
      <c r="A693" s="610"/>
      <c r="C693" s="538"/>
      <c r="D693" s="418"/>
      <c r="E693" s="574"/>
      <c r="F693" s="418"/>
      <c r="G693" s="573"/>
      <c r="H693" s="437"/>
      <c r="I693" s="418"/>
      <c r="J693" s="421"/>
      <c r="K693" s="421"/>
      <c r="L693" s="417">
        <v>1</v>
      </c>
      <c r="M693" s="417">
        <v>2</v>
      </c>
      <c r="N693" s="417">
        <v>3</v>
      </c>
      <c r="O693" s="417">
        <v>4</v>
      </c>
      <c r="P693" s="417">
        <v>5</v>
      </c>
      <c r="Q693" s="417">
        <v>6</v>
      </c>
      <c r="R693" s="417">
        <v>7</v>
      </c>
      <c r="S693" s="417">
        <v>8</v>
      </c>
      <c r="T693" s="417">
        <v>9</v>
      </c>
      <c r="U693" s="417">
        <v>10</v>
      </c>
      <c r="V693" s="417">
        <v>11</v>
      </c>
      <c r="W693" s="417">
        <v>12</v>
      </c>
      <c r="X693" s="417"/>
      <c r="Y693" s="417"/>
      <c r="Z693" s="417"/>
      <c r="AA693" s="417"/>
      <c r="AB693" s="417"/>
      <c r="AC693" s="417"/>
      <c r="AD693" s="417"/>
      <c r="AE693" s="417"/>
      <c r="AF693" s="417"/>
      <c r="AG693" s="417"/>
      <c r="AH693" s="417"/>
      <c r="AI693" s="417"/>
      <c r="AJ693" s="417"/>
      <c r="AK693" s="417"/>
      <c r="AL693" s="417"/>
      <c r="AN693" s="417"/>
      <c r="AO693" s="420"/>
      <c r="AP693" s="418"/>
      <c r="AQ693" s="419"/>
      <c r="AR693" s="420"/>
      <c r="AS693" s="418"/>
      <c r="AT693" s="421"/>
      <c r="AU693" s="421"/>
      <c r="AV693" s="417">
        <v>1</v>
      </c>
      <c r="AW693" s="417">
        <v>2</v>
      </c>
      <c r="AX693" s="417">
        <v>3</v>
      </c>
      <c r="AY693" s="417">
        <v>4</v>
      </c>
      <c r="AZ693" s="417">
        <v>5</v>
      </c>
      <c r="BA693" s="417">
        <v>6</v>
      </c>
      <c r="BB693" s="417">
        <v>7</v>
      </c>
      <c r="BC693" s="417">
        <v>8</v>
      </c>
      <c r="BD693" s="417">
        <v>9</v>
      </c>
      <c r="BE693" s="417">
        <v>10</v>
      </c>
      <c r="BF693" s="417">
        <v>11</v>
      </c>
      <c r="BG693" s="417">
        <v>12</v>
      </c>
      <c r="BH693" s="417"/>
      <c r="BI693" s="417">
        <v>1</v>
      </c>
      <c r="BJ693" s="417">
        <v>2</v>
      </c>
      <c r="BK693" s="417">
        <v>3</v>
      </c>
      <c r="BL693" s="417">
        <v>4</v>
      </c>
      <c r="BM693" s="417">
        <v>5</v>
      </c>
      <c r="BN693" s="417">
        <v>6</v>
      </c>
      <c r="BO693" s="417">
        <v>7</v>
      </c>
      <c r="BP693" s="417">
        <v>8</v>
      </c>
      <c r="BQ693" s="417">
        <v>9</v>
      </c>
      <c r="BR693" s="417">
        <v>10</v>
      </c>
      <c r="BS693" s="417">
        <v>11</v>
      </c>
      <c r="BT693" s="417">
        <v>12</v>
      </c>
    </row>
    <row r="694" spans="1:72" s="588" customFormat="1" ht="15" hidden="1" customHeight="1" x14ac:dyDescent="0.25">
      <c r="A694" s="610"/>
      <c r="C694" s="538"/>
      <c r="D694" s="418"/>
      <c r="E694" s="574"/>
      <c r="F694" s="418"/>
      <c r="G694" s="573"/>
      <c r="H694" s="437"/>
      <c r="I694" s="418"/>
      <c r="J694" s="421"/>
      <c r="K694" s="421"/>
      <c r="L694" s="417">
        <v>12</v>
      </c>
      <c r="M694" s="417">
        <v>11</v>
      </c>
      <c r="N694" s="417">
        <v>10</v>
      </c>
      <c r="O694" s="417">
        <v>9</v>
      </c>
      <c r="P694" s="417">
        <v>8</v>
      </c>
      <c r="Q694" s="417">
        <v>7</v>
      </c>
      <c r="R694" s="417">
        <v>6</v>
      </c>
      <c r="S694" s="417">
        <v>5</v>
      </c>
      <c r="T694" s="417">
        <v>4</v>
      </c>
      <c r="U694" s="417">
        <v>3</v>
      </c>
      <c r="V694" s="417">
        <v>2</v>
      </c>
      <c r="W694" s="417">
        <v>1</v>
      </c>
      <c r="X694" s="417"/>
      <c r="Y694" s="417"/>
      <c r="Z694" s="417"/>
      <c r="AA694" s="417"/>
      <c r="AB694" s="417"/>
      <c r="AC694" s="417"/>
      <c r="AD694" s="417"/>
      <c r="AE694" s="417"/>
      <c r="AF694" s="417"/>
      <c r="AG694" s="417"/>
      <c r="AH694" s="417"/>
      <c r="AI694" s="417"/>
      <c r="AJ694" s="417"/>
      <c r="AK694" s="417"/>
      <c r="AL694" s="417"/>
      <c r="AN694" s="417"/>
      <c r="AO694" s="437"/>
      <c r="AP694" s="418"/>
      <c r="AQ694" s="419"/>
      <c r="AR694" s="437"/>
      <c r="AS694" s="418"/>
      <c r="AT694" s="421"/>
      <c r="AU694" s="421"/>
      <c r="AV694" s="417">
        <v>12</v>
      </c>
      <c r="AW694" s="417">
        <v>11</v>
      </c>
      <c r="AX694" s="417">
        <v>10</v>
      </c>
      <c r="AY694" s="417">
        <v>9</v>
      </c>
      <c r="AZ694" s="417">
        <v>8</v>
      </c>
      <c r="BA694" s="417">
        <v>7</v>
      </c>
      <c r="BB694" s="417">
        <v>6</v>
      </c>
      <c r="BC694" s="417">
        <v>5</v>
      </c>
      <c r="BD694" s="417">
        <v>4</v>
      </c>
      <c r="BE694" s="417">
        <v>3</v>
      </c>
      <c r="BF694" s="417">
        <v>2</v>
      </c>
      <c r="BG694" s="417">
        <v>1</v>
      </c>
      <c r="BH694" s="417"/>
      <c r="BI694" s="417">
        <v>12</v>
      </c>
      <c r="BJ694" s="417">
        <v>11</v>
      </c>
      <c r="BK694" s="417">
        <v>10</v>
      </c>
      <c r="BL694" s="417">
        <v>9</v>
      </c>
      <c r="BM694" s="417">
        <v>8</v>
      </c>
      <c r="BN694" s="417">
        <v>7</v>
      </c>
      <c r="BO694" s="417">
        <v>6</v>
      </c>
      <c r="BP694" s="417">
        <v>5</v>
      </c>
      <c r="BQ694" s="417">
        <v>4</v>
      </c>
      <c r="BR694" s="417">
        <v>3</v>
      </c>
      <c r="BS694" s="417">
        <v>2</v>
      </c>
      <c r="BT694" s="417">
        <v>1</v>
      </c>
    </row>
    <row r="695" spans="1:72" ht="15" hidden="1" customHeight="1" x14ac:dyDescent="0.25">
      <c r="A695" s="620"/>
      <c r="D695" s="473"/>
      <c r="E695" s="575"/>
      <c r="G695" s="572"/>
      <c r="H695" s="472"/>
      <c r="AO695" s="472"/>
      <c r="AR695" s="472"/>
      <c r="BJ695" s="406"/>
      <c r="BK695" s="406"/>
      <c r="BL695" s="406"/>
      <c r="BM695" s="406"/>
      <c r="BN695" s="406"/>
      <c r="BO695" s="406"/>
      <c r="BP695" s="406"/>
      <c r="BQ695" s="406"/>
      <c r="BR695" s="406"/>
      <c r="BS695" s="406"/>
      <c r="BT695" s="406"/>
    </row>
    <row r="696" spans="1:72" ht="15" hidden="1" x14ac:dyDescent="0.25">
      <c r="BI696" s="606">
        <f>40/(2*100)</f>
        <v>0.2</v>
      </c>
      <c r="BJ696" s="606">
        <f>40/(2*100)</f>
        <v>0.2</v>
      </c>
      <c r="BK696" s="606">
        <f>40/(3*100)</f>
        <v>0.13333333333333333</v>
      </c>
      <c r="BL696" s="606">
        <f>40/(3*100)</f>
        <v>0.13333333333333333</v>
      </c>
      <c r="BM696" s="606">
        <f>40/(3*100)</f>
        <v>0.13333333333333333</v>
      </c>
      <c r="BN696" s="606">
        <f>20/(7*100)</f>
        <v>2.8571428571428571E-2</v>
      </c>
      <c r="BO696" s="606">
        <f t="shared" ref="BO696:BT696" si="632">20/(7*100)</f>
        <v>2.8571428571428571E-2</v>
      </c>
      <c r="BP696" s="606">
        <f t="shared" si="632"/>
        <v>2.8571428571428571E-2</v>
      </c>
      <c r="BQ696" s="606">
        <f t="shared" si="632"/>
        <v>2.8571428571428571E-2</v>
      </c>
      <c r="BR696" s="606">
        <f t="shared" si="632"/>
        <v>2.8571428571428571E-2</v>
      </c>
      <c r="BS696" s="606">
        <f t="shared" si="632"/>
        <v>2.8571428571428571E-2</v>
      </c>
      <c r="BT696" s="606">
        <f t="shared" si="632"/>
        <v>2.8571428571428571E-2</v>
      </c>
    </row>
    <row r="700" spans="1:72" x14ac:dyDescent="0.25">
      <c r="AO700" s="407">
        <f>+AO566+AO681</f>
        <v>11280758.059758347</v>
      </c>
      <c r="AP700" s="473">
        <f>AO702/AO701</f>
        <v>60</v>
      </c>
    </row>
    <row r="701" spans="1:72" x14ac:dyDescent="0.25">
      <c r="AO701" s="651">
        <f>AO700/365</f>
        <v>30906.186465091359</v>
      </c>
    </row>
    <row r="702" spans="1:72" x14ac:dyDescent="0.25">
      <c r="AO702" s="477">
        <f>AO701*60</f>
        <v>1854371.1879054816</v>
      </c>
    </row>
    <row r="704" spans="1:72" x14ac:dyDescent="0.25">
      <c r="AO704" s="477">
        <v>2165000</v>
      </c>
    </row>
    <row r="705" spans="41:41" x14ac:dyDescent="0.25">
      <c r="AO705" s="407">
        <f>AO568</f>
        <v>-356356.84138603322</v>
      </c>
    </row>
    <row r="706" spans="41:41" x14ac:dyDescent="0.25">
      <c r="AO706" s="407">
        <f>AO683</f>
        <v>37151.399341365468</v>
      </c>
    </row>
    <row r="707" spans="41:41" x14ac:dyDescent="0.25">
      <c r="AO707" s="477">
        <f>SUM(AO704:AO706)</f>
        <v>1845794.5579553323</v>
      </c>
    </row>
    <row r="723" spans="2:40" ht="15" hidden="1" x14ac:dyDescent="0.25">
      <c r="B723" s="607" t="s">
        <v>1096</v>
      </c>
    </row>
    <row r="724" spans="2:40" ht="15" hidden="1" x14ac:dyDescent="0.25">
      <c r="B724" s="605" t="s">
        <v>1097</v>
      </c>
      <c r="C724" s="538"/>
      <c r="D724" s="417"/>
      <c r="E724" s="417"/>
      <c r="F724" s="418"/>
      <c r="G724" s="421"/>
      <c r="H724" s="429"/>
      <c r="I724" s="418"/>
      <c r="J724" s="421"/>
      <c r="K724" s="421"/>
      <c r="L724" s="417"/>
      <c r="M724" s="417"/>
      <c r="N724" s="417"/>
      <c r="O724" s="417"/>
      <c r="P724" s="417"/>
      <c r="Q724" s="417"/>
      <c r="R724" s="417"/>
      <c r="S724" s="417"/>
      <c r="T724" s="417"/>
      <c r="U724" s="417"/>
      <c r="V724" s="417"/>
      <c r="W724" s="417"/>
      <c r="X724" s="417"/>
      <c r="Y724" s="417"/>
      <c r="Z724" s="417"/>
      <c r="AA724" s="417"/>
      <c r="AB724" s="417"/>
      <c r="AC724" s="417"/>
      <c r="AD724" s="417"/>
      <c r="AE724" s="417"/>
      <c r="AF724" s="417"/>
      <c r="AG724" s="417"/>
      <c r="AH724" s="417"/>
      <c r="AI724" s="417"/>
      <c r="AJ724" s="417"/>
      <c r="AK724" s="417"/>
      <c r="AL724" s="417"/>
      <c r="AM724" s="588"/>
      <c r="AN724" s="608">
        <v>187000</v>
      </c>
    </row>
    <row r="725" spans="2:40" ht="15" hidden="1" x14ac:dyDescent="0.25">
      <c r="B725" s="605" t="s">
        <v>1098</v>
      </c>
      <c r="C725" s="538"/>
      <c r="D725" s="417"/>
      <c r="E725" s="417"/>
      <c r="F725" s="418"/>
      <c r="G725" s="421"/>
      <c r="H725" s="429"/>
      <c r="I725" s="418"/>
      <c r="J725" s="421"/>
      <c r="K725" s="421"/>
      <c r="L725" s="417"/>
      <c r="M725" s="417"/>
      <c r="N725" s="417"/>
      <c r="O725" s="417"/>
      <c r="P725" s="417"/>
      <c r="Q725" s="417"/>
      <c r="R725" s="417"/>
      <c r="S725" s="417"/>
      <c r="T725" s="417"/>
      <c r="U725" s="417"/>
      <c r="V725" s="417"/>
      <c r="W725" s="417"/>
      <c r="X725" s="417"/>
      <c r="Y725" s="417"/>
      <c r="Z725" s="417"/>
      <c r="AA725" s="417"/>
      <c r="AB725" s="417"/>
      <c r="AC725" s="417"/>
      <c r="AD725" s="417"/>
      <c r="AE725" s="417"/>
      <c r="AF725" s="417"/>
      <c r="AG725" s="417"/>
      <c r="AH725" s="417"/>
      <c r="AI725" s="417"/>
      <c r="AJ725" s="417"/>
      <c r="AK725" s="417"/>
      <c r="AL725" s="417"/>
      <c r="AM725" s="588"/>
      <c r="AN725" s="432">
        <f>+($AN$55-$AN$50)*0.03-$AN$724</f>
        <v>122324.43859999994</v>
      </c>
    </row>
    <row r="726" spans="2:40" ht="15" hidden="1" x14ac:dyDescent="0.25">
      <c r="B726" s="588"/>
      <c r="C726" s="538"/>
      <c r="D726" s="417"/>
      <c r="E726" s="417"/>
      <c r="F726" s="418"/>
      <c r="G726" s="421"/>
      <c r="H726" s="429"/>
      <c r="I726" s="418"/>
      <c r="J726" s="421"/>
      <c r="K726" s="421"/>
      <c r="L726" s="417"/>
      <c r="M726" s="417"/>
      <c r="N726" s="417"/>
      <c r="O726" s="417"/>
      <c r="P726" s="417"/>
      <c r="Q726" s="417"/>
      <c r="R726" s="417"/>
      <c r="S726" s="417"/>
      <c r="T726" s="417"/>
      <c r="U726" s="417"/>
      <c r="V726" s="417"/>
      <c r="W726" s="417"/>
      <c r="X726" s="417"/>
      <c r="Y726" s="417"/>
      <c r="Z726" s="417"/>
      <c r="AA726" s="417"/>
      <c r="AB726" s="417"/>
      <c r="AC726" s="417"/>
      <c r="AD726" s="417"/>
      <c r="AE726" s="417"/>
      <c r="AF726" s="417"/>
      <c r="AG726" s="417"/>
      <c r="AH726" s="417"/>
      <c r="AI726" s="417"/>
      <c r="AJ726" s="417"/>
      <c r="AK726" s="417"/>
      <c r="AL726" s="417"/>
      <c r="AM726" s="588"/>
      <c r="AN726" s="608"/>
    </row>
    <row r="727" spans="2:40" ht="15" hidden="1" x14ac:dyDescent="0.25">
      <c r="B727" s="605" t="s">
        <v>1099</v>
      </c>
      <c r="C727" s="538"/>
      <c r="D727" s="417"/>
      <c r="E727" s="417"/>
      <c r="F727" s="418"/>
      <c r="G727" s="421"/>
      <c r="H727" s="429"/>
      <c r="I727" s="418"/>
      <c r="J727" s="421"/>
      <c r="K727" s="421"/>
      <c r="L727" s="417"/>
      <c r="M727" s="417"/>
      <c r="N727" s="417"/>
      <c r="O727" s="417"/>
      <c r="P727" s="417"/>
      <c r="Q727" s="417"/>
      <c r="R727" s="417"/>
      <c r="S727" s="417"/>
      <c r="T727" s="417"/>
      <c r="U727" s="417"/>
      <c r="V727" s="417"/>
      <c r="W727" s="417"/>
      <c r="X727" s="417"/>
      <c r="Y727" s="417"/>
      <c r="Z727" s="417"/>
      <c r="AA727" s="417"/>
      <c r="AB727" s="417"/>
      <c r="AC727" s="417"/>
      <c r="AD727" s="417"/>
      <c r="AE727" s="417"/>
      <c r="AF727" s="417"/>
      <c r="AG727" s="417"/>
      <c r="AH727" s="417"/>
      <c r="AI727" s="417"/>
      <c r="AJ727" s="417"/>
      <c r="AK727" s="417"/>
      <c r="AL727" s="417"/>
      <c r="AM727" s="588"/>
      <c r="AN727" s="608">
        <f>+AN724+AN725</f>
        <v>309324.43859999994</v>
      </c>
    </row>
    <row r="728" spans="2:40" ht="15" hidden="1" x14ac:dyDescent="0.25">
      <c r="B728" s="588"/>
      <c r="C728" s="538"/>
      <c r="D728" s="417"/>
      <c r="E728" s="417"/>
      <c r="F728" s="418"/>
      <c r="G728" s="421"/>
      <c r="H728" s="429"/>
      <c r="I728" s="418"/>
      <c r="J728" s="421"/>
      <c r="K728" s="421"/>
      <c r="L728" s="417"/>
      <c r="M728" s="417"/>
      <c r="N728" s="417"/>
      <c r="O728" s="417"/>
      <c r="P728" s="417"/>
      <c r="Q728" s="417"/>
      <c r="R728" s="417"/>
      <c r="S728" s="417"/>
      <c r="T728" s="417"/>
      <c r="U728" s="417"/>
      <c r="V728" s="417"/>
      <c r="W728" s="417"/>
      <c r="X728" s="417"/>
      <c r="Y728" s="417"/>
      <c r="Z728" s="417"/>
      <c r="AA728" s="417"/>
      <c r="AB728" s="417"/>
      <c r="AC728" s="417"/>
      <c r="AD728" s="417"/>
      <c r="AE728" s="417"/>
      <c r="AF728" s="417"/>
      <c r="AG728" s="417"/>
      <c r="AH728" s="417"/>
      <c r="AI728" s="417"/>
      <c r="AJ728" s="417"/>
      <c r="AK728" s="417"/>
      <c r="AL728" s="417"/>
      <c r="AM728" s="588"/>
      <c r="AN728" s="417"/>
    </row>
    <row r="729" spans="2:40" ht="15" hidden="1" x14ac:dyDescent="0.25">
      <c r="B729" s="605" t="s">
        <v>1100</v>
      </c>
      <c r="C729" s="538"/>
      <c r="D729" s="417"/>
      <c r="E729" s="417"/>
      <c r="F729" s="418"/>
      <c r="G729" s="421"/>
      <c r="H729" s="429"/>
      <c r="I729" s="418"/>
      <c r="J729" s="421"/>
      <c r="K729" s="421"/>
      <c r="L729" s="417"/>
      <c r="M729" s="417"/>
      <c r="N729" s="417"/>
      <c r="O729" s="417"/>
      <c r="P729" s="417"/>
      <c r="Q729" s="417"/>
      <c r="R729" s="417"/>
      <c r="S729" s="417"/>
      <c r="T729" s="417"/>
      <c r="U729" s="417"/>
      <c r="V729" s="417"/>
      <c r="W729" s="417"/>
      <c r="X729" s="417"/>
      <c r="Y729" s="417"/>
      <c r="Z729" s="417"/>
      <c r="AA729" s="417"/>
      <c r="AB729" s="417"/>
      <c r="AC729" s="417"/>
      <c r="AD729" s="417"/>
      <c r="AE729" s="417"/>
      <c r="AF729" s="417"/>
      <c r="AG729" s="417"/>
      <c r="AH729" s="417"/>
      <c r="AI729" s="417"/>
      <c r="AJ729" s="417"/>
      <c r="AK729" s="417"/>
      <c r="AL729" s="417"/>
      <c r="AM729" s="588"/>
      <c r="AN729" s="608">
        <f>+($AO$55-$AO$50)*0.03</f>
        <v>321474.20164080797</v>
      </c>
    </row>
    <row r="730" spans="2:40" ht="15" hidden="1" x14ac:dyDescent="0.25">
      <c r="B730" s="588"/>
      <c r="C730" s="538"/>
      <c r="D730" s="417"/>
      <c r="E730" s="417"/>
      <c r="F730" s="418"/>
      <c r="G730" s="421"/>
      <c r="H730" s="429"/>
      <c r="I730" s="418"/>
      <c r="J730" s="421"/>
      <c r="K730" s="421"/>
      <c r="L730" s="417"/>
      <c r="M730" s="417"/>
      <c r="N730" s="417"/>
      <c r="O730" s="417"/>
      <c r="P730" s="417"/>
      <c r="Q730" s="417"/>
      <c r="R730" s="417"/>
      <c r="S730" s="417"/>
      <c r="T730" s="417"/>
      <c r="U730" s="417"/>
      <c r="V730" s="417"/>
      <c r="W730" s="417"/>
      <c r="X730" s="417"/>
      <c r="Y730" s="417"/>
      <c r="Z730" s="417"/>
      <c r="AA730" s="417"/>
      <c r="AB730" s="417"/>
      <c r="AC730" s="417"/>
      <c r="AD730" s="417"/>
      <c r="AE730" s="417"/>
      <c r="AF730" s="417"/>
      <c r="AG730" s="417"/>
      <c r="AH730" s="417"/>
      <c r="AI730" s="417"/>
      <c r="AJ730" s="417"/>
      <c r="AK730" s="417"/>
      <c r="AL730" s="417"/>
      <c r="AM730" s="588"/>
      <c r="AN730" s="417"/>
    </row>
    <row r="731" spans="2:40" ht="15" hidden="1" x14ac:dyDescent="0.25">
      <c r="B731" s="605" t="s">
        <v>1101</v>
      </c>
      <c r="C731" s="538"/>
      <c r="D731" s="417"/>
      <c r="E731" s="417"/>
      <c r="F731" s="418"/>
      <c r="G731" s="421"/>
      <c r="H731" s="429"/>
      <c r="I731" s="418"/>
      <c r="J731" s="421"/>
      <c r="K731" s="421"/>
      <c r="L731" s="417"/>
      <c r="M731" s="417"/>
      <c r="N731" s="417"/>
      <c r="O731" s="417"/>
      <c r="P731" s="417"/>
      <c r="Q731" s="417"/>
      <c r="R731" s="417"/>
      <c r="S731" s="417"/>
      <c r="T731" s="417"/>
      <c r="U731" s="417"/>
      <c r="V731" s="417"/>
      <c r="W731" s="417"/>
      <c r="X731" s="417"/>
      <c r="Y731" s="417"/>
      <c r="Z731" s="417"/>
      <c r="AA731" s="417"/>
      <c r="AB731" s="417"/>
      <c r="AC731" s="417"/>
      <c r="AD731" s="417"/>
      <c r="AE731" s="417"/>
      <c r="AF731" s="417"/>
      <c r="AG731" s="417"/>
      <c r="AH731" s="417"/>
      <c r="AI731" s="417"/>
      <c r="AJ731" s="417"/>
      <c r="AK731" s="417"/>
      <c r="AL731" s="417"/>
      <c r="AM731" s="588"/>
      <c r="AN731" s="418">
        <f>+AN729-AN727</f>
        <v>12149.763040808029</v>
      </c>
    </row>
  </sheetData>
  <mergeCells count="16">
    <mergeCell ref="BH1:BH3"/>
    <mergeCell ref="BU1:BU3"/>
    <mergeCell ref="AP2:AQ2"/>
    <mergeCell ref="AS5:AT5"/>
    <mergeCell ref="AS20:AT20"/>
    <mergeCell ref="K1:K3"/>
    <mergeCell ref="Z1:Z3"/>
    <mergeCell ref="AM1:AM3"/>
    <mergeCell ref="AU1:AU3"/>
    <mergeCell ref="A572:B572"/>
    <mergeCell ref="A570:B570"/>
    <mergeCell ref="A568:B568"/>
    <mergeCell ref="A566:B566"/>
    <mergeCell ref="F20:G20"/>
    <mergeCell ref="I20:J20"/>
    <mergeCell ref="AP20:AQ20"/>
  </mergeCells>
  <printOptions horizontalCentered="1"/>
  <pageMargins left="0.25" right="0.25" top="0.5" bottom="0.5" header="0.25" footer="0.25"/>
  <pageSetup scale="48" fitToHeight="0" orientation="landscape" r:id="rId1"/>
  <headerFooter alignWithMargins="0">
    <oddFooter>&amp;CPage &amp;P of &amp;N&amp;R&amp;F</oddFooter>
  </headerFooter>
  <rowBreaks count="2" manualBreakCount="2">
    <brk id="56" max="71" man="1"/>
    <brk id="573" max="71"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V731"/>
  <sheetViews>
    <sheetView topLeftCell="A46" zoomScale="90" zoomScaleNormal="90" workbookViewId="0">
      <selection activeCell="BH63" sqref="BH63"/>
    </sheetView>
  </sheetViews>
  <sheetFormatPr defaultColWidth="8.7109375" defaultRowHeight="12.75" outlineLevelRow="1" outlineLevelCol="2" x14ac:dyDescent="0.25"/>
  <cols>
    <col min="1" max="1" width="29.5703125" style="400" customWidth="1"/>
    <col min="2" max="2" width="59.28515625" style="400" bestFit="1" customWidth="1"/>
    <col min="3" max="3" width="3.7109375" style="583" customWidth="1"/>
    <col min="4" max="4" width="13.28515625" style="471" hidden="1" customWidth="1" outlineLevel="1"/>
    <col min="5" max="5" width="18.42578125" style="471" hidden="1" customWidth="1" outlineLevel="1"/>
    <col min="6" max="6" width="11" style="473" hidden="1" customWidth="1" outlineLevel="1"/>
    <col min="7" max="7" width="9.28515625" style="474" hidden="1" customWidth="1" outlineLevel="1"/>
    <col min="8" max="8" width="17.7109375" style="477" hidden="1" customWidth="1" outlineLevel="1"/>
    <col min="9" max="9" width="11" style="473" hidden="1" customWidth="1" outlineLevel="1"/>
    <col min="10" max="10" width="8.28515625" style="474" hidden="1" customWidth="1" outlineLevel="1"/>
    <col min="11" max="11" width="3.7109375" style="474" hidden="1" customWidth="1" collapsed="1"/>
    <col min="12" max="12" width="10.28515625" style="471" hidden="1" customWidth="1" outlineLevel="1"/>
    <col min="13" max="14" width="12" style="471" hidden="1" customWidth="1" outlineLevel="1"/>
    <col min="15" max="16" width="10.28515625" style="471" hidden="1" customWidth="1" outlineLevel="1"/>
    <col min="17" max="23" width="12" style="471" hidden="1" customWidth="1" outlineLevel="1"/>
    <col min="24" max="24" width="3.7109375" style="471" hidden="1" customWidth="1" outlineLevel="1"/>
    <col min="25" max="25" width="13.28515625" style="471" hidden="1" customWidth="1" outlineLevel="1"/>
    <col min="26" max="26" width="3.7109375" style="471" hidden="1" customWidth="1" collapsed="1"/>
    <col min="27" max="38" width="12" style="471" hidden="1" customWidth="1" outlineLevel="1"/>
    <col min="39" max="39" width="3.7109375" style="400" hidden="1" customWidth="1" collapsed="1"/>
    <col min="40" max="40" width="12.28515625" style="471" bestFit="1" customWidth="1" outlineLevel="1"/>
    <col min="41" max="41" width="12.28515625" style="477" bestFit="1" customWidth="1" outlineLevel="1"/>
    <col min="42" max="42" width="11.28515625" style="473" bestFit="1" customWidth="1" outlineLevel="1"/>
    <col min="43" max="43" width="8.7109375" style="476" bestFit="1" customWidth="1" outlineLevel="1"/>
    <col min="44" max="44" width="12.28515625" style="477" hidden="1" customWidth="1" outlineLevel="2"/>
    <col min="45" max="45" width="5.5703125" style="473" hidden="1" customWidth="1" outlineLevel="2"/>
    <col min="46" max="46" width="5.5703125" style="474" hidden="1" customWidth="1" outlineLevel="2"/>
    <col min="47" max="47" width="4.28515625" style="474" hidden="1" customWidth="1"/>
    <col min="48" max="58" width="11.28515625" style="471" hidden="1" customWidth="1" outlineLevel="1"/>
    <col min="59" max="59" width="12" style="471" hidden="1" customWidth="1" outlineLevel="1"/>
    <col min="60" max="60" width="4.28515625" style="471" bestFit="1" customWidth="1" collapsed="1"/>
    <col min="61" max="71" width="11.28515625" style="471" bestFit="1" customWidth="1" outlineLevel="1"/>
    <col min="72" max="72" width="12" style="471" bestFit="1" customWidth="1" outlineLevel="1"/>
    <col min="73" max="73" width="3.7109375" style="400" hidden="1" customWidth="1"/>
    <col min="74" max="16384" width="8.7109375" style="400"/>
  </cols>
  <sheetData>
    <row r="1" spans="1:73" ht="39" customHeight="1" x14ac:dyDescent="0.25">
      <c r="A1" s="582" t="s">
        <v>0</v>
      </c>
      <c r="D1" s="400"/>
      <c r="E1" s="400"/>
      <c r="F1" s="401"/>
      <c r="G1" s="402"/>
      <c r="H1" s="400"/>
      <c r="I1" s="401"/>
      <c r="J1" s="402"/>
      <c r="K1" s="802" t="s">
        <v>1</v>
      </c>
      <c r="L1" s="400"/>
      <c r="M1" s="403"/>
      <c r="N1" s="403"/>
      <c r="O1" s="403"/>
      <c r="P1" s="403"/>
      <c r="Q1" s="403"/>
      <c r="R1" s="403"/>
      <c r="S1" s="403"/>
      <c r="T1" s="403"/>
      <c r="U1" s="403"/>
      <c r="V1" s="403"/>
      <c r="W1" s="403"/>
      <c r="X1" s="403"/>
      <c r="Y1" s="403"/>
      <c r="Z1" s="802" t="s">
        <v>2</v>
      </c>
      <c r="AA1" s="400"/>
      <c r="AB1" s="403"/>
      <c r="AC1" s="403"/>
      <c r="AD1" s="403"/>
      <c r="AE1" s="403"/>
      <c r="AF1" s="403"/>
      <c r="AG1" s="403"/>
      <c r="AH1" s="403"/>
      <c r="AI1" s="403"/>
      <c r="AJ1" s="403"/>
      <c r="AK1" s="403"/>
      <c r="AL1" s="403"/>
      <c r="AM1" s="802" t="s">
        <v>3</v>
      </c>
      <c r="AN1" s="400"/>
      <c r="AO1" s="400"/>
      <c r="AP1" s="401"/>
      <c r="AQ1" s="404"/>
      <c r="AR1" s="400"/>
      <c r="AS1" s="401"/>
      <c r="AT1" s="402"/>
      <c r="AU1" s="803" t="s">
        <v>4</v>
      </c>
      <c r="AV1" s="400"/>
      <c r="AW1" s="403"/>
      <c r="AX1" s="403"/>
      <c r="AY1" s="403"/>
      <c r="AZ1" s="403"/>
      <c r="BA1" s="403"/>
      <c r="BB1" s="403"/>
      <c r="BC1" s="403"/>
      <c r="BD1" s="403"/>
      <c r="BE1" s="403"/>
      <c r="BF1" s="403"/>
      <c r="BG1" s="403"/>
      <c r="BH1" s="803" t="s">
        <v>5</v>
      </c>
      <c r="BI1" s="400"/>
      <c r="BJ1" s="403"/>
      <c r="BK1" s="403"/>
      <c r="BL1" s="403"/>
      <c r="BM1" s="403"/>
      <c r="BN1" s="403"/>
      <c r="BO1" s="403"/>
      <c r="BP1" s="403"/>
      <c r="BQ1" s="403"/>
      <c r="BR1" s="403"/>
      <c r="BS1" s="403"/>
      <c r="BT1" s="403"/>
      <c r="BU1" s="803" t="s">
        <v>6</v>
      </c>
    </row>
    <row r="2" spans="1:73" s="406" customFormat="1" ht="15.75" customHeight="1" x14ac:dyDescent="0.25">
      <c r="A2" s="405" t="s">
        <v>1432</v>
      </c>
      <c r="B2" s="526"/>
      <c r="C2" s="535"/>
      <c r="F2" s="407"/>
      <c r="G2" s="408"/>
      <c r="I2" s="407"/>
      <c r="J2" s="408"/>
      <c r="K2" s="802"/>
      <c r="Z2" s="802"/>
      <c r="AM2" s="802"/>
      <c r="AN2" s="628" t="s">
        <v>15</v>
      </c>
      <c r="AO2" s="628" t="s">
        <v>22</v>
      </c>
      <c r="AP2" s="808" t="s">
        <v>23</v>
      </c>
      <c r="AQ2" s="808"/>
      <c r="AU2" s="803"/>
      <c r="BH2" s="803"/>
      <c r="BI2" s="482" t="s">
        <v>21</v>
      </c>
      <c r="BJ2" s="482" t="s">
        <v>21</v>
      </c>
      <c r="BK2" s="482" t="s">
        <v>21</v>
      </c>
      <c r="BL2" s="482" t="s">
        <v>21</v>
      </c>
      <c r="BM2" s="482" t="s">
        <v>21</v>
      </c>
      <c r="BN2" s="482" t="s">
        <v>21</v>
      </c>
      <c r="BO2" s="482" t="s">
        <v>21</v>
      </c>
      <c r="BP2" s="482" t="s">
        <v>21</v>
      </c>
      <c r="BQ2" s="482" t="s">
        <v>21</v>
      </c>
      <c r="BR2" s="482" t="s">
        <v>21</v>
      </c>
      <c r="BS2" s="482" t="s">
        <v>21</v>
      </c>
      <c r="BT2" s="482" t="s">
        <v>21</v>
      </c>
      <c r="BU2" s="803"/>
    </row>
    <row r="3" spans="1:73" s="406" customFormat="1" ht="15.75" x14ac:dyDescent="0.25">
      <c r="A3" s="409" t="s">
        <v>7</v>
      </c>
      <c r="B3" s="584"/>
      <c r="C3" s="585"/>
      <c r="F3" s="407"/>
      <c r="G3" s="408"/>
      <c r="I3" s="407"/>
      <c r="J3" s="408"/>
      <c r="K3" s="802"/>
      <c r="Z3" s="802"/>
      <c r="AM3" s="802"/>
      <c r="AN3" s="490" t="s">
        <v>19</v>
      </c>
      <c r="AO3" s="490" t="s">
        <v>21</v>
      </c>
      <c r="AP3" s="488" t="s">
        <v>28</v>
      </c>
      <c r="AQ3" s="492" t="s">
        <v>29</v>
      </c>
      <c r="AU3" s="803"/>
      <c r="BH3" s="803"/>
      <c r="BI3" s="493">
        <v>43312</v>
      </c>
      <c r="BJ3" s="494">
        <v>43343</v>
      </c>
      <c r="BK3" s="493">
        <v>43373</v>
      </c>
      <c r="BL3" s="494">
        <v>43404</v>
      </c>
      <c r="BM3" s="493">
        <v>43434</v>
      </c>
      <c r="BN3" s="494">
        <v>43465</v>
      </c>
      <c r="BO3" s="493">
        <v>43496</v>
      </c>
      <c r="BP3" s="494">
        <v>43524</v>
      </c>
      <c r="BQ3" s="493">
        <v>43555</v>
      </c>
      <c r="BR3" s="494">
        <v>43585</v>
      </c>
      <c r="BS3" s="493">
        <v>43616</v>
      </c>
      <c r="BT3" s="494">
        <v>43646</v>
      </c>
      <c r="BU3" s="803"/>
    </row>
    <row r="4" spans="1:73" s="406" customFormat="1" ht="15.75" x14ac:dyDescent="0.25">
      <c r="A4" s="409"/>
      <c r="B4" s="584"/>
      <c r="C4" s="585"/>
      <c r="F4" s="407"/>
      <c r="G4" s="408"/>
      <c r="I4" s="407"/>
      <c r="J4" s="408"/>
      <c r="K4" s="649"/>
      <c r="Z4" s="649"/>
      <c r="AM4" s="649"/>
      <c r="AN4" s="490"/>
      <c r="AO4" s="490"/>
      <c r="AP4" s="488"/>
      <c r="AQ4" s="492"/>
      <c r="AU4" s="650"/>
      <c r="BH4" s="650"/>
      <c r="BI4" s="493"/>
      <c r="BJ4" s="494"/>
      <c r="BK4" s="493"/>
      <c r="BL4" s="494"/>
      <c r="BM4" s="493"/>
      <c r="BN4" s="494"/>
      <c r="BO4" s="493"/>
      <c r="BP4" s="494"/>
      <c r="BQ4" s="493"/>
      <c r="BR4" s="494"/>
      <c r="BS4" s="493"/>
      <c r="BT4" s="494"/>
      <c r="BU4" s="650"/>
    </row>
    <row r="5" spans="1:73" s="587" customFormat="1" ht="15" outlineLevel="1" x14ac:dyDescent="0.25">
      <c r="A5" s="586"/>
      <c r="B5" s="524" t="s">
        <v>1434</v>
      </c>
      <c r="C5" s="585"/>
      <c r="D5" s="410"/>
      <c r="E5" s="411">
        <v>1286</v>
      </c>
      <c r="F5" s="412"/>
      <c r="G5" s="413"/>
      <c r="H5" s="411">
        <v>1245</v>
      </c>
      <c r="I5" s="414"/>
      <c r="J5" s="415"/>
      <c r="K5" s="416"/>
      <c r="L5" s="417"/>
      <c r="M5" s="417"/>
      <c r="N5" s="417"/>
      <c r="O5" s="417"/>
      <c r="P5" s="417"/>
      <c r="Q5" s="417"/>
      <c r="R5" s="417"/>
      <c r="S5" s="417"/>
      <c r="T5" s="417"/>
      <c r="U5" s="417"/>
      <c r="V5" s="417"/>
      <c r="W5" s="417"/>
      <c r="X5" s="417"/>
      <c r="Y5" s="417"/>
      <c r="Z5" s="416"/>
      <c r="AA5" s="417"/>
      <c r="AB5" s="417"/>
      <c r="AC5" s="417"/>
      <c r="AD5" s="417"/>
      <c r="AE5" s="417"/>
      <c r="AF5" s="417"/>
      <c r="AG5" s="417"/>
      <c r="AH5" s="417"/>
      <c r="AI5" s="417"/>
      <c r="AJ5" s="417"/>
      <c r="AK5" s="417"/>
      <c r="AL5" s="417"/>
      <c r="AM5" s="416"/>
      <c r="AN5" s="422">
        <v>1245</v>
      </c>
      <c r="AO5" s="411">
        <f>AVERAGE(BI5:BT5)</f>
        <v>1369</v>
      </c>
      <c r="AP5" s="411">
        <f>IFERROR(AO5-AN5,0)</f>
        <v>124</v>
      </c>
      <c r="AQ5" s="634">
        <f>IFERROR(AP5/ABS(AN5),"-")</f>
        <v>9.9598393574297187E-2</v>
      </c>
      <c r="AR5" s="480" t="s">
        <v>22</v>
      </c>
      <c r="AS5" s="806" t="s">
        <v>24</v>
      </c>
      <c r="AT5" s="807"/>
      <c r="AU5" s="416"/>
      <c r="AV5" s="422">
        <f t="shared" ref="AV5:BG8" si="0">BI5</f>
        <v>1369</v>
      </c>
      <c r="AW5" s="411">
        <f t="shared" si="0"/>
        <v>1369</v>
      </c>
      <c r="AX5" s="411">
        <f t="shared" si="0"/>
        <v>1369</v>
      </c>
      <c r="AY5" s="411">
        <f t="shared" si="0"/>
        <v>1369</v>
      </c>
      <c r="AZ5" s="411">
        <f t="shared" si="0"/>
        <v>1369</v>
      </c>
      <c r="BA5" s="411">
        <f t="shared" si="0"/>
        <v>1369</v>
      </c>
      <c r="BB5" s="411">
        <f t="shared" si="0"/>
        <v>1369</v>
      </c>
      <c r="BC5" s="411">
        <f t="shared" si="0"/>
        <v>1369</v>
      </c>
      <c r="BD5" s="411">
        <f t="shared" si="0"/>
        <v>1369</v>
      </c>
      <c r="BE5" s="411">
        <f t="shared" si="0"/>
        <v>1369</v>
      </c>
      <c r="BF5" s="411">
        <f t="shared" si="0"/>
        <v>1369</v>
      </c>
      <c r="BG5" s="423">
        <f t="shared" si="0"/>
        <v>1369</v>
      </c>
      <c r="BH5" s="416"/>
      <c r="BI5" s="422">
        <v>1369</v>
      </c>
      <c r="BJ5" s="411">
        <v>1369</v>
      </c>
      <c r="BK5" s="411">
        <v>1369</v>
      </c>
      <c r="BL5" s="411">
        <v>1369</v>
      </c>
      <c r="BM5" s="411">
        <v>1369</v>
      </c>
      <c r="BN5" s="411">
        <v>1369</v>
      </c>
      <c r="BO5" s="411">
        <v>1369</v>
      </c>
      <c r="BP5" s="411">
        <v>1369</v>
      </c>
      <c r="BQ5" s="411">
        <v>1369</v>
      </c>
      <c r="BR5" s="411">
        <v>1369</v>
      </c>
      <c r="BS5" s="411">
        <v>1369</v>
      </c>
      <c r="BT5" s="423">
        <v>1369</v>
      </c>
      <c r="BU5" s="416"/>
    </row>
    <row r="6" spans="1:73" s="587" customFormat="1" ht="15" outlineLevel="1" x14ac:dyDescent="0.25">
      <c r="B6" s="524" t="s">
        <v>1435</v>
      </c>
      <c r="C6" s="585"/>
      <c r="D6" s="424"/>
      <c r="E6" s="425">
        <v>1237.28</v>
      </c>
      <c r="F6" s="418"/>
      <c r="G6" s="421"/>
      <c r="H6" s="425">
        <v>1196.28</v>
      </c>
      <c r="I6" s="417"/>
      <c r="J6" s="426"/>
      <c r="K6" s="416"/>
      <c r="L6" s="417"/>
      <c r="M6" s="417"/>
      <c r="N6" s="417"/>
      <c r="O6" s="417"/>
      <c r="P6" s="417"/>
      <c r="Q6" s="417"/>
      <c r="R6" s="417"/>
      <c r="S6" s="417"/>
      <c r="T6" s="417"/>
      <c r="U6" s="417"/>
      <c r="V6" s="417"/>
      <c r="W6" s="417"/>
      <c r="X6" s="417"/>
      <c r="Y6" s="417"/>
      <c r="Z6" s="416"/>
      <c r="AA6" s="417"/>
      <c r="AB6" s="417"/>
      <c r="AC6" s="417"/>
      <c r="AD6" s="417"/>
      <c r="AE6" s="417"/>
      <c r="AF6" s="417"/>
      <c r="AG6" s="417"/>
      <c r="AH6" s="417"/>
      <c r="AI6" s="417"/>
      <c r="AJ6" s="417"/>
      <c r="AK6" s="417"/>
      <c r="AL6" s="417"/>
      <c r="AM6" s="416"/>
      <c r="AN6" s="427">
        <v>1196.28</v>
      </c>
      <c r="AO6" s="420">
        <f>AVERAGE(BI6:BT6)</f>
        <v>1320.2800000000002</v>
      </c>
      <c r="AP6" s="420">
        <f>IFERROR(AO6-AN6,0)</f>
        <v>124.00000000000023</v>
      </c>
      <c r="AQ6" s="635">
        <f>IFERROR(AP6/ABS(AN6),"-")</f>
        <v>0.10365466278797625</v>
      </c>
      <c r="AR6" s="490" t="s">
        <v>21</v>
      </c>
      <c r="AS6" s="488" t="s">
        <v>28</v>
      </c>
      <c r="AT6" s="491" t="s">
        <v>29</v>
      </c>
      <c r="AU6" s="416"/>
      <c r="AV6" s="427">
        <f t="shared" si="0"/>
        <v>1320.28</v>
      </c>
      <c r="AW6" s="420">
        <f t="shared" si="0"/>
        <v>1320.28</v>
      </c>
      <c r="AX6" s="420">
        <f t="shared" si="0"/>
        <v>1320.28</v>
      </c>
      <c r="AY6" s="420">
        <f t="shared" si="0"/>
        <v>1320.28</v>
      </c>
      <c r="AZ6" s="420">
        <f t="shared" si="0"/>
        <v>1320.28</v>
      </c>
      <c r="BA6" s="420">
        <f t="shared" si="0"/>
        <v>1320.28</v>
      </c>
      <c r="BB6" s="420">
        <f t="shared" si="0"/>
        <v>1320.28</v>
      </c>
      <c r="BC6" s="420">
        <f t="shared" si="0"/>
        <v>1320.28</v>
      </c>
      <c r="BD6" s="420">
        <f t="shared" si="0"/>
        <v>1320.28</v>
      </c>
      <c r="BE6" s="420">
        <f t="shared" si="0"/>
        <v>1320.28</v>
      </c>
      <c r="BF6" s="420">
        <f t="shared" si="0"/>
        <v>1320.28</v>
      </c>
      <c r="BG6" s="428">
        <f t="shared" si="0"/>
        <v>1320.28</v>
      </c>
      <c r="BH6" s="416"/>
      <c r="BI6" s="427">
        <f t="shared" ref="BI6:BT6" si="1">(BI5-BI7)+0.58*BI7</f>
        <v>1320.28</v>
      </c>
      <c r="BJ6" s="420">
        <f t="shared" si="1"/>
        <v>1320.28</v>
      </c>
      <c r="BK6" s="420">
        <f t="shared" si="1"/>
        <v>1320.28</v>
      </c>
      <c r="BL6" s="420">
        <f t="shared" si="1"/>
        <v>1320.28</v>
      </c>
      <c r="BM6" s="420">
        <f t="shared" si="1"/>
        <v>1320.28</v>
      </c>
      <c r="BN6" s="420">
        <f t="shared" si="1"/>
        <v>1320.28</v>
      </c>
      <c r="BO6" s="420">
        <f t="shared" si="1"/>
        <v>1320.28</v>
      </c>
      <c r="BP6" s="420">
        <f t="shared" si="1"/>
        <v>1320.28</v>
      </c>
      <c r="BQ6" s="420">
        <f t="shared" si="1"/>
        <v>1320.28</v>
      </c>
      <c r="BR6" s="420">
        <f t="shared" si="1"/>
        <v>1320.28</v>
      </c>
      <c r="BS6" s="420">
        <f t="shared" si="1"/>
        <v>1320.28</v>
      </c>
      <c r="BT6" s="428">
        <f t="shared" si="1"/>
        <v>1320.28</v>
      </c>
      <c r="BU6" s="416"/>
    </row>
    <row r="7" spans="1:73" s="588" customFormat="1" ht="15" customHeight="1" outlineLevel="1" x14ac:dyDescent="0.25">
      <c r="B7" s="524" t="s">
        <v>1439</v>
      </c>
      <c r="C7" s="538"/>
      <c r="D7" s="424"/>
      <c r="E7" s="420">
        <v>116</v>
      </c>
      <c r="F7" s="418"/>
      <c r="G7" s="421"/>
      <c r="H7" s="420">
        <v>116</v>
      </c>
      <c r="I7" s="418"/>
      <c r="J7" s="426"/>
      <c r="K7" s="416"/>
      <c r="L7" s="417"/>
      <c r="M7" s="417"/>
      <c r="N7" s="417"/>
      <c r="O7" s="417"/>
      <c r="P7" s="417"/>
      <c r="Q7" s="417"/>
      <c r="R7" s="417"/>
      <c r="S7" s="417"/>
      <c r="T7" s="417"/>
      <c r="U7" s="417"/>
      <c r="V7" s="417"/>
      <c r="W7" s="417"/>
      <c r="X7" s="417"/>
      <c r="Y7" s="417"/>
      <c r="Z7" s="416"/>
      <c r="AA7" s="417"/>
      <c r="AB7" s="417"/>
      <c r="AC7" s="417"/>
      <c r="AD7" s="417"/>
      <c r="AE7" s="417"/>
      <c r="AF7" s="417"/>
      <c r="AG7" s="417"/>
      <c r="AH7" s="417"/>
      <c r="AI7" s="417"/>
      <c r="AJ7" s="417"/>
      <c r="AK7" s="417"/>
      <c r="AL7" s="417"/>
      <c r="AM7" s="416"/>
      <c r="AN7" s="427">
        <v>116</v>
      </c>
      <c r="AO7" s="420">
        <f>AVERAGE(BI7:BT7)</f>
        <v>116</v>
      </c>
      <c r="AP7" s="420">
        <f>IFERROR(AO7-AN7,0)</f>
        <v>0</v>
      </c>
      <c r="AQ7" s="635">
        <f>IFERROR(AP7/ABS(AN7),"-")</f>
        <v>0</v>
      </c>
      <c r="AR7" s="429"/>
      <c r="AS7" s="418"/>
      <c r="AT7" s="421"/>
      <c r="AU7" s="416"/>
      <c r="AV7" s="427">
        <f t="shared" si="0"/>
        <v>116</v>
      </c>
      <c r="AW7" s="420">
        <f t="shared" si="0"/>
        <v>116</v>
      </c>
      <c r="AX7" s="420">
        <f t="shared" si="0"/>
        <v>116</v>
      </c>
      <c r="AY7" s="420">
        <f t="shared" si="0"/>
        <v>116</v>
      </c>
      <c r="AZ7" s="420">
        <f t="shared" si="0"/>
        <v>116</v>
      </c>
      <c r="BA7" s="420">
        <f t="shared" si="0"/>
        <v>116</v>
      </c>
      <c r="BB7" s="420">
        <f t="shared" si="0"/>
        <v>116</v>
      </c>
      <c r="BC7" s="420">
        <f t="shared" si="0"/>
        <v>116</v>
      </c>
      <c r="BD7" s="420">
        <f t="shared" si="0"/>
        <v>116</v>
      </c>
      <c r="BE7" s="420">
        <f t="shared" si="0"/>
        <v>116</v>
      </c>
      <c r="BF7" s="420">
        <f t="shared" si="0"/>
        <v>116</v>
      </c>
      <c r="BG7" s="428">
        <f t="shared" si="0"/>
        <v>116</v>
      </c>
      <c r="BH7" s="416"/>
      <c r="BI7" s="427">
        <f>116</f>
        <v>116</v>
      </c>
      <c r="BJ7" s="420">
        <v>116</v>
      </c>
      <c r="BK7" s="420">
        <v>116</v>
      </c>
      <c r="BL7" s="420">
        <v>116</v>
      </c>
      <c r="BM7" s="420">
        <v>116</v>
      </c>
      <c r="BN7" s="420">
        <v>116</v>
      </c>
      <c r="BO7" s="420">
        <v>116</v>
      </c>
      <c r="BP7" s="420">
        <v>116</v>
      </c>
      <c r="BQ7" s="420">
        <v>116</v>
      </c>
      <c r="BR7" s="420">
        <v>116</v>
      </c>
      <c r="BS7" s="420">
        <v>116</v>
      </c>
      <c r="BT7" s="428">
        <v>116</v>
      </c>
      <c r="BU7" s="416"/>
    </row>
    <row r="8" spans="1:73" s="588" customFormat="1" ht="15" customHeight="1" outlineLevel="1" x14ac:dyDescent="0.25">
      <c r="A8" s="609"/>
      <c r="B8" s="524" t="s">
        <v>1436</v>
      </c>
      <c r="C8" s="538"/>
      <c r="D8" s="430"/>
      <c r="E8" s="431">
        <v>7092</v>
      </c>
      <c r="F8" s="432"/>
      <c r="G8" s="433"/>
      <c r="H8" s="431">
        <v>7321</v>
      </c>
      <c r="I8" s="432"/>
      <c r="J8" s="434"/>
      <c r="K8" s="416"/>
      <c r="L8" s="417"/>
      <c r="M8" s="417"/>
      <c r="N8" s="417"/>
      <c r="O8" s="417"/>
      <c r="P8" s="417"/>
      <c r="Q8" s="417"/>
      <c r="R8" s="417"/>
      <c r="S8" s="417"/>
      <c r="T8" s="417"/>
      <c r="U8" s="417"/>
      <c r="V8" s="417"/>
      <c r="W8" s="417"/>
      <c r="X8" s="417"/>
      <c r="Y8" s="417"/>
      <c r="Z8" s="416"/>
      <c r="AA8" s="417"/>
      <c r="AB8" s="417"/>
      <c r="AC8" s="417"/>
      <c r="AD8" s="417"/>
      <c r="AE8" s="417"/>
      <c r="AF8" s="417"/>
      <c r="AG8" s="417"/>
      <c r="AH8" s="417"/>
      <c r="AI8" s="417"/>
      <c r="AJ8" s="417"/>
      <c r="AK8" s="417"/>
      <c r="AL8" s="417"/>
      <c r="AM8" s="416"/>
      <c r="AN8" s="621">
        <v>7321</v>
      </c>
      <c r="AO8" s="622">
        <f>AVERAGE(BI8:BT8)</f>
        <v>7502</v>
      </c>
      <c r="AP8" s="622">
        <f>IFERROR(AO8-AN8,0)</f>
        <v>181</v>
      </c>
      <c r="AQ8" s="570">
        <f>IFERROR(AP8/ABS(AN8),"-")</f>
        <v>2.4723398442835678E-2</v>
      </c>
      <c r="AR8" s="429"/>
      <c r="AS8" s="418"/>
      <c r="AT8" s="421"/>
      <c r="AU8" s="416"/>
      <c r="AV8" s="435">
        <f t="shared" si="0"/>
        <v>7502</v>
      </c>
      <c r="AW8" s="431">
        <f t="shared" si="0"/>
        <v>7502</v>
      </c>
      <c r="AX8" s="431">
        <f t="shared" si="0"/>
        <v>7502</v>
      </c>
      <c r="AY8" s="431">
        <f t="shared" si="0"/>
        <v>7502</v>
      </c>
      <c r="AZ8" s="431">
        <f t="shared" si="0"/>
        <v>7502</v>
      </c>
      <c r="BA8" s="431">
        <f t="shared" si="0"/>
        <v>7502</v>
      </c>
      <c r="BB8" s="431">
        <f t="shared" si="0"/>
        <v>7502</v>
      </c>
      <c r="BC8" s="431">
        <f t="shared" si="0"/>
        <v>7502</v>
      </c>
      <c r="BD8" s="431">
        <f t="shared" si="0"/>
        <v>7502</v>
      </c>
      <c r="BE8" s="431">
        <f t="shared" si="0"/>
        <v>7502</v>
      </c>
      <c r="BF8" s="431">
        <f t="shared" si="0"/>
        <v>7502</v>
      </c>
      <c r="BG8" s="436">
        <f t="shared" si="0"/>
        <v>7502</v>
      </c>
      <c r="BH8" s="416"/>
      <c r="BI8" s="621">
        <v>7502</v>
      </c>
      <c r="BJ8" s="622">
        <v>7502</v>
      </c>
      <c r="BK8" s="622">
        <v>7502</v>
      </c>
      <c r="BL8" s="622">
        <v>7502</v>
      </c>
      <c r="BM8" s="622">
        <v>7502</v>
      </c>
      <c r="BN8" s="622">
        <v>7502</v>
      </c>
      <c r="BO8" s="622">
        <v>7502</v>
      </c>
      <c r="BP8" s="622">
        <v>7502</v>
      </c>
      <c r="BQ8" s="622">
        <v>7502</v>
      </c>
      <c r="BR8" s="622">
        <v>7502</v>
      </c>
      <c r="BS8" s="622">
        <v>7502</v>
      </c>
      <c r="BT8" s="623">
        <v>7502</v>
      </c>
      <c r="BU8" s="416"/>
    </row>
    <row r="9" spans="1:73" s="588" customFormat="1" ht="15" customHeight="1" outlineLevel="1" x14ac:dyDescent="0.25">
      <c r="A9" s="609"/>
      <c r="B9" s="524"/>
      <c r="C9" s="538"/>
      <c r="D9" s="417"/>
      <c r="E9" s="437"/>
      <c r="F9" s="418"/>
      <c r="G9" s="421"/>
      <c r="H9" s="437"/>
      <c r="I9" s="418"/>
      <c r="J9" s="421"/>
      <c r="K9" s="416"/>
      <c r="L9" s="417"/>
      <c r="M9" s="417"/>
      <c r="N9" s="417"/>
      <c r="O9" s="417"/>
      <c r="P9" s="417"/>
      <c r="Q9" s="417"/>
      <c r="R9" s="417"/>
      <c r="S9" s="417"/>
      <c r="T9" s="417"/>
      <c r="U9" s="417"/>
      <c r="V9" s="417"/>
      <c r="W9" s="417"/>
      <c r="X9" s="417"/>
      <c r="Y9" s="417"/>
      <c r="Z9" s="416"/>
      <c r="AA9" s="417"/>
      <c r="AB9" s="417"/>
      <c r="AC9" s="417"/>
      <c r="AD9" s="417"/>
      <c r="AE9" s="417"/>
      <c r="AF9" s="417"/>
      <c r="AG9" s="417"/>
      <c r="AH9" s="417"/>
      <c r="AI9" s="417"/>
      <c r="AJ9" s="417"/>
      <c r="AK9" s="417"/>
      <c r="AL9" s="417"/>
      <c r="AM9" s="416"/>
      <c r="AN9" s="629"/>
      <c r="AO9" s="629"/>
      <c r="AP9" s="629"/>
      <c r="AQ9" s="629"/>
      <c r="AR9" s="429"/>
      <c r="AS9" s="418"/>
      <c r="AT9" s="421"/>
      <c r="AU9" s="416"/>
      <c r="AV9" s="437"/>
      <c r="AW9" s="437"/>
      <c r="AX9" s="437"/>
      <c r="AY9" s="437"/>
      <c r="AZ9" s="437"/>
      <c r="BA9" s="437"/>
      <c r="BB9" s="437"/>
      <c r="BC9" s="437"/>
      <c r="BD9" s="437"/>
      <c r="BE9" s="437"/>
      <c r="BF9" s="437"/>
      <c r="BG9" s="437"/>
      <c r="BH9" s="416"/>
      <c r="BI9" s="629"/>
      <c r="BJ9" s="629"/>
      <c r="BK9" s="629"/>
      <c r="BL9" s="629"/>
      <c r="BM9" s="629"/>
      <c r="BN9" s="629"/>
      <c r="BO9" s="629"/>
      <c r="BP9" s="629"/>
      <c r="BQ9" s="629"/>
      <c r="BR9" s="629"/>
      <c r="BS9" s="629"/>
      <c r="BT9" s="629"/>
      <c r="BU9" s="416"/>
    </row>
    <row r="10" spans="1:73" s="588" customFormat="1" ht="15" customHeight="1" outlineLevel="1" x14ac:dyDescent="0.25">
      <c r="A10" s="610"/>
      <c r="B10" s="625" t="s">
        <v>1433</v>
      </c>
      <c r="C10" s="538"/>
      <c r="D10" s="417"/>
      <c r="E10" s="437"/>
      <c r="F10" s="418"/>
      <c r="G10" s="421"/>
      <c r="H10" s="437"/>
      <c r="I10" s="418"/>
      <c r="J10" s="421"/>
      <c r="K10" s="438"/>
      <c r="L10" s="417"/>
      <c r="M10" s="417"/>
      <c r="N10" s="417"/>
      <c r="O10" s="417"/>
      <c r="P10" s="417"/>
      <c r="Q10" s="417"/>
      <c r="R10" s="417"/>
      <c r="S10" s="417"/>
      <c r="T10" s="417"/>
      <c r="U10" s="417"/>
      <c r="V10" s="417"/>
      <c r="W10" s="417"/>
      <c r="X10" s="417"/>
      <c r="Y10" s="417"/>
      <c r="Z10" s="438"/>
      <c r="AA10" s="417"/>
      <c r="AB10" s="417"/>
      <c r="AC10" s="417"/>
      <c r="AD10" s="417"/>
      <c r="AE10" s="417"/>
      <c r="AF10" s="417"/>
      <c r="AG10" s="417"/>
      <c r="AH10" s="417"/>
      <c r="AI10" s="417"/>
      <c r="AJ10" s="417"/>
      <c r="AK10" s="417"/>
      <c r="AL10" s="417"/>
      <c r="AM10" s="438"/>
      <c r="AR10" s="429"/>
      <c r="AS10" s="418"/>
      <c r="AT10" s="421"/>
      <c r="AU10" s="438"/>
      <c r="AV10" s="437"/>
      <c r="AW10" s="437"/>
      <c r="AX10" s="437"/>
      <c r="AY10" s="437"/>
      <c r="AZ10" s="437"/>
      <c r="BA10" s="437"/>
      <c r="BB10" s="437"/>
      <c r="BC10" s="437"/>
      <c r="BD10" s="437"/>
      <c r="BE10" s="437"/>
      <c r="BF10" s="437"/>
      <c r="BG10" s="437"/>
      <c r="BH10" s="438"/>
      <c r="BI10" s="437"/>
      <c r="BJ10" s="437"/>
      <c r="BK10" s="437"/>
      <c r="BL10" s="437"/>
      <c r="BM10" s="437"/>
      <c r="BN10" s="437"/>
      <c r="BO10" s="437"/>
      <c r="BP10" s="437"/>
      <c r="BQ10" s="437"/>
      <c r="BR10" s="437"/>
      <c r="BS10" s="437"/>
      <c r="BT10" s="437"/>
      <c r="BU10" s="438"/>
    </row>
    <row r="11" spans="1:73" s="588" customFormat="1" ht="15" customHeight="1" outlineLevel="1" x14ac:dyDescent="0.25">
      <c r="A11" s="610"/>
      <c r="B11" s="524" t="s">
        <v>8</v>
      </c>
      <c r="C11" s="538"/>
      <c r="D11" s="439">
        <f t="shared" ref="D11:J11" si="2">SUM(D12:D15)</f>
        <v>-1082404.610000001</v>
      </c>
      <c r="E11" s="440">
        <f t="shared" si="2"/>
        <v>-659544.33257400012</v>
      </c>
      <c r="F11" s="441">
        <f>IFERROR(D11-E11,0)</f>
        <v>-422860.27742600092</v>
      </c>
      <c r="G11" s="413">
        <f>IFERROR(F11/ABS(E11),0)</f>
        <v>-0.64114003644865902</v>
      </c>
      <c r="H11" s="440">
        <f t="shared" si="2"/>
        <v>-984834.03000000119</v>
      </c>
      <c r="I11" s="441">
        <f t="shared" si="2"/>
        <v>-97570.579999999813</v>
      </c>
      <c r="J11" s="415">
        <f t="shared" si="2"/>
        <v>1.9343971580585803E-2</v>
      </c>
      <c r="K11" s="442"/>
      <c r="L11" s="439">
        <f t="shared" ref="L11:W11" si="3">SUM(L12:L15)</f>
        <v>251112.56000000014</v>
      </c>
      <c r="M11" s="440">
        <f t="shared" si="3"/>
        <v>-431066.7900000001</v>
      </c>
      <c r="N11" s="440">
        <f t="shared" si="3"/>
        <v>350867.09000000008</v>
      </c>
      <c r="O11" s="440">
        <f t="shared" si="3"/>
        <v>50867.1899999999</v>
      </c>
      <c r="P11" s="440">
        <f t="shared" si="3"/>
        <v>155824.00999999972</v>
      </c>
      <c r="Q11" s="440">
        <f t="shared" si="3"/>
        <v>-424744.07999999996</v>
      </c>
      <c r="R11" s="440">
        <f t="shared" si="3"/>
        <v>-172544.09833333327</v>
      </c>
      <c r="S11" s="440">
        <f t="shared" si="3"/>
        <v>-172544.09833333344</v>
      </c>
      <c r="T11" s="440">
        <f t="shared" si="3"/>
        <v>-172544.09833333339</v>
      </c>
      <c r="U11" s="440">
        <f t="shared" si="3"/>
        <v>-172544.09833333327</v>
      </c>
      <c r="V11" s="440">
        <f t="shared" si="3"/>
        <v>-172544.09833333315</v>
      </c>
      <c r="W11" s="443">
        <f t="shared" si="3"/>
        <v>-172544.09833333277</v>
      </c>
      <c r="X11" s="418"/>
      <c r="Y11" s="444">
        <f>SUM(Y12:Y15)</f>
        <v>-1082404.6100000015</v>
      </c>
      <c r="Z11" s="442"/>
      <c r="AA11" s="439">
        <f t="shared" ref="AA11:AL11" si="4">SUM(AA12:AA15)</f>
        <v>-82069.502500000031</v>
      </c>
      <c r="AB11" s="440">
        <f t="shared" si="4"/>
        <v>-82069.502500000031</v>
      </c>
      <c r="AC11" s="440">
        <f t="shared" si="4"/>
        <v>-82069.502500000031</v>
      </c>
      <c r="AD11" s="440">
        <f t="shared" si="4"/>
        <v>-82069.502500000031</v>
      </c>
      <c r="AE11" s="440">
        <f t="shared" si="4"/>
        <v>-82069.502500000031</v>
      </c>
      <c r="AF11" s="440">
        <f t="shared" si="4"/>
        <v>-82069.502500000031</v>
      </c>
      <c r="AG11" s="440">
        <f t="shared" si="4"/>
        <v>-82069.502500000031</v>
      </c>
      <c r="AH11" s="440">
        <f t="shared" si="4"/>
        <v>-82069.502500000031</v>
      </c>
      <c r="AI11" s="440">
        <f t="shared" si="4"/>
        <v>-82069.502500000031</v>
      </c>
      <c r="AJ11" s="440">
        <f t="shared" si="4"/>
        <v>-82069.502500000031</v>
      </c>
      <c r="AK11" s="440">
        <f t="shared" si="4"/>
        <v>-82069.502500000031</v>
      </c>
      <c r="AL11" s="443">
        <f t="shared" si="4"/>
        <v>-82069.502500000031</v>
      </c>
      <c r="AM11" s="442"/>
      <c r="AN11" s="439">
        <f>SUM(AN12:AN15)</f>
        <v>-1082404.610000001</v>
      </c>
      <c r="AO11" s="440">
        <f>SUM(AO12:AO15)</f>
        <v>-771321.81577960739</v>
      </c>
      <c r="AP11" s="445">
        <f>IFERROR(AO11-AN11,0)</f>
        <v>311082.79422039364</v>
      </c>
      <c r="AQ11" s="446">
        <f>IFERROR(AP11/ABS(AN11),"-")</f>
        <v>0.28739973143720565</v>
      </c>
      <c r="AR11" s="440">
        <f>SUM(AR12:AR15)</f>
        <v>-771321.81577960739</v>
      </c>
      <c r="AS11" s="445">
        <f>IFERROR(AO11-AR11,0)</f>
        <v>0</v>
      </c>
      <c r="AT11" s="415">
        <f>IFERROR(AS11/ABS(AR11),0)</f>
        <v>0</v>
      </c>
      <c r="AU11" s="442"/>
      <c r="AV11" s="439">
        <f t="shared" ref="AV11:BG11" si="5">SUM(AV12:AV15)</f>
        <v>281440.58028620348</v>
      </c>
      <c r="AW11" s="440">
        <f t="shared" si="5"/>
        <v>165854.55252172289</v>
      </c>
      <c r="AX11" s="440">
        <f t="shared" si="5"/>
        <v>88509.028171574246</v>
      </c>
      <c r="AY11" s="440">
        <f t="shared" si="5"/>
        <v>-151210.47182842571</v>
      </c>
      <c r="AZ11" s="440">
        <f t="shared" si="5"/>
        <v>92513.028171574246</v>
      </c>
      <c r="BA11" s="440">
        <f t="shared" si="5"/>
        <v>-751178.82720138424</v>
      </c>
      <c r="BB11" s="440">
        <f t="shared" si="5"/>
        <v>29930.8127986158</v>
      </c>
      <c r="BC11" s="440">
        <f t="shared" si="5"/>
        <v>134424.92279861579</v>
      </c>
      <c r="BD11" s="440">
        <f t="shared" si="5"/>
        <v>175420.92279861579</v>
      </c>
      <c r="BE11" s="440">
        <f t="shared" si="5"/>
        <v>83701.422798615895</v>
      </c>
      <c r="BF11" s="440">
        <f t="shared" si="5"/>
        <v>130420.92279861578</v>
      </c>
      <c r="BG11" s="443">
        <f t="shared" si="5"/>
        <v>-1051148.7098939505</v>
      </c>
      <c r="BH11" s="442"/>
      <c r="BI11" s="439">
        <f>SUM(BI12:BI15)</f>
        <v>281440.58028620348</v>
      </c>
      <c r="BJ11" s="440">
        <f t="shared" ref="BJ11:BT11" si="6">SUM(BJ12:BJ15)</f>
        <v>165854.55252172289</v>
      </c>
      <c r="BK11" s="440">
        <f t="shared" si="6"/>
        <v>88509.028171574246</v>
      </c>
      <c r="BL11" s="440">
        <f t="shared" si="6"/>
        <v>-151210.47182842571</v>
      </c>
      <c r="BM11" s="440">
        <f t="shared" si="6"/>
        <v>92513.028171574246</v>
      </c>
      <c r="BN11" s="440">
        <f t="shared" si="6"/>
        <v>-751178.82720138424</v>
      </c>
      <c r="BO11" s="440">
        <f t="shared" si="6"/>
        <v>29930.8127986158</v>
      </c>
      <c r="BP11" s="440">
        <f t="shared" si="6"/>
        <v>134424.92279861579</v>
      </c>
      <c r="BQ11" s="440">
        <f t="shared" si="6"/>
        <v>175420.92279861579</v>
      </c>
      <c r="BR11" s="440">
        <f t="shared" si="6"/>
        <v>83701.422798615895</v>
      </c>
      <c r="BS11" s="440">
        <f t="shared" si="6"/>
        <v>130420.92279861578</v>
      </c>
      <c r="BT11" s="443">
        <f t="shared" si="6"/>
        <v>-1051148.7098939505</v>
      </c>
      <c r="BU11" s="438"/>
    </row>
    <row r="12" spans="1:73" s="588" customFormat="1" ht="15" customHeight="1" outlineLevel="1" x14ac:dyDescent="0.25">
      <c r="A12" s="610"/>
      <c r="B12" s="524" t="s">
        <v>9</v>
      </c>
      <c r="C12" s="538"/>
      <c r="D12" s="447">
        <f t="shared" ref="D12:J12" si="7">D55-D566</f>
        <v>67640.709999999031</v>
      </c>
      <c r="E12" s="448">
        <f t="shared" si="7"/>
        <v>25963.682426000014</v>
      </c>
      <c r="F12" s="449">
        <f>IFERROR(D12-E12,0)</f>
        <v>41677.027573999017</v>
      </c>
      <c r="G12" s="421">
        <f>IFERROR(F12/ABS(E12),0)</f>
        <v>1.6052047968459078</v>
      </c>
      <c r="H12" s="448">
        <f t="shared" si="7"/>
        <v>175442.96999999881</v>
      </c>
      <c r="I12" s="449">
        <f t="shared" si="7"/>
        <v>-107802.25999999978</v>
      </c>
      <c r="J12" s="426">
        <f t="shared" si="7"/>
        <v>-1.0795850540643744E-2</v>
      </c>
      <c r="K12" s="442"/>
      <c r="L12" s="447">
        <f t="shared" ref="L12:W12" si="8">L55-L566</f>
        <v>162417.92000000016</v>
      </c>
      <c r="M12" s="448">
        <f t="shared" si="8"/>
        <v>-143180.8600000001</v>
      </c>
      <c r="N12" s="448">
        <f t="shared" si="8"/>
        <v>273165.74</v>
      </c>
      <c r="O12" s="448">
        <f t="shared" si="8"/>
        <v>-54004.590000000084</v>
      </c>
      <c r="P12" s="448">
        <f t="shared" si="8"/>
        <v>84363.649999999674</v>
      </c>
      <c r="Q12" s="448">
        <f t="shared" si="8"/>
        <v>204534.83000000019</v>
      </c>
      <c r="R12" s="448">
        <f t="shared" si="8"/>
        <v>-76609.329999999958</v>
      </c>
      <c r="S12" s="448">
        <f t="shared" si="8"/>
        <v>-76609.330000000075</v>
      </c>
      <c r="T12" s="448">
        <f t="shared" si="8"/>
        <v>-76609.330000000075</v>
      </c>
      <c r="U12" s="448">
        <f t="shared" si="8"/>
        <v>-76609.329999999958</v>
      </c>
      <c r="V12" s="448">
        <f t="shared" si="8"/>
        <v>-76609.329999999958</v>
      </c>
      <c r="W12" s="450">
        <f t="shared" si="8"/>
        <v>-76609.329999999492</v>
      </c>
      <c r="X12" s="418"/>
      <c r="Y12" s="451">
        <f>Y55-Y566</f>
        <v>67640.709999999031</v>
      </c>
      <c r="Z12" s="442"/>
      <c r="AA12" s="447">
        <f t="shared" ref="AA12:AL12" si="9">AA55-AA566</f>
        <v>14620.247499999939</v>
      </c>
      <c r="AB12" s="448">
        <f t="shared" si="9"/>
        <v>14620.247499999939</v>
      </c>
      <c r="AC12" s="448">
        <f t="shared" si="9"/>
        <v>14620.247499999939</v>
      </c>
      <c r="AD12" s="448">
        <f t="shared" si="9"/>
        <v>14620.247499999939</v>
      </c>
      <c r="AE12" s="448">
        <f t="shared" si="9"/>
        <v>14620.247499999939</v>
      </c>
      <c r="AF12" s="448">
        <f t="shared" si="9"/>
        <v>14620.247499999939</v>
      </c>
      <c r="AG12" s="448">
        <f t="shared" si="9"/>
        <v>14620.247499999939</v>
      </c>
      <c r="AH12" s="448">
        <f t="shared" si="9"/>
        <v>14620.247499999939</v>
      </c>
      <c r="AI12" s="448">
        <f t="shared" si="9"/>
        <v>14620.247499999939</v>
      </c>
      <c r="AJ12" s="448">
        <f t="shared" si="9"/>
        <v>14620.247499999939</v>
      </c>
      <c r="AK12" s="448">
        <f t="shared" si="9"/>
        <v>14620.247499999939</v>
      </c>
      <c r="AL12" s="450">
        <f t="shared" si="9"/>
        <v>14620.247499999939</v>
      </c>
      <c r="AM12" s="442"/>
      <c r="AN12" s="447">
        <f>AN55-AN566</f>
        <v>67640.709999999031</v>
      </c>
      <c r="AO12" s="448">
        <f>AO55-AO566</f>
        <v>-356356.84138603322</v>
      </c>
      <c r="AP12" s="452">
        <f>IFERROR(AO12-AN12,0)</f>
        <v>-423997.55138603225</v>
      </c>
      <c r="AQ12" s="453">
        <f>IFERROR(AP12/ABS(AN12),"-")</f>
        <v>-6.2683781909746115</v>
      </c>
      <c r="AR12" s="448">
        <f>AR55-AR566</f>
        <v>-356356.84138603322</v>
      </c>
      <c r="AS12" s="452">
        <f>IFERROR(AO12-AR12,0)</f>
        <v>0</v>
      </c>
      <c r="AT12" s="426">
        <f>IFERROR(AS12/ABS(AR12),0)</f>
        <v>0</v>
      </c>
      <c r="AU12" s="442"/>
      <c r="AV12" s="447">
        <f t="shared" ref="AV12:BG12" si="10">AV55-AV566</f>
        <v>169087.70315233467</v>
      </c>
      <c r="AW12" s="448">
        <f t="shared" si="10"/>
        <v>57911.231524854084</v>
      </c>
      <c r="AX12" s="448">
        <f t="shared" si="10"/>
        <v>-19434.292825294542</v>
      </c>
      <c r="AY12" s="448">
        <f t="shared" si="10"/>
        <v>-259153.79282529454</v>
      </c>
      <c r="AZ12" s="448">
        <f t="shared" si="10"/>
        <v>-15430.292825294542</v>
      </c>
      <c r="BA12" s="448">
        <f t="shared" si="10"/>
        <v>22477.601801746991</v>
      </c>
      <c r="BB12" s="448">
        <f t="shared" si="10"/>
        <v>-78012.508198252995</v>
      </c>
      <c r="BC12" s="448">
        <f t="shared" si="10"/>
        <v>26481.601801746991</v>
      </c>
      <c r="BD12" s="448">
        <f t="shared" si="10"/>
        <v>67477.601801746991</v>
      </c>
      <c r="BE12" s="448">
        <f t="shared" si="10"/>
        <v>-24241.898198252893</v>
      </c>
      <c r="BF12" s="448">
        <f t="shared" si="10"/>
        <v>22477.601801746991</v>
      </c>
      <c r="BG12" s="450">
        <f t="shared" si="10"/>
        <v>-325997.39839781926</v>
      </c>
      <c r="BH12" s="442"/>
      <c r="BI12" s="447">
        <f>BI55-BI566</f>
        <v>169087.70315233467</v>
      </c>
      <c r="BJ12" s="448">
        <f t="shared" ref="BJ12:BT12" si="11">BJ55-BJ566</f>
        <v>57911.231524854084</v>
      </c>
      <c r="BK12" s="448">
        <f t="shared" si="11"/>
        <v>-19434.292825294542</v>
      </c>
      <c r="BL12" s="448">
        <f t="shared" si="11"/>
        <v>-259153.79282529454</v>
      </c>
      <c r="BM12" s="448">
        <f t="shared" si="11"/>
        <v>-15430.292825294542</v>
      </c>
      <c r="BN12" s="448">
        <f t="shared" si="11"/>
        <v>22477.601801746991</v>
      </c>
      <c r="BO12" s="448">
        <f t="shared" si="11"/>
        <v>-78012.508198252995</v>
      </c>
      <c r="BP12" s="448">
        <f t="shared" si="11"/>
        <v>26481.601801746991</v>
      </c>
      <c r="BQ12" s="448">
        <f t="shared" si="11"/>
        <v>67477.601801746991</v>
      </c>
      <c r="BR12" s="448">
        <f t="shared" si="11"/>
        <v>-24241.898198252893</v>
      </c>
      <c r="BS12" s="448">
        <f t="shared" si="11"/>
        <v>22477.601801746991</v>
      </c>
      <c r="BT12" s="450">
        <f t="shared" si="11"/>
        <v>-325997.39839781926</v>
      </c>
      <c r="BU12" s="438"/>
    </row>
    <row r="13" spans="1:73" s="588" customFormat="1" ht="15" customHeight="1" outlineLevel="1" x14ac:dyDescent="0.25">
      <c r="A13" s="610"/>
      <c r="B13" s="524" t="s">
        <v>10</v>
      </c>
      <c r="C13" s="538"/>
      <c r="D13" s="447">
        <f t="shared" ref="D13:J13" si="12">D585-D606</f>
        <v>0</v>
      </c>
      <c r="E13" s="448">
        <f t="shared" si="12"/>
        <v>0</v>
      </c>
      <c r="F13" s="449">
        <f>IFERROR(D13-E13,0)</f>
        <v>0</v>
      </c>
      <c r="G13" s="421">
        <f>IFERROR(F13/ABS(E13),0)</f>
        <v>0</v>
      </c>
      <c r="H13" s="448">
        <f t="shared" si="12"/>
        <v>0</v>
      </c>
      <c r="I13" s="449">
        <f t="shared" si="12"/>
        <v>0</v>
      </c>
      <c r="J13" s="426">
        <f t="shared" si="12"/>
        <v>0</v>
      </c>
      <c r="K13" s="442"/>
      <c r="L13" s="447">
        <f t="shared" ref="L13:W13" si="13">L585-L606</f>
        <v>0</v>
      </c>
      <c r="M13" s="448">
        <f t="shared" si="13"/>
        <v>-1699.5900000000001</v>
      </c>
      <c r="N13" s="448">
        <f t="shared" si="13"/>
        <v>-2688.72</v>
      </c>
      <c r="O13" s="448">
        <f t="shared" si="13"/>
        <v>-2395.9600000000009</v>
      </c>
      <c r="P13" s="448">
        <f t="shared" si="13"/>
        <v>-2271.33</v>
      </c>
      <c r="Q13" s="448">
        <f t="shared" si="13"/>
        <v>-2271.1400000000003</v>
      </c>
      <c r="R13" s="448">
        <f t="shared" si="13"/>
        <v>1887.79</v>
      </c>
      <c r="S13" s="448">
        <f t="shared" si="13"/>
        <v>1887.7900000000004</v>
      </c>
      <c r="T13" s="448">
        <f t="shared" si="13"/>
        <v>1887.7899999999995</v>
      </c>
      <c r="U13" s="448">
        <f t="shared" si="13"/>
        <v>1887.7899999999991</v>
      </c>
      <c r="V13" s="448">
        <f t="shared" si="13"/>
        <v>1887.7899999999991</v>
      </c>
      <c r="W13" s="450">
        <f t="shared" si="13"/>
        <v>1887.7899999999991</v>
      </c>
      <c r="X13" s="418"/>
      <c r="Y13" s="451">
        <f>Y585-Y606</f>
        <v>0</v>
      </c>
      <c r="Z13" s="442"/>
      <c r="AA13" s="447">
        <f t="shared" ref="AA13:AL13" si="14">AA585-AA606</f>
        <v>0</v>
      </c>
      <c r="AB13" s="448">
        <f t="shared" si="14"/>
        <v>0</v>
      </c>
      <c r="AC13" s="448">
        <f t="shared" si="14"/>
        <v>0</v>
      </c>
      <c r="AD13" s="448">
        <f t="shared" si="14"/>
        <v>0</v>
      </c>
      <c r="AE13" s="448">
        <f t="shared" si="14"/>
        <v>0</v>
      </c>
      <c r="AF13" s="448">
        <f t="shared" si="14"/>
        <v>0</v>
      </c>
      <c r="AG13" s="448">
        <f t="shared" si="14"/>
        <v>0</v>
      </c>
      <c r="AH13" s="448">
        <f t="shared" si="14"/>
        <v>0</v>
      </c>
      <c r="AI13" s="448">
        <f t="shared" si="14"/>
        <v>0</v>
      </c>
      <c r="AJ13" s="448">
        <f t="shared" si="14"/>
        <v>0</v>
      </c>
      <c r="AK13" s="448">
        <f t="shared" si="14"/>
        <v>0</v>
      </c>
      <c r="AL13" s="450">
        <f t="shared" si="14"/>
        <v>0</v>
      </c>
      <c r="AM13" s="442"/>
      <c r="AN13" s="447">
        <f>AN585-AN606</f>
        <v>0</v>
      </c>
      <c r="AO13" s="448">
        <f>AO585-AO606</f>
        <v>0</v>
      </c>
      <c r="AP13" s="452">
        <f>IFERROR(AO13-AN13,0)</f>
        <v>0</v>
      </c>
      <c r="AQ13" s="453" t="str">
        <f>IFERROR(AP13/ABS(AN13),"-")</f>
        <v>-</v>
      </c>
      <c r="AR13" s="448">
        <f>AR585-AR606</f>
        <v>0</v>
      </c>
      <c r="AS13" s="452">
        <f>IFERROR(AO13-AR13,0)</f>
        <v>0</v>
      </c>
      <c r="AT13" s="426">
        <f>IFERROR(AS13/ABS(AR13),0)</f>
        <v>0</v>
      </c>
      <c r="AU13" s="442"/>
      <c r="AV13" s="447">
        <f t="shared" ref="AV13:BG13" si="15">AV585-AV606</f>
        <v>0</v>
      </c>
      <c r="AW13" s="448">
        <f t="shared" si="15"/>
        <v>-4409.5561369999996</v>
      </c>
      <c r="AX13" s="448">
        <f t="shared" si="15"/>
        <v>-4409.5561369999996</v>
      </c>
      <c r="AY13" s="448">
        <f t="shared" si="15"/>
        <v>-4409.5561369999996</v>
      </c>
      <c r="AZ13" s="448">
        <f t="shared" si="15"/>
        <v>-4409.5561369999996</v>
      </c>
      <c r="BA13" s="448">
        <f t="shared" si="15"/>
        <v>-4409.5561369999996</v>
      </c>
      <c r="BB13" s="448">
        <f t="shared" si="15"/>
        <v>-4409.5561369999996</v>
      </c>
      <c r="BC13" s="448">
        <f t="shared" si="15"/>
        <v>-4409.5561369999996</v>
      </c>
      <c r="BD13" s="448">
        <f t="shared" si="15"/>
        <v>-4409.5561369999996</v>
      </c>
      <c r="BE13" s="448">
        <f t="shared" si="15"/>
        <v>-4409.5561369999996</v>
      </c>
      <c r="BF13" s="448">
        <f t="shared" si="15"/>
        <v>-4409.5561369999996</v>
      </c>
      <c r="BG13" s="450">
        <f t="shared" si="15"/>
        <v>44095.561370000003</v>
      </c>
      <c r="BH13" s="442"/>
      <c r="BI13" s="447">
        <f>BI585-BI606</f>
        <v>0</v>
      </c>
      <c r="BJ13" s="448">
        <f t="shared" ref="BJ13:BT13" si="16">BJ585-BJ606</f>
        <v>-4409.5561369999996</v>
      </c>
      <c r="BK13" s="448">
        <f t="shared" si="16"/>
        <v>-4409.5561369999996</v>
      </c>
      <c r="BL13" s="448">
        <f t="shared" si="16"/>
        <v>-4409.5561369999996</v>
      </c>
      <c r="BM13" s="448">
        <f t="shared" si="16"/>
        <v>-4409.5561369999996</v>
      </c>
      <c r="BN13" s="448">
        <f t="shared" si="16"/>
        <v>-4409.5561369999996</v>
      </c>
      <c r="BO13" s="448">
        <f t="shared" si="16"/>
        <v>-4409.5561369999996</v>
      </c>
      <c r="BP13" s="448">
        <f t="shared" si="16"/>
        <v>-4409.5561369999996</v>
      </c>
      <c r="BQ13" s="448">
        <f t="shared" si="16"/>
        <v>-4409.5561369999996</v>
      </c>
      <c r="BR13" s="448">
        <f t="shared" si="16"/>
        <v>-4409.5561369999996</v>
      </c>
      <c r="BS13" s="448">
        <f t="shared" si="16"/>
        <v>-4409.5561369999996</v>
      </c>
      <c r="BT13" s="450">
        <f t="shared" si="16"/>
        <v>44095.561370000003</v>
      </c>
      <c r="BU13" s="438"/>
    </row>
    <row r="14" spans="1:73" s="588" customFormat="1" ht="15" customHeight="1" outlineLevel="1" x14ac:dyDescent="0.25">
      <c r="A14" s="610"/>
      <c r="B14" s="524" t="s">
        <v>11</v>
      </c>
      <c r="C14" s="538"/>
      <c r="D14" s="447">
        <f t="shared" ref="D14:J14" si="17">D630-D648</f>
        <v>-1184284.54</v>
      </c>
      <c r="E14" s="448">
        <f t="shared" si="17"/>
        <v>-714781.26500000013</v>
      </c>
      <c r="F14" s="449">
        <f>IFERROR(D14-E14,0)</f>
        <v>-469503.27499999991</v>
      </c>
      <c r="G14" s="421">
        <f>IFERROR(F14/ABS(E14),0)</f>
        <v>-0.65684888229408167</v>
      </c>
      <c r="H14" s="448">
        <f t="shared" si="17"/>
        <v>-1189549</v>
      </c>
      <c r="I14" s="449">
        <f t="shared" si="17"/>
        <v>5264.4599999999627</v>
      </c>
      <c r="J14" s="426">
        <f t="shared" si="17"/>
        <v>4.8863414489550613E-3</v>
      </c>
      <c r="K14" s="442"/>
      <c r="L14" s="447">
        <f t="shared" ref="L14:W14" si="18">L630-L648</f>
        <v>83192.049999999988</v>
      </c>
      <c r="M14" s="448">
        <f t="shared" si="18"/>
        <v>-286256.55</v>
      </c>
      <c r="N14" s="448">
        <f t="shared" si="18"/>
        <v>79720.040000000008</v>
      </c>
      <c r="O14" s="448">
        <f t="shared" si="18"/>
        <v>75772.829999999987</v>
      </c>
      <c r="P14" s="448">
        <f t="shared" si="18"/>
        <v>79613.050000000047</v>
      </c>
      <c r="Q14" s="448">
        <f t="shared" si="18"/>
        <v>-629237.00000000012</v>
      </c>
      <c r="R14" s="448">
        <f t="shared" si="18"/>
        <v>-97848.159999999974</v>
      </c>
      <c r="S14" s="448">
        <f t="shared" si="18"/>
        <v>-97848.160000000047</v>
      </c>
      <c r="T14" s="448">
        <f t="shared" si="18"/>
        <v>-97848.16</v>
      </c>
      <c r="U14" s="448">
        <f t="shared" si="18"/>
        <v>-97848.15999999996</v>
      </c>
      <c r="V14" s="448">
        <f t="shared" si="18"/>
        <v>-97848.159999999887</v>
      </c>
      <c r="W14" s="450">
        <f t="shared" si="18"/>
        <v>-97848.159999999945</v>
      </c>
      <c r="X14" s="418"/>
      <c r="Y14" s="451">
        <f>Y630-Y648</f>
        <v>-1184284.5400000005</v>
      </c>
      <c r="Z14" s="442"/>
      <c r="AA14" s="447">
        <f t="shared" ref="AA14:AL14" si="19">AA630-AA648</f>
        <v>-99129.083333333314</v>
      </c>
      <c r="AB14" s="448">
        <f t="shared" si="19"/>
        <v>-99129.083333333314</v>
      </c>
      <c r="AC14" s="448">
        <f t="shared" si="19"/>
        <v>-99129.083333333314</v>
      </c>
      <c r="AD14" s="448">
        <f t="shared" si="19"/>
        <v>-99129.083333333314</v>
      </c>
      <c r="AE14" s="448">
        <f t="shared" si="19"/>
        <v>-99129.083333333314</v>
      </c>
      <c r="AF14" s="448">
        <f t="shared" si="19"/>
        <v>-99129.083333333314</v>
      </c>
      <c r="AG14" s="448">
        <f t="shared" si="19"/>
        <v>-99129.083333333314</v>
      </c>
      <c r="AH14" s="448">
        <f t="shared" si="19"/>
        <v>-99129.083333333314</v>
      </c>
      <c r="AI14" s="448">
        <f t="shared" si="19"/>
        <v>-99129.083333333314</v>
      </c>
      <c r="AJ14" s="448">
        <f t="shared" si="19"/>
        <v>-99129.083333333314</v>
      </c>
      <c r="AK14" s="448">
        <f t="shared" si="19"/>
        <v>-99129.083333333314</v>
      </c>
      <c r="AL14" s="450">
        <f t="shared" si="19"/>
        <v>-99129.083333333314</v>
      </c>
      <c r="AM14" s="442"/>
      <c r="AN14" s="447">
        <f>AN630-AN648</f>
        <v>-1184284.54</v>
      </c>
      <c r="AO14" s="448">
        <f>AO630-AO648</f>
        <v>-452116.37373493961</v>
      </c>
      <c r="AP14" s="452">
        <f>IFERROR(AO14-AN14,0)</f>
        <v>732168.16626506043</v>
      </c>
      <c r="AQ14" s="453">
        <f>IFERROR(AP14/ABS(AN14),"-")</f>
        <v>0.61823670033306388</v>
      </c>
      <c r="AR14" s="448">
        <f>AR630-AR648</f>
        <v>-452116.37373493961</v>
      </c>
      <c r="AS14" s="452">
        <f>IFERROR(AO14-AR14,0)</f>
        <v>0</v>
      </c>
      <c r="AT14" s="426">
        <f>IFERROR(AS14/ABS(AR14),0)</f>
        <v>0</v>
      </c>
      <c r="AU14" s="442"/>
      <c r="AV14" s="447">
        <f t="shared" ref="AV14:BG14" si="20">AV630-AV648</f>
        <v>109256.92718875501</v>
      </c>
      <c r="AW14" s="448">
        <f t="shared" si="20"/>
        <v>109256.92718875501</v>
      </c>
      <c r="AX14" s="448">
        <f t="shared" si="20"/>
        <v>109256.92718875501</v>
      </c>
      <c r="AY14" s="448">
        <f t="shared" si="20"/>
        <v>109256.92718875501</v>
      </c>
      <c r="AZ14" s="448">
        <f t="shared" si="20"/>
        <v>109256.92718875501</v>
      </c>
      <c r="BA14" s="448">
        <f t="shared" si="20"/>
        <v>-772342.82281124499</v>
      </c>
      <c r="BB14" s="448">
        <f t="shared" si="20"/>
        <v>109256.92718875501</v>
      </c>
      <c r="BC14" s="448">
        <f t="shared" si="20"/>
        <v>109256.92718875501</v>
      </c>
      <c r="BD14" s="448">
        <f t="shared" si="20"/>
        <v>109256.92718875501</v>
      </c>
      <c r="BE14" s="448">
        <f t="shared" si="20"/>
        <v>109256.92718875501</v>
      </c>
      <c r="BF14" s="448">
        <f t="shared" si="20"/>
        <v>109256.92718875501</v>
      </c>
      <c r="BG14" s="450">
        <f t="shared" si="20"/>
        <v>-772342.82281124499</v>
      </c>
      <c r="BH14" s="442"/>
      <c r="BI14" s="447">
        <f>BI630-BI648</f>
        <v>109256.92718875501</v>
      </c>
      <c r="BJ14" s="448">
        <f t="shared" ref="BJ14:BT14" si="21">BJ630-BJ648</f>
        <v>109256.92718875501</v>
      </c>
      <c r="BK14" s="448">
        <f t="shared" si="21"/>
        <v>109256.92718875501</v>
      </c>
      <c r="BL14" s="448">
        <f t="shared" si="21"/>
        <v>109256.92718875501</v>
      </c>
      <c r="BM14" s="448">
        <f t="shared" si="21"/>
        <v>109256.92718875501</v>
      </c>
      <c r="BN14" s="448">
        <f t="shared" si="21"/>
        <v>-772342.82281124499</v>
      </c>
      <c r="BO14" s="448">
        <f t="shared" si="21"/>
        <v>109256.92718875501</v>
      </c>
      <c r="BP14" s="448">
        <f t="shared" si="21"/>
        <v>109256.92718875501</v>
      </c>
      <c r="BQ14" s="448">
        <f t="shared" si="21"/>
        <v>109256.92718875501</v>
      </c>
      <c r="BR14" s="448">
        <f t="shared" si="21"/>
        <v>109256.92718875501</v>
      </c>
      <c r="BS14" s="448">
        <f t="shared" si="21"/>
        <v>109256.92718875501</v>
      </c>
      <c r="BT14" s="450">
        <f t="shared" si="21"/>
        <v>-772342.82281124499</v>
      </c>
      <c r="BU14" s="438"/>
    </row>
    <row r="15" spans="1:73" s="588" customFormat="1" ht="15" customHeight="1" outlineLevel="1" x14ac:dyDescent="0.25">
      <c r="A15" s="610"/>
      <c r="B15" s="524" t="s">
        <v>12</v>
      </c>
      <c r="C15" s="538"/>
      <c r="D15" s="454">
        <f t="shared" ref="D15:J15" si="22">D668-D681</f>
        <v>34239.22</v>
      </c>
      <c r="E15" s="455">
        <f t="shared" si="22"/>
        <v>29273.25</v>
      </c>
      <c r="F15" s="456">
        <f>IFERROR(D15-E15,0)</f>
        <v>4965.9700000000012</v>
      </c>
      <c r="G15" s="433">
        <f>IFERROR(F15/ABS(E15),0)</f>
        <v>0.16964190856840294</v>
      </c>
      <c r="H15" s="455">
        <f t="shared" si="22"/>
        <v>29272</v>
      </c>
      <c r="I15" s="456">
        <f t="shared" si="22"/>
        <v>4967.2200000000012</v>
      </c>
      <c r="J15" s="434">
        <f t="shared" si="22"/>
        <v>2.5253480672274488E-2</v>
      </c>
      <c r="K15" s="442"/>
      <c r="L15" s="454">
        <f t="shared" ref="L15:W15" si="23">L668-L681</f>
        <v>5502.59</v>
      </c>
      <c r="M15" s="455">
        <f t="shared" si="23"/>
        <v>70.210000000000036</v>
      </c>
      <c r="N15" s="455">
        <f t="shared" si="23"/>
        <v>670.02999999999975</v>
      </c>
      <c r="O15" s="455">
        <f t="shared" si="23"/>
        <v>31494.909999999996</v>
      </c>
      <c r="P15" s="455">
        <f t="shared" si="23"/>
        <v>-5881.3600000000006</v>
      </c>
      <c r="Q15" s="455">
        <f t="shared" si="23"/>
        <v>2229.2299999999987</v>
      </c>
      <c r="R15" s="455">
        <f t="shared" si="23"/>
        <v>25.601666666669189</v>
      </c>
      <c r="S15" s="455">
        <f t="shared" si="23"/>
        <v>25.601666666669189</v>
      </c>
      <c r="T15" s="455">
        <f t="shared" si="23"/>
        <v>25.601666666669189</v>
      </c>
      <c r="U15" s="455">
        <f t="shared" si="23"/>
        <v>25.601666666665551</v>
      </c>
      <c r="V15" s="455">
        <f t="shared" si="23"/>
        <v>25.601666666669189</v>
      </c>
      <c r="W15" s="457">
        <f t="shared" si="23"/>
        <v>25.601666666654637</v>
      </c>
      <c r="X15" s="418"/>
      <c r="Y15" s="458">
        <f>Y668-Y681</f>
        <v>34239.219999999972</v>
      </c>
      <c r="Z15" s="442"/>
      <c r="AA15" s="454">
        <f t="shared" ref="AA15:AL15" si="24">AA668-AA681</f>
        <v>2439.3333333333358</v>
      </c>
      <c r="AB15" s="455">
        <f t="shared" si="24"/>
        <v>2439.3333333333358</v>
      </c>
      <c r="AC15" s="455">
        <f t="shared" si="24"/>
        <v>2439.3333333333358</v>
      </c>
      <c r="AD15" s="455">
        <f t="shared" si="24"/>
        <v>2439.3333333333358</v>
      </c>
      <c r="AE15" s="455">
        <f t="shared" si="24"/>
        <v>2439.3333333333358</v>
      </c>
      <c r="AF15" s="455">
        <f t="shared" si="24"/>
        <v>2439.3333333333358</v>
      </c>
      <c r="AG15" s="455">
        <f t="shared" si="24"/>
        <v>2439.3333333333358</v>
      </c>
      <c r="AH15" s="455">
        <f t="shared" si="24"/>
        <v>2439.3333333333358</v>
      </c>
      <c r="AI15" s="455">
        <f t="shared" si="24"/>
        <v>2439.3333333333358</v>
      </c>
      <c r="AJ15" s="455">
        <f t="shared" si="24"/>
        <v>2439.3333333333358</v>
      </c>
      <c r="AK15" s="455">
        <f t="shared" si="24"/>
        <v>2439.3333333333358</v>
      </c>
      <c r="AL15" s="457">
        <f t="shared" si="24"/>
        <v>2439.3333333333358</v>
      </c>
      <c r="AM15" s="442"/>
      <c r="AN15" s="454">
        <f>AN668-AN681</f>
        <v>34239.22</v>
      </c>
      <c r="AO15" s="455">
        <f>AO668-AO681</f>
        <v>37151.399341365468</v>
      </c>
      <c r="AP15" s="459">
        <f>IFERROR(AO15-AN15,0)</f>
        <v>2912.1793413654668</v>
      </c>
      <c r="AQ15" s="460">
        <f>IFERROR(AP15/ABS(AN15),"-")</f>
        <v>8.505390430522268E-2</v>
      </c>
      <c r="AR15" s="455">
        <f>AR668-AR681</f>
        <v>37151.399341365468</v>
      </c>
      <c r="AS15" s="459">
        <f>IFERROR(AO15-AR15,0)</f>
        <v>0</v>
      </c>
      <c r="AT15" s="434">
        <f>IFERROR(AS15/ABS(AR15),0)</f>
        <v>0</v>
      </c>
      <c r="AU15" s="442"/>
      <c r="AV15" s="454">
        <f t="shared" ref="AV15:BG15" si="25">AV668-AV681</f>
        <v>3095.9499451137872</v>
      </c>
      <c r="AW15" s="455">
        <f t="shared" si="25"/>
        <v>3095.9499451137872</v>
      </c>
      <c r="AX15" s="455">
        <f t="shared" si="25"/>
        <v>3095.9499451137872</v>
      </c>
      <c r="AY15" s="455">
        <f t="shared" si="25"/>
        <v>3095.9499451137872</v>
      </c>
      <c r="AZ15" s="455">
        <f t="shared" si="25"/>
        <v>3095.9499451137872</v>
      </c>
      <c r="BA15" s="455">
        <f t="shared" si="25"/>
        <v>3095.9499451137872</v>
      </c>
      <c r="BB15" s="455">
        <f t="shared" si="25"/>
        <v>3095.9499451137872</v>
      </c>
      <c r="BC15" s="455">
        <f t="shared" si="25"/>
        <v>3095.9499451137872</v>
      </c>
      <c r="BD15" s="455">
        <f t="shared" si="25"/>
        <v>3095.9499451137872</v>
      </c>
      <c r="BE15" s="455">
        <f t="shared" si="25"/>
        <v>3095.9499451137872</v>
      </c>
      <c r="BF15" s="455">
        <f t="shared" si="25"/>
        <v>3095.9499451137872</v>
      </c>
      <c r="BG15" s="457">
        <f t="shared" si="25"/>
        <v>3095.9499451137872</v>
      </c>
      <c r="BH15" s="442"/>
      <c r="BI15" s="454">
        <f>BI668-BI681</f>
        <v>3095.9499451137872</v>
      </c>
      <c r="BJ15" s="455">
        <f t="shared" ref="BJ15:BT15" si="26">BJ668-BJ681</f>
        <v>3095.9499451137872</v>
      </c>
      <c r="BK15" s="455">
        <f t="shared" si="26"/>
        <v>3095.9499451137872</v>
      </c>
      <c r="BL15" s="455">
        <f t="shared" si="26"/>
        <v>3095.9499451137872</v>
      </c>
      <c r="BM15" s="455">
        <f t="shared" si="26"/>
        <v>3095.9499451137872</v>
      </c>
      <c r="BN15" s="455">
        <f t="shared" si="26"/>
        <v>3095.9499451137872</v>
      </c>
      <c r="BO15" s="455">
        <f t="shared" si="26"/>
        <v>3095.9499451137872</v>
      </c>
      <c r="BP15" s="455">
        <f t="shared" si="26"/>
        <v>3095.9499451137872</v>
      </c>
      <c r="BQ15" s="455">
        <f t="shared" si="26"/>
        <v>3095.9499451137872</v>
      </c>
      <c r="BR15" s="455">
        <f t="shared" si="26"/>
        <v>3095.9499451137872</v>
      </c>
      <c r="BS15" s="455">
        <f t="shared" si="26"/>
        <v>3095.9499451137872</v>
      </c>
      <c r="BT15" s="457">
        <f t="shared" si="26"/>
        <v>3095.9499451137872</v>
      </c>
      <c r="BU15" s="438"/>
    </row>
    <row r="16" spans="1:73" s="588" customFormat="1" ht="15" hidden="1" customHeight="1" outlineLevel="1" x14ac:dyDescent="0.25">
      <c r="A16" s="610"/>
      <c r="B16" s="524"/>
      <c r="C16" s="538"/>
      <c r="D16" s="417"/>
      <c r="E16" s="437"/>
      <c r="F16" s="418"/>
      <c r="G16" s="421"/>
      <c r="H16" s="437"/>
      <c r="I16" s="418"/>
      <c r="J16" s="421"/>
      <c r="K16" s="438"/>
      <c r="L16" s="417"/>
      <c r="M16" s="417"/>
      <c r="N16" s="417"/>
      <c r="O16" s="417"/>
      <c r="P16" s="417"/>
      <c r="Q16" s="417"/>
      <c r="R16" s="417"/>
      <c r="S16" s="417"/>
      <c r="T16" s="417"/>
      <c r="U16" s="417"/>
      <c r="V16" s="417"/>
      <c r="W16" s="417"/>
      <c r="X16" s="417"/>
      <c r="Y16" s="417"/>
      <c r="Z16" s="438"/>
      <c r="AA16" s="417"/>
      <c r="AB16" s="417"/>
      <c r="AC16" s="417"/>
      <c r="AD16" s="417"/>
      <c r="AE16" s="417"/>
      <c r="AF16" s="417"/>
      <c r="AG16" s="417"/>
      <c r="AH16" s="417"/>
      <c r="AI16" s="417"/>
      <c r="AJ16" s="417"/>
      <c r="AK16" s="417"/>
      <c r="AL16" s="417"/>
      <c r="AM16" s="438"/>
      <c r="AN16" s="417"/>
      <c r="AO16" s="429"/>
      <c r="AP16" s="418"/>
      <c r="AQ16" s="419"/>
      <c r="AR16" s="429"/>
      <c r="AS16" s="418"/>
      <c r="AT16" s="421"/>
      <c r="AU16" s="438"/>
      <c r="AV16" s="437"/>
      <c r="AW16" s="437"/>
      <c r="AX16" s="437"/>
      <c r="AY16" s="437"/>
      <c r="AZ16" s="437"/>
      <c r="BA16" s="437"/>
      <c r="BB16" s="437"/>
      <c r="BC16" s="437"/>
      <c r="BD16" s="437"/>
      <c r="BE16" s="437"/>
      <c r="BF16" s="437"/>
      <c r="BG16" s="437"/>
      <c r="BH16" s="438"/>
      <c r="BI16" s="437"/>
      <c r="BJ16" s="437"/>
      <c r="BK16" s="437"/>
      <c r="BL16" s="437"/>
      <c r="BM16" s="437"/>
      <c r="BN16" s="437"/>
      <c r="BO16" s="437"/>
      <c r="BP16" s="437"/>
      <c r="BQ16" s="437"/>
      <c r="BR16" s="437"/>
      <c r="BS16" s="437"/>
      <c r="BT16" s="437"/>
      <c r="BU16" s="438"/>
    </row>
    <row r="17" spans="1:73" s="588" customFormat="1" ht="15" hidden="1" customHeight="1" outlineLevel="1" x14ac:dyDescent="0.25">
      <c r="A17" s="610"/>
      <c r="B17" s="524" t="s">
        <v>13</v>
      </c>
      <c r="C17" s="538"/>
      <c r="D17" s="410"/>
      <c r="E17" s="461"/>
      <c r="F17" s="412"/>
      <c r="G17" s="413"/>
      <c r="H17" s="461"/>
      <c r="I17" s="412"/>
      <c r="J17" s="415"/>
      <c r="K17" s="438"/>
      <c r="L17" s="410"/>
      <c r="M17" s="414"/>
      <c r="N17" s="414"/>
      <c r="O17" s="414"/>
      <c r="P17" s="414"/>
      <c r="Q17" s="414"/>
      <c r="R17" s="414"/>
      <c r="S17" s="414"/>
      <c r="T17" s="414"/>
      <c r="U17" s="414"/>
      <c r="V17" s="414"/>
      <c r="W17" s="462"/>
      <c r="X17" s="417"/>
      <c r="Y17" s="463"/>
      <c r="Z17" s="438"/>
      <c r="AA17" s="410"/>
      <c r="AB17" s="414"/>
      <c r="AC17" s="414"/>
      <c r="AD17" s="414"/>
      <c r="AE17" s="414"/>
      <c r="AF17" s="414"/>
      <c r="AG17" s="414"/>
      <c r="AH17" s="414"/>
      <c r="AI17" s="414"/>
      <c r="AJ17" s="414"/>
      <c r="AK17" s="414"/>
      <c r="AL17" s="462"/>
      <c r="AM17" s="438"/>
      <c r="AN17" s="410"/>
      <c r="AO17" s="464"/>
      <c r="AP17" s="412"/>
      <c r="AQ17" s="446"/>
      <c r="AR17" s="464"/>
      <c r="AS17" s="412"/>
      <c r="AT17" s="415"/>
      <c r="AU17" s="438"/>
      <c r="AV17" s="465"/>
      <c r="AW17" s="461"/>
      <c r="AX17" s="461"/>
      <c r="AY17" s="461"/>
      <c r="AZ17" s="461"/>
      <c r="BA17" s="461"/>
      <c r="BB17" s="461"/>
      <c r="BC17" s="461"/>
      <c r="BD17" s="461"/>
      <c r="BE17" s="461"/>
      <c r="BF17" s="461"/>
      <c r="BG17" s="466"/>
      <c r="BH17" s="438"/>
      <c r="BI17" s="465"/>
      <c r="BJ17" s="461"/>
      <c r="BK17" s="461"/>
      <c r="BL17" s="461"/>
      <c r="BM17" s="461"/>
      <c r="BN17" s="461"/>
      <c r="BO17" s="461"/>
      <c r="BP17" s="461"/>
      <c r="BQ17" s="461"/>
      <c r="BR17" s="461"/>
      <c r="BS17" s="461"/>
      <c r="BT17" s="466"/>
      <c r="BU17" s="438"/>
    </row>
    <row r="18" spans="1:73" s="588" customFormat="1" ht="15" hidden="1" customHeight="1" outlineLevel="1" x14ac:dyDescent="0.25">
      <c r="A18" s="610"/>
      <c r="B18" s="524" t="s">
        <v>14</v>
      </c>
      <c r="C18" s="538"/>
      <c r="D18" s="430"/>
      <c r="E18" s="431"/>
      <c r="F18" s="432"/>
      <c r="G18" s="433"/>
      <c r="H18" s="431"/>
      <c r="I18" s="432"/>
      <c r="J18" s="434"/>
      <c r="K18" s="438"/>
      <c r="L18" s="430"/>
      <c r="M18" s="467"/>
      <c r="N18" s="467"/>
      <c r="O18" s="467"/>
      <c r="P18" s="467"/>
      <c r="Q18" s="467"/>
      <c r="R18" s="467"/>
      <c r="S18" s="467"/>
      <c r="T18" s="467"/>
      <c r="U18" s="467"/>
      <c r="V18" s="467"/>
      <c r="W18" s="468"/>
      <c r="X18" s="417"/>
      <c r="Y18" s="469"/>
      <c r="Z18" s="438"/>
      <c r="AA18" s="430"/>
      <c r="AB18" s="467"/>
      <c r="AC18" s="467"/>
      <c r="AD18" s="467"/>
      <c r="AE18" s="467"/>
      <c r="AF18" s="467"/>
      <c r="AG18" s="467"/>
      <c r="AH18" s="467"/>
      <c r="AI18" s="467"/>
      <c r="AJ18" s="467"/>
      <c r="AK18" s="467"/>
      <c r="AL18" s="468"/>
      <c r="AM18" s="438"/>
      <c r="AN18" s="430"/>
      <c r="AO18" s="470"/>
      <c r="AP18" s="432"/>
      <c r="AQ18" s="460"/>
      <c r="AR18" s="470"/>
      <c r="AS18" s="432"/>
      <c r="AT18" s="434"/>
      <c r="AU18" s="438"/>
      <c r="AV18" s="435"/>
      <c r="AW18" s="431"/>
      <c r="AX18" s="431"/>
      <c r="AY18" s="431"/>
      <c r="AZ18" s="431"/>
      <c r="BA18" s="431"/>
      <c r="BB18" s="431"/>
      <c r="BC18" s="431"/>
      <c r="BD18" s="431"/>
      <c r="BE18" s="431"/>
      <c r="BF18" s="431"/>
      <c r="BG18" s="436"/>
      <c r="BH18" s="438"/>
      <c r="BI18" s="435"/>
      <c r="BJ18" s="431"/>
      <c r="BK18" s="431"/>
      <c r="BL18" s="431"/>
      <c r="BM18" s="431"/>
      <c r="BN18" s="431"/>
      <c r="BO18" s="431"/>
      <c r="BP18" s="431"/>
      <c r="BQ18" s="431"/>
      <c r="BR18" s="431"/>
      <c r="BS18" s="431"/>
      <c r="BT18" s="436"/>
      <c r="BU18" s="438"/>
    </row>
    <row r="19" spans="1:73" ht="15" customHeight="1" x14ac:dyDescent="0.25">
      <c r="E19" s="472"/>
      <c r="H19" s="472"/>
      <c r="K19" s="475"/>
      <c r="Z19" s="475"/>
      <c r="AM19" s="475"/>
      <c r="AU19" s="475"/>
      <c r="BH19" s="475"/>
      <c r="BU19" s="475"/>
    </row>
    <row r="20" spans="1:73" ht="15" customHeight="1" x14ac:dyDescent="0.25">
      <c r="A20" s="588"/>
      <c r="B20" s="526"/>
      <c r="C20" s="589"/>
      <c r="D20" s="478" t="s">
        <v>15</v>
      </c>
      <c r="E20" s="479" t="s">
        <v>15</v>
      </c>
      <c r="F20" s="805" t="s">
        <v>16</v>
      </c>
      <c r="G20" s="805"/>
      <c r="H20" s="480" t="s">
        <v>15</v>
      </c>
      <c r="I20" s="806" t="s">
        <v>17</v>
      </c>
      <c r="J20" s="807"/>
      <c r="K20" s="481"/>
      <c r="L20" s="482" t="s">
        <v>18</v>
      </c>
      <c r="M20" s="483" t="s">
        <v>18</v>
      </c>
      <c r="N20" s="483" t="s">
        <v>18</v>
      </c>
      <c r="O20" s="483" t="s">
        <v>18</v>
      </c>
      <c r="P20" s="483" t="s">
        <v>18</v>
      </c>
      <c r="Q20" s="484" t="s">
        <v>18</v>
      </c>
      <c r="R20" s="484" t="s">
        <v>19</v>
      </c>
      <c r="S20" s="484" t="s">
        <v>19</v>
      </c>
      <c r="T20" s="484" t="s">
        <v>19</v>
      </c>
      <c r="U20" s="484" t="s">
        <v>19</v>
      </c>
      <c r="V20" s="484" t="s">
        <v>19</v>
      </c>
      <c r="W20" s="484" t="s">
        <v>19</v>
      </c>
      <c r="X20" s="485"/>
      <c r="Y20" s="484" t="s">
        <v>20</v>
      </c>
      <c r="Z20" s="485"/>
      <c r="AA20" s="482" t="s">
        <v>21</v>
      </c>
      <c r="AB20" s="482" t="s">
        <v>21</v>
      </c>
      <c r="AC20" s="482" t="s">
        <v>21</v>
      </c>
      <c r="AD20" s="482" t="s">
        <v>21</v>
      </c>
      <c r="AE20" s="482" t="s">
        <v>21</v>
      </c>
      <c r="AF20" s="482" t="s">
        <v>21</v>
      </c>
      <c r="AG20" s="482" t="s">
        <v>21</v>
      </c>
      <c r="AH20" s="482" t="s">
        <v>21</v>
      </c>
      <c r="AI20" s="482" t="s">
        <v>21</v>
      </c>
      <c r="AJ20" s="482" t="s">
        <v>21</v>
      </c>
      <c r="AK20" s="482" t="s">
        <v>21</v>
      </c>
      <c r="AL20" s="482" t="s">
        <v>21</v>
      </c>
      <c r="AN20" s="628" t="s">
        <v>15</v>
      </c>
      <c r="AO20" s="628" t="s">
        <v>22</v>
      </c>
      <c r="AP20" s="808" t="s">
        <v>23</v>
      </c>
      <c r="AQ20" s="808"/>
      <c r="AR20" s="480" t="s">
        <v>22</v>
      </c>
      <c r="AS20" s="806" t="s">
        <v>24</v>
      </c>
      <c r="AT20" s="807"/>
      <c r="AU20" s="481"/>
      <c r="AV20" s="484" t="s">
        <v>19</v>
      </c>
      <c r="AW20" s="484" t="s">
        <v>19</v>
      </c>
      <c r="AX20" s="484" t="s">
        <v>19</v>
      </c>
      <c r="AY20" s="484" t="s">
        <v>19</v>
      </c>
      <c r="AZ20" s="484" t="s">
        <v>19</v>
      </c>
      <c r="BA20" s="484" t="s">
        <v>19</v>
      </c>
      <c r="BB20" s="484" t="s">
        <v>19</v>
      </c>
      <c r="BC20" s="484" t="s">
        <v>19</v>
      </c>
      <c r="BD20" s="484" t="s">
        <v>19</v>
      </c>
      <c r="BE20" s="484" t="s">
        <v>19</v>
      </c>
      <c r="BF20" s="484" t="s">
        <v>19</v>
      </c>
      <c r="BG20" s="484" t="s">
        <v>19</v>
      </c>
      <c r="BH20" s="485"/>
      <c r="BI20" s="482" t="s">
        <v>21</v>
      </c>
      <c r="BJ20" s="482" t="s">
        <v>21</v>
      </c>
      <c r="BK20" s="482" t="s">
        <v>21</v>
      </c>
      <c r="BL20" s="482" t="s">
        <v>21</v>
      </c>
      <c r="BM20" s="482" t="s">
        <v>21</v>
      </c>
      <c r="BN20" s="482" t="s">
        <v>21</v>
      </c>
      <c r="BO20" s="482" t="s">
        <v>21</v>
      </c>
      <c r="BP20" s="482" t="s">
        <v>21</v>
      </c>
      <c r="BQ20" s="482" t="s">
        <v>21</v>
      </c>
      <c r="BR20" s="482" t="s">
        <v>21</v>
      </c>
      <c r="BS20" s="482" t="s">
        <v>21</v>
      </c>
      <c r="BT20" s="482" t="s">
        <v>21</v>
      </c>
    </row>
    <row r="21" spans="1:73" ht="15" x14ac:dyDescent="0.25">
      <c r="A21" s="636" t="s">
        <v>25</v>
      </c>
      <c r="B21" s="636" t="s">
        <v>26</v>
      </c>
      <c r="C21" s="637"/>
      <c r="D21" s="638" t="s">
        <v>19</v>
      </c>
      <c r="E21" s="639" t="s">
        <v>27</v>
      </c>
      <c r="F21" s="627" t="s">
        <v>28</v>
      </c>
      <c r="G21" s="569" t="s">
        <v>29</v>
      </c>
      <c r="H21" s="626" t="s">
        <v>30</v>
      </c>
      <c r="I21" s="627" t="s">
        <v>28</v>
      </c>
      <c r="J21" s="570" t="s">
        <v>29</v>
      </c>
      <c r="K21" s="640"/>
      <c r="L21" s="641">
        <v>42947</v>
      </c>
      <c r="M21" s="642">
        <v>42978</v>
      </c>
      <c r="N21" s="642">
        <v>43008</v>
      </c>
      <c r="O21" s="642">
        <v>43039</v>
      </c>
      <c r="P21" s="642">
        <v>43069</v>
      </c>
      <c r="Q21" s="643">
        <v>43100</v>
      </c>
      <c r="R21" s="643">
        <v>43131</v>
      </c>
      <c r="S21" s="643">
        <v>43159</v>
      </c>
      <c r="T21" s="643">
        <v>43190</v>
      </c>
      <c r="U21" s="643">
        <v>43220</v>
      </c>
      <c r="V21" s="643">
        <v>43251</v>
      </c>
      <c r="W21" s="643">
        <v>43281</v>
      </c>
      <c r="X21" s="644"/>
      <c r="Y21" s="643">
        <v>43100</v>
      </c>
      <c r="Z21" s="644"/>
      <c r="AA21" s="641">
        <v>42947</v>
      </c>
      <c r="AB21" s="642">
        <v>42978</v>
      </c>
      <c r="AC21" s="642">
        <v>43008</v>
      </c>
      <c r="AD21" s="642">
        <v>43039</v>
      </c>
      <c r="AE21" s="642">
        <v>43069</v>
      </c>
      <c r="AF21" s="643">
        <v>43100</v>
      </c>
      <c r="AG21" s="643">
        <v>43131</v>
      </c>
      <c r="AH21" s="643">
        <v>43159</v>
      </c>
      <c r="AI21" s="643">
        <v>43190</v>
      </c>
      <c r="AJ21" s="643">
        <v>43220</v>
      </c>
      <c r="AK21" s="643">
        <v>43251</v>
      </c>
      <c r="AL21" s="643">
        <v>43281</v>
      </c>
      <c r="AM21" s="645"/>
      <c r="AN21" s="626" t="s">
        <v>19</v>
      </c>
      <c r="AO21" s="626" t="s">
        <v>21</v>
      </c>
      <c r="AP21" s="627" t="s">
        <v>28</v>
      </c>
      <c r="AQ21" s="640" t="s">
        <v>29</v>
      </c>
      <c r="AR21" s="626" t="s">
        <v>21</v>
      </c>
      <c r="AS21" s="627" t="s">
        <v>28</v>
      </c>
      <c r="AT21" s="570" t="s">
        <v>29</v>
      </c>
      <c r="AU21" s="640"/>
      <c r="AV21" s="641">
        <v>43312</v>
      </c>
      <c r="AW21" s="642">
        <v>43343</v>
      </c>
      <c r="AX21" s="641">
        <v>43373</v>
      </c>
      <c r="AY21" s="642">
        <v>43404</v>
      </c>
      <c r="AZ21" s="641">
        <v>43434</v>
      </c>
      <c r="BA21" s="642">
        <v>43465</v>
      </c>
      <c r="BB21" s="641">
        <v>43496</v>
      </c>
      <c r="BC21" s="642">
        <v>43524</v>
      </c>
      <c r="BD21" s="641">
        <v>43555</v>
      </c>
      <c r="BE21" s="642">
        <v>43585</v>
      </c>
      <c r="BF21" s="641">
        <v>43616</v>
      </c>
      <c r="BG21" s="642">
        <v>43646</v>
      </c>
      <c r="BH21" s="644"/>
      <c r="BI21" s="641">
        <v>43312</v>
      </c>
      <c r="BJ21" s="642">
        <v>43343</v>
      </c>
      <c r="BK21" s="641">
        <v>43373</v>
      </c>
      <c r="BL21" s="642">
        <v>43404</v>
      </c>
      <c r="BM21" s="641">
        <v>43434</v>
      </c>
      <c r="BN21" s="642">
        <v>43465</v>
      </c>
      <c r="BO21" s="641">
        <v>43496</v>
      </c>
      <c r="BP21" s="642">
        <v>43524</v>
      </c>
      <c r="BQ21" s="641">
        <v>43555</v>
      </c>
      <c r="BR21" s="642">
        <v>43585</v>
      </c>
      <c r="BS21" s="641">
        <v>43616</v>
      </c>
      <c r="BT21" s="642">
        <v>43646</v>
      </c>
    </row>
    <row r="22" spans="1:73" ht="15" x14ac:dyDescent="0.25">
      <c r="A22" s="526"/>
      <c r="B22" s="526"/>
      <c r="C22" s="535"/>
      <c r="D22" s="486"/>
      <c r="E22" s="487"/>
      <c r="F22" s="488"/>
      <c r="G22" s="489"/>
      <c r="H22" s="490"/>
      <c r="I22" s="488"/>
      <c r="J22" s="491"/>
      <c r="K22" s="492"/>
      <c r="L22" s="493"/>
      <c r="M22" s="494"/>
      <c r="N22" s="494"/>
      <c r="O22" s="494"/>
      <c r="P22" s="494"/>
      <c r="Q22" s="495"/>
      <c r="R22" s="495"/>
      <c r="S22" s="495"/>
      <c r="T22" s="495"/>
      <c r="U22" s="495"/>
      <c r="V22" s="495"/>
      <c r="W22" s="495"/>
      <c r="X22" s="496"/>
      <c r="Y22" s="495"/>
      <c r="Z22" s="496"/>
      <c r="AA22" s="493"/>
      <c r="AB22" s="494"/>
      <c r="AC22" s="494"/>
      <c r="AD22" s="494"/>
      <c r="AE22" s="494"/>
      <c r="AF22" s="495"/>
      <c r="AG22" s="495"/>
      <c r="AH22" s="495"/>
      <c r="AI22" s="495"/>
      <c r="AJ22" s="495"/>
      <c r="AK22" s="495"/>
      <c r="AL22" s="495"/>
      <c r="AN22" s="490"/>
      <c r="AO22" s="490"/>
      <c r="AP22" s="488"/>
      <c r="AQ22" s="492"/>
      <c r="AR22" s="490"/>
      <c r="AS22" s="488"/>
      <c r="AT22" s="491"/>
      <c r="AU22" s="492"/>
      <c r="AV22" s="493"/>
      <c r="AW22" s="494"/>
      <c r="AX22" s="493"/>
      <c r="AY22" s="494"/>
      <c r="AZ22" s="493"/>
      <c r="BA22" s="494"/>
      <c r="BB22" s="493"/>
      <c r="BC22" s="494"/>
      <c r="BD22" s="493"/>
      <c r="BE22" s="494"/>
      <c r="BF22" s="493"/>
      <c r="BG22" s="494"/>
      <c r="BH22" s="496"/>
      <c r="BI22" s="493"/>
      <c r="BJ22" s="494"/>
      <c r="BK22" s="493"/>
      <c r="BL22" s="494"/>
      <c r="BM22" s="493"/>
      <c r="BN22" s="494"/>
      <c r="BO22" s="493"/>
      <c r="BP22" s="494"/>
      <c r="BQ22" s="493"/>
      <c r="BR22" s="494"/>
      <c r="BS22" s="493"/>
      <c r="BT22" s="494"/>
    </row>
    <row r="23" spans="1:73" ht="15" x14ac:dyDescent="0.25">
      <c r="B23" s="590" t="s">
        <v>31</v>
      </c>
      <c r="C23" s="406"/>
      <c r="D23" s="497"/>
      <c r="E23" s="487"/>
      <c r="F23" s="487"/>
      <c r="G23" s="489"/>
      <c r="H23" s="498"/>
      <c r="I23" s="487"/>
      <c r="J23" s="491"/>
      <c r="K23" s="492"/>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N23" s="644"/>
      <c r="AO23" s="646"/>
      <c r="AP23" s="639"/>
      <c r="AQ23" s="647"/>
      <c r="AR23" s="498"/>
      <c r="AS23" s="487"/>
      <c r="AT23" s="491"/>
      <c r="AU23" s="492"/>
      <c r="AV23" s="496"/>
      <c r="AW23" s="496"/>
      <c r="AX23" s="496"/>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row>
    <row r="24" spans="1:73" ht="15" x14ac:dyDescent="0.25">
      <c r="A24" s="502" t="s">
        <v>32</v>
      </c>
      <c r="B24" s="502" t="s">
        <v>33</v>
      </c>
      <c r="C24" s="400"/>
      <c r="D24" s="500">
        <f>SUM(L24:W24)</f>
        <v>4019</v>
      </c>
      <c r="E24" s="449">
        <v>4018.75</v>
      </c>
      <c r="F24" s="449">
        <f t="shared" ref="F24:F34" si="27">IFERROR(D24-E24,0)</f>
        <v>0.25</v>
      </c>
      <c r="G24" s="421">
        <f>IFERROR(F24/ABS(E24),0)</f>
        <v>6.2208398133748054E-5</v>
      </c>
      <c r="H24" s="449">
        <v>4019</v>
      </c>
      <c r="I24" s="449">
        <f>IFERROR(D24-H24,0)</f>
        <v>0</v>
      </c>
      <c r="J24" s="426">
        <f>IFERROR(I24/ABS(H24),0)</f>
        <v>0</v>
      </c>
      <c r="K24" s="421"/>
      <c r="L24" s="449">
        <v>39.119999999999997</v>
      </c>
      <c r="M24" s="449">
        <v>39.610000000000007</v>
      </c>
      <c r="N24" s="449">
        <v>35.78</v>
      </c>
      <c r="O24" s="449">
        <v>41.179999999999993</v>
      </c>
      <c r="P24" s="449">
        <v>41.430000000000007</v>
      </c>
      <c r="Q24" s="449">
        <v>47.609999999999985</v>
      </c>
      <c r="R24" s="449">
        <f>($H24-SUM($L24:Q24))/R$694</f>
        <v>629.04499999999996</v>
      </c>
      <c r="S24" s="449">
        <f>($H24-SUM($L24:R24))/S$694</f>
        <v>629.04499999999996</v>
      </c>
      <c r="T24" s="449">
        <f>($H24-SUM($L24:S24))/T$694</f>
        <v>629.04500000000007</v>
      </c>
      <c r="U24" s="449">
        <f>($H24-SUM($L24:T24))/U$694</f>
        <v>629.04500000000007</v>
      </c>
      <c r="V24" s="449">
        <f>($H24-SUM($L24:U24))/V$694</f>
        <v>629.04500000000007</v>
      </c>
      <c r="W24" s="449">
        <f>($H24-SUM($L24:V24))/W$694</f>
        <v>629.04500000000007</v>
      </c>
      <c r="X24" s="449"/>
      <c r="Y24" s="449">
        <f>SUM(L24:W24)</f>
        <v>4019</v>
      </c>
      <c r="Z24" s="501"/>
      <c r="AA24" s="449">
        <f t="shared" ref="AA24:AL33" si="28">IFERROR($H24/12,0)</f>
        <v>334.91666666666669</v>
      </c>
      <c r="AB24" s="449">
        <f t="shared" si="28"/>
        <v>334.91666666666669</v>
      </c>
      <c r="AC24" s="449">
        <f t="shared" si="28"/>
        <v>334.91666666666669</v>
      </c>
      <c r="AD24" s="449">
        <f t="shared" si="28"/>
        <v>334.91666666666669</v>
      </c>
      <c r="AE24" s="449">
        <f t="shared" si="28"/>
        <v>334.91666666666669</v>
      </c>
      <c r="AF24" s="449">
        <f t="shared" si="28"/>
        <v>334.91666666666669</v>
      </c>
      <c r="AG24" s="449">
        <f t="shared" si="28"/>
        <v>334.91666666666669</v>
      </c>
      <c r="AH24" s="449">
        <f t="shared" si="28"/>
        <v>334.91666666666669</v>
      </c>
      <c r="AI24" s="449">
        <f t="shared" si="28"/>
        <v>334.91666666666669</v>
      </c>
      <c r="AJ24" s="449">
        <f t="shared" si="28"/>
        <v>334.91666666666669</v>
      </c>
      <c r="AK24" s="449">
        <f t="shared" si="28"/>
        <v>334.91666666666669</v>
      </c>
      <c r="AL24" s="449">
        <f t="shared" si="28"/>
        <v>334.91666666666669</v>
      </c>
      <c r="AN24" s="500">
        <f t="shared" ref="AN24:AN33" si="29">SUM(L24:W24)</f>
        <v>4019</v>
      </c>
      <c r="AO24" s="449">
        <f>SUM(BI24:BT24)</f>
        <v>4419.2859437751013</v>
      </c>
      <c r="AP24" s="449">
        <f t="shared" ref="AP24:AP34" si="30">IFERROR(AO24-AN24,0)</f>
        <v>400.28594377510126</v>
      </c>
      <c r="AQ24" s="453">
        <f t="shared" ref="AQ24:AQ34" si="31">IFERROR(AP24/ABS(AN24),"-")</f>
        <v>9.9598393574297409E-2</v>
      </c>
      <c r="AR24" s="449">
        <f>SUM(BI24:BT24)</f>
        <v>4419.2859437751013</v>
      </c>
      <c r="AS24" s="449">
        <f t="shared" ref="AS24:AS34" si="32">IFERROR(AO24-AR24,0)</f>
        <v>0</v>
      </c>
      <c r="AT24" s="426">
        <f>IFERROR(AS24/ABS(AR24),0)</f>
        <v>0</v>
      </c>
      <c r="AU24" s="421"/>
      <c r="AV24" s="449">
        <f>BI24</f>
        <v>368.27382864792503</v>
      </c>
      <c r="AW24" s="449">
        <f t="shared" ref="AW24:BG33" si="33">BJ24</f>
        <v>368.27382864792503</v>
      </c>
      <c r="AX24" s="449">
        <f t="shared" si="33"/>
        <v>368.27382864792503</v>
      </c>
      <c r="AY24" s="449">
        <f t="shared" si="33"/>
        <v>368.27382864792503</v>
      </c>
      <c r="AZ24" s="449">
        <f t="shared" si="33"/>
        <v>368.27382864792503</v>
      </c>
      <c r="BA24" s="449">
        <f t="shared" si="33"/>
        <v>368.27382864792503</v>
      </c>
      <c r="BB24" s="449">
        <f t="shared" si="33"/>
        <v>368.27382864792503</v>
      </c>
      <c r="BC24" s="449">
        <f t="shared" si="33"/>
        <v>368.27382864792503</v>
      </c>
      <c r="BD24" s="449">
        <f t="shared" si="33"/>
        <v>368.27382864792503</v>
      </c>
      <c r="BE24" s="449">
        <f t="shared" si="33"/>
        <v>368.27382864792503</v>
      </c>
      <c r="BF24" s="449">
        <f t="shared" si="33"/>
        <v>368.27382864792503</v>
      </c>
      <c r="BG24" s="449">
        <f t="shared" si="33"/>
        <v>368.27382864792503</v>
      </c>
      <c r="BH24" s="400"/>
      <c r="BI24" s="449">
        <f t="shared" ref="BI24:BT24" si="34">IFERROR((($H24/$H$5)*BI$5)/12,0)</f>
        <v>368.27382864792503</v>
      </c>
      <c r="BJ24" s="449">
        <f t="shared" si="34"/>
        <v>368.27382864792503</v>
      </c>
      <c r="BK24" s="449">
        <f t="shared" si="34"/>
        <v>368.27382864792503</v>
      </c>
      <c r="BL24" s="449">
        <f t="shared" si="34"/>
        <v>368.27382864792503</v>
      </c>
      <c r="BM24" s="449">
        <f t="shared" si="34"/>
        <v>368.27382864792503</v>
      </c>
      <c r="BN24" s="449">
        <f t="shared" si="34"/>
        <v>368.27382864792503</v>
      </c>
      <c r="BO24" s="449">
        <f t="shared" si="34"/>
        <v>368.27382864792503</v>
      </c>
      <c r="BP24" s="449">
        <f t="shared" si="34"/>
        <v>368.27382864792503</v>
      </c>
      <c r="BQ24" s="449">
        <f t="shared" si="34"/>
        <v>368.27382864792503</v>
      </c>
      <c r="BR24" s="449">
        <f t="shared" si="34"/>
        <v>368.27382864792503</v>
      </c>
      <c r="BS24" s="449">
        <f t="shared" si="34"/>
        <v>368.27382864792503</v>
      </c>
      <c r="BT24" s="449">
        <f t="shared" si="34"/>
        <v>368.27382864792503</v>
      </c>
    </row>
    <row r="25" spans="1:73" ht="15" x14ac:dyDescent="0.25">
      <c r="A25" s="502" t="s">
        <v>34</v>
      </c>
      <c r="B25" s="502" t="s">
        <v>35</v>
      </c>
      <c r="C25" s="400"/>
      <c r="D25" s="500">
        <f t="shared" ref="D25:D33" si="35">SUM(L25:W25)</f>
        <v>43686.23</v>
      </c>
      <c r="E25" s="449">
        <v>40187.5</v>
      </c>
      <c r="F25" s="449">
        <f t="shared" si="27"/>
        <v>3498.7300000000032</v>
      </c>
      <c r="G25" s="421">
        <f t="shared" ref="G25:G34" si="36">IFERROR(F25/ABS(E25),0)</f>
        <v>8.7060155520995414E-2</v>
      </c>
      <c r="H25" s="449">
        <v>40188</v>
      </c>
      <c r="I25" s="449">
        <f t="shared" ref="I25:I34" si="37">IFERROR(D25-H25,0)</f>
        <v>3498.2300000000032</v>
      </c>
      <c r="J25" s="426">
        <f t="shared" ref="J25:J34" si="38">IFERROR(I25/ABS(H25),0)</f>
        <v>8.7046630835075231E-2</v>
      </c>
      <c r="K25" s="421"/>
      <c r="L25" s="449">
        <v>0</v>
      </c>
      <c r="M25" s="449">
        <v>24546</v>
      </c>
      <c r="N25" s="449">
        <v>1560</v>
      </c>
      <c r="O25" s="449">
        <v>1470</v>
      </c>
      <c r="P25" s="449">
        <v>11598</v>
      </c>
      <c r="Q25" s="449">
        <v>4512.2300000000032</v>
      </c>
      <c r="R25" s="449">
        <v>0</v>
      </c>
      <c r="S25" s="449">
        <v>0</v>
      </c>
      <c r="T25" s="449">
        <v>0</v>
      </c>
      <c r="U25" s="449">
        <v>0</v>
      </c>
      <c r="V25" s="449">
        <v>0</v>
      </c>
      <c r="W25" s="449">
        <v>0</v>
      </c>
      <c r="X25" s="449"/>
      <c r="Y25" s="449">
        <f t="shared" ref="Y25:Y55" si="39">SUM(L25:W25)</f>
        <v>43686.23</v>
      </c>
      <c r="Z25" s="501"/>
      <c r="AA25" s="449">
        <f t="shared" si="28"/>
        <v>3349</v>
      </c>
      <c r="AB25" s="449">
        <f t="shared" si="28"/>
        <v>3349</v>
      </c>
      <c r="AC25" s="449">
        <f t="shared" si="28"/>
        <v>3349</v>
      </c>
      <c r="AD25" s="449">
        <f t="shared" si="28"/>
        <v>3349</v>
      </c>
      <c r="AE25" s="449">
        <f t="shared" si="28"/>
        <v>3349</v>
      </c>
      <c r="AF25" s="449">
        <f t="shared" si="28"/>
        <v>3349</v>
      </c>
      <c r="AG25" s="449">
        <f t="shared" si="28"/>
        <v>3349</v>
      </c>
      <c r="AH25" s="449">
        <f t="shared" si="28"/>
        <v>3349</v>
      </c>
      <c r="AI25" s="449">
        <f t="shared" si="28"/>
        <v>3349</v>
      </c>
      <c r="AJ25" s="449">
        <f t="shared" si="28"/>
        <v>3349</v>
      </c>
      <c r="AK25" s="449">
        <f t="shared" si="28"/>
        <v>3349</v>
      </c>
      <c r="AL25" s="449">
        <f t="shared" si="28"/>
        <v>3349</v>
      </c>
      <c r="AN25" s="500">
        <f t="shared" si="29"/>
        <v>43686.23</v>
      </c>
      <c r="AO25" s="449">
        <f t="shared" ref="AO25:AO33" si="40">SUM(BI25:BT25)</f>
        <v>48037.308329317253</v>
      </c>
      <c r="AP25" s="449">
        <f t="shared" si="30"/>
        <v>4351.0783293172499</v>
      </c>
      <c r="AQ25" s="453">
        <f t="shared" si="31"/>
        <v>9.9598393574296742E-2</v>
      </c>
      <c r="AR25" s="449">
        <f t="shared" ref="AR25:AR33" si="41">SUM(BI25:BT25)</f>
        <v>48037.308329317253</v>
      </c>
      <c r="AS25" s="449">
        <f t="shared" si="32"/>
        <v>0</v>
      </c>
      <c r="AT25" s="426">
        <f t="shared" ref="AT25:AT34" si="42">IFERROR(AS25/ABS(AR25),0)</f>
        <v>0</v>
      </c>
      <c r="AU25" s="421"/>
      <c r="AV25" s="449">
        <f t="shared" ref="AV25:AV33" si="43">BI25</f>
        <v>0</v>
      </c>
      <c r="AW25" s="449">
        <f t="shared" si="33"/>
        <v>25000</v>
      </c>
      <c r="AX25" s="449">
        <f t="shared" si="33"/>
        <v>2303.7308329317266</v>
      </c>
      <c r="AY25" s="449">
        <f t="shared" si="33"/>
        <v>2303.7308329317266</v>
      </c>
      <c r="AZ25" s="449">
        <f t="shared" si="33"/>
        <v>2303.7308329317266</v>
      </c>
      <c r="BA25" s="449">
        <f t="shared" si="33"/>
        <v>2303.7308329317266</v>
      </c>
      <c r="BB25" s="449">
        <f t="shared" si="33"/>
        <v>2303.7308329317266</v>
      </c>
      <c r="BC25" s="449">
        <f t="shared" si="33"/>
        <v>2303.7308329317266</v>
      </c>
      <c r="BD25" s="449">
        <f t="shared" si="33"/>
        <v>2303.7308329317266</v>
      </c>
      <c r="BE25" s="449">
        <f t="shared" si="33"/>
        <v>2303.7308329317266</v>
      </c>
      <c r="BF25" s="449">
        <f t="shared" si="33"/>
        <v>2303.7308329317266</v>
      </c>
      <c r="BG25" s="449">
        <f t="shared" si="33"/>
        <v>2303.7308329317266</v>
      </c>
      <c r="BH25" s="400"/>
      <c r="BI25" s="449">
        <v>0</v>
      </c>
      <c r="BJ25" s="449">
        <v>25000</v>
      </c>
      <c r="BK25" s="449">
        <f t="shared" ref="BK25:BT25" si="44">IFERROR(((($D25/$H$5)*BK$5)-25000)/10,0)</f>
        <v>2303.7308329317266</v>
      </c>
      <c r="BL25" s="449">
        <f t="shared" si="44"/>
        <v>2303.7308329317266</v>
      </c>
      <c r="BM25" s="449">
        <f t="shared" si="44"/>
        <v>2303.7308329317266</v>
      </c>
      <c r="BN25" s="449">
        <f t="shared" si="44"/>
        <v>2303.7308329317266</v>
      </c>
      <c r="BO25" s="449">
        <f t="shared" si="44"/>
        <v>2303.7308329317266</v>
      </c>
      <c r="BP25" s="449">
        <f t="shared" si="44"/>
        <v>2303.7308329317266</v>
      </c>
      <c r="BQ25" s="449">
        <f t="shared" si="44"/>
        <v>2303.7308329317266</v>
      </c>
      <c r="BR25" s="449">
        <f t="shared" si="44"/>
        <v>2303.7308329317266</v>
      </c>
      <c r="BS25" s="449">
        <f t="shared" si="44"/>
        <v>2303.7308329317266</v>
      </c>
      <c r="BT25" s="449">
        <f t="shared" si="44"/>
        <v>2303.7308329317266</v>
      </c>
    </row>
    <row r="26" spans="1:73" ht="15" x14ac:dyDescent="0.25">
      <c r="A26" s="502" t="s">
        <v>36</v>
      </c>
      <c r="B26" s="502" t="s">
        <v>37</v>
      </c>
      <c r="C26" s="400"/>
      <c r="D26" s="500">
        <f t="shared" si="35"/>
        <v>30000</v>
      </c>
      <c r="E26" s="449">
        <v>24112.5</v>
      </c>
      <c r="F26" s="449">
        <f t="shared" si="27"/>
        <v>5887.5</v>
      </c>
      <c r="G26" s="421">
        <f t="shared" si="36"/>
        <v>0.24416796267496113</v>
      </c>
      <c r="H26" s="449">
        <v>30000</v>
      </c>
      <c r="I26" s="449">
        <f t="shared" si="37"/>
        <v>0</v>
      </c>
      <c r="J26" s="426">
        <f t="shared" si="38"/>
        <v>0</v>
      </c>
      <c r="K26" s="421"/>
      <c r="L26" s="449">
        <v>0</v>
      </c>
      <c r="M26" s="449">
        <v>530</v>
      </c>
      <c r="N26" s="449">
        <v>12800</v>
      </c>
      <c r="O26" s="449">
        <v>7185.5</v>
      </c>
      <c r="P26" s="449">
        <v>1095</v>
      </c>
      <c r="Q26" s="449">
        <v>4725.5499999999993</v>
      </c>
      <c r="R26" s="449">
        <f>($H26-SUM($L26:Q26))/R$694</f>
        <v>610.65833333333342</v>
      </c>
      <c r="S26" s="449">
        <f>($H26-SUM($L26:R26))/S$694</f>
        <v>610.65833333333353</v>
      </c>
      <c r="T26" s="449">
        <f>($H26-SUM($L26:S26))/T$694</f>
        <v>610.65833333333376</v>
      </c>
      <c r="U26" s="449">
        <f>($H26-SUM($L26:T26))/U$694</f>
        <v>610.6583333333341</v>
      </c>
      <c r="V26" s="449">
        <f>($H26-SUM($L26:U26))/V$694</f>
        <v>610.65833333333467</v>
      </c>
      <c r="W26" s="449">
        <f>($H26-SUM($L26:V26))/W$694</f>
        <v>610.65833333333285</v>
      </c>
      <c r="X26" s="449"/>
      <c r="Y26" s="449">
        <f t="shared" si="39"/>
        <v>30000</v>
      </c>
      <c r="Z26" s="501"/>
      <c r="AA26" s="449">
        <f t="shared" si="28"/>
        <v>2500</v>
      </c>
      <c r="AB26" s="449">
        <f t="shared" si="28"/>
        <v>2500</v>
      </c>
      <c r="AC26" s="449">
        <f t="shared" si="28"/>
        <v>2500</v>
      </c>
      <c r="AD26" s="449">
        <f t="shared" si="28"/>
        <v>2500</v>
      </c>
      <c r="AE26" s="449">
        <f t="shared" si="28"/>
        <v>2500</v>
      </c>
      <c r="AF26" s="449">
        <f t="shared" si="28"/>
        <v>2500</v>
      </c>
      <c r="AG26" s="449">
        <f t="shared" si="28"/>
        <v>2500</v>
      </c>
      <c r="AH26" s="449">
        <f t="shared" si="28"/>
        <v>2500</v>
      </c>
      <c r="AI26" s="449">
        <f t="shared" si="28"/>
        <v>2500</v>
      </c>
      <c r="AJ26" s="449">
        <f t="shared" si="28"/>
        <v>2500</v>
      </c>
      <c r="AK26" s="449">
        <f t="shared" si="28"/>
        <v>2500</v>
      </c>
      <c r="AL26" s="449">
        <f t="shared" si="28"/>
        <v>2500</v>
      </c>
      <c r="AN26" s="500">
        <f t="shared" si="29"/>
        <v>30000</v>
      </c>
      <c r="AO26" s="449">
        <f t="shared" si="40"/>
        <v>44999.951807228907</v>
      </c>
      <c r="AP26" s="449">
        <f t="shared" si="30"/>
        <v>14999.951807228907</v>
      </c>
      <c r="AQ26" s="453">
        <f t="shared" si="31"/>
        <v>0.49999839357429687</v>
      </c>
      <c r="AR26" s="449">
        <f t="shared" si="41"/>
        <v>44999.951807228907</v>
      </c>
      <c r="AS26" s="449">
        <f t="shared" si="32"/>
        <v>0</v>
      </c>
      <c r="AT26" s="426">
        <f t="shared" si="42"/>
        <v>0</v>
      </c>
      <c r="AU26" s="421"/>
      <c r="AV26" s="449">
        <f t="shared" si="43"/>
        <v>0</v>
      </c>
      <c r="AW26" s="449">
        <f t="shared" si="33"/>
        <v>7002.9047097480834</v>
      </c>
      <c r="AX26" s="449">
        <f t="shared" si="33"/>
        <v>2998.904709748083</v>
      </c>
      <c r="AY26" s="449">
        <f t="shared" si="33"/>
        <v>2998.904709748083</v>
      </c>
      <c r="AZ26" s="449">
        <f t="shared" si="33"/>
        <v>7002.9047097480834</v>
      </c>
      <c r="BA26" s="449">
        <f t="shared" si="33"/>
        <v>2998.904709748083</v>
      </c>
      <c r="BB26" s="449">
        <f t="shared" si="33"/>
        <v>2998.904709748083</v>
      </c>
      <c r="BC26" s="449">
        <f t="shared" si="33"/>
        <v>7002.9047097480834</v>
      </c>
      <c r="BD26" s="449">
        <f t="shared" si="33"/>
        <v>2998.904709748083</v>
      </c>
      <c r="BE26" s="449">
        <f t="shared" si="33"/>
        <v>2998.904709748083</v>
      </c>
      <c r="BF26" s="449">
        <f t="shared" si="33"/>
        <v>2998.904709748083</v>
      </c>
      <c r="BG26" s="449">
        <f t="shared" si="33"/>
        <v>2998.904709748083</v>
      </c>
      <c r="BH26" s="400"/>
      <c r="BI26" s="449">
        <v>0</v>
      </c>
      <c r="BJ26" s="449">
        <f>IFERROR((($H26/$H$5)*BJ$5)/11,0)+4004</f>
        <v>7002.9047097480834</v>
      </c>
      <c r="BK26" s="449">
        <f>IFERROR((($H26/$H$5)*BK$5)/11,0)</f>
        <v>2998.904709748083</v>
      </c>
      <c r="BL26" s="449">
        <f>IFERROR((($H26/$H$5)*BL$5)/11,0)</f>
        <v>2998.904709748083</v>
      </c>
      <c r="BM26" s="449">
        <f>IFERROR((($H26/$H$5)*BM$5)/11,0)+4004</f>
        <v>7002.9047097480834</v>
      </c>
      <c r="BN26" s="449">
        <f>IFERROR((($H26/$H$5)*BN$5)/11,0)</f>
        <v>2998.904709748083</v>
      </c>
      <c r="BO26" s="449">
        <f>IFERROR((($H26/$H$5)*BO$5)/11,0)</f>
        <v>2998.904709748083</v>
      </c>
      <c r="BP26" s="449">
        <f>IFERROR((($H26/$H$5)*BP$5)/11,0)+4004</f>
        <v>7002.9047097480834</v>
      </c>
      <c r="BQ26" s="449">
        <f t="shared" ref="BQ26:BT27" si="45">IFERROR((($H26/$H$5)*BQ$5)/11,0)</f>
        <v>2998.904709748083</v>
      </c>
      <c r="BR26" s="449">
        <f t="shared" si="45"/>
        <v>2998.904709748083</v>
      </c>
      <c r="BS26" s="449">
        <f t="shared" si="45"/>
        <v>2998.904709748083</v>
      </c>
      <c r="BT26" s="449">
        <f t="shared" si="45"/>
        <v>2998.904709748083</v>
      </c>
    </row>
    <row r="27" spans="1:73" ht="15" x14ac:dyDescent="0.25">
      <c r="A27" s="502" t="s">
        <v>38</v>
      </c>
      <c r="B27" s="502" t="s">
        <v>39</v>
      </c>
      <c r="C27" s="400"/>
      <c r="D27" s="500">
        <f t="shared" si="35"/>
        <v>24113</v>
      </c>
      <c r="E27" s="449">
        <v>24112.5</v>
      </c>
      <c r="F27" s="449">
        <f t="shared" si="27"/>
        <v>0.5</v>
      </c>
      <c r="G27" s="421">
        <f t="shared" si="36"/>
        <v>2.0736132711249351E-5</v>
      </c>
      <c r="H27" s="449">
        <v>24113</v>
      </c>
      <c r="I27" s="449">
        <f t="shared" si="37"/>
        <v>0</v>
      </c>
      <c r="J27" s="426">
        <f t="shared" si="38"/>
        <v>0</v>
      </c>
      <c r="K27" s="421"/>
      <c r="L27" s="449">
        <v>0</v>
      </c>
      <c r="M27" s="449">
        <v>0</v>
      </c>
      <c r="N27" s="449">
        <v>0</v>
      </c>
      <c r="O27" s="449">
        <v>4636.3</v>
      </c>
      <c r="P27" s="449">
        <v>0</v>
      </c>
      <c r="Q27" s="449">
        <v>0</v>
      </c>
      <c r="R27" s="449">
        <f>($H27-SUM($L27:Q27))/R$694</f>
        <v>3246.1166666666668</v>
      </c>
      <c r="S27" s="449">
        <f>($H27-SUM($L27:R27))/S$694</f>
        <v>3246.1166666666663</v>
      </c>
      <c r="T27" s="449">
        <f>($H27-SUM($L27:S27))/T$694</f>
        <v>3246.1166666666668</v>
      </c>
      <c r="U27" s="449">
        <f>($H27-SUM($L27:T27))/U$694</f>
        <v>3246.1166666666668</v>
      </c>
      <c r="V27" s="449">
        <f>($H27-SUM($L27:U27))/V$694</f>
        <v>3246.1166666666668</v>
      </c>
      <c r="W27" s="449">
        <f>($H27-SUM($L27:V27))/W$694</f>
        <v>3246.1166666666686</v>
      </c>
      <c r="X27" s="449"/>
      <c r="Y27" s="449">
        <f t="shared" si="39"/>
        <v>24113</v>
      </c>
      <c r="Z27" s="501"/>
      <c r="AA27" s="449">
        <f t="shared" si="28"/>
        <v>2009.4166666666667</v>
      </c>
      <c r="AB27" s="449">
        <f t="shared" si="28"/>
        <v>2009.4166666666667</v>
      </c>
      <c r="AC27" s="449">
        <f t="shared" si="28"/>
        <v>2009.4166666666667</v>
      </c>
      <c r="AD27" s="449">
        <f t="shared" si="28"/>
        <v>2009.4166666666667</v>
      </c>
      <c r="AE27" s="449">
        <f t="shared" si="28"/>
        <v>2009.4166666666667</v>
      </c>
      <c r="AF27" s="449">
        <f t="shared" si="28"/>
        <v>2009.4166666666667</v>
      </c>
      <c r="AG27" s="449">
        <f t="shared" si="28"/>
        <v>2009.4166666666667</v>
      </c>
      <c r="AH27" s="449">
        <f t="shared" si="28"/>
        <v>2009.4166666666667</v>
      </c>
      <c r="AI27" s="449">
        <f t="shared" si="28"/>
        <v>2009.4166666666667</v>
      </c>
      <c r="AJ27" s="449">
        <f t="shared" si="28"/>
        <v>2009.4166666666667</v>
      </c>
      <c r="AK27" s="449">
        <f t="shared" si="28"/>
        <v>2009.4166666666667</v>
      </c>
      <c r="AL27" s="449">
        <f t="shared" si="28"/>
        <v>2009.4166666666667</v>
      </c>
      <c r="AN27" s="500">
        <f t="shared" si="29"/>
        <v>24113</v>
      </c>
      <c r="AO27" s="449">
        <f t="shared" si="40"/>
        <v>26514.616064257025</v>
      </c>
      <c r="AP27" s="449">
        <f t="shared" si="30"/>
        <v>2401.6160642570248</v>
      </c>
      <c r="AQ27" s="453">
        <f t="shared" si="31"/>
        <v>9.9598393574297048E-2</v>
      </c>
      <c r="AR27" s="449">
        <f t="shared" si="41"/>
        <v>26514.616064257025</v>
      </c>
      <c r="AS27" s="449">
        <f t="shared" si="32"/>
        <v>0</v>
      </c>
      <c r="AT27" s="426">
        <f t="shared" si="42"/>
        <v>0</v>
      </c>
      <c r="AU27" s="421"/>
      <c r="AV27" s="449">
        <f t="shared" si="43"/>
        <v>0</v>
      </c>
      <c r="AW27" s="449">
        <f t="shared" si="33"/>
        <v>2410.4196422051846</v>
      </c>
      <c r="AX27" s="449">
        <f t="shared" si="33"/>
        <v>2410.4196422051846</v>
      </c>
      <c r="AY27" s="449">
        <f t="shared" si="33"/>
        <v>2410.4196422051846</v>
      </c>
      <c r="AZ27" s="449">
        <f t="shared" si="33"/>
        <v>2410.4196422051846</v>
      </c>
      <c r="BA27" s="449">
        <f t="shared" si="33"/>
        <v>2410.4196422051846</v>
      </c>
      <c r="BB27" s="449">
        <f t="shared" si="33"/>
        <v>2410.4196422051846</v>
      </c>
      <c r="BC27" s="449">
        <f t="shared" si="33"/>
        <v>2410.4196422051846</v>
      </c>
      <c r="BD27" s="449">
        <f t="shared" si="33"/>
        <v>2410.4196422051846</v>
      </c>
      <c r="BE27" s="449">
        <f t="shared" si="33"/>
        <v>2410.4196422051846</v>
      </c>
      <c r="BF27" s="449">
        <f t="shared" si="33"/>
        <v>2410.4196422051846</v>
      </c>
      <c r="BG27" s="449">
        <f t="shared" si="33"/>
        <v>2410.4196422051846</v>
      </c>
      <c r="BH27" s="400"/>
      <c r="BI27" s="449">
        <v>0</v>
      </c>
      <c r="BJ27" s="449">
        <f>IFERROR((($H27/$H$5)*BJ$5)/11,0)</f>
        <v>2410.4196422051846</v>
      </c>
      <c r="BK27" s="449">
        <f>IFERROR((($H27/$H$5)*BK$5)/11,0)</f>
        <v>2410.4196422051846</v>
      </c>
      <c r="BL27" s="449">
        <f>IFERROR((($H27/$H$5)*BL$5)/11,0)</f>
        <v>2410.4196422051846</v>
      </c>
      <c r="BM27" s="449">
        <f>IFERROR((($H27/$H$5)*BM$5)/11,0)</f>
        <v>2410.4196422051846</v>
      </c>
      <c r="BN27" s="449">
        <f>IFERROR((($H27/$H$5)*BN$5)/11,0)</f>
        <v>2410.4196422051846</v>
      </c>
      <c r="BO27" s="449">
        <f>IFERROR((($H27/$H$5)*BO$5)/11,0)</f>
        <v>2410.4196422051846</v>
      </c>
      <c r="BP27" s="449">
        <f>IFERROR((($H27/$H$5)*BP$5)/11,0)</f>
        <v>2410.4196422051846</v>
      </c>
      <c r="BQ27" s="449">
        <f t="shared" si="45"/>
        <v>2410.4196422051846</v>
      </c>
      <c r="BR27" s="449">
        <f t="shared" si="45"/>
        <v>2410.4196422051846</v>
      </c>
      <c r="BS27" s="449">
        <f t="shared" si="45"/>
        <v>2410.4196422051846</v>
      </c>
      <c r="BT27" s="449">
        <f t="shared" si="45"/>
        <v>2410.4196422051846</v>
      </c>
    </row>
    <row r="28" spans="1:73" ht="15" x14ac:dyDescent="0.25">
      <c r="A28" s="502" t="s">
        <v>40</v>
      </c>
      <c r="B28" s="502" t="s">
        <v>41</v>
      </c>
      <c r="C28" s="400"/>
      <c r="D28" s="500">
        <f t="shared" si="35"/>
        <v>129650</v>
      </c>
      <c r="E28" s="449">
        <v>222150</v>
      </c>
      <c r="F28" s="449">
        <f t="shared" si="27"/>
        <v>-92500</v>
      </c>
      <c r="G28" s="421">
        <f t="shared" si="36"/>
        <v>-0.41638532523069999</v>
      </c>
      <c r="H28" s="449">
        <v>129650</v>
      </c>
      <c r="I28" s="449">
        <f t="shared" si="37"/>
        <v>0</v>
      </c>
      <c r="J28" s="426">
        <f t="shared" si="38"/>
        <v>0</v>
      </c>
      <c r="K28" s="421"/>
      <c r="L28" s="449">
        <v>1950</v>
      </c>
      <c r="M28" s="449">
        <v>10948.26</v>
      </c>
      <c r="N28" s="449">
        <v>25021.93</v>
      </c>
      <c r="O28" s="449">
        <v>2610</v>
      </c>
      <c r="P28" s="449">
        <v>12793.259999999995</v>
      </c>
      <c r="Q28" s="449">
        <v>11303.260000000002</v>
      </c>
      <c r="R28" s="449">
        <f>($H28-SUM($L28:Q28))/R$694</f>
        <v>10837.215</v>
      </c>
      <c r="S28" s="449">
        <f>($H28-SUM($L28:R28))/S$694</f>
        <v>10837.215</v>
      </c>
      <c r="T28" s="449">
        <f>($H28-SUM($L28:S28))/T$694</f>
        <v>10837.215</v>
      </c>
      <c r="U28" s="449">
        <f>($H28-SUM($L28:T28))/U$694</f>
        <v>10837.215000000002</v>
      </c>
      <c r="V28" s="449">
        <f>($H28-SUM($L28:U28))/V$694</f>
        <v>10837.215000000004</v>
      </c>
      <c r="W28" s="449">
        <f>($H28-SUM($L28:V28))/W$694</f>
        <v>10837.214999999997</v>
      </c>
      <c r="X28" s="449"/>
      <c r="Y28" s="449">
        <f t="shared" si="39"/>
        <v>129650</v>
      </c>
      <c r="Z28" s="501"/>
      <c r="AA28" s="449">
        <f t="shared" si="28"/>
        <v>10804.166666666666</v>
      </c>
      <c r="AB28" s="449">
        <f t="shared" si="28"/>
        <v>10804.166666666666</v>
      </c>
      <c r="AC28" s="449">
        <f t="shared" si="28"/>
        <v>10804.166666666666</v>
      </c>
      <c r="AD28" s="449">
        <f t="shared" si="28"/>
        <v>10804.166666666666</v>
      </c>
      <c r="AE28" s="449">
        <f t="shared" si="28"/>
        <v>10804.166666666666</v>
      </c>
      <c r="AF28" s="449">
        <f t="shared" si="28"/>
        <v>10804.166666666666</v>
      </c>
      <c r="AG28" s="449">
        <f t="shared" si="28"/>
        <v>10804.166666666666</v>
      </c>
      <c r="AH28" s="449">
        <f t="shared" si="28"/>
        <v>10804.166666666666</v>
      </c>
      <c r="AI28" s="449">
        <f t="shared" si="28"/>
        <v>10804.166666666666</v>
      </c>
      <c r="AJ28" s="449">
        <f t="shared" si="28"/>
        <v>10804.166666666666</v>
      </c>
      <c r="AK28" s="449">
        <f t="shared" si="28"/>
        <v>10804.166666666666</v>
      </c>
      <c r="AL28" s="449">
        <f t="shared" si="28"/>
        <v>10804.166666666666</v>
      </c>
      <c r="AN28" s="500">
        <f t="shared" si="29"/>
        <v>129650</v>
      </c>
      <c r="AO28" s="449">
        <f t="shared" si="40"/>
        <v>136132.5</v>
      </c>
      <c r="AP28" s="449">
        <f t="shared" si="30"/>
        <v>6482.5</v>
      </c>
      <c r="AQ28" s="453">
        <f t="shared" si="31"/>
        <v>0.05</v>
      </c>
      <c r="AR28" s="449">
        <f t="shared" si="41"/>
        <v>136132.5</v>
      </c>
      <c r="AS28" s="449">
        <f t="shared" si="32"/>
        <v>0</v>
      </c>
      <c r="AT28" s="426">
        <f t="shared" si="42"/>
        <v>0</v>
      </c>
      <c r="AU28" s="421"/>
      <c r="AV28" s="449">
        <f t="shared" si="43"/>
        <v>11344.375</v>
      </c>
      <c r="AW28" s="449">
        <f t="shared" si="33"/>
        <v>11344.375</v>
      </c>
      <c r="AX28" s="449">
        <f t="shared" si="33"/>
        <v>11344.375</v>
      </c>
      <c r="AY28" s="449">
        <f t="shared" si="33"/>
        <v>11344.375</v>
      </c>
      <c r="AZ28" s="449">
        <f t="shared" si="33"/>
        <v>11344.375</v>
      </c>
      <c r="BA28" s="449">
        <f t="shared" si="33"/>
        <v>11344.375</v>
      </c>
      <c r="BB28" s="449">
        <f t="shared" si="33"/>
        <v>11344.375</v>
      </c>
      <c r="BC28" s="449">
        <f t="shared" si="33"/>
        <v>11344.375</v>
      </c>
      <c r="BD28" s="449">
        <f t="shared" si="33"/>
        <v>11344.375</v>
      </c>
      <c r="BE28" s="449">
        <f t="shared" si="33"/>
        <v>11344.375</v>
      </c>
      <c r="BF28" s="449">
        <f t="shared" si="33"/>
        <v>11344.375</v>
      </c>
      <c r="BG28" s="449">
        <f t="shared" si="33"/>
        <v>11344.375</v>
      </c>
      <c r="BH28" s="400"/>
      <c r="BI28" s="449">
        <f>IFERROR($H28/12,0)*1.05</f>
        <v>11344.375</v>
      </c>
      <c r="BJ28" s="449">
        <f t="shared" ref="BJ28:BT28" si="46">IFERROR($H28/12,0)*1.05</f>
        <v>11344.375</v>
      </c>
      <c r="BK28" s="449">
        <f t="shared" si="46"/>
        <v>11344.375</v>
      </c>
      <c r="BL28" s="449">
        <f t="shared" si="46"/>
        <v>11344.375</v>
      </c>
      <c r="BM28" s="449">
        <f t="shared" si="46"/>
        <v>11344.375</v>
      </c>
      <c r="BN28" s="449">
        <f t="shared" si="46"/>
        <v>11344.375</v>
      </c>
      <c r="BO28" s="449">
        <f t="shared" si="46"/>
        <v>11344.375</v>
      </c>
      <c r="BP28" s="449">
        <f t="shared" si="46"/>
        <v>11344.375</v>
      </c>
      <c r="BQ28" s="449">
        <f t="shared" si="46"/>
        <v>11344.375</v>
      </c>
      <c r="BR28" s="449">
        <f t="shared" si="46"/>
        <v>11344.375</v>
      </c>
      <c r="BS28" s="449">
        <f t="shared" si="46"/>
        <v>11344.375</v>
      </c>
      <c r="BT28" s="449">
        <f t="shared" si="46"/>
        <v>11344.375</v>
      </c>
    </row>
    <row r="29" spans="1:73" ht="15" x14ac:dyDescent="0.25">
      <c r="A29" s="502" t="s">
        <v>42</v>
      </c>
      <c r="B29" s="502" t="s">
        <v>43</v>
      </c>
      <c r="C29" s="400"/>
      <c r="D29" s="500">
        <f t="shared" si="35"/>
        <v>239290.05</v>
      </c>
      <c r="E29" s="449">
        <v>45000</v>
      </c>
      <c r="F29" s="449">
        <f t="shared" si="27"/>
        <v>194290.05</v>
      </c>
      <c r="G29" s="421">
        <f t="shared" si="36"/>
        <v>4.3175566666666665</v>
      </c>
      <c r="H29" s="449">
        <v>202000</v>
      </c>
      <c r="I29" s="449">
        <f t="shared" si="37"/>
        <v>37290.049999999988</v>
      </c>
      <c r="J29" s="426">
        <f t="shared" si="38"/>
        <v>0.18460420792079202</v>
      </c>
      <c r="K29" s="421"/>
      <c r="L29" s="449">
        <v>0</v>
      </c>
      <c r="M29" s="449">
        <v>0</v>
      </c>
      <c r="N29" s="449">
        <v>167313.9</v>
      </c>
      <c r="O29" s="449">
        <v>67750</v>
      </c>
      <c r="P29" s="449">
        <v>170</v>
      </c>
      <c r="Q29" s="449">
        <v>4056.1499999999942</v>
      </c>
      <c r="R29" s="449">
        <v>0</v>
      </c>
      <c r="S29" s="449">
        <v>0</v>
      </c>
      <c r="T29" s="449">
        <v>0</v>
      </c>
      <c r="U29" s="449">
        <v>0</v>
      </c>
      <c r="V29" s="449">
        <v>0</v>
      </c>
      <c r="W29" s="449">
        <v>0</v>
      </c>
      <c r="X29" s="449"/>
      <c r="Y29" s="449">
        <f t="shared" si="39"/>
        <v>239290.05</v>
      </c>
      <c r="Z29" s="501"/>
      <c r="AA29" s="449">
        <f t="shared" si="28"/>
        <v>16833.333333333332</v>
      </c>
      <c r="AB29" s="449">
        <f t="shared" si="28"/>
        <v>16833.333333333332</v>
      </c>
      <c r="AC29" s="449">
        <f t="shared" si="28"/>
        <v>16833.333333333332</v>
      </c>
      <c r="AD29" s="449">
        <f t="shared" si="28"/>
        <v>16833.333333333332</v>
      </c>
      <c r="AE29" s="449">
        <f t="shared" si="28"/>
        <v>16833.333333333332</v>
      </c>
      <c r="AF29" s="449">
        <f t="shared" si="28"/>
        <v>16833.333333333332</v>
      </c>
      <c r="AG29" s="449">
        <f t="shared" si="28"/>
        <v>16833.333333333332</v>
      </c>
      <c r="AH29" s="449">
        <f t="shared" si="28"/>
        <v>16833.333333333332</v>
      </c>
      <c r="AI29" s="449">
        <f t="shared" si="28"/>
        <v>16833.333333333332</v>
      </c>
      <c r="AJ29" s="449">
        <f t="shared" si="28"/>
        <v>16833.333333333332</v>
      </c>
      <c r="AK29" s="449">
        <f t="shared" si="28"/>
        <v>16833.333333333332</v>
      </c>
      <c r="AL29" s="449">
        <f t="shared" si="28"/>
        <v>16833.333333333332</v>
      </c>
      <c r="AN29" s="500">
        <f t="shared" si="29"/>
        <v>239290.05</v>
      </c>
      <c r="AO29" s="449">
        <f t="shared" si="40"/>
        <v>152200</v>
      </c>
      <c r="AP29" s="449">
        <f t="shared" si="30"/>
        <v>-87090.049999999988</v>
      </c>
      <c r="AQ29" s="453">
        <f t="shared" si="31"/>
        <v>-0.36395182332069381</v>
      </c>
      <c r="AR29" s="449">
        <f t="shared" si="41"/>
        <v>152200</v>
      </c>
      <c r="AS29" s="449">
        <f t="shared" si="32"/>
        <v>0</v>
      </c>
      <c r="AT29" s="426">
        <f t="shared" si="42"/>
        <v>0</v>
      </c>
      <c r="AU29" s="421"/>
      <c r="AV29" s="449">
        <f t="shared" si="43"/>
        <v>27200</v>
      </c>
      <c r="AW29" s="449">
        <f t="shared" si="33"/>
        <v>60000</v>
      </c>
      <c r="AX29" s="449">
        <f t="shared" si="33"/>
        <v>0</v>
      </c>
      <c r="AY29" s="449">
        <f t="shared" si="33"/>
        <v>20000</v>
      </c>
      <c r="AZ29" s="449">
        <f t="shared" si="33"/>
        <v>0</v>
      </c>
      <c r="BA29" s="449">
        <f t="shared" si="33"/>
        <v>0</v>
      </c>
      <c r="BB29" s="449">
        <f t="shared" si="33"/>
        <v>0</v>
      </c>
      <c r="BC29" s="449">
        <f t="shared" si="33"/>
        <v>0</v>
      </c>
      <c r="BD29" s="449">
        <f t="shared" si="33"/>
        <v>45000</v>
      </c>
      <c r="BE29" s="449">
        <f t="shared" si="33"/>
        <v>0</v>
      </c>
      <c r="BF29" s="449">
        <f t="shared" si="33"/>
        <v>0</v>
      </c>
      <c r="BG29" s="449">
        <f t="shared" si="33"/>
        <v>0</v>
      </c>
      <c r="BH29" s="400"/>
      <c r="BI29" s="449">
        <v>27200</v>
      </c>
      <c r="BJ29" s="449">
        <v>60000</v>
      </c>
      <c r="BK29" s="449"/>
      <c r="BL29" s="449">
        <v>20000</v>
      </c>
      <c r="BM29" s="449"/>
      <c r="BN29" s="449"/>
      <c r="BO29" s="449"/>
      <c r="BP29" s="449"/>
      <c r="BQ29" s="449">
        <v>45000</v>
      </c>
      <c r="BR29" s="449"/>
      <c r="BS29" s="449"/>
      <c r="BT29" s="449"/>
    </row>
    <row r="30" spans="1:73" ht="15" x14ac:dyDescent="0.25">
      <c r="A30" s="502" t="s">
        <v>44</v>
      </c>
      <c r="B30" s="502" t="s">
        <v>45</v>
      </c>
      <c r="C30" s="400"/>
      <c r="D30" s="500">
        <f t="shared" si="35"/>
        <v>8758313</v>
      </c>
      <c r="E30" s="449">
        <v>8774789.7599999998</v>
      </c>
      <c r="F30" s="449">
        <f t="shared" si="27"/>
        <v>-16476.759999999776</v>
      </c>
      <c r="G30" s="421">
        <f t="shared" si="36"/>
        <v>-1.8777384359804623E-3</v>
      </c>
      <c r="H30" s="449">
        <v>8758313</v>
      </c>
      <c r="I30" s="449">
        <f t="shared" si="37"/>
        <v>0</v>
      </c>
      <c r="J30" s="426">
        <f t="shared" si="38"/>
        <v>0</v>
      </c>
      <c r="K30" s="421"/>
      <c r="L30" s="449">
        <v>728323.63</v>
      </c>
      <c r="M30" s="449">
        <v>729833.29999999993</v>
      </c>
      <c r="N30" s="449">
        <v>729078.4600000002</v>
      </c>
      <c r="O30" s="449">
        <v>729078.46</v>
      </c>
      <c r="P30" s="449">
        <v>729078.46999999974</v>
      </c>
      <c r="Q30" s="449">
        <v>742558.43000000017</v>
      </c>
      <c r="R30" s="449">
        <f>($H30-SUM($L30:Q30))/R$694</f>
        <v>728393.70833333337</v>
      </c>
      <c r="S30" s="449">
        <f>($H30-SUM($L30:R30))/S$694</f>
        <v>728393.70833333337</v>
      </c>
      <c r="T30" s="449">
        <f>($H30-SUM($L30:S30))/T$694</f>
        <v>728393.70833333349</v>
      </c>
      <c r="U30" s="449">
        <f>($H30-SUM($L30:T30))/U$694</f>
        <v>728393.70833333337</v>
      </c>
      <c r="V30" s="449">
        <f>($H30-SUM($L30:U30))/V$694</f>
        <v>728393.70833333349</v>
      </c>
      <c r="W30" s="449">
        <f>($H30-SUM($L30:V30))/W$694</f>
        <v>728393.70833333395</v>
      </c>
      <c r="X30" s="449"/>
      <c r="Y30" s="449">
        <f t="shared" si="39"/>
        <v>8758313</v>
      </c>
      <c r="Z30" s="501"/>
      <c r="AA30" s="449">
        <f t="shared" si="28"/>
        <v>729859.41666666663</v>
      </c>
      <c r="AB30" s="449">
        <f t="shared" si="28"/>
        <v>729859.41666666663</v>
      </c>
      <c r="AC30" s="449">
        <f t="shared" si="28"/>
        <v>729859.41666666663</v>
      </c>
      <c r="AD30" s="449">
        <f t="shared" si="28"/>
        <v>729859.41666666663</v>
      </c>
      <c r="AE30" s="449">
        <f t="shared" si="28"/>
        <v>729859.41666666663</v>
      </c>
      <c r="AF30" s="449">
        <f t="shared" si="28"/>
        <v>729859.41666666663</v>
      </c>
      <c r="AG30" s="449">
        <f t="shared" si="28"/>
        <v>729859.41666666663</v>
      </c>
      <c r="AH30" s="449">
        <f t="shared" si="28"/>
        <v>729859.41666666663</v>
      </c>
      <c r="AI30" s="449">
        <f t="shared" si="28"/>
        <v>729859.41666666663</v>
      </c>
      <c r="AJ30" s="449">
        <f t="shared" si="28"/>
        <v>729859.41666666663</v>
      </c>
      <c r="AK30" s="449">
        <f t="shared" si="28"/>
        <v>729859.41666666663</v>
      </c>
      <c r="AL30" s="449">
        <f t="shared" si="28"/>
        <v>729859.41666666663</v>
      </c>
      <c r="AN30" s="500">
        <f t="shared" si="29"/>
        <v>8758313</v>
      </c>
      <c r="AO30" s="449">
        <f t="shared" si="40"/>
        <v>9904740.5600000005</v>
      </c>
      <c r="AP30" s="449">
        <f t="shared" si="30"/>
        <v>1146427.5600000005</v>
      </c>
      <c r="AQ30" s="453">
        <f t="shared" si="31"/>
        <v>0.1308959339544043</v>
      </c>
      <c r="AR30" s="449">
        <f t="shared" si="41"/>
        <v>9904740.5600000005</v>
      </c>
      <c r="AS30" s="449">
        <f t="shared" si="32"/>
        <v>0</v>
      </c>
      <c r="AT30" s="426">
        <f t="shared" si="42"/>
        <v>0</v>
      </c>
      <c r="AU30" s="421"/>
      <c r="AV30" s="449">
        <f t="shared" si="43"/>
        <v>825395.04666666675</v>
      </c>
      <c r="AW30" s="449">
        <f t="shared" si="33"/>
        <v>825395.04666666675</v>
      </c>
      <c r="AX30" s="449">
        <f t="shared" si="33"/>
        <v>825395.04666666675</v>
      </c>
      <c r="AY30" s="449">
        <f t="shared" si="33"/>
        <v>825395.04666666675</v>
      </c>
      <c r="AZ30" s="449">
        <f t="shared" si="33"/>
        <v>825395.04666666675</v>
      </c>
      <c r="BA30" s="449">
        <f t="shared" si="33"/>
        <v>825395.04666666675</v>
      </c>
      <c r="BB30" s="449">
        <f t="shared" si="33"/>
        <v>825395.04666666675</v>
      </c>
      <c r="BC30" s="449">
        <f t="shared" si="33"/>
        <v>825395.04666666675</v>
      </c>
      <c r="BD30" s="449">
        <f t="shared" si="33"/>
        <v>825395.04666666675</v>
      </c>
      <c r="BE30" s="449">
        <f t="shared" si="33"/>
        <v>825395.04666666675</v>
      </c>
      <c r="BF30" s="449">
        <f t="shared" si="33"/>
        <v>825395.04666666675</v>
      </c>
      <c r="BG30" s="449">
        <f t="shared" si="33"/>
        <v>825395.04666666675</v>
      </c>
      <c r="BH30" s="400"/>
      <c r="BI30" s="449">
        <f t="shared" ref="BI30:BT30" si="47">(BI$6*BI$8)/12</f>
        <v>825395.04666666675</v>
      </c>
      <c r="BJ30" s="449">
        <f t="shared" si="47"/>
        <v>825395.04666666675</v>
      </c>
      <c r="BK30" s="449">
        <f t="shared" si="47"/>
        <v>825395.04666666675</v>
      </c>
      <c r="BL30" s="449">
        <f t="shared" si="47"/>
        <v>825395.04666666675</v>
      </c>
      <c r="BM30" s="449">
        <f t="shared" si="47"/>
        <v>825395.04666666675</v>
      </c>
      <c r="BN30" s="449">
        <f t="shared" si="47"/>
        <v>825395.04666666675</v>
      </c>
      <c r="BO30" s="449">
        <f t="shared" si="47"/>
        <v>825395.04666666675</v>
      </c>
      <c r="BP30" s="449">
        <f t="shared" si="47"/>
        <v>825395.04666666675</v>
      </c>
      <c r="BQ30" s="449">
        <f t="shared" si="47"/>
        <v>825395.04666666675</v>
      </c>
      <c r="BR30" s="449">
        <f t="shared" si="47"/>
        <v>825395.04666666675</v>
      </c>
      <c r="BS30" s="449">
        <f t="shared" si="47"/>
        <v>825395.04666666675</v>
      </c>
      <c r="BT30" s="449">
        <f t="shared" si="47"/>
        <v>825395.04666666675</v>
      </c>
    </row>
    <row r="31" spans="1:73" ht="15" x14ac:dyDescent="0.25">
      <c r="A31" s="502" t="s">
        <v>46</v>
      </c>
      <c r="B31" s="502" t="s">
        <v>47</v>
      </c>
      <c r="C31" s="400"/>
      <c r="D31" s="500">
        <f t="shared" si="35"/>
        <v>700684</v>
      </c>
      <c r="E31" s="449">
        <v>604000</v>
      </c>
      <c r="F31" s="449">
        <f t="shared" si="27"/>
        <v>96684</v>
      </c>
      <c r="G31" s="421">
        <f t="shared" si="36"/>
        <v>0.16007284768211921</v>
      </c>
      <c r="H31" s="449">
        <v>700684</v>
      </c>
      <c r="I31" s="449">
        <f t="shared" si="37"/>
        <v>0</v>
      </c>
      <c r="J31" s="426">
        <f t="shared" si="38"/>
        <v>0</v>
      </c>
      <c r="K31" s="421"/>
      <c r="L31" s="449">
        <v>0</v>
      </c>
      <c r="M31" s="449">
        <v>0</v>
      </c>
      <c r="N31" s="449">
        <v>0</v>
      </c>
      <c r="O31" s="449">
        <v>0</v>
      </c>
      <c r="P31" s="449">
        <v>0</v>
      </c>
      <c r="Q31" s="449">
        <v>128610.41</v>
      </c>
      <c r="R31" s="449">
        <f>($H31-SUM($L31:Q31))/R$694</f>
        <v>95345.598333333328</v>
      </c>
      <c r="S31" s="449">
        <f>($H31-SUM($L31:R31))/S$694</f>
        <v>95345.598333333342</v>
      </c>
      <c r="T31" s="449">
        <f>($H31-SUM($L31:S31))/T$694</f>
        <v>95345.598333333328</v>
      </c>
      <c r="U31" s="449">
        <f>($H31-SUM($L31:T31))/U$694</f>
        <v>95345.598333333328</v>
      </c>
      <c r="V31" s="449">
        <f>($H31-SUM($L31:U31))/V$694</f>
        <v>95345.598333333328</v>
      </c>
      <c r="W31" s="449">
        <f>($H31-SUM($L31:V31))/W$694</f>
        <v>95345.598333333386</v>
      </c>
      <c r="X31" s="449"/>
      <c r="Y31" s="449">
        <f t="shared" si="39"/>
        <v>700684</v>
      </c>
      <c r="Z31" s="501"/>
      <c r="AA31" s="449">
        <f t="shared" si="28"/>
        <v>58390.333333333336</v>
      </c>
      <c r="AB31" s="449">
        <f t="shared" si="28"/>
        <v>58390.333333333336</v>
      </c>
      <c r="AC31" s="449">
        <f t="shared" si="28"/>
        <v>58390.333333333336</v>
      </c>
      <c r="AD31" s="449">
        <f t="shared" si="28"/>
        <v>58390.333333333336</v>
      </c>
      <c r="AE31" s="449">
        <f t="shared" si="28"/>
        <v>58390.333333333336</v>
      </c>
      <c r="AF31" s="449">
        <f t="shared" si="28"/>
        <v>58390.333333333336</v>
      </c>
      <c r="AG31" s="449">
        <f t="shared" si="28"/>
        <v>58390.333333333336</v>
      </c>
      <c r="AH31" s="449">
        <f t="shared" si="28"/>
        <v>58390.333333333336</v>
      </c>
      <c r="AI31" s="449">
        <f t="shared" si="28"/>
        <v>58390.333333333336</v>
      </c>
      <c r="AJ31" s="449">
        <f t="shared" si="28"/>
        <v>58390.333333333336</v>
      </c>
      <c r="AK31" s="449">
        <f t="shared" si="28"/>
        <v>58390.333333333336</v>
      </c>
      <c r="AL31" s="449">
        <f t="shared" si="28"/>
        <v>58390.333333333336</v>
      </c>
      <c r="AN31" s="500">
        <f t="shared" si="29"/>
        <v>700684</v>
      </c>
      <c r="AO31" s="449">
        <f>SUM(BI31:BT31)</f>
        <v>0</v>
      </c>
      <c r="AP31" s="449">
        <f t="shared" si="30"/>
        <v>-700684</v>
      </c>
      <c r="AQ31" s="453">
        <f t="shared" si="31"/>
        <v>-1</v>
      </c>
      <c r="AR31" s="449">
        <f t="shared" si="41"/>
        <v>0</v>
      </c>
      <c r="AS31" s="449">
        <f t="shared" si="32"/>
        <v>0</v>
      </c>
      <c r="AT31" s="426">
        <f t="shared" si="42"/>
        <v>0</v>
      </c>
      <c r="AU31" s="421"/>
      <c r="AV31" s="449">
        <f t="shared" si="43"/>
        <v>0</v>
      </c>
      <c r="AW31" s="449">
        <f t="shared" si="33"/>
        <v>0</v>
      </c>
      <c r="AX31" s="449">
        <f t="shared" si="33"/>
        <v>0</v>
      </c>
      <c r="AY31" s="449">
        <f t="shared" si="33"/>
        <v>0</v>
      </c>
      <c r="AZ31" s="449">
        <f t="shared" si="33"/>
        <v>0</v>
      </c>
      <c r="BA31" s="449">
        <f t="shared" si="33"/>
        <v>0</v>
      </c>
      <c r="BB31" s="449">
        <f t="shared" si="33"/>
        <v>0</v>
      </c>
      <c r="BC31" s="449">
        <f t="shared" si="33"/>
        <v>0</v>
      </c>
      <c r="BD31" s="449">
        <f t="shared" si="33"/>
        <v>0</v>
      </c>
      <c r="BE31" s="449">
        <f t="shared" si="33"/>
        <v>0</v>
      </c>
      <c r="BF31" s="449">
        <f t="shared" si="33"/>
        <v>0</v>
      </c>
      <c r="BG31" s="449">
        <f t="shared" si="33"/>
        <v>0</v>
      </c>
      <c r="BH31" s="400"/>
      <c r="BI31" s="449">
        <f>IFERROR((#REF!)/12,0)</f>
        <v>0</v>
      </c>
      <c r="BJ31" s="449">
        <f>IFERROR((#REF!)/12,0)</f>
        <v>0</v>
      </c>
      <c r="BK31" s="449">
        <f>IFERROR((#REF!)/12,0)</f>
        <v>0</v>
      </c>
      <c r="BL31" s="449">
        <f>IFERROR((#REF!)/12,0)</f>
        <v>0</v>
      </c>
      <c r="BM31" s="449">
        <f>IFERROR((#REF!)/12,0)</f>
        <v>0</v>
      </c>
      <c r="BN31" s="449">
        <f>IFERROR((#REF!)/12,0)</f>
        <v>0</v>
      </c>
      <c r="BO31" s="449">
        <f>IFERROR((#REF!)/12,0)</f>
        <v>0</v>
      </c>
      <c r="BP31" s="449">
        <f>IFERROR((#REF!)/12,0)</f>
        <v>0</v>
      </c>
      <c r="BQ31" s="449">
        <f>IFERROR((#REF!)/12,0)</f>
        <v>0</v>
      </c>
      <c r="BR31" s="449">
        <f>IFERROR((#REF!)/12,0)</f>
        <v>0</v>
      </c>
      <c r="BS31" s="449">
        <f>IFERROR((#REF!)/12,0)</f>
        <v>0</v>
      </c>
      <c r="BT31" s="449">
        <f>IFERROR((#REF!)/12,0)</f>
        <v>0</v>
      </c>
    </row>
    <row r="32" spans="1:73" ht="15" x14ac:dyDescent="0.25">
      <c r="A32" s="502" t="s">
        <v>48</v>
      </c>
      <c r="B32" s="502" t="s">
        <v>49</v>
      </c>
      <c r="C32" s="400"/>
      <c r="D32" s="500">
        <f t="shared" si="35"/>
        <v>26350.44</v>
      </c>
      <c r="E32" s="449">
        <v>0</v>
      </c>
      <c r="F32" s="449">
        <f t="shared" si="27"/>
        <v>26350.44</v>
      </c>
      <c r="G32" s="421">
        <f t="shared" si="36"/>
        <v>0</v>
      </c>
      <c r="H32" s="449">
        <v>0</v>
      </c>
      <c r="I32" s="449">
        <f t="shared" si="37"/>
        <v>26350.44</v>
      </c>
      <c r="J32" s="426">
        <f t="shared" si="38"/>
        <v>0</v>
      </c>
      <c r="K32" s="421"/>
      <c r="L32" s="449">
        <v>0</v>
      </c>
      <c r="M32" s="449">
        <v>26350.44</v>
      </c>
      <c r="N32" s="449">
        <v>0</v>
      </c>
      <c r="O32" s="449">
        <v>0</v>
      </c>
      <c r="P32" s="449">
        <v>0</v>
      </c>
      <c r="Q32" s="449">
        <v>0</v>
      </c>
      <c r="R32" s="449">
        <v>0</v>
      </c>
      <c r="S32" s="449">
        <v>0</v>
      </c>
      <c r="T32" s="449">
        <v>0</v>
      </c>
      <c r="U32" s="449">
        <v>0</v>
      </c>
      <c r="V32" s="449">
        <v>0</v>
      </c>
      <c r="W32" s="449">
        <v>0</v>
      </c>
      <c r="X32" s="449"/>
      <c r="Y32" s="449">
        <f t="shared" si="39"/>
        <v>26350.44</v>
      </c>
      <c r="Z32" s="501"/>
      <c r="AA32" s="449">
        <f t="shared" si="28"/>
        <v>0</v>
      </c>
      <c r="AB32" s="449">
        <f t="shared" si="28"/>
        <v>0</v>
      </c>
      <c r="AC32" s="449">
        <f t="shared" si="28"/>
        <v>0</v>
      </c>
      <c r="AD32" s="449">
        <f t="shared" si="28"/>
        <v>0</v>
      </c>
      <c r="AE32" s="449">
        <f t="shared" si="28"/>
        <v>0</v>
      </c>
      <c r="AF32" s="449">
        <f t="shared" si="28"/>
        <v>0</v>
      </c>
      <c r="AG32" s="449">
        <f t="shared" si="28"/>
        <v>0</v>
      </c>
      <c r="AH32" s="449">
        <f t="shared" si="28"/>
        <v>0</v>
      </c>
      <c r="AI32" s="449">
        <f t="shared" si="28"/>
        <v>0</v>
      </c>
      <c r="AJ32" s="449">
        <f t="shared" si="28"/>
        <v>0</v>
      </c>
      <c r="AK32" s="449">
        <f t="shared" si="28"/>
        <v>0</v>
      </c>
      <c r="AL32" s="449">
        <f t="shared" si="28"/>
        <v>0</v>
      </c>
      <c r="AN32" s="500">
        <f t="shared" si="29"/>
        <v>26350.44</v>
      </c>
      <c r="AO32" s="449">
        <f t="shared" si="40"/>
        <v>0</v>
      </c>
      <c r="AP32" s="449">
        <f t="shared" si="30"/>
        <v>-26350.44</v>
      </c>
      <c r="AQ32" s="453">
        <f t="shared" si="31"/>
        <v>-1</v>
      </c>
      <c r="AR32" s="449">
        <f t="shared" si="41"/>
        <v>0</v>
      </c>
      <c r="AS32" s="449">
        <f t="shared" si="32"/>
        <v>0</v>
      </c>
      <c r="AT32" s="426">
        <f t="shared" si="42"/>
        <v>0</v>
      </c>
      <c r="AU32" s="421"/>
      <c r="AV32" s="449">
        <f t="shared" si="43"/>
        <v>0</v>
      </c>
      <c r="AW32" s="449">
        <f t="shared" si="33"/>
        <v>0</v>
      </c>
      <c r="AX32" s="449">
        <f t="shared" si="33"/>
        <v>0</v>
      </c>
      <c r="AY32" s="449">
        <f t="shared" si="33"/>
        <v>0</v>
      </c>
      <c r="AZ32" s="449">
        <f t="shared" si="33"/>
        <v>0</v>
      </c>
      <c r="BA32" s="449">
        <f t="shared" si="33"/>
        <v>0</v>
      </c>
      <c r="BB32" s="449">
        <f t="shared" si="33"/>
        <v>0</v>
      </c>
      <c r="BC32" s="449">
        <f t="shared" si="33"/>
        <v>0</v>
      </c>
      <c r="BD32" s="449">
        <f t="shared" si="33"/>
        <v>0</v>
      </c>
      <c r="BE32" s="449">
        <f t="shared" si="33"/>
        <v>0</v>
      </c>
      <c r="BF32" s="449">
        <f t="shared" si="33"/>
        <v>0</v>
      </c>
      <c r="BG32" s="449">
        <f t="shared" si="33"/>
        <v>0</v>
      </c>
      <c r="BH32" s="400"/>
      <c r="BI32" s="449">
        <v>0</v>
      </c>
      <c r="BJ32" s="449">
        <v>0</v>
      </c>
      <c r="BK32" s="449">
        <v>0</v>
      </c>
      <c r="BL32" s="449">
        <v>0</v>
      </c>
      <c r="BM32" s="449">
        <v>0</v>
      </c>
      <c r="BN32" s="449">
        <v>0</v>
      </c>
      <c r="BO32" s="449">
        <v>0</v>
      </c>
      <c r="BP32" s="449">
        <v>0</v>
      </c>
      <c r="BQ32" s="449">
        <v>0</v>
      </c>
      <c r="BR32" s="449">
        <v>0</v>
      </c>
      <c r="BS32" s="449">
        <v>0</v>
      </c>
      <c r="BT32" s="449">
        <v>0</v>
      </c>
    </row>
    <row r="33" spans="1:72" ht="15" x14ac:dyDescent="0.25">
      <c r="A33" s="502" t="s">
        <v>50</v>
      </c>
      <c r="B33" s="502" t="s">
        <v>51</v>
      </c>
      <c r="C33" s="400"/>
      <c r="D33" s="500">
        <f t="shared" si="35"/>
        <v>7370.9</v>
      </c>
      <c r="E33" s="449">
        <v>7200</v>
      </c>
      <c r="F33" s="449">
        <f t="shared" si="27"/>
        <v>170.89999999999964</v>
      </c>
      <c r="G33" s="421">
        <f t="shared" si="36"/>
        <v>2.3736111111111062E-2</v>
      </c>
      <c r="H33" s="449">
        <v>7200</v>
      </c>
      <c r="I33" s="449">
        <f t="shared" si="37"/>
        <v>170.89999999999964</v>
      </c>
      <c r="J33" s="426">
        <f t="shared" si="38"/>
        <v>2.3736111111111062E-2</v>
      </c>
      <c r="K33" s="421"/>
      <c r="L33" s="449">
        <v>0</v>
      </c>
      <c r="M33" s="449">
        <v>130</v>
      </c>
      <c r="N33" s="449">
        <v>3521.2000000000007</v>
      </c>
      <c r="O33" s="449">
        <v>423.19999999999936</v>
      </c>
      <c r="P33" s="449">
        <v>185.99999999999955</v>
      </c>
      <c r="Q33" s="449">
        <v>3110.5</v>
      </c>
      <c r="R33" s="449">
        <v>0</v>
      </c>
      <c r="S33" s="449">
        <v>0</v>
      </c>
      <c r="T33" s="449">
        <v>0</v>
      </c>
      <c r="U33" s="449">
        <v>0</v>
      </c>
      <c r="V33" s="449">
        <v>0</v>
      </c>
      <c r="W33" s="449">
        <v>0</v>
      </c>
      <c r="X33" s="449"/>
      <c r="Y33" s="449">
        <f t="shared" si="39"/>
        <v>7370.9</v>
      </c>
      <c r="Z33" s="501"/>
      <c r="AA33" s="449">
        <f t="shared" si="28"/>
        <v>600</v>
      </c>
      <c r="AB33" s="449">
        <f t="shared" si="28"/>
        <v>600</v>
      </c>
      <c r="AC33" s="449">
        <f t="shared" si="28"/>
        <v>600</v>
      </c>
      <c r="AD33" s="449">
        <f t="shared" si="28"/>
        <v>600</v>
      </c>
      <c r="AE33" s="449">
        <f t="shared" si="28"/>
        <v>600</v>
      </c>
      <c r="AF33" s="449">
        <f t="shared" si="28"/>
        <v>600</v>
      </c>
      <c r="AG33" s="449">
        <f t="shared" si="28"/>
        <v>600</v>
      </c>
      <c r="AH33" s="449">
        <f t="shared" si="28"/>
        <v>600</v>
      </c>
      <c r="AI33" s="449">
        <f t="shared" si="28"/>
        <v>600</v>
      </c>
      <c r="AJ33" s="449">
        <f t="shared" si="28"/>
        <v>600</v>
      </c>
      <c r="AK33" s="449">
        <f t="shared" si="28"/>
        <v>600</v>
      </c>
      <c r="AL33" s="449">
        <f t="shared" si="28"/>
        <v>600</v>
      </c>
      <c r="AN33" s="500">
        <f t="shared" si="29"/>
        <v>7370.9</v>
      </c>
      <c r="AO33" s="449">
        <f t="shared" si="40"/>
        <v>7370.9000000000005</v>
      </c>
      <c r="AP33" s="449">
        <f t="shared" si="30"/>
        <v>9.0949470177292824E-13</v>
      </c>
      <c r="AQ33" s="453">
        <f t="shared" si="31"/>
        <v>1.2338991192024424E-16</v>
      </c>
      <c r="AR33" s="449">
        <f t="shared" si="41"/>
        <v>7370.9000000000005</v>
      </c>
      <c r="AS33" s="449">
        <f t="shared" si="32"/>
        <v>0</v>
      </c>
      <c r="AT33" s="426">
        <f t="shared" si="42"/>
        <v>0</v>
      </c>
      <c r="AU33" s="421"/>
      <c r="AV33" s="449">
        <f t="shared" si="43"/>
        <v>614.24166666666667</v>
      </c>
      <c r="AW33" s="449">
        <f t="shared" si="33"/>
        <v>614.24166666666667</v>
      </c>
      <c r="AX33" s="449">
        <f t="shared" si="33"/>
        <v>614.24166666666667</v>
      </c>
      <c r="AY33" s="449">
        <f t="shared" si="33"/>
        <v>614.24166666666667</v>
      </c>
      <c r="AZ33" s="449">
        <f t="shared" si="33"/>
        <v>614.24166666666667</v>
      </c>
      <c r="BA33" s="449">
        <f t="shared" si="33"/>
        <v>614.24166666666667</v>
      </c>
      <c r="BB33" s="449">
        <f t="shared" si="33"/>
        <v>614.24166666666667</v>
      </c>
      <c r="BC33" s="449">
        <f t="shared" si="33"/>
        <v>614.24166666666667</v>
      </c>
      <c r="BD33" s="449">
        <f t="shared" si="33"/>
        <v>614.24166666666667</v>
      </c>
      <c r="BE33" s="449">
        <f t="shared" si="33"/>
        <v>614.24166666666667</v>
      </c>
      <c r="BF33" s="449">
        <f t="shared" si="33"/>
        <v>614.24166666666667</v>
      </c>
      <c r="BG33" s="449">
        <f t="shared" si="33"/>
        <v>614.24166666666667</v>
      </c>
      <c r="BH33" s="400"/>
      <c r="BI33" s="449">
        <f t="shared" ref="BI33:BT33" si="48">IFERROR($D33/12,0)</f>
        <v>614.24166666666667</v>
      </c>
      <c r="BJ33" s="449">
        <f t="shared" si="48"/>
        <v>614.24166666666667</v>
      </c>
      <c r="BK33" s="449">
        <f t="shared" si="48"/>
        <v>614.24166666666667</v>
      </c>
      <c r="BL33" s="449">
        <f t="shared" si="48"/>
        <v>614.24166666666667</v>
      </c>
      <c r="BM33" s="449">
        <f t="shared" si="48"/>
        <v>614.24166666666667</v>
      </c>
      <c r="BN33" s="449">
        <f t="shared" si="48"/>
        <v>614.24166666666667</v>
      </c>
      <c r="BO33" s="449">
        <f t="shared" si="48"/>
        <v>614.24166666666667</v>
      </c>
      <c r="BP33" s="449">
        <f t="shared" si="48"/>
        <v>614.24166666666667</v>
      </c>
      <c r="BQ33" s="449">
        <f t="shared" si="48"/>
        <v>614.24166666666667</v>
      </c>
      <c r="BR33" s="449">
        <f t="shared" si="48"/>
        <v>614.24166666666667</v>
      </c>
      <c r="BS33" s="449">
        <f t="shared" si="48"/>
        <v>614.24166666666667</v>
      </c>
      <c r="BT33" s="449">
        <f t="shared" si="48"/>
        <v>614.24166666666667</v>
      </c>
    </row>
    <row r="34" spans="1:72" ht="15" x14ac:dyDescent="0.25">
      <c r="A34" s="591"/>
      <c r="B34" s="592" t="s">
        <v>52</v>
      </c>
      <c r="C34" s="400"/>
      <c r="D34" s="503">
        <f>SUM(D24:D33)</f>
        <v>9963476.6199999992</v>
      </c>
      <c r="E34" s="504">
        <f>SUM(E24:E33)</f>
        <v>9745571.0099999998</v>
      </c>
      <c r="F34" s="504">
        <f t="shared" si="27"/>
        <v>217905.6099999994</v>
      </c>
      <c r="G34" s="505">
        <f t="shared" si="36"/>
        <v>2.2359450233999108E-2</v>
      </c>
      <c r="H34" s="504">
        <f>SUM(H24:H33)</f>
        <v>9896167</v>
      </c>
      <c r="I34" s="504">
        <f t="shared" si="37"/>
        <v>67309.61999999918</v>
      </c>
      <c r="J34" s="506">
        <f t="shared" si="38"/>
        <v>6.8015848964552818E-3</v>
      </c>
      <c r="K34" s="507"/>
      <c r="L34" s="504">
        <f t="shared" ref="L34:W34" si="49">SUM(L24:L33)</f>
        <v>730312.75</v>
      </c>
      <c r="M34" s="504">
        <f t="shared" si="49"/>
        <v>792377.60999999987</v>
      </c>
      <c r="N34" s="504">
        <f t="shared" si="49"/>
        <v>939331.27000000014</v>
      </c>
      <c r="O34" s="504">
        <f t="shared" si="49"/>
        <v>813194.6399999999</v>
      </c>
      <c r="P34" s="504">
        <f t="shared" si="49"/>
        <v>754962.15999999968</v>
      </c>
      <c r="Q34" s="504">
        <f t="shared" si="49"/>
        <v>898924.14000000025</v>
      </c>
      <c r="R34" s="504">
        <f t="shared" si="49"/>
        <v>839062.34166666679</v>
      </c>
      <c r="S34" s="504">
        <f t="shared" si="49"/>
        <v>839062.34166666679</v>
      </c>
      <c r="T34" s="504">
        <f t="shared" si="49"/>
        <v>839062.34166666679</v>
      </c>
      <c r="U34" s="504">
        <f t="shared" si="49"/>
        <v>839062.34166666679</v>
      </c>
      <c r="V34" s="504">
        <f t="shared" si="49"/>
        <v>839062.34166666679</v>
      </c>
      <c r="W34" s="504">
        <f t="shared" si="49"/>
        <v>839062.34166666737</v>
      </c>
      <c r="X34" s="504"/>
      <c r="Y34" s="504">
        <f t="shared" si="39"/>
        <v>9963476.6199999992</v>
      </c>
      <c r="Z34" s="508"/>
      <c r="AA34" s="504">
        <f t="shared" ref="AA34:AL34" si="50">SUM(AA24:AA33)</f>
        <v>824680.58333333337</v>
      </c>
      <c r="AB34" s="504">
        <f t="shared" si="50"/>
        <v>824680.58333333337</v>
      </c>
      <c r="AC34" s="504">
        <f t="shared" si="50"/>
        <v>824680.58333333337</v>
      </c>
      <c r="AD34" s="504">
        <f t="shared" si="50"/>
        <v>824680.58333333337</v>
      </c>
      <c r="AE34" s="504">
        <f t="shared" si="50"/>
        <v>824680.58333333337</v>
      </c>
      <c r="AF34" s="504">
        <f t="shared" si="50"/>
        <v>824680.58333333337</v>
      </c>
      <c r="AG34" s="504">
        <f t="shared" si="50"/>
        <v>824680.58333333337</v>
      </c>
      <c r="AH34" s="504">
        <f t="shared" si="50"/>
        <v>824680.58333333337</v>
      </c>
      <c r="AI34" s="504">
        <f t="shared" si="50"/>
        <v>824680.58333333337</v>
      </c>
      <c r="AJ34" s="504">
        <f t="shared" si="50"/>
        <v>824680.58333333337</v>
      </c>
      <c r="AK34" s="504">
        <f t="shared" si="50"/>
        <v>824680.58333333337</v>
      </c>
      <c r="AL34" s="504">
        <f t="shared" si="50"/>
        <v>824680.58333333337</v>
      </c>
      <c r="AN34" s="503">
        <f>SUM(AN24:AN33)</f>
        <v>9963476.6199999992</v>
      </c>
      <c r="AO34" s="504">
        <f>SUM(AO24:AO33)</f>
        <v>10324415.12214458</v>
      </c>
      <c r="AP34" s="504">
        <f t="shared" si="30"/>
        <v>360938.50214458071</v>
      </c>
      <c r="AQ34" s="509">
        <f t="shared" si="31"/>
        <v>3.622616039666892E-2</v>
      </c>
      <c r="AR34" s="504">
        <f>SUM(AR24:AR33)</f>
        <v>10324415.12214458</v>
      </c>
      <c r="AS34" s="504">
        <f t="shared" si="32"/>
        <v>0</v>
      </c>
      <c r="AT34" s="506">
        <f t="shared" si="42"/>
        <v>0</v>
      </c>
      <c r="AU34" s="507"/>
      <c r="AV34" s="504">
        <f t="shared" ref="AV34:BG34" si="51">SUM(AV24:AV33)</f>
        <v>864921.93716198136</v>
      </c>
      <c r="AW34" s="504">
        <f t="shared" si="51"/>
        <v>932135.2615139347</v>
      </c>
      <c r="AX34" s="504">
        <f t="shared" si="51"/>
        <v>845434.99234686641</v>
      </c>
      <c r="AY34" s="504">
        <f t="shared" si="51"/>
        <v>865434.99234686641</v>
      </c>
      <c r="AZ34" s="504">
        <f t="shared" si="51"/>
        <v>849438.99234686641</v>
      </c>
      <c r="BA34" s="504">
        <f t="shared" si="51"/>
        <v>845434.99234686641</v>
      </c>
      <c r="BB34" s="504">
        <f t="shared" si="51"/>
        <v>845434.99234686641</v>
      </c>
      <c r="BC34" s="504">
        <f t="shared" si="51"/>
        <v>849438.99234686641</v>
      </c>
      <c r="BD34" s="504">
        <f t="shared" si="51"/>
        <v>890434.99234686641</v>
      </c>
      <c r="BE34" s="504">
        <f t="shared" si="51"/>
        <v>845434.99234686641</v>
      </c>
      <c r="BF34" s="504">
        <f t="shared" si="51"/>
        <v>845434.99234686641</v>
      </c>
      <c r="BG34" s="504">
        <f t="shared" si="51"/>
        <v>845434.99234686641</v>
      </c>
      <c r="BH34" s="508"/>
      <c r="BI34" s="504">
        <f t="shared" ref="BI34:BT34" si="52">SUM(BI24:BI33)</f>
        <v>864921.93716198136</v>
      </c>
      <c r="BJ34" s="504">
        <f t="shared" si="52"/>
        <v>932135.2615139347</v>
      </c>
      <c r="BK34" s="504">
        <f t="shared" si="52"/>
        <v>845434.99234686641</v>
      </c>
      <c r="BL34" s="504">
        <f t="shared" si="52"/>
        <v>865434.99234686641</v>
      </c>
      <c r="BM34" s="504">
        <f t="shared" si="52"/>
        <v>849438.99234686641</v>
      </c>
      <c r="BN34" s="504">
        <f t="shared" si="52"/>
        <v>845434.99234686641</v>
      </c>
      <c r="BO34" s="504">
        <f t="shared" si="52"/>
        <v>845434.99234686641</v>
      </c>
      <c r="BP34" s="504">
        <f t="shared" si="52"/>
        <v>849438.99234686641</v>
      </c>
      <c r="BQ34" s="504">
        <f t="shared" si="52"/>
        <v>890434.99234686641</v>
      </c>
      <c r="BR34" s="504">
        <f t="shared" si="52"/>
        <v>845434.99234686641</v>
      </c>
      <c r="BS34" s="504">
        <f t="shared" si="52"/>
        <v>845434.99234686641</v>
      </c>
      <c r="BT34" s="504">
        <f t="shared" si="52"/>
        <v>845434.99234686641</v>
      </c>
    </row>
    <row r="35" spans="1:72" ht="15" x14ac:dyDescent="0.25">
      <c r="A35" s="587"/>
      <c r="B35" s="502"/>
      <c r="C35" s="400"/>
      <c r="D35" s="510"/>
      <c r="E35" s="418"/>
      <c r="F35" s="418"/>
      <c r="G35" s="421"/>
      <c r="H35" s="418"/>
      <c r="I35" s="418"/>
      <c r="J35" s="426"/>
      <c r="K35" s="421"/>
      <c r="L35" s="418"/>
      <c r="M35" s="418"/>
      <c r="N35" s="418"/>
      <c r="O35" s="418"/>
      <c r="P35" s="418"/>
      <c r="Q35" s="418"/>
      <c r="R35" s="418"/>
      <c r="S35" s="418"/>
      <c r="T35" s="418"/>
      <c r="U35" s="418"/>
      <c r="V35" s="418"/>
      <c r="W35" s="418"/>
      <c r="X35" s="418"/>
      <c r="Y35" s="418"/>
      <c r="Z35" s="511"/>
      <c r="AA35" s="418"/>
      <c r="AB35" s="418"/>
      <c r="AC35" s="418"/>
      <c r="AD35" s="418"/>
      <c r="AE35" s="418"/>
      <c r="AF35" s="418"/>
      <c r="AG35" s="418"/>
      <c r="AH35" s="418"/>
      <c r="AI35" s="418"/>
      <c r="AJ35" s="418"/>
      <c r="AK35" s="418"/>
      <c r="AL35" s="418"/>
      <c r="AN35" s="510"/>
      <c r="AO35" s="418"/>
      <c r="AP35" s="418"/>
      <c r="AQ35" s="453"/>
      <c r="AR35" s="418"/>
      <c r="AS35" s="418"/>
      <c r="AT35" s="426"/>
      <c r="AU35" s="421"/>
      <c r="AV35" s="418"/>
      <c r="AW35" s="418"/>
      <c r="AX35" s="418"/>
      <c r="AY35" s="418"/>
      <c r="AZ35" s="418"/>
      <c r="BA35" s="418"/>
      <c r="BB35" s="418"/>
      <c r="BC35" s="418"/>
      <c r="BD35" s="418"/>
      <c r="BE35" s="418"/>
      <c r="BF35" s="418"/>
      <c r="BG35" s="418"/>
      <c r="BH35" s="511"/>
      <c r="BI35" s="418"/>
      <c r="BJ35" s="418"/>
      <c r="BK35" s="418"/>
      <c r="BL35" s="418"/>
      <c r="BM35" s="418"/>
      <c r="BN35" s="418"/>
      <c r="BO35" s="418"/>
      <c r="BP35" s="418"/>
      <c r="BQ35" s="418"/>
      <c r="BR35" s="418"/>
      <c r="BS35" s="418"/>
      <c r="BT35" s="418"/>
    </row>
    <row r="36" spans="1:72" ht="15" x14ac:dyDescent="0.25">
      <c r="A36" s="502" t="s">
        <v>53</v>
      </c>
      <c r="B36" s="502" t="s">
        <v>54</v>
      </c>
      <c r="C36" s="400"/>
      <c r="D36" s="500">
        <f>SUM(L36:W36)</f>
        <v>331370</v>
      </c>
      <c r="E36" s="449">
        <v>308453.90399999998</v>
      </c>
      <c r="F36" s="449">
        <f t="shared" ref="F36:F41" si="53">IFERROR(D36-E36,0)</f>
        <v>22916.09600000002</v>
      </c>
      <c r="G36" s="421">
        <f t="shared" ref="G36:G41" si="54">IFERROR(F36/ABS(E36),0)</f>
        <v>7.4293421813847502E-2</v>
      </c>
      <c r="H36" s="449">
        <v>331370</v>
      </c>
      <c r="I36" s="449">
        <f t="shared" ref="I36:I41" si="55">IFERROR(D36-H36,0)</f>
        <v>0</v>
      </c>
      <c r="J36" s="426">
        <f t="shared" ref="J36:J41" si="56">IFERROR(I36/ABS(H36),0)</f>
        <v>0</v>
      </c>
      <c r="K36" s="421"/>
      <c r="L36" s="449">
        <v>0</v>
      </c>
      <c r="M36" s="449">
        <v>52942.559999999998</v>
      </c>
      <c r="N36" s="449">
        <v>26471.279999999999</v>
      </c>
      <c r="O36" s="449">
        <v>26471.279999999999</v>
      </c>
      <c r="P36" s="449">
        <v>-2904</v>
      </c>
      <c r="Q36" s="449">
        <v>52942.540000000008</v>
      </c>
      <c r="R36" s="449">
        <f>($H36-SUM($L36:Q36))/R$694</f>
        <v>29241.056666666667</v>
      </c>
      <c r="S36" s="449">
        <f>($H36-SUM($L36:R36))/S$694</f>
        <v>29241.056666666664</v>
      </c>
      <c r="T36" s="449">
        <f>($H36-SUM($L36:S36))/T$694</f>
        <v>29241.056666666664</v>
      </c>
      <c r="U36" s="449">
        <f>($H36-SUM($L36:T36))/U$694</f>
        <v>29241.05666666666</v>
      </c>
      <c r="V36" s="449">
        <f>($H36-SUM($L36:U36))/V$694</f>
        <v>29241.056666666671</v>
      </c>
      <c r="W36" s="449">
        <f>($H36-SUM($L36:V36))/W$694</f>
        <v>29241.056666666642</v>
      </c>
      <c r="X36" s="449"/>
      <c r="Y36" s="449">
        <f t="shared" si="39"/>
        <v>331370</v>
      </c>
      <c r="Z36" s="501"/>
      <c r="AA36" s="449">
        <f t="shared" ref="AA36:AL40" si="57">IFERROR($H36/12,0)</f>
        <v>27614.166666666668</v>
      </c>
      <c r="AB36" s="449">
        <f t="shared" si="57"/>
        <v>27614.166666666668</v>
      </c>
      <c r="AC36" s="449">
        <f t="shared" si="57"/>
        <v>27614.166666666668</v>
      </c>
      <c r="AD36" s="449">
        <f t="shared" si="57"/>
        <v>27614.166666666668</v>
      </c>
      <c r="AE36" s="449">
        <f t="shared" si="57"/>
        <v>27614.166666666668</v>
      </c>
      <c r="AF36" s="449">
        <f t="shared" si="57"/>
        <v>27614.166666666668</v>
      </c>
      <c r="AG36" s="449">
        <f t="shared" si="57"/>
        <v>27614.166666666668</v>
      </c>
      <c r="AH36" s="449">
        <f t="shared" si="57"/>
        <v>27614.166666666668</v>
      </c>
      <c r="AI36" s="449">
        <f t="shared" si="57"/>
        <v>27614.166666666668</v>
      </c>
      <c r="AJ36" s="449">
        <f t="shared" si="57"/>
        <v>27614.166666666668</v>
      </c>
      <c r="AK36" s="449">
        <f t="shared" si="57"/>
        <v>27614.166666666668</v>
      </c>
      <c r="AL36" s="449">
        <f t="shared" si="57"/>
        <v>27614.166666666668</v>
      </c>
      <c r="AN36" s="500">
        <f>SUM(L36:W36)</f>
        <v>331370</v>
      </c>
      <c r="AO36" s="449">
        <f>SUM(BI36:BT36)</f>
        <v>365717.55999999988</v>
      </c>
      <c r="AP36" s="449">
        <f t="shared" ref="AP36:AP41" si="58">IFERROR(AO36-AN36,0)</f>
        <v>34347.559999999881</v>
      </c>
      <c r="AQ36" s="453">
        <f t="shared" ref="AQ36:AQ41" si="59">IFERROR(AP36/ABS(AN36),"-")</f>
        <v>0.10365319733228681</v>
      </c>
      <c r="AR36" s="449">
        <f>SUM(BI36:BT36)</f>
        <v>365717.55999999988</v>
      </c>
      <c r="AS36" s="449">
        <f t="shared" ref="AS36:AS41" si="60">IFERROR(AO36-AR36,0)</f>
        <v>0</v>
      </c>
      <c r="AT36" s="426">
        <f t="shared" ref="AT36:AT41" si="61">IFERROR(AS36/ABS(AR36),0)</f>
        <v>0</v>
      </c>
      <c r="AU36" s="421"/>
      <c r="AV36" s="449">
        <f t="shared" ref="AV36:BG40" si="62">BI36</f>
        <v>30476.463333333333</v>
      </c>
      <c r="AW36" s="449">
        <f t="shared" si="62"/>
        <v>30476.463333333333</v>
      </c>
      <c r="AX36" s="449">
        <f t="shared" si="62"/>
        <v>30476.463333333333</v>
      </c>
      <c r="AY36" s="449">
        <f t="shared" si="62"/>
        <v>30476.463333333333</v>
      </c>
      <c r="AZ36" s="449">
        <f t="shared" si="62"/>
        <v>30476.463333333333</v>
      </c>
      <c r="BA36" s="449">
        <f t="shared" si="62"/>
        <v>30476.463333333333</v>
      </c>
      <c r="BB36" s="449">
        <f t="shared" si="62"/>
        <v>30476.463333333333</v>
      </c>
      <c r="BC36" s="449">
        <f t="shared" si="62"/>
        <v>30476.463333333333</v>
      </c>
      <c r="BD36" s="449">
        <f t="shared" si="62"/>
        <v>30476.463333333333</v>
      </c>
      <c r="BE36" s="449">
        <f t="shared" si="62"/>
        <v>30476.463333333333</v>
      </c>
      <c r="BF36" s="449">
        <f t="shared" si="62"/>
        <v>30476.463333333333</v>
      </c>
      <c r="BG36" s="449">
        <f t="shared" si="62"/>
        <v>30476.463333333333</v>
      </c>
      <c r="BH36" s="400"/>
      <c r="BI36" s="449">
        <f>BI510</f>
        <v>30476.463333333333</v>
      </c>
      <c r="BJ36" s="449">
        <f t="shared" ref="BJ36:BS36" si="63">BJ510</f>
        <v>30476.463333333333</v>
      </c>
      <c r="BK36" s="449">
        <f t="shared" si="63"/>
        <v>30476.463333333333</v>
      </c>
      <c r="BL36" s="449">
        <f t="shared" si="63"/>
        <v>30476.463333333333</v>
      </c>
      <c r="BM36" s="449">
        <f t="shared" si="63"/>
        <v>30476.463333333333</v>
      </c>
      <c r="BN36" s="449">
        <f t="shared" si="63"/>
        <v>30476.463333333333</v>
      </c>
      <c r="BO36" s="449">
        <f t="shared" si="63"/>
        <v>30476.463333333333</v>
      </c>
      <c r="BP36" s="449">
        <f t="shared" si="63"/>
        <v>30476.463333333333</v>
      </c>
      <c r="BQ36" s="449">
        <f t="shared" si="63"/>
        <v>30476.463333333333</v>
      </c>
      <c r="BR36" s="449">
        <f t="shared" si="63"/>
        <v>30476.463333333333</v>
      </c>
      <c r="BS36" s="449">
        <f t="shared" si="63"/>
        <v>30476.463333333333</v>
      </c>
      <c r="BT36" s="449">
        <f>BT510</f>
        <v>30476.463333333333</v>
      </c>
    </row>
    <row r="37" spans="1:72" ht="15" x14ac:dyDescent="0.25">
      <c r="A37" s="502" t="s">
        <v>55</v>
      </c>
      <c r="B37" s="502" t="s">
        <v>56</v>
      </c>
      <c r="C37" s="400"/>
      <c r="D37" s="500">
        <f>SUM(L37:W37)</f>
        <v>0</v>
      </c>
      <c r="E37" s="449">
        <v>0</v>
      </c>
      <c r="F37" s="449">
        <f t="shared" si="53"/>
        <v>0</v>
      </c>
      <c r="G37" s="421">
        <f t="shared" si="54"/>
        <v>0</v>
      </c>
      <c r="H37" s="449">
        <v>0</v>
      </c>
      <c r="I37" s="449">
        <f t="shared" si="55"/>
        <v>0</v>
      </c>
      <c r="J37" s="426">
        <f t="shared" si="56"/>
        <v>0</v>
      </c>
      <c r="K37" s="421"/>
      <c r="L37" s="449">
        <v>0</v>
      </c>
      <c r="M37" s="449">
        <v>0</v>
      </c>
      <c r="N37" s="449">
        <v>0</v>
      </c>
      <c r="O37" s="449">
        <v>0</v>
      </c>
      <c r="P37" s="449">
        <v>0</v>
      </c>
      <c r="Q37" s="449">
        <v>0</v>
      </c>
      <c r="R37" s="449">
        <f>($H37-SUM($L37:Q37))/R$694</f>
        <v>0</v>
      </c>
      <c r="S37" s="449">
        <f>($H37-SUM($L37:R37))/S$694</f>
        <v>0</v>
      </c>
      <c r="T37" s="449">
        <f>($H37-SUM($L37:S37))/T$694</f>
        <v>0</v>
      </c>
      <c r="U37" s="449">
        <f>($H37-SUM($L37:T37))/U$694</f>
        <v>0</v>
      </c>
      <c r="V37" s="449">
        <f>($H37-SUM($L37:U37))/V$694</f>
        <v>0</v>
      </c>
      <c r="W37" s="449">
        <f>($H37-SUM($L37:V37))/W$694</f>
        <v>0</v>
      </c>
      <c r="X37" s="449"/>
      <c r="Y37" s="449">
        <f t="shared" si="39"/>
        <v>0</v>
      </c>
      <c r="Z37" s="501"/>
      <c r="AA37" s="449">
        <f t="shared" si="57"/>
        <v>0</v>
      </c>
      <c r="AB37" s="449">
        <f t="shared" si="57"/>
        <v>0</v>
      </c>
      <c r="AC37" s="449">
        <f t="shared" si="57"/>
        <v>0</v>
      </c>
      <c r="AD37" s="449">
        <f t="shared" si="57"/>
        <v>0</v>
      </c>
      <c r="AE37" s="449">
        <f t="shared" si="57"/>
        <v>0</v>
      </c>
      <c r="AF37" s="449">
        <f t="shared" si="57"/>
        <v>0</v>
      </c>
      <c r="AG37" s="449">
        <f t="shared" si="57"/>
        <v>0</v>
      </c>
      <c r="AH37" s="449">
        <f t="shared" si="57"/>
        <v>0</v>
      </c>
      <c r="AI37" s="449">
        <f t="shared" si="57"/>
        <v>0</v>
      </c>
      <c r="AJ37" s="449">
        <f t="shared" si="57"/>
        <v>0</v>
      </c>
      <c r="AK37" s="449">
        <f t="shared" si="57"/>
        <v>0</v>
      </c>
      <c r="AL37" s="449">
        <f t="shared" si="57"/>
        <v>0</v>
      </c>
      <c r="AN37" s="500">
        <f>SUM(L37:W37)</f>
        <v>0</v>
      </c>
      <c r="AO37" s="449">
        <f>SUM(BI37:BT37)</f>
        <v>0</v>
      </c>
      <c r="AP37" s="449">
        <f t="shared" si="58"/>
        <v>0</v>
      </c>
      <c r="AQ37" s="453" t="str">
        <f t="shared" si="59"/>
        <v>-</v>
      </c>
      <c r="AR37" s="449">
        <f>SUM(BI37:BT37)</f>
        <v>0</v>
      </c>
      <c r="AS37" s="449">
        <f t="shared" si="60"/>
        <v>0</v>
      </c>
      <c r="AT37" s="426">
        <f t="shared" si="61"/>
        <v>0</v>
      </c>
      <c r="AU37" s="421"/>
      <c r="AV37" s="449">
        <f t="shared" si="62"/>
        <v>0</v>
      </c>
      <c r="AW37" s="449">
        <f t="shared" si="62"/>
        <v>0</v>
      </c>
      <c r="AX37" s="449">
        <f t="shared" si="62"/>
        <v>0</v>
      </c>
      <c r="AY37" s="449">
        <f t="shared" si="62"/>
        <v>0</v>
      </c>
      <c r="AZ37" s="449">
        <f t="shared" si="62"/>
        <v>0</v>
      </c>
      <c r="BA37" s="449">
        <f t="shared" si="62"/>
        <v>0</v>
      </c>
      <c r="BB37" s="449">
        <f t="shared" si="62"/>
        <v>0</v>
      </c>
      <c r="BC37" s="449">
        <f t="shared" si="62"/>
        <v>0</v>
      </c>
      <c r="BD37" s="449">
        <f t="shared" si="62"/>
        <v>0</v>
      </c>
      <c r="BE37" s="449">
        <f t="shared" si="62"/>
        <v>0</v>
      </c>
      <c r="BF37" s="449">
        <f t="shared" si="62"/>
        <v>0</v>
      </c>
      <c r="BG37" s="449">
        <f t="shared" si="62"/>
        <v>0</v>
      </c>
      <c r="BH37" s="400"/>
      <c r="BI37" s="449">
        <f t="shared" ref="BI37:BT38" si="64">IFERROR((($H37/$H$5)*BI$5)/12,0)</f>
        <v>0</v>
      </c>
      <c r="BJ37" s="449">
        <f t="shared" si="64"/>
        <v>0</v>
      </c>
      <c r="BK37" s="449">
        <f t="shared" si="64"/>
        <v>0</v>
      </c>
      <c r="BL37" s="449">
        <f t="shared" si="64"/>
        <v>0</v>
      </c>
      <c r="BM37" s="449">
        <f t="shared" si="64"/>
        <v>0</v>
      </c>
      <c r="BN37" s="449">
        <f t="shared" si="64"/>
        <v>0</v>
      </c>
      <c r="BO37" s="449">
        <f t="shared" si="64"/>
        <v>0</v>
      </c>
      <c r="BP37" s="449">
        <f t="shared" si="64"/>
        <v>0</v>
      </c>
      <c r="BQ37" s="449">
        <f t="shared" si="64"/>
        <v>0</v>
      </c>
      <c r="BR37" s="449">
        <f t="shared" si="64"/>
        <v>0</v>
      </c>
      <c r="BS37" s="449">
        <f t="shared" si="64"/>
        <v>0</v>
      </c>
      <c r="BT37" s="449">
        <f t="shared" si="64"/>
        <v>0</v>
      </c>
    </row>
    <row r="38" spans="1:72" ht="15" x14ac:dyDescent="0.25">
      <c r="A38" s="502" t="s">
        <v>57</v>
      </c>
      <c r="B38" s="502" t="s">
        <v>58</v>
      </c>
      <c r="C38" s="400"/>
      <c r="D38" s="500">
        <f>SUM(L38:W38)</f>
        <v>0</v>
      </c>
      <c r="E38" s="449">
        <v>0</v>
      </c>
      <c r="F38" s="449">
        <f t="shared" si="53"/>
        <v>0</v>
      </c>
      <c r="G38" s="421">
        <f t="shared" si="54"/>
        <v>0</v>
      </c>
      <c r="H38" s="449">
        <v>0</v>
      </c>
      <c r="I38" s="449">
        <f t="shared" si="55"/>
        <v>0</v>
      </c>
      <c r="J38" s="426">
        <f t="shared" si="56"/>
        <v>0</v>
      </c>
      <c r="K38" s="421"/>
      <c r="L38" s="449">
        <v>0</v>
      </c>
      <c r="M38" s="449">
        <v>0</v>
      </c>
      <c r="N38" s="449">
        <v>0</v>
      </c>
      <c r="O38" s="449">
        <v>0</v>
      </c>
      <c r="P38" s="449">
        <v>0</v>
      </c>
      <c r="Q38" s="449">
        <v>0</v>
      </c>
      <c r="R38" s="449">
        <f>($H38-SUM($L38:Q38))/R$694</f>
        <v>0</v>
      </c>
      <c r="S38" s="449">
        <f>($H38-SUM($L38:R38))/S$694</f>
        <v>0</v>
      </c>
      <c r="T38" s="449">
        <f>($H38-SUM($L38:S38))/T$694</f>
        <v>0</v>
      </c>
      <c r="U38" s="449">
        <f>($H38-SUM($L38:T38))/U$694</f>
        <v>0</v>
      </c>
      <c r="V38" s="449">
        <f>($H38-SUM($L38:U38))/V$694</f>
        <v>0</v>
      </c>
      <c r="W38" s="449">
        <f>($H38-SUM($L38:V38))/W$694</f>
        <v>0</v>
      </c>
      <c r="X38" s="449"/>
      <c r="Y38" s="449">
        <f t="shared" si="39"/>
        <v>0</v>
      </c>
      <c r="Z38" s="501"/>
      <c r="AA38" s="449">
        <f t="shared" si="57"/>
        <v>0</v>
      </c>
      <c r="AB38" s="449">
        <f t="shared" si="57"/>
        <v>0</v>
      </c>
      <c r="AC38" s="449">
        <f t="shared" si="57"/>
        <v>0</v>
      </c>
      <c r="AD38" s="449">
        <f t="shared" si="57"/>
        <v>0</v>
      </c>
      <c r="AE38" s="449">
        <f t="shared" si="57"/>
        <v>0</v>
      </c>
      <c r="AF38" s="449">
        <f t="shared" si="57"/>
        <v>0</v>
      </c>
      <c r="AG38" s="449">
        <f t="shared" si="57"/>
        <v>0</v>
      </c>
      <c r="AH38" s="449">
        <f t="shared" si="57"/>
        <v>0</v>
      </c>
      <c r="AI38" s="449">
        <f t="shared" si="57"/>
        <v>0</v>
      </c>
      <c r="AJ38" s="449">
        <f t="shared" si="57"/>
        <v>0</v>
      </c>
      <c r="AK38" s="449">
        <f t="shared" si="57"/>
        <v>0</v>
      </c>
      <c r="AL38" s="449">
        <f t="shared" si="57"/>
        <v>0</v>
      </c>
      <c r="AN38" s="500">
        <f>SUM(L38:W38)</f>
        <v>0</v>
      </c>
      <c r="AO38" s="449">
        <f>SUM(BI38:BT38)</f>
        <v>0</v>
      </c>
      <c r="AP38" s="449">
        <f t="shared" si="58"/>
        <v>0</v>
      </c>
      <c r="AQ38" s="453" t="str">
        <f t="shared" si="59"/>
        <v>-</v>
      </c>
      <c r="AR38" s="449">
        <f>SUM(BI38:BT38)</f>
        <v>0</v>
      </c>
      <c r="AS38" s="449">
        <f t="shared" si="60"/>
        <v>0</v>
      </c>
      <c r="AT38" s="426">
        <f t="shared" si="61"/>
        <v>0</v>
      </c>
      <c r="AU38" s="421"/>
      <c r="AV38" s="449">
        <f t="shared" si="62"/>
        <v>0</v>
      </c>
      <c r="AW38" s="449">
        <f t="shared" si="62"/>
        <v>0</v>
      </c>
      <c r="AX38" s="449">
        <f t="shared" si="62"/>
        <v>0</v>
      </c>
      <c r="AY38" s="449">
        <f t="shared" si="62"/>
        <v>0</v>
      </c>
      <c r="AZ38" s="449">
        <f t="shared" si="62"/>
        <v>0</v>
      </c>
      <c r="BA38" s="449">
        <f t="shared" si="62"/>
        <v>0</v>
      </c>
      <c r="BB38" s="449">
        <f t="shared" si="62"/>
        <v>0</v>
      </c>
      <c r="BC38" s="449">
        <f t="shared" si="62"/>
        <v>0</v>
      </c>
      <c r="BD38" s="449">
        <f t="shared" si="62"/>
        <v>0</v>
      </c>
      <c r="BE38" s="449">
        <f t="shared" si="62"/>
        <v>0</v>
      </c>
      <c r="BF38" s="449">
        <f t="shared" si="62"/>
        <v>0</v>
      </c>
      <c r="BG38" s="449">
        <f t="shared" si="62"/>
        <v>0</v>
      </c>
      <c r="BH38" s="400"/>
      <c r="BI38" s="449">
        <f t="shared" si="64"/>
        <v>0</v>
      </c>
      <c r="BJ38" s="449">
        <f t="shared" si="64"/>
        <v>0</v>
      </c>
      <c r="BK38" s="449">
        <f t="shared" si="64"/>
        <v>0</v>
      </c>
      <c r="BL38" s="449">
        <f t="shared" si="64"/>
        <v>0</v>
      </c>
      <c r="BM38" s="449">
        <f t="shared" si="64"/>
        <v>0</v>
      </c>
      <c r="BN38" s="449">
        <f t="shared" si="64"/>
        <v>0</v>
      </c>
      <c r="BO38" s="449">
        <f t="shared" si="64"/>
        <v>0</v>
      </c>
      <c r="BP38" s="449">
        <f t="shared" si="64"/>
        <v>0</v>
      </c>
      <c r="BQ38" s="449">
        <f t="shared" si="64"/>
        <v>0</v>
      </c>
      <c r="BR38" s="449">
        <f t="shared" si="64"/>
        <v>0</v>
      </c>
      <c r="BS38" s="449">
        <f t="shared" si="64"/>
        <v>0</v>
      </c>
      <c r="BT38" s="449">
        <f t="shared" si="64"/>
        <v>0</v>
      </c>
    </row>
    <row r="39" spans="1:72" ht="15" x14ac:dyDescent="0.25">
      <c r="A39" s="502" t="s">
        <v>59</v>
      </c>
      <c r="B39" s="502" t="s">
        <v>60</v>
      </c>
      <c r="C39" s="400"/>
      <c r="D39" s="500">
        <f>SUM(L39:W39)</f>
        <v>15968</v>
      </c>
      <c r="E39" s="449">
        <v>8152.83</v>
      </c>
      <c r="F39" s="449">
        <f t="shared" si="53"/>
        <v>7815.17</v>
      </c>
      <c r="G39" s="421">
        <f t="shared" si="54"/>
        <v>0.95858370651663294</v>
      </c>
      <c r="H39" s="449">
        <v>15968</v>
      </c>
      <c r="I39" s="449">
        <f t="shared" si="55"/>
        <v>0</v>
      </c>
      <c r="J39" s="426">
        <f t="shared" si="56"/>
        <v>0</v>
      </c>
      <c r="K39" s="421"/>
      <c r="L39" s="449">
        <v>0</v>
      </c>
      <c r="M39" s="449">
        <v>0</v>
      </c>
      <c r="N39" s="449">
        <v>0</v>
      </c>
      <c r="O39" s="449">
        <v>2662.2</v>
      </c>
      <c r="P39" s="449">
        <v>9552.5999999999985</v>
      </c>
      <c r="Q39" s="449">
        <v>0</v>
      </c>
      <c r="R39" s="449">
        <f>($H39-SUM($L39:Q39))/R$694</f>
        <v>625.53333333333342</v>
      </c>
      <c r="S39" s="449">
        <f>($H39-SUM($L39:R39))/S$694</f>
        <v>625.53333333333353</v>
      </c>
      <c r="T39" s="449">
        <f>($H39-SUM($L39:S39))/T$694</f>
        <v>625.53333333333376</v>
      </c>
      <c r="U39" s="449">
        <f>($H39-SUM($L39:T39))/U$694</f>
        <v>625.5333333333341</v>
      </c>
      <c r="V39" s="449">
        <f>($H39-SUM($L39:U39))/V$694</f>
        <v>625.53333333333376</v>
      </c>
      <c r="W39" s="449">
        <f>($H39-SUM($L39:V39))/W$694</f>
        <v>625.53333333333285</v>
      </c>
      <c r="X39" s="449"/>
      <c r="Y39" s="449">
        <f t="shared" si="39"/>
        <v>15968</v>
      </c>
      <c r="Z39" s="501"/>
      <c r="AA39" s="449">
        <f t="shared" si="57"/>
        <v>1330.6666666666667</v>
      </c>
      <c r="AB39" s="449">
        <f t="shared" si="57"/>
        <v>1330.6666666666667</v>
      </c>
      <c r="AC39" s="449">
        <f t="shared" si="57"/>
        <v>1330.6666666666667</v>
      </c>
      <c r="AD39" s="449">
        <f t="shared" si="57"/>
        <v>1330.6666666666667</v>
      </c>
      <c r="AE39" s="449">
        <f t="shared" si="57"/>
        <v>1330.6666666666667</v>
      </c>
      <c r="AF39" s="449">
        <f t="shared" si="57"/>
        <v>1330.6666666666667</v>
      </c>
      <c r="AG39" s="449">
        <f t="shared" si="57"/>
        <v>1330.6666666666667</v>
      </c>
      <c r="AH39" s="449">
        <f t="shared" si="57"/>
        <v>1330.6666666666667</v>
      </c>
      <c r="AI39" s="449">
        <f t="shared" si="57"/>
        <v>1330.6666666666667</v>
      </c>
      <c r="AJ39" s="449">
        <f t="shared" si="57"/>
        <v>1330.6666666666667</v>
      </c>
      <c r="AK39" s="449">
        <f t="shared" si="57"/>
        <v>1330.6666666666667</v>
      </c>
      <c r="AL39" s="449">
        <f t="shared" si="57"/>
        <v>1330.6666666666667</v>
      </c>
      <c r="AN39" s="500">
        <f>SUM(L39:W39)</f>
        <v>15968</v>
      </c>
      <c r="AO39" s="449">
        <f>SUM(BI39:BT39)</f>
        <v>25674.039215686284</v>
      </c>
      <c r="AP39" s="449">
        <f t="shared" si="58"/>
        <v>9706.0392156862836</v>
      </c>
      <c r="AQ39" s="453">
        <f t="shared" si="59"/>
        <v>0.60784313725490258</v>
      </c>
      <c r="AR39" s="449">
        <f>SUM(BI39:BT39)</f>
        <v>25674.039215686284</v>
      </c>
      <c r="AS39" s="449">
        <f t="shared" si="60"/>
        <v>0</v>
      </c>
      <c r="AT39" s="426">
        <f t="shared" si="61"/>
        <v>0</v>
      </c>
      <c r="AU39" s="421"/>
      <c r="AV39" s="449">
        <f t="shared" si="62"/>
        <v>2139.5032679738565</v>
      </c>
      <c r="AW39" s="449">
        <f t="shared" si="62"/>
        <v>2139.5032679738565</v>
      </c>
      <c r="AX39" s="449">
        <f t="shared" si="62"/>
        <v>2139.5032679738565</v>
      </c>
      <c r="AY39" s="449">
        <f t="shared" si="62"/>
        <v>2139.5032679738565</v>
      </c>
      <c r="AZ39" s="449">
        <f t="shared" si="62"/>
        <v>2139.5032679738565</v>
      </c>
      <c r="BA39" s="449">
        <f t="shared" si="62"/>
        <v>2139.5032679738565</v>
      </c>
      <c r="BB39" s="449">
        <f t="shared" si="62"/>
        <v>2139.5032679738565</v>
      </c>
      <c r="BC39" s="449">
        <f t="shared" si="62"/>
        <v>2139.5032679738565</v>
      </c>
      <c r="BD39" s="449">
        <f t="shared" si="62"/>
        <v>2139.5032679738565</v>
      </c>
      <c r="BE39" s="449">
        <f t="shared" si="62"/>
        <v>2139.5032679738565</v>
      </c>
      <c r="BF39" s="449">
        <f t="shared" si="62"/>
        <v>2139.5032679738565</v>
      </c>
      <c r="BG39" s="449">
        <f t="shared" si="62"/>
        <v>2139.5032679738565</v>
      </c>
      <c r="BH39" s="400"/>
      <c r="BI39" s="449">
        <f>IFERROR(($H39*(82/51))/12,0)</f>
        <v>2139.5032679738565</v>
      </c>
      <c r="BJ39" s="449">
        <f t="shared" ref="BJ39:BT39" si="65">IFERROR(($H39*(82/51))/12,0)</f>
        <v>2139.5032679738565</v>
      </c>
      <c r="BK39" s="449">
        <f t="shared" si="65"/>
        <v>2139.5032679738565</v>
      </c>
      <c r="BL39" s="449">
        <f t="shared" si="65"/>
        <v>2139.5032679738565</v>
      </c>
      <c r="BM39" s="449">
        <f t="shared" si="65"/>
        <v>2139.5032679738565</v>
      </c>
      <c r="BN39" s="449">
        <f t="shared" si="65"/>
        <v>2139.5032679738565</v>
      </c>
      <c r="BO39" s="449">
        <f t="shared" si="65"/>
        <v>2139.5032679738565</v>
      </c>
      <c r="BP39" s="449">
        <f t="shared" si="65"/>
        <v>2139.5032679738565</v>
      </c>
      <c r="BQ39" s="449">
        <f t="shared" si="65"/>
        <v>2139.5032679738565</v>
      </c>
      <c r="BR39" s="449">
        <f t="shared" si="65"/>
        <v>2139.5032679738565</v>
      </c>
      <c r="BS39" s="449">
        <f t="shared" si="65"/>
        <v>2139.5032679738565</v>
      </c>
      <c r="BT39" s="449">
        <f t="shared" si="65"/>
        <v>2139.5032679738565</v>
      </c>
    </row>
    <row r="40" spans="1:72" ht="15" x14ac:dyDescent="0.25">
      <c r="A40" s="502" t="s">
        <v>61</v>
      </c>
      <c r="B40" s="502" t="s">
        <v>62</v>
      </c>
      <c r="C40" s="400"/>
      <c r="D40" s="500">
        <f>SUM(L40:W40)</f>
        <v>0</v>
      </c>
      <c r="E40" s="449">
        <v>0</v>
      </c>
      <c r="F40" s="449">
        <f t="shared" si="53"/>
        <v>0</v>
      </c>
      <c r="G40" s="421">
        <f t="shared" si="54"/>
        <v>0</v>
      </c>
      <c r="H40" s="449">
        <v>0</v>
      </c>
      <c r="I40" s="449">
        <f t="shared" si="55"/>
        <v>0</v>
      </c>
      <c r="J40" s="426">
        <f t="shared" si="56"/>
        <v>0</v>
      </c>
      <c r="K40" s="421"/>
      <c r="L40" s="449">
        <v>0</v>
      </c>
      <c r="M40" s="449">
        <v>0</v>
      </c>
      <c r="N40" s="449">
        <v>0</v>
      </c>
      <c r="O40" s="449">
        <v>0</v>
      </c>
      <c r="P40" s="449">
        <v>0</v>
      </c>
      <c r="Q40" s="449">
        <v>0</v>
      </c>
      <c r="R40" s="449">
        <f>($H40-SUM($L40:Q40))/R$694</f>
        <v>0</v>
      </c>
      <c r="S40" s="449">
        <f>($H40-SUM($L40:R40))/S$694</f>
        <v>0</v>
      </c>
      <c r="T40" s="449">
        <f>($H40-SUM($L40:S40))/T$694</f>
        <v>0</v>
      </c>
      <c r="U40" s="449">
        <f>($H40-SUM($L40:T40))/U$694</f>
        <v>0</v>
      </c>
      <c r="V40" s="449">
        <f>($H40-SUM($L40:U40))/V$694</f>
        <v>0</v>
      </c>
      <c r="W40" s="449">
        <f>($H40-SUM($L40:V40))/W$694</f>
        <v>0</v>
      </c>
      <c r="X40" s="449"/>
      <c r="Y40" s="449">
        <f t="shared" si="39"/>
        <v>0</v>
      </c>
      <c r="Z40" s="501"/>
      <c r="AA40" s="449">
        <f t="shared" si="57"/>
        <v>0</v>
      </c>
      <c r="AB40" s="449">
        <f t="shared" si="57"/>
        <v>0</v>
      </c>
      <c r="AC40" s="449">
        <f t="shared" si="57"/>
        <v>0</v>
      </c>
      <c r="AD40" s="449">
        <f t="shared" si="57"/>
        <v>0</v>
      </c>
      <c r="AE40" s="449">
        <f t="shared" si="57"/>
        <v>0</v>
      </c>
      <c r="AF40" s="449">
        <f t="shared" si="57"/>
        <v>0</v>
      </c>
      <c r="AG40" s="449">
        <f t="shared" si="57"/>
        <v>0</v>
      </c>
      <c r="AH40" s="449">
        <f t="shared" si="57"/>
        <v>0</v>
      </c>
      <c r="AI40" s="449">
        <f t="shared" si="57"/>
        <v>0</v>
      </c>
      <c r="AJ40" s="449">
        <f t="shared" si="57"/>
        <v>0</v>
      </c>
      <c r="AK40" s="449">
        <f t="shared" si="57"/>
        <v>0</v>
      </c>
      <c r="AL40" s="449">
        <f t="shared" si="57"/>
        <v>0</v>
      </c>
      <c r="AN40" s="500">
        <f>SUM(L40:W40)</f>
        <v>0</v>
      </c>
      <c r="AO40" s="449">
        <f>SUM(BI40:BT40)</f>
        <v>0</v>
      </c>
      <c r="AP40" s="449">
        <f t="shared" si="58"/>
        <v>0</v>
      </c>
      <c r="AQ40" s="453" t="str">
        <f t="shared" si="59"/>
        <v>-</v>
      </c>
      <c r="AR40" s="449">
        <f>SUM(BI40:BT40)</f>
        <v>0</v>
      </c>
      <c r="AS40" s="449">
        <f t="shared" si="60"/>
        <v>0</v>
      </c>
      <c r="AT40" s="426">
        <f t="shared" si="61"/>
        <v>0</v>
      </c>
      <c r="AU40" s="421"/>
      <c r="AV40" s="449">
        <f t="shared" si="62"/>
        <v>0</v>
      </c>
      <c r="AW40" s="449">
        <f t="shared" si="62"/>
        <v>0</v>
      </c>
      <c r="AX40" s="449">
        <f t="shared" si="62"/>
        <v>0</v>
      </c>
      <c r="AY40" s="449">
        <f t="shared" si="62"/>
        <v>0</v>
      </c>
      <c r="AZ40" s="449">
        <f t="shared" si="62"/>
        <v>0</v>
      </c>
      <c r="BA40" s="449">
        <f t="shared" si="62"/>
        <v>0</v>
      </c>
      <c r="BB40" s="449">
        <f t="shared" si="62"/>
        <v>0</v>
      </c>
      <c r="BC40" s="449">
        <f t="shared" si="62"/>
        <v>0</v>
      </c>
      <c r="BD40" s="449">
        <f t="shared" si="62"/>
        <v>0</v>
      </c>
      <c r="BE40" s="449">
        <f t="shared" si="62"/>
        <v>0</v>
      </c>
      <c r="BF40" s="449">
        <f t="shared" si="62"/>
        <v>0</v>
      </c>
      <c r="BG40" s="449">
        <f t="shared" si="62"/>
        <v>0</v>
      </c>
      <c r="BH40" s="400"/>
      <c r="BI40" s="449">
        <f t="shared" ref="BI40:BT40" si="66">IFERROR((($H40/$H$5)*BI$5)/12,0)</f>
        <v>0</v>
      </c>
      <c r="BJ40" s="449">
        <f t="shared" si="66"/>
        <v>0</v>
      </c>
      <c r="BK40" s="449">
        <f t="shared" si="66"/>
        <v>0</v>
      </c>
      <c r="BL40" s="449">
        <f t="shared" si="66"/>
        <v>0</v>
      </c>
      <c r="BM40" s="449">
        <f t="shared" si="66"/>
        <v>0</v>
      </c>
      <c r="BN40" s="449">
        <f t="shared" si="66"/>
        <v>0</v>
      </c>
      <c r="BO40" s="449">
        <f t="shared" si="66"/>
        <v>0</v>
      </c>
      <c r="BP40" s="449">
        <f t="shared" si="66"/>
        <v>0</v>
      </c>
      <c r="BQ40" s="449">
        <f t="shared" si="66"/>
        <v>0</v>
      </c>
      <c r="BR40" s="449">
        <f t="shared" si="66"/>
        <v>0</v>
      </c>
      <c r="BS40" s="449">
        <f t="shared" si="66"/>
        <v>0</v>
      </c>
      <c r="BT40" s="449">
        <f t="shared" si="66"/>
        <v>0</v>
      </c>
    </row>
    <row r="41" spans="1:72" ht="15" x14ac:dyDescent="0.25">
      <c r="A41" s="591"/>
      <c r="B41" s="592" t="s">
        <v>63</v>
      </c>
      <c r="C41" s="400"/>
      <c r="D41" s="503">
        <f>SUM(D36:D40)</f>
        <v>347338</v>
      </c>
      <c r="E41" s="504">
        <f>SUM(E36:E40)</f>
        <v>316606.734</v>
      </c>
      <c r="F41" s="504">
        <f t="shared" si="53"/>
        <v>30731.266000000003</v>
      </c>
      <c r="G41" s="505">
        <f t="shared" si="54"/>
        <v>9.7064473682357003E-2</v>
      </c>
      <c r="H41" s="504">
        <f>SUM(H36:H40)</f>
        <v>347338</v>
      </c>
      <c r="I41" s="504">
        <f t="shared" si="55"/>
        <v>0</v>
      </c>
      <c r="J41" s="506">
        <f t="shared" si="56"/>
        <v>0</v>
      </c>
      <c r="K41" s="507"/>
      <c r="L41" s="504">
        <f t="shared" ref="L41:W41" si="67">SUM(L36:L40)</f>
        <v>0</v>
      </c>
      <c r="M41" s="504">
        <f t="shared" si="67"/>
        <v>52942.559999999998</v>
      </c>
      <c r="N41" s="504">
        <f t="shared" si="67"/>
        <v>26471.279999999999</v>
      </c>
      <c r="O41" s="504">
        <f t="shared" si="67"/>
        <v>29133.48</v>
      </c>
      <c r="P41" s="504">
        <f t="shared" si="67"/>
        <v>6648.5999999999985</v>
      </c>
      <c r="Q41" s="504">
        <f t="shared" si="67"/>
        <v>52942.540000000008</v>
      </c>
      <c r="R41" s="504">
        <f t="shared" si="67"/>
        <v>29866.59</v>
      </c>
      <c r="S41" s="504">
        <f t="shared" si="67"/>
        <v>29866.589999999997</v>
      </c>
      <c r="T41" s="504">
        <f t="shared" si="67"/>
        <v>29866.589999999997</v>
      </c>
      <c r="U41" s="504">
        <f t="shared" si="67"/>
        <v>29866.589999999993</v>
      </c>
      <c r="V41" s="504">
        <f t="shared" si="67"/>
        <v>29866.590000000004</v>
      </c>
      <c r="W41" s="504">
        <f t="shared" si="67"/>
        <v>29866.589999999975</v>
      </c>
      <c r="X41" s="504"/>
      <c r="Y41" s="504">
        <f t="shared" si="39"/>
        <v>347337.99999999994</v>
      </c>
      <c r="Z41" s="508"/>
      <c r="AA41" s="504">
        <f t="shared" ref="AA41:AL41" si="68">SUM(AA36:AA40)</f>
        <v>28944.833333333336</v>
      </c>
      <c r="AB41" s="504">
        <f t="shared" si="68"/>
        <v>28944.833333333336</v>
      </c>
      <c r="AC41" s="504">
        <f t="shared" si="68"/>
        <v>28944.833333333336</v>
      </c>
      <c r="AD41" s="504">
        <f t="shared" si="68"/>
        <v>28944.833333333336</v>
      </c>
      <c r="AE41" s="504">
        <f t="shared" si="68"/>
        <v>28944.833333333336</v>
      </c>
      <c r="AF41" s="504">
        <f t="shared" si="68"/>
        <v>28944.833333333336</v>
      </c>
      <c r="AG41" s="504">
        <f t="shared" si="68"/>
        <v>28944.833333333336</v>
      </c>
      <c r="AH41" s="504">
        <f t="shared" si="68"/>
        <v>28944.833333333336</v>
      </c>
      <c r="AI41" s="504">
        <f t="shared" si="68"/>
        <v>28944.833333333336</v>
      </c>
      <c r="AJ41" s="504">
        <f t="shared" si="68"/>
        <v>28944.833333333336</v>
      </c>
      <c r="AK41" s="504">
        <f t="shared" si="68"/>
        <v>28944.833333333336</v>
      </c>
      <c r="AL41" s="504">
        <f t="shared" si="68"/>
        <v>28944.833333333336</v>
      </c>
      <c r="AN41" s="503">
        <f>SUM(AN36:AN40)</f>
        <v>347338</v>
      </c>
      <c r="AO41" s="504">
        <f>SUM(AO36:AO40)</f>
        <v>391391.59921568615</v>
      </c>
      <c r="AP41" s="504">
        <f t="shared" si="58"/>
        <v>44053.599215686147</v>
      </c>
      <c r="AQ41" s="509">
        <f t="shared" si="59"/>
        <v>0.12683207485413675</v>
      </c>
      <c r="AR41" s="504">
        <f>SUM(AR36:AR40)</f>
        <v>391391.59921568615</v>
      </c>
      <c r="AS41" s="504">
        <f t="shared" si="60"/>
        <v>0</v>
      </c>
      <c r="AT41" s="506">
        <f t="shared" si="61"/>
        <v>0</v>
      </c>
      <c r="AU41" s="507"/>
      <c r="AV41" s="504">
        <f t="shared" ref="AV41:BG41" si="69">SUM(AV36:AV40)</f>
        <v>32615.966601307191</v>
      </c>
      <c r="AW41" s="504">
        <f t="shared" si="69"/>
        <v>32615.966601307191</v>
      </c>
      <c r="AX41" s="504">
        <f t="shared" si="69"/>
        <v>32615.966601307191</v>
      </c>
      <c r="AY41" s="504">
        <f t="shared" si="69"/>
        <v>32615.966601307191</v>
      </c>
      <c r="AZ41" s="504">
        <f t="shared" si="69"/>
        <v>32615.966601307191</v>
      </c>
      <c r="BA41" s="504">
        <f t="shared" si="69"/>
        <v>32615.966601307191</v>
      </c>
      <c r="BB41" s="504">
        <f t="shared" si="69"/>
        <v>32615.966601307191</v>
      </c>
      <c r="BC41" s="504">
        <f t="shared" si="69"/>
        <v>32615.966601307191</v>
      </c>
      <c r="BD41" s="504">
        <f t="shared" si="69"/>
        <v>32615.966601307191</v>
      </c>
      <c r="BE41" s="504">
        <f t="shared" si="69"/>
        <v>32615.966601307191</v>
      </c>
      <c r="BF41" s="504">
        <f t="shared" si="69"/>
        <v>32615.966601307191</v>
      </c>
      <c r="BG41" s="504">
        <f t="shared" si="69"/>
        <v>32615.966601307191</v>
      </c>
      <c r="BH41" s="508"/>
      <c r="BI41" s="504">
        <f t="shared" ref="BI41:BT41" si="70">SUM(BI36:BI40)</f>
        <v>32615.966601307191</v>
      </c>
      <c r="BJ41" s="504">
        <f t="shared" si="70"/>
        <v>32615.966601307191</v>
      </c>
      <c r="BK41" s="504">
        <f t="shared" si="70"/>
        <v>32615.966601307191</v>
      </c>
      <c r="BL41" s="504">
        <f t="shared" si="70"/>
        <v>32615.966601307191</v>
      </c>
      <c r="BM41" s="504">
        <f t="shared" si="70"/>
        <v>32615.966601307191</v>
      </c>
      <c r="BN41" s="504">
        <f t="shared" si="70"/>
        <v>32615.966601307191</v>
      </c>
      <c r="BO41" s="504">
        <f t="shared" si="70"/>
        <v>32615.966601307191</v>
      </c>
      <c r="BP41" s="504">
        <f t="shared" si="70"/>
        <v>32615.966601307191</v>
      </c>
      <c r="BQ41" s="504">
        <f t="shared" si="70"/>
        <v>32615.966601307191</v>
      </c>
      <c r="BR41" s="504">
        <f t="shared" si="70"/>
        <v>32615.966601307191</v>
      </c>
      <c r="BS41" s="504">
        <f t="shared" si="70"/>
        <v>32615.966601307191</v>
      </c>
      <c r="BT41" s="504">
        <f t="shared" si="70"/>
        <v>32615.966601307191</v>
      </c>
    </row>
    <row r="42" spans="1:72" ht="15" x14ac:dyDescent="0.25">
      <c r="A42" s="587"/>
      <c r="B42" s="502"/>
      <c r="C42" s="400"/>
      <c r="D42" s="510"/>
      <c r="E42" s="418"/>
      <c r="F42" s="418"/>
      <c r="G42" s="421"/>
      <c r="H42" s="418"/>
      <c r="I42" s="418"/>
      <c r="J42" s="426"/>
      <c r="K42" s="421"/>
      <c r="L42" s="418"/>
      <c r="M42" s="418"/>
      <c r="N42" s="418"/>
      <c r="O42" s="418"/>
      <c r="P42" s="418"/>
      <c r="Q42" s="418"/>
      <c r="R42" s="418"/>
      <c r="S42" s="418"/>
      <c r="T42" s="418"/>
      <c r="U42" s="418"/>
      <c r="V42" s="418"/>
      <c r="W42" s="418"/>
      <c r="X42" s="418"/>
      <c r="Y42" s="418"/>
      <c r="Z42" s="511"/>
      <c r="AA42" s="418"/>
      <c r="AB42" s="418"/>
      <c r="AC42" s="418"/>
      <c r="AD42" s="418"/>
      <c r="AE42" s="418"/>
      <c r="AF42" s="418"/>
      <c r="AG42" s="418"/>
      <c r="AH42" s="418"/>
      <c r="AI42" s="418"/>
      <c r="AJ42" s="418"/>
      <c r="AK42" s="418"/>
      <c r="AL42" s="418"/>
      <c r="AN42" s="510"/>
      <c r="AO42" s="418"/>
      <c r="AP42" s="418"/>
      <c r="AQ42" s="453"/>
      <c r="AR42" s="418"/>
      <c r="AS42" s="418"/>
      <c r="AT42" s="426"/>
      <c r="AU42" s="421"/>
      <c r="AV42" s="418"/>
      <c r="AW42" s="418"/>
      <c r="AX42" s="418"/>
      <c r="AY42" s="418"/>
      <c r="AZ42" s="418"/>
      <c r="BA42" s="418"/>
      <c r="BB42" s="418"/>
      <c r="BC42" s="418"/>
      <c r="BD42" s="418"/>
      <c r="BE42" s="418"/>
      <c r="BF42" s="418"/>
      <c r="BG42" s="418"/>
      <c r="BH42" s="511"/>
      <c r="BI42" s="418"/>
      <c r="BJ42" s="418"/>
      <c r="BK42" s="418"/>
      <c r="BL42" s="418"/>
      <c r="BM42" s="418"/>
      <c r="BN42" s="418"/>
      <c r="BO42" s="418"/>
      <c r="BP42" s="418"/>
      <c r="BQ42" s="418"/>
      <c r="BR42" s="418"/>
      <c r="BS42" s="418"/>
      <c r="BT42" s="418"/>
    </row>
    <row r="43" spans="1:72" ht="15" x14ac:dyDescent="0.25">
      <c r="A43" s="502" t="s">
        <v>64</v>
      </c>
      <c r="B43" s="502" t="s">
        <v>65</v>
      </c>
      <c r="C43" s="400"/>
      <c r="D43" s="500">
        <f t="shared" ref="D43:D49" si="71">SUM(L43:W43)</f>
        <v>0</v>
      </c>
      <c r="E43" s="449">
        <v>0</v>
      </c>
      <c r="F43" s="449">
        <f t="shared" ref="F43:F50" si="72">IFERROR(D43-E43,0)</f>
        <v>0</v>
      </c>
      <c r="G43" s="421">
        <f t="shared" ref="G43:G50" si="73">IFERROR(F43/ABS(E43),0)</f>
        <v>0</v>
      </c>
      <c r="H43" s="449">
        <v>0</v>
      </c>
      <c r="I43" s="449">
        <f t="shared" ref="I43:I50" si="74">IFERROR(D43-H43,0)</f>
        <v>0</v>
      </c>
      <c r="J43" s="426">
        <f t="shared" ref="J43:J50" si="75">IFERROR(I43/ABS(H43),0)</f>
        <v>0</v>
      </c>
      <c r="K43" s="421"/>
      <c r="L43" s="449">
        <v>0</v>
      </c>
      <c r="M43" s="449">
        <v>0</v>
      </c>
      <c r="N43" s="449">
        <v>0</v>
      </c>
      <c r="O43" s="449">
        <v>0</v>
      </c>
      <c r="P43" s="449">
        <v>0</v>
      </c>
      <c r="Q43" s="449">
        <v>0</v>
      </c>
      <c r="R43" s="449">
        <f>($H43-SUM($L43:Q43))/R$694</f>
        <v>0</v>
      </c>
      <c r="S43" s="449">
        <f>($H43-SUM($L43:R43))/S$694</f>
        <v>0</v>
      </c>
      <c r="T43" s="449">
        <f>($H43-SUM($L43:S43))/T$694</f>
        <v>0</v>
      </c>
      <c r="U43" s="449">
        <f>($H43-SUM($L43:T43))/U$694</f>
        <v>0</v>
      </c>
      <c r="V43" s="449">
        <f>($H43-SUM($L43:U43))/V$694</f>
        <v>0</v>
      </c>
      <c r="W43" s="449">
        <f>($H43-SUM($L43:V43))/W$694</f>
        <v>0</v>
      </c>
      <c r="X43" s="449"/>
      <c r="Y43" s="449">
        <f t="shared" si="39"/>
        <v>0</v>
      </c>
      <c r="Z43" s="501"/>
      <c r="AA43" s="449">
        <f t="shared" ref="AA43:AL49" si="76">IFERROR($H43/12,0)</f>
        <v>0</v>
      </c>
      <c r="AB43" s="449">
        <f t="shared" si="76"/>
        <v>0</v>
      </c>
      <c r="AC43" s="449">
        <f t="shared" si="76"/>
        <v>0</v>
      </c>
      <c r="AD43" s="449">
        <f t="shared" si="76"/>
        <v>0</v>
      </c>
      <c r="AE43" s="449">
        <f t="shared" si="76"/>
        <v>0</v>
      </c>
      <c r="AF43" s="449">
        <f t="shared" si="76"/>
        <v>0</v>
      </c>
      <c r="AG43" s="449">
        <f t="shared" si="76"/>
        <v>0</v>
      </c>
      <c r="AH43" s="449">
        <f t="shared" si="76"/>
        <v>0</v>
      </c>
      <c r="AI43" s="449">
        <f t="shared" si="76"/>
        <v>0</v>
      </c>
      <c r="AJ43" s="449">
        <f t="shared" si="76"/>
        <v>0</v>
      </c>
      <c r="AK43" s="449">
        <f t="shared" si="76"/>
        <v>0</v>
      </c>
      <c r="AL43" s="449">
        <f t="shared" si="76"/>
        <v>0</v>
      </c>
      <c r="AN43" s="500">
        <f t="shared" ref="AN43:AN49" si="77">SUM(L43:W43)</f>
        <v>0</v>
      </c>
      <c r="AO43" s="449">
        <f t="shared" ref="AO43:AO49" si="78">SUM(BI43:BT43)</f>
        <v>0</v>
      </c>
      <c r="AP43" s="449">
        <f t="shared" ref="AP43:AP50" si="79">IFERROR(AO43-AN43,0)</f>
        <v>0</v>
      </c>
      <c r="AQ43" s="453" t="str">
        <f t="shared" ref="AQ43:AQ50" si="80">IFERROR(AP43/ABS(AN43),"-")</f>
        <v>-</v>
      </c>
      <c r="AR43" s="449">
        <f t="shared" ref="AR43:AR49" si="81">SUM(BI43:BT43)</f>
        <v>0</v>
      </c>
      <c r="AS43" s="449">
        <f t="shared" ref="AS43:AS50" si="82">IFERROR(AO43-AR43,0)</f>
        <v>0</v>
      </c>
      <c r="AT43" s="426">
        <f t="shared" ref="AT43:AT50" si="83">IFERROR(AS43/ABS(AR43),0)</f>
        <v>0</v>
      </c>
      <c r="AU43" s="421"/>
      <c r="AV43" s="449">
        <f t="shared" ref="AV43:BG49" si="84">BI43</f>
        <v>0</v>
      </c>
      <c r="AW43" s="449">
        <f t="shared" si="84"/>
        <v>0</v>
      </c>
      <c r="AX43" s="449">
        <f t="shared" si="84"/>
        <v>0</v>
      </c>
      <c r="AY43" s="449">
        <f t="shared" si="84"/>
        <v>0</v>
      </c>
      <c r="AZ43" s="449">
        <f t="shared" si="84"/>
        <v>0</v>
      </c>
      <c r="BA43" s="449">
        <f t="shared" si="84"/>
        <v>0</v>
      </c>
      <c r="BB43" s="449">
        <f t="shared" si="84"/>
        <v>0</v>
      </c>
      <c r="BC43" s="449">
        <f t="shared" si="84"/>
        <v>0</v>
      </c>
      <c r="BD43" s="449">
        <f t="shared" si="84"/>
        <v>0</v>
      </c>
      <c r="BE43" s="449">
        <f t="shared" si="84"/>
        <v>0</v>
      </c>
      <c r="BF43" s="449">
        <f t="shared" si="84"/>
        <v>0</v>
      </c>
      <c r="BG43" s="449">
        <f t="shared" si="84"/>
        <v>0</v>
      </c>
      <c r="BH43" s="400"/>
      <c r="BI43" s="449">
        <f t="shared" ref="BI43:BT49" si="85">IFERROR((($H43/$H$5)*BI$5)/12,0)</f>
        <v>0</v>
      </c>
      <c r="BJ43" s="449">
        <f t="shared" si="85"/>
        <v>0</v>
      </c>
      <c r="BK43" s="449">
        <f t="shared" si="85"/>
        <v>0</v>
      </c>
      <c r="BL43" s="449">
        <f t="shared" si="85"/>
        <v>0</v>
      </c>
      <c r="BM43" s="449">
        <f t="shared" si="85"/>
        <v>0</v>
      </c>
      <c r="BN43" s="449">
        <f t="shared" si="85"/>
        <v>0</v>
      </c>
      <c r="BO43" s="449">
        <f t="shared" si="85"/>
        <v>0</v>
      </c>
      <c r="BP43" s="449">
        <f t="shared" si="85"/>
        <v>0</v>
      </c>
      <c r="BQ43" s="449">
        <f t="shared" si="85"/>
        <v>0</v>
      </c>
      <c r="BR43" s="449">
        <f t="shared" si="85"/>
        <v>0</v>
      </c>
      <c r="BS43" s="449">
        <f t="shared" si="85"/>
        <v>0</v>
      </c>
      <c r="BT43" s="449">
        <f t="shared" si="85"/>
        <v>0</v>
      </c>
    </row>
    <row r="44" spans="1:72" ht="15" x14ac:dyDescent="0.25">
      <c r="A44" s="502" t="s">
        <v>66</v>
      </c>
      <c r="B44" s="502" t="s">
        <v>67</v>
      </c>
      <c r="C44" s="400"/>
      <c r="D44" s="500">
        <f t="shared" si="71"/>
        <v>0</v>
      </c>
      <c r="E44" s="449">
        <v>0</v>
      </c>
      <c r="F44" s="449">
        <f t="shared" si="72"/>
        <v>0</v>
      </c>
      <c r="G44" s="421">
        <f t="shared" si="73"/>
        <v>0</v>
      </c>
      <c r="H44" s="449">
        <v>0</v>
      </c>
      <c r="I44" s="449">
        <f t="shared" si="74"/>
        <v>0</v>
      </c>
      <c r="J44" s="426">
        <f t="shared" si="75"/>
        <v>0</v>
      </c>
      <c r="K44" s="421"/>
      <c r="L44" s="449">
        <v>0</v>
      </c>
      <c r="M44" s="449">
        <v>0</v>
      </c>
      <c r="N44" s="449">
        <v>0</v>
      </c>
      <c r="O44" s="449">
        <v>0</v>
      </c>
      <c r="P44" s="449">
        <v>0</v>
      </c>
      <c r="Q44" s="449">
        <v>0</v>
      </c>
      <c r="R44" s="449">
        <f>($H44-SUM($L44:Q44))/R$694</f>
        <v>0</v>
      </c>
      <c r="S44" s="449">
        <f>($H44-SUM($L44:R44))/S$694</f>
        <v>0</v>
      </c>
      <c r="T44" s="449">
        <f>($H44-SUM($L44:S44))/T$694</f>
        <v>0</v>
      </c>
      <c r="U44" s="449">
        <f>($H44-SUM($L44:T44))/U$694</f>
        <v>0</v>
      </c>
      <c r="V44" s="449">
        <f>($H44-SUM($L44:U44))/V$694</f>
        <v>0</v>
      </c>
      <c r="W44" s="449">
        <f>($H44-SUM($L44:V44))/W$694</f>
        <v>0</v>
      </c>
      <c r="X44" s="449"/>
      <c r="Y44" s="449">
        <f t="shared" si="39"/>
        <v>0</v>
      </c>
      <c r="Z44" s="501"/>
      <c r="AA44" s="449">
        <f t="shared" si="76"/>
        <v>0</v>
      </c>
      <c r="AB44" s="449">
        <f t="shared" si="76"/>
        <v>0</v>
      </c>
      <c r="AC44" s="449">
        <f t="shared" si="76"/>
        <v>0</v>
      </c>
      <c r="AD44" s="449">
        <f t="shared" si="76"/>
        <v>0</v>
      </c>
      <c r="AE44" s="449">
        <f t="shared" si="76"/>
        <v>0</v>
      </c>
      <c r="AF44" s="449">
        <f t="shared" si="76"/>
        <v>0</v>
      </c>
      <c r="AG44" s="449">
        <f t="shared" si="76"/>
        <v>0</v>
      </c>
      <c r="AH44" s="449">
        <f t="shared" si="76"/>
        <v>0</v>
      </c>
      <c r="AI44" s="449">
        <f t="shared" si="76"/>
        <v>0</v>
      </c>
      <c r="AJ44" s="449">
        <f t="shared" si="76"/>
        <v>0</v>
      </c>
      <c r="AK44" s="449">
        <f t="shared" si="76"/>
        <v>0</v>
      </c>
      <c r="AL44" s="449">
        <f t="shared" si="76"/>
        <v>0</v>
      </c>
      <c r="AN44" s="500">
        <f t="shared" si="77"/>
        <v>0</v>
      </c>
      <c r="AO44" s="449">
        <f t="shared" si="78"/>
        <v>0</v>
      </c>
      <c r="AP44" s="449">
        <f t="shared" si="79"/>
        <v>0</v>
      </c>
      <c r="AQ44" s="453" t="str">
        <f t="shared" si="80"/>
        <v>-</v>
      </c>
      <c r="AR44" s="449">
        <f t="shared" si="81"/>
        <v>0</v>
      </c>
      <c r="AS44" s="449">
        <f t="shared" si="82"/>
        <v>0</v>
      </c>
      <c r="AT44" s="426">
        <f t="shared" si="83"/>
        <v>0</v>
      </c>
      <c r="AU44" s="421"/>
      <c r="AV44" s="449">
        <f t="shared" si="84"/>
        <v>0</v>
      </c>
      <c r="AW44" s="449">
        <f t="shared" si="84"/>
        <v>0</v>
      </c>
      <c r="AX44" s="449">
        <f t="shared" si="84"/>
        <v>0</v>
      </c>
      <c r="AY44" s="449">
        <f t="shared" si="84"/>
        <v>0</v>
      </c>
      <c r="AZ44" s="449">
        <f t="shared" si="84"/>
        <v>0</v>
      </c>
      <c r="BA44" s="449">
        <f t="shared" si="84"/>
        <v>0</v>
      </c>
      <c r="BB44" s="449">
        <f t="shared" si="84"/>
        <v>0</v>
      </c>
      <c r="BC44" s="449">
        <f t="shared" si="84"/>
        <v>0</v>
      </c>
      <c r="BD44" s="449">
        <f t="shared" si="84"/>
        <v>0</v>
      </c>
      <c r="BE44" s="449">
        <f t="shared" si="84"/>
        <v>0</v>
      </c>
      <c r="BF44" s="449">
        <f t="shared" si="84"/>
        <v>0</v>
      </c>
      <c r="BG44" s="449">
        <f t="shared" si="84"/>
        <v>0</v>
      </c>
      <c r="BH44" s="400"/>
      <c r="BI44" s="449">
        <f t="shared" si="85"/>
        <v>0</v>
      </c>
      <c r="BJ44" s="449">
        <f t="shared" si="85"/>
        <v>0</v>
      </c>
      <c r="BK44" s="449">
        <f t="shared" si="85"/>
        <v>0</v>
      </c>
      <c r="BL44" s="449">
        <f t="shared" si="85"/>
        <v>0</v>
      </c>
      <c r="BM44" s="449">
        <f t="shared" si="85"/>
        <v>0</v>
      </c>
      <c r="BN44" s="449">
        <f t="shared" si="85"/>
        <v>0</v>
      </c>
      <c r="BO44" s="449">
        <f t="shared" si="85"/>
        <v>0</v>
      </c>
      <c r="BP44" s="449">
        <f t="shared" si="85"/>
        <v>0</v>
      </c>
      <c r="BQ44" s="449">
        <f t="shared" si="85"/>
        <v>0</v>
      </c>
      <c r="BR44" s="449">
        <f t="shared" si="85"/>
        <v>0</v>
      </c>
      <c r="BS44" s="449">
        <f t="shared" si="85"/>
        <v>0</v>
      </c>
      <c r="BT44" s="449">
        <f t="shared" si="85"/>
        <v>0</v>
      </c>
    </row>
    <row r="45" spans="1:72" ht="15" x14ac:dyDescent="0.25">
      <c r="A45" s="502" t="s">
        <v>68</v>
      </c>
      <c r="B45" s="502" t="s">
        <v>69</v>
      </c>
      <c r="C45" s="400"/>
      <c r="D45" s="500">
        <f t="shared" si="71"/>
        <v>0</v>
      </c>
      <c r="E45" s="449">
        <v>0</v>
      </c>
      <c r="F45" s="449">
        <f t="shared" si="72"/>
        <v>0</v>
      </c>
      <c r="G45" s="421">
        <f t="shared" si="73"/>
        <v>0</v>
      </c>
      <c r="H45" s="449">
        <v>0</v>
      </c>
      <c r="I45" s="449">
        <f t="shared" si="74"/>
        <v>0</v>
      </c>
      <c r="J45" s="426">
        <f t="shared" si="75"/>
        <v>0</v>
      </c>
      <c r="K45" s="421"/>
      <c r="L45" s="449">
        <v>0</v>
      </c>
      <c r="M45" s="449">
        <v>0</v>
      </c>
      <c r="N45" s="449">
        <v>0</v>
      </c>
      <c r="O45" s="449">
        <v>0</v>
      </c>
      <c r="P45" s="449">
        <v>0</v>
      </c>
      <c r="Q45" s="449">
        <v>0</v>
      </c>
      <c r="R45" s="449">
        <f>($H45-SUM($L45:Q45))/R$694</f>
        <v>0</v>
      </c>
      <c r="S45" s="449">
        <f>($H45-SUM($L45:R45))/S$694</f>
        <v>0</v>
      </c>
      <c r="T45" s="449">
        <f>($H45-SUM($L45:S45))/T$694</f>
        <v>0</v>
      </c>
      <c r="U45" s="449">
        <f>($H45-SUM($L45:T45))/U$694</f>
        <v>0</v>
      </c>
      <c r="V45" s="449">
        <f>($H45-SUM($L45:U45))/V$694</f>
        <v>0</v>
      </c>
      <c r="W45" s="449">
        <f>($H45-SUM($L45:V45))/W$694</f>
        <v>0</v>
      </c>
      <c r="X45" s="449"/>
      <c r="Y45" s="449">
        <f t="shared" si="39"/>
        <v>0</v>
      </c>
      <c r="Z45" s="501"/>
      <c r="AA45" s="449">
        <f t="shared" si="76"/>
        <v>0</v>
      </c>
      <c r="AB45" s="449">
        <f t="shared" si="76"/>
        <v>0</v>
      </c>
      <c r="AC45" s="449">
        <f t="shared" si="76"/>
        <v>0</v>
      </c>
      <c r="AD45" s="449">
        <f t="shared" si="76"/>
        <v>0</v>
      </c>
      <c r="AE45" s="449">
        <f t="shared" si="76"/>
        <v>0</v>
      </c>
      <c r="AF45" s="449">
        <f t="shared" si="76"/>
        <v>0</v>
      </c>
      <c r="AG45" s="449">
        <f t="shared" si="76"/>
        <v>0</v>
      </c>
      <c r="AH45" s="449">
        <f t="shared" si="76"/>
        <v>0</v>
      </c>
      <c r="AI45" s="449">
        <f t="shared" si="76"/>
        <v>0</v>
      </c>
      <c r="AJ45" s="449">
        <f t="shared" si="76"/>
        <v>0</v>
      </c>
      <c r="AK45" s="449">
        <f t="shared" si="76"/>
        <v>0</v>
      </c>
      <c r="AL45" s="449">
        <f t="shared" si="76"/>
        <v>0</v>
      </c>
      <c r="AN45" s="500">
        <f t="shared" si="77"/>
        <v>0</v>
      </c>
      <c r="AO45" s="449">
        <f t="shared" si="78"/>
        <v>0</v>
      </c>
      <c r="AP45" s="449">
        <f t="shared" si="79"/>
        <v>0</v>
      </c>
      <c r="AQ45" s="453" t="str">
        <f t="shared" si="80"/>
        <v>-</v>
      </c>
      <c r="AR45" s="449">
        <f t="shared" si="81"/>
        <v>0</v>
      </c>
      <c r="AS45" s="449">
        <f t="shared" si="82"/>
        <v>0</v>
      </c>
      <c r="AT45" s="426">
        <f t="shared" si="83"/>
        <v>0</v>
      </c>
      <c r="AU45" s="421"/>
      <c r="AV45" s="449">
        <f t="shared" si="84"/>
        <v>0</v>
      </c>
      <c r="AW45" s="449">
        <f t="shared" si="84"/>
        <v>0</v>
      </c>
      <c r="AX45" s="449">
        <f t="shared" si="84"/>
        <v>0</v>
      </c>
      <c r="AY45" s="449">
        <f t="shared" si="84"/>
        <v>0</v>
      </c>
      <c r="AZ45" s="449">
        <f t="shared" si="84"/>
        <v>0</v>
      </c>
      <c r="BA45" s="449">
        <f t="shared" si="84"/>
        <v>0</v>
      </c>
      <c r="BB45" s="449">
        <f t="shared" si="84"/>
        <v>0</v>
      </c>
      <c r="BC45" s="449">
        <f t="shared" si="84"/>
        <v>0</v>
      </c>
      <c r="BD45" s="449">
        <f t="shared" si="84"/>
        <v>0</v>
      </c>
      <c r="BE45" s="449">
        <f t="shared" si="84"/>
        <v>0</v>
      </c>
      <c r="BF45" s="449">
        <f t="shared" si="84"/>
        <v>0</v>
      </c>
      <c r="BG45" s="449">
        <f t="shared" si="84"/>
        <v>0</v>
      </c>
      <c r="BH45" s="400"/>
      <c r="BI45" s="449">
        <f t="shared" si="85"/>
        <v>0</v>
      </c>
      <c r="BJ45" s="449">
        <f t="shared" si="85"/>
        <v>0</v>
      </c>
      <c r="BK45" s="449">
        <f t="shared" si="85"/>
        <v>0</v>
      </c>
      <c r="BL45" s="449">
        <f t="shared" si="85"/>
        <v>0</v>
      </c>
      <c r="BM45" s="449">
        <f t="shared" si="85"/>
        <v>0</v>
      </c>
      <c r="BN45" s="449">
        <f t="shared" si="85"/>
        <v>0</v>
      </c>
      <c r="BO45" s="449">
        <f t="shared" si="85"/>
        <v>0</v>
      </c>
      <c r="BP45" s="449">
        <f t="shared" si="85"/>
        <v>0</v>
      </c>
      <c r="BQ45" s="449">
        <f t="shared" si="85"/>
        <v>0</v>
      </c>
      <c r="BR45" s="449">
        <f t="shared" si="85"/>
        <v>0</v>
      </c>
      <c r="BS45" s="449">
        <f t="shared" si="85"/>
        <v>0</v>
      </c>
      <c r="BT45" s="449">
        <f t="shared" si="85"/>
        <v>0</v>
      </c>
    </row>
    <row r="46" spans="1:72" ht="15" x14ac:dyDescent="0.25">
      <c r="A46" s="502" t="s">
        <v>70</v>
      </c>
      <c r="B46" s="502" t="s">
        <v>71</v>
      </c>
      <c r="C46" s="400"/>
      <c r="D46" s="500">
        <f t="shared" si="71"/>
        <v>0</v>
      </c>
      <c r="E46" s="449">
        <v>0</v>
      </c>
      <c r="F46" s="449">
        <f t="shared" si="72"/>
        <v>0</v>
      </c>
      <c r="G46" s="421">
        <f t="shared" si="73"/>
        <v>0</v>
      </c>
      <c r="H46" s="449">
        <v>0</v>
      </c>
      <c r="I46" s="449">
        <f t="shared" si="74"/>
        <v>0</v>
      </c>
      <c r="J46" s="426">
        <f t="shared" si="75"/>
        <v>0</v>
      </c>
      <c r="K46" s="421"/>
      <c r="L46" s="449">
        <v>0</v>
      </c>
      <c r="M46" s="449">
        <v>0</v>
      </c>
      <c r="N46" s="449">
        <v>0</v>
      </c>
      <c r="O46" s="449">
        <v>0</v>
      </c>
      <c r="P46" s="449">
        <v>0</v>
      </c>
      <c r="Q46" s="449">
        <v>0</v>
      </c>
      <c r="R46" s="449">
        <f>($H46-SUM($L46:Q46))/R$694</f>
        <v>0</v>
      </c>
      <c r="S46" s="449">
        <f>($H46-SUM($L46:R46))/S$694</f>
        <v>0</v>
      </c>
      <c r="T46" s="449">
        <f>($H46-SUM($L46:S46))/T$694</f>
        <v>0</v>
      </c>
      <c r="U46" s="449">
        <f>($H46-SUM($L46:T46))/U$694</f>
        <v>0</v>
      </c>
      <c r="V46" s="449">
        <f>($H46-SUM($L46:U46))/V$694</f>
        <v>0</v>
      </c>
      <c r="W46" s="449">
        <f>($H46-SUM($L46:V46))/W$694</f>
        <v>0</v>
      </c>
      <c r="X46" s="449"/>
      <c r="Y46" s="449">
        <f t="shared" si="39"/>
        <v>0</v>
      </c>
      <c r="Z46" s="501"/>
      <c r="AA46" s="449">
        <f t="shared" si="76"/>
        <v>0</v>
      </c>
      <c r="AB46" s="449">
        <f t="shared" si="76"/>
        <v>0</v>
      </c>
      <c r="AC46" s="449">
        <f t="shared" si="76"/>
        <v>0</v>
      </c>
      <c r="AD46" s="449">
        <f t="shared" si="76"/>
        <v>0</v>
      </c>
      <c r="AE46" s="449">
        <f t="shared" si="76"/>
        <v>0</v>
      </c>
      <c r="AF46" s="449">
        <f t="shared" si="76"/>
        <v>0</v>
      </c>
      <c r="AG46" s="449">
        <f t="shared" si="76"/>
        <v>0</v>
      </c>
      <c r="AH46" s="449">
        <f t="shared" si="76"/>
        <v>0</v>
      </c>
      <c r="AI46" s="449">
        <f t="shared" si="76"/>
        <v>0</v>
      </c>
      <c r="AJ46" s="449">
        <f t="shared" si="76"/>
        <v>0</v>
      </c>
      <c r="AK46" s="449">
        <f t="shared" si="76"/>
        <v>0</v>
      </c>
      <c r="AL46" s="449">
        <f t="shared" si="76"/>
        <v>0</v>
      </c>
      <c r="AN46" s="500">
        <f t="shared" si="77"/>
        <v>0</v>
      </c>
      <c r="AO46" s="449">
        <f t="shared" si="78"/>
        <v>0</v>
      </c>
      <c r="AP46" s="449">
        <f t="shared" si="79"/>
        <v>0</v>
      </c>
      <c r="AQ46" s="453" t="str">
        <f t="shared" si="80"/>
        <v>-</v>
      </c>
      <c r="AR46" s="449">
        <f t="shared" si="81"/>
        <v>0</v>
      </c>
      <c r="AS46" s="449">
        <f t="shared" si="82"/>
        <v>0</v>
      </c>
      <c r="AT46" s="426">
        <f t="shared" si="83"/>
        <v>0</v>
      </c>
      <c r="AU46" s="421"/>
      <c r="AV46" s="449">
        <f t="shared" si="84"/>
        <v>0</v>
      </c>
      <c r="AW46" s="449">
        <f t="shared" si="84"/>
        <v>0</v>
      </c>
      <c r="AX46" s="449">
        <f t="shared" si="84"/>
        <v>0</v>
      </c>
      <c r="AY46" s="449">
        <f t="shared" si="84"/>
        <v>0</v>
      </c>
      <c r="AZ46" s="449">
        <f t="shared" si="84"/>
        <v>0</v>
      </c>
      <c r="BA46" s="449">
        <f t="shared" si="84"/>
        <v>0</v>
      </c>
      <c r="BB46" s="449">
        <f t="shared" si="84"/>
        <v>0</v>
      </c>
      <c r="BC46" s="449">
        <f t="shared" si="84"/>
        <v>0</v>
      </c>
      <c r="BD46" s="449">
        <f t="shared" si="84"/>
        <v>0</v>
      </c>
      <c r="BE46" s="449">
        <f t="shared" si="84"/>
        <v>0</v>
      </c>
      <c r="BF46" s="449">
        <f t="shared" si="84"/>
        <v>0</v>
      </c>
      <c r="BG46" s="449">
        <f t="shared" si="84"/>
        <v>0</v>
      </c>
      <c r="BH46" s="400"/>
      <c r="BI46" s="449">
        <f t="shared" si="85"/>
        <v>0</v>
      </c>
      <c r="BJ46" s="449">
        <f t="shared" si="85"/>
        <v>0</v>
      </c>
      <c r="BK46" s="449">
        <f t="shared" si="85"/>
        <v>0</v>
      </c>
      <c r="BL46" s="449">
        <f t="shared" si="85"/>
        <v>0</v>
      </c>
      <c r="BM46" s="449">
        <f t="shared" si="85"/>
        <v>0</v>
      </c>
      <c r="BN46" s="449">
        <f t="shared" si="85"/>
        <v>0</v>
      </c>
      <c r="BO46" s="449">
        <f t="shared" si="85"/>
        <v>0</v>
      </c>
      <c r="BP46" s="449">
        <f t="shared" si="85"/>
        <v>0</v>
      </c>
      <c r="BQ46" s="449">
        <f t="shared" si="85"/>
        <v>0</v>
      </c>
      <c r="BR46" s="449">
        <f t="shared" si="85"/>
        <v>0</v>
      </c>
      <c r="BS46" s="449">
        <f t="shared" si="85"/>
        <v>0</v>
      </c>
      <c r="BT46" s="449">
        <f t="shared" si="85"/>
        <v>0</v>
      </c>
    </row>
    <row r="47" spans="1:72" ht="15" x14ac:dyDescent="0.25">
      <c r="A47" s="502" t="s">
        <v>72</v>
      </c>
      <c r="B47" s="502" t="s">
        <v>73</v>
      </c>
      <c r="C47" s="400"/>
      <c r="D47" s="500">
        <f t="shared" si="71"/>
        <v>24000</v>
      </c>
      <c r="E47" s="449">
        <v>54000</v>
      </c>
      <c r="F47" s="449">
        <f t="shared" si="72"/>
        <v>-30000</v>
      </c>
      <c r="G47" s="421">
        <f t="shared" si="73"/>
        <v>-0.55555555555555558</v>
      </c>
      <c r="H47" s="449">
        <v>24000</v>
      </c>
      <c r="I47" s="449">
        <f t="shared" si="74"/>
        <v>0</v>
      </c>
      <c r="J47" s="426">
        <f t="shared" si="75"/>
        <v>0</v>
      </c>
      <c r="K47" s="421"/>
      <c r="L47" s="449">
        <v>0</v>
      </c>
      <c r="M47" s="449">
        <v>2755.63</v>
      </c>
      <c r="N47" s="449">
        <v>0</v>
      </c>
      <c r="O47" s="449">
        <v>0</v>
      </c>
      <c r="P47" s="449">
        <v>0</v>
      </c>
      <c r="Q47" s="449">
        <v>0</v>
      </c>
      <c r="R47" s="449">
        <f>($H47-SUM($L47:Q47))/R$694</f>
        <v>3540.728333333333</v>
      </c>
      <c r="S47" s="449">
        <f>($H47-SUM($L47:R47))/S$694</f>
        <v>3540.7283333333335</v>
      </c>
      <c r="T47" s="449">
        <f>($H47-SUM($L47:S47))/T$694</f>
        <v>3540.7283333333335</v>
      </c>
      <c r="U47" s="449">
        <f>($H47-SUM($L47:T47))/U$694</f>
        <v>3540.7283333333339</v>
      </c>
      <c r="V47" s="449">
        <f>($H47-SUM($L47:U47))/V$694</f>
        <v>3540.7283333333344</v>
      </c>
      <c r="W47" s="449">
        <f>($H47-SUM($L47:V47))/W$694</f>
        <v>3540.7283333333326</v>
      </c>
      <c r="X47" s="449"/>
      <c r="Y47" s="449">
        <f t="shared" si="39"/>
        <v>24000</v>
      </c>
      <c r="Z47" s="501"/>
      <c r="AA47" s="449">
        <f t="shared" si="76"/>
        <v>2000</v>
      </c>
      <c r="AB47" s="449">
        <f t="shared" si="76"/>
        <v>2000</v>
      </c>
      <c r="AC47" s="449">
        <f t="shared" si="76"/>
        <v>2000</v>
      </c>
      <c r="AD47" s="449">
        <f t="shared" si="76"/>
        <v>2000</v>
      </c>
      <c r="AE47" s="449">
        <f t="shared" si="76"/>
        <v>2000</v>
      </c>
      <c r="AF47" s="449">
        <f t="shared" si="76"/>
        <v>2000</v>
      </c>
      <c r="AG47" s="449">
        <f t="shared" si="76"/>
        <v>2000</v>
      </c>
      <c r="AH47" s="449">
        <f t="shared" si="76"/>
        <v>2000</v>
      </c>
      <c r="AI47" s="449">
        <f t="shared" si="76"/>
        <v>2000</v>
      </c>
      <c r="AJ47" s="449">
        <f t="shared" si="76"/>
        <v>2000</v>
      </c>
      <c r="AK47" s="449">
        <f t="shared" si="76"/>
        <v>2000</v>
      </c>
      <c r="AL47" s="449">
        <f t="shared" si="76"/>
        <v>2000</v>
      </c>
      <c r="AN47" s="500">
        <f t="shared" si="77"/>
        <v>24000</v>
      </c>
      <c r="AO47" s="449">
        <f t="shared" si="78"/>
        <v>26390.361445783132</v>
      </c>
      <c r="AP47" s="449">
        <f t="shared" si="79"/>
        <v>2390.3614457831318</v>
      </c>
      <c r="AQ47" s="453">
        <f t="shared" si="80"/>
        <v>9.9598393574297159E-2</v>
      </c>
      <c r="AR47" s="449">
        <f t="shared" si="81"/>
        <v>26390.361445783132</v>
      </c>
      <c r="AS47" s="449">
        <f t="shared" si="82"/>
        <v>0</v>
      </c>
      <c r="AT47" s="426">
        <f t="shared" si="83"/>
        <v>0</v>
      </c>
      <c r="AU47" s="421"/>
      <c r="AV47" s="449">
        <f t="shared" si="84"/>
        <v>2199.1967871485945</v>
      </c>
      <c r="AW47" s="449">
        <f t="shared" si="84"/>
        <v>2199.1967871485945</v>
      </c>
      <c r="AX47" s="449">
        <f t="shared" si="84"/>
        <v>2199.1967871485945</v>
      </c>
      <c r="AY47" s="449">
        <f t="shared" si="84"/>
        <v>2199.1967871485945</v>
      </c>
      <c r="AZ47" s="449">
        <f t="shared" si="84"/>
        <v>2199.1967871485945</v>
      </c>
      <c r="BA47" s="449">
        <f t="shared" si="84"/>
        <v>2199.1967871485945</v>
      </c>
      <c r="BB47" s="449">
        <f t="shared" si="84"/>
        <v>2199.1967871485945</v>
      </c>
      <c r="BC47" s="449">
        <f t="shared" si="84"/>
        <v>2199.1967871485945</v>
      </c>
      <c r="BD47" s="449">
        <f t="shared" si="84"/>
        <v>2199.1967871485945</v>
      </c>
      <c r="BE47" s="449">
        <f t="shared" si="84"/>
        <v>2199.1967871485945</v>
      </c>
      <c r="BF47" s="449">
        <f t="shared" si="84"/>
        <v>2199.1967871485945</v>
      </c>
      <c r="BG47" s="449">
        <f t="shared" si="84"/>
        <v>2199.1967871485945</v>
      </c>
      <c r="BH47" s="400"/>
      <c r="BI47" s="449">
        <f t="shared" si="85"/>
        <v>2199.1967871485945</v>
      </c>
      <c r="BJ47" s="449">
        <f t="shared" si="85"/>
        <v>2199.1967871485945</v>
      </c>
      <c r="BK47" s="449">
        <f t="shared" si="85"/>
        <v>2199.1967871485945</v>
      </c>
      <c r="BL47" s="449">
        <f t="shared" si="85"/>
        <v>2199.1967871485945</v>
      </c>
      <c r="BM47" s="449">
        <f t="shared" si="85"/>
        <v>2199.1967871485945</v>
      </c>
      <c r="BN47" s="449">
        <f t="shared" si="85"/>
        <v>2199.1967871485945</v>
      </c>
      <c r="BO47" s="449">
        <f t="shared" si="85"/>
        <v>2199.1967871485945</v>
      </c>
      <c r="BP47" s="449">
        <f t="shared" si="85"/>
        <v>2199.1967871485945</v>
      </c>
      <c r="BQ47" s="449">
        <f t="shared" si="85"/>
        <v>2199.1967871485945</v>
      </c>
      <c r="BR47" s="449">
        <f t="shared" si="85"/>
        <v>2199.1967871485945</v>
      </c>
      <c r="BS47" s="449">
        <f t="shared" si="85"/>
        <v>2199.1967871485945</v>
      </c>
      <c r="BT47" s="449">
        <f t="shared" si="85"/>
        <v>2199.1967871485945</v>
      </c>
    </row>
    <row r="48" spans="1:72" ht="15" x14ac:dyDescent="0.25">
      <c r="A48" s="502" t="s">
        <v>74</v>
      </c>
      <c r="B48" s="502" t="s">
        <v>75</v>
      </c>
      <c r="C48" s="400"/>
      <c r="D48" s="500">
        <f t="shared" si="71"/>
        <v>0</v>
      </c>
      <c r="E48" s="449">
        <v>0</v>
      </c>
      <c r="F48" s="449">
        <f t="shared" si="72"/>
        <v>0</v>
      </c>
      <c r="G48" s="421">
        <f t="shared" si="73"/>
        <v>0</v>
      </c>
      <c r="H48" s="449">
        <v>0</v>
      </c>
      <c r="I48" s="449">
        <f t="shared" si="74"/>
        <v>0</v>
      </c>
      <c r="J48" s="426">
        <f t="shared" si="75"/>
        <v>0</v>
      </c>
      <c r="K48" s="421"/>
      <c r="L48" s="449">
        <v>0</v>
      </c>
      <c r="M48" s="449">
        <v>0</v>
      </c>
      <c r="N48" s="449">
        <v>0</v>
      </c>
      <c r="O48" s="449">
        <v>0</v>
      </c>
      <c r="P48" s="449">
        <v>0</v>
      </c>
      <c r="Q48" s="449">
        <v>0</v>
      </c>
      <c r="R48" s="449">
        <f>($H48-SUM($L48:Q48))/R$694</f>
        <v>0</v>
      </c>
      <c r="S48" s="449">
        <f>($H48-SUM($L48:R48))/S$694</f>
        <v>0</v>
      </c>
      <c r="T48" s="449">
        <f>($H48-SUM($L48:S48))/T$694</f>
        <v>0</v>
      </c>
      <c r="U48" s="449">
        <f>($H48-SUM($L48:T48))/U$694</f>
        <v>0</v>
      </c>
      <c r="V48" s="449">
        <f>($H48-SUM($L48:U48))/V$694</f>
        <v>0</v>
      </c>
      <c r="W48" s="449">
        <f>($H48-SUM($L48:V48))/W$694</f>
        <v>0</v>
      </c>
      <c r="X48" s="449"/>
      <c r="Y48" s="449">
        <f t="shared" si="39"/>
        <v>0</v>
      </c>
      <c r="Z48" s="501"/>
      <c r="AA48" s="449">
        <f t="shared" si="76"/>
        <v>0</v>
      </c>
      <c r="AB48" s="449">
        <f t="shared" si="76"/>
        <v>0</v>
      </c>
      <c r="AC48" s="449">
        <f t="shared" si="76"/>
        <v>0</v>
      </c>
      <c r="AD48" s="449">
        <f t="shared" si="76"/>
        <v>0</v>
      </c>
      <c r="AE48" s="449">
        <f t="shared" si="76"/>
        <v>0</v>
      </c>
      <c r="AF48" s="449">
        <f t="shared" si="76"/>
        <v>0</v>
      </c>
      <c r="AG48" s="449">
        <f t="shared" si="76"/>
        <v>0</v>
      </c>
      <c r="AH48" s="449">
        <f t="shared" si="76"/>
        <v>0</v>
      </c>
      <c r="AI48" s="449">
        <f t="shared" si="76"/>
        <v>0</v>
      </c>
      <c r="AJ48" s="449">
        <f t="shared" si="76"/>
        <v>0</v>
      </c>
      <c r="AK48" s="449">
        <f t="shared" si="76"/>
        <v>0</v>
      </c>
      <c r="AL48" s="449">
        <f t="shared" si="76"/>
        <v>0</v>
      </c>
      <c r="AN48" s="500">
        <f t="shared" si="77"/>
        <v>0</v>
      </c>
      <c r="AO48" s="449">
        <f t="shared" si="78"/>
        <v>0</v>
      </c>
      <c r="AP48" s="449">
        <f t="shared" si="79"/>
        <v>0</v>
      </c>
      <c r="AQ48" s="453" t="str">
        <f t="shared" si="80"/>
        <v>-</v>
      </c>
      <c r="AR48" s="449">
        <f t="shared" si="81"/>
        <v>0</v>
      </c>
      <c r="AS48" s="449">
        <f t="shared" si="82"/>
        <v>0</v>
      </c>
      <c r="AT48" s="426">
        <f t="shared" si="83"/>
        <v>0</v>
      </c>
      <c r="AU48" s="421"/>
      <c r="AV48" s="449">
        <f t="shared" si="84"/>
        <v>0</v>
      </c>
      <c r="AW48" s="449">
        <f t="shared" si="84"/>
        <v>0</v>
      </c>
      <c r="AX48" s="449">
        <f t="shared" si="84"/>
        <v>0</v>
      </c>
      <c r="AY48" s="449">
        <f t="shared" si="84"/>
        <v>0</v>
      </c>
      <c r="AZ48" s="449">
        <f t="shared" si="84"/>
        <v>0</v>
      </c>
      <c r="BA48" s="449">
        <f t="shared" si="84"/>
        <v>0</v>
      </c>
      <c r="BB48" s="449">
        <f t="shared" si="84"/>
        <v>0</v>
      </c>
      <c r="BC48" s="449">
        <f t="shared" si="84"/>
        <v>0</v>
      </c>
      <c r="BD48" s="449">
        <f t="shared" si="84"/>
        <v>0</v>
      </c>
      <c r="BE48" s="449">
        <f t="shared" si="84"/>
        <v>0</v>
      </c>
      <c r="BF48" s="449">
        <f t="shared" si="84"/>
        <v>0</v>
      </c>
      <c r="BG48" s="449">
        <f t="shared" si="84"/>
        <v>0</v>
      </c>
      <c r="BH48" s="400"/>
      <c r="BI48" s="449">
        <f t="shared" si="85"/>
        <v>0</v>
      </c>
      <c r="BJ48" s="449">
        <f t="shared" si="85"/>
        <v>0</v>
      </c>
      <c r="BK48" s="449">
        <f t="shared" si="85"/>
        <v>0</v>
      </c>
      <c r="BL48" s="449">
        <f t="shared" si="85"/>
        <v>0</v>
      </c>
      <c r="BM48" s="449">
        <f t="shared" si="85"/>
        <v>0</v>
      </c>
      <c r="BN48" s="449">
        <f t="shared" si="85"/>
        <v>0</v>
      </c>
      <c r="BO48" s="449">
        <f t="shared" si="85"/>
        <v>0</v>
      </c>
      <c r="BP48" s="449">
        <f t="shared" si="85"/>
        <v>0</v>
      </c>
      <c r="BQ48" s="449">
        <f t="shared" si="85"/>
        <v>0</v>
      </c>
      <c r="BR48" s="449">
        <f t="shared" si="85"/>
        <v>0</v>
      </c>
      <c r="BS48" s="449">
        <f t="shared" si="85"/>
        <v>0</v>
      </c>
      <c r="BT48" s="449">
        <f t="shared" si="85"/>
        <v>0</v>
      </c>
    </row>
    <row r="49" spans="1:72" ht="15" x14ac:dyDescent="0.25">
      <c r="A49" s="502" t="s">
        <v>76</v>
      </c>
      <c r="B49" s="502" t="s">
        <v>77</v>
      </c>
      <c r="C49" s="400"/>
      <c r="D49" s="500">
        <f t="shared" si="71"/>
        <v>0</v>
      </c>
      <c r="E49" s="449">
        <v>0</v>
      </c>
      <c r="F49" s="449">
        <f t="shared" si="72"/>
        <v>0</v>
      </c>
      <c r="G49" s="421">
        <f t="shared" si="73"/>
        <v>0</v>
      </c>
      <c r="H49" s="449">
        <v>0</v>
      </c>
      <c r="I49" s="449">
        <f t="shared" si="74"/>
        <v>0</v>
      </c>
      <c r="J49" s="426">
        <f t="shared" si="75"/>
        <v>0</v>
      </c>
      <c r="K49" s="421"/>
      <c r="L49" s="449">
        <v>0</v>
      </c>
      <c r="M49" s="449">
        <v>0</v>
      </c>
      <c r="N49" s="449">
        <v>0</v>
      </c>
      <c r="O49" s="449">
        <v>0</v>
      </c>
      <c r="P49" s="449">
        <v>0</v>
      </c>
      <c r="Q49" s="449">
        <v>0</v>
      </c>
      <c r="R49" s="449">
        <f>($H49-SUM($L49:Q49))/R$694</f>
        <v>0</v>
      </c>
      <c r="S49" s="449">
        <f>($H49-SUM($L49:R49))/S$694</f>
        <v>0</v>
      </c>
      <c r="T49" s="449">
        <f>($H49-SUM($L49:S49))/T$694</f>
        <v>0</v>
      </c>
      <c r="U49" s="449">
        <f>($H49-SUM($L49:T49))/U$694</f>
        <v>0</v>
      </c>
      <c r="V49" s="449">
        <f>($H49-SUM($L49:U49))/V$694</f>
        <v>0</v>
      </c>
      <c r="W49" s="449">
        <f>($H49-SUM($L49:V49))/W$694</f>
        <v>0</v>
      </c>
      <c r="X49" s="449"/>
      <c r="Y49" s="449">
        <f t="shared" si="39"/>
        <v>0</v>
      </c>
      <c r="Z49" s="501"/>
      <c r="AA49" s="449">
        <f t="shared" si="76"/>
        <v>0</v>
      </c>
      <c r="AB49" s="449">
        <f t="shared" si="76"/>
        <v>0</v>
      </c>
      <c r="AC49" s="449">
        <f t="shared" si="76"/>
        <v>0</v>
      </c>
      <c r="AD49" s="449">
        <f t="shared" si="76"/>
        <v>0</v>
      </c>
      <c r="AE49" s="449">
        <f t="shared" si="76"/>
        <v>0</v>
      </c>
      <c r="AF49" s="449">
        <f t="shared" si="76"/>
        <v>0</v>
      </c>
      <c r="AG49" s="449">
        <f t="shared" si="76"/>
        <v>0</v>
      </c>
      <c r="AH49" s="449">
        <f t="shared" si="76"/>
        <v>0</v>
      </c>
      <c r="AI49" s="449">
        <f t="shared" si="76"/>
        <v>0</v>
      </c>
      <c r="AJ49" s="449">
        <f t="shared" si="76"/>
        <v>0</v>
      </c>
      <c r="AK49" s="449">
        <f t="shared" si="76"/>
        <v>0</v>
      </c>
      <c r="AL49" s="449">
        <f t="shared" si="76"/>
        <v>0</v>
      </c>
      <c r="AN49" s="500">
        <f t="shared" si="77"/>
        <v>0</v>
      </c>
      <c r="AO49" s="449">
        <f t="shared" si="78"/>
        <v>0</v>
      </c>
      <c r="AP49" s="449">
        <f t="shared" si="79"/>
        <v>0</v>
      </c>
      <c r="AQ49" s="453" t="str">
        <f t="shared" si="80"/>
        <v>-</v>
      </c>
      <c r="AR49" s="449">
        <f t="shared" si="81"/>
        <v>0</v>
      </c>
      <c r="AS49" s="449">
        <f t="shared" si="82"/>
        <v>0</v>
      </c>
      <c r="AT49" s="426">
        <f t="shared" si="83"/>
        <v>0</v>
      </c>
      <c r="AU49" s="421"/>
      <c r="AV49" s="449">
        <f t="shared" si="84"/>
        <v>0</v>
      </c>
      <c r="AW49" s="449">
        <f t="shared" si="84"/>
        <v>0</v>
      </c>
      <c r="AX49" s="449">
        <f t="shared" si="84"/>
        <v>0</v>
      </c>
      <c r="AY49" s="449">
        <f t="shared" si="84"/>
        <v>0</v>
      </c>
      <c r="AZ49" s="449">
        <f t="shared" si="84"/>
        <v>0</v>
      </c>
      <c r="BA49" s="449">
        <f t="shared" si="84"/>
        <v>0</v>
      </c>
      <c r="BB49" s="449">
        <f t="shared" si="84"/>
        <v>0</v>
      </c>
      <c r="BC49" s="449">
        <f t="shared" si="84"/>
        <v>0</v>
      </c>
      <c r="BD49" s="449">
        <f t="shared" si="84"/>
        <v>0</v>
      </c>
      <c r="BE49" s="449">
        <f t="shared" si="84"/>
        <v>0</v>
      </c>
      <c r="BF49" s="449">
        <f t="shared" si="84"/>
        <v>0</v>
      </c>
      <c r="BG49" s="449">
        <f t="shared" si="84"/>
        <v>0</v>
      </c>
      <c r="BH49" s="400"/>
      <c r="BI49" s="449">
        <f t="shared" si="85"/>
        <v>0</v>
      </c>
      <c r="BJ49" s="449">
        <f t="shared" si="85"/>
        <v>0</v>
      </c>
      <c r="BK49" s="449">
        <f t="shared" si="85"/>
        <v>0</v>
      </c>
      <c r="BL49" s="449">
        <f t="shared" si="85"/>
        <v>0</v>
      </c>
      <c r="BM49" s="449">
        <f t="shared" si="85"/>
        <v>0</v>
      </c>
      <c r="BN49" s="449">
        <f t="shared" si="85"/>
        <v>0</v>
      </c>
      <c r="BO49" s="449">
        <f t="shared" si="85"/>
        <v>0</v>
      </c>
      <c r="BP49" s="449">
        <f t="shared" si="85"/>
        <v>0</v>
      </c>
      <c r="BQ49" s="449">
        <f t="shared" si="85"/>
        <v>0</v>
      </c>
      <c r="BR49" s="449">
        <f t="shared" si="85"/>
        <v>0</v>
      </c>
      <c r="BS49" s="449">
        <f t="shared" si="85"/>
        <v>0</v>
      </c>
      <c r="BT49" s="449">
        <f t="shared" si="85"/>
        <v>0</v>
      </c>
    </row>
    <row r="50" spans="1:72" ht="15" x14ac:dyDescent="0.25">
      <c r="A50" s="591"/>
      <c r="B50" s="592" t="s">
        <v>78</v>
      </c>
      <c r="C50" s="400"/>
      <c r="D50" s="503">
        <f>SUM(D43:D49)</f>
        <v>24000</v>
      </c>
      <c r="E50" s="504">
        <f>SUM(E43:E49)</f>
        <v>54000</v>
      </c>
      <c r="F50" s="504">
        <f t="shared" si="72"/>
        <v>-30000</v>
      </c>
      <c r="G50" s="505">
        <f t="shared" si="73"/>
        <v>-0.55555555555555558</v>
      </c>
      <c r="H50" s="504">
        <f>SUM(H43:H49)</f>
        <v>24000</v>
      </c>
      <c r="I50" s="504">
        <f t="shared" si="74"/>
        <v>0</v>
      </c>
      <c r="J50" s="506">
        <f t="shared" si="75"/>
        <v>0</v>
      </c>
      <c r="K50" s="507"/>
      <c r="L50" s="504">
        <f t="shared" ref="L50:W50" si="86">SUM(L43:L49)</f>
        <v>0</v>
      </c>
      <c r="M50" s="504">
        <f t="shared" si="86"/>
        <v>2755.63</v>
      </c>
      <c r="N50" s="504">
        <f t="shared" si="86"/>
        <v>0</v>
      </c>
      <c r="O50" s="504">
        <f t="shared" si="86"/>
        <v>0</v>
      </c>
      <c r="P50" s="504">
        <f t="shared" si="86"/>
        <v>0</v>
      </c>
      <c r="Q50" s="504">
        <f t="shared" si="86"/>
        <v>0</v>
      </c>
      <c r="R50" s="504">
        <f t="shared" si="86"/>
        <v>3540.728333333333</v>
      </c>
      <c r="S50" s="504">
        <f t="shared" si="86"/>
        <v>3540.7283333333335</v>
      </c>
      <c r="T50" s="504">
        <f t="shared" si="86"/>
        <v>3540.7283333333335</v>
      </c>
      <c r="U50" s="504">
        <f t="shared" si="86"/>
        <v>3540.7283333333339</v>
      </c>
      <c r="V50" s="504">
        <f t="shared" si="86"/>
        <v>3540.7283333333344</v>
      </c>
      <c r="W50" s="504">
        <f t="shared" si="86"/>
        <v>3540.7283333333326</v>
      </c>
      <c r="X50" s="504"/>
      <c r="Y50" s="504">
        <f t="shared" si="39"/>
        <v>24000</v>
      </c>
      <c r="Z50" s="508"/>
      <c r="AA50" s="504">
        <f t="shared" ref="AA50:AL50" si="87">SUM(AA43:AA49)</f>
        <v>2000</v>
      </c>
      <c r="AB50" s="504">
        <f t="shared" si="87"/>
        <v>2000</v>
      </c>
      <c r="AC50" s="504">
        <f t="shared" si="87"/>
        <v>2000</v>
      </c>
      <c r="AD50" s="504">
        <f t="shared" si="87"/>
        <v>2000</v>
      </c>
      <c r="AE50" s="504">
        <f t="shared" si="87"/>
        <v>2000</v>
      </c>
      <c r="AF50" s="504">
        <f t="shared" si="87"/>
        <v>2000</v>
      </c>
      <c r="AG50" s="504">
        <f t="shared" si="87"/>
        <v>2000</v>
      </c>
      <c r="AH50" s="504">
        <f t="shared" si="87"/>
        <v>2000</v>
      </c>
      <c r="AI50" s="504">
        <f t="shared" si="87"/>
        <v>2000</v>
      </c>
      <c r="AJ50" s="504">
        <f t="shared" si="87"/>
        <v>2000</v>
      </c>
      <c r="AK50" s="504">
        <f t="shared" si="87"/>
        <v>2000</v>
      </c>
      <c r="AL50" s="504">
        <f t="shared" si="87"/>
        <v>2000</v>
      </c>
      <c r="AN50" s="503">
        <f>SUM(AN43:AN49)</f>
        <v>24000</v>
      </c>
      <c r="AO50" s="504">
        <f>SUM(AO43:AO49)</f>
        <v>26390.361445783132</v>
      </c>
      <c r="AP50" s="504">
        <f t="shared" si="79"/>
        <v>2390.3614457831318</v>
      </c>
      <c r="AQ50" s="509">
        <f t="shared" si="80"/>
        <v>9.9598393574297159E-2</v>
      </c>
      <c r="AR50" s="504">
        <f>SUM(AR43:AR49)</f>
        <v>26390.361445783132</v>
      </c>
      <c r="AS50" s="504">
        <f t="shared" si="82"/>
        <v>0</v>
      </c>
      <c r="AT50" s="506">
        <f t="shared" si="83"/>
        <v>0</v>
      </c>
      <c r="AU50" s="507"/>
      <c r="AV50" s="504">
        <f t="shared" ref="AV50:BG50" si="88">SUM(AV43:AV49)</f>
        <v>2199.1967871485945</v>
      </c>
      <c r="AW50" s="504">
        <f t="shared" si="88"/>
        <v>2199.1967871485945</v>
      </c>
      <c r="AX50" s="504">
        <f t="shared" si="88"/>
        <v>2199.1967871485945</v>
      </c>
      <c r="AY50" s="504">
        <f t="shared" si="88"/>
        <v>2199.1967871485945</v>
      </c>
      <c r="AZ50" s="504">
        <f t="shared" si="88"/>
        <v>2199.1967871485945</v>
      </c>
      <c r="BA50" s="504">
        <f t="shared" si="88"/>
        <v>2199.1967871485945</v>
      </c>
      <c r="BB50" s="504">
        <f t="shared" si="88"/>
        <v>2199.1967871485945</v>
      </c>
      <c r="BC50" s="504">
        <f t="shared" si="88"/>
        <v>2199.1967871485945</v>
      </c>
      <c r="BD50" s="504">
        <f t="shared" si="88"/>
        <v>2199.1967871485945</v>
      </c>
      <c r="BE50" s="504">
        <f t="shared" si="88"/>
        <v>2199.1967871485945</v>
      </c>
      <c r="BF50" s="504">
        <f t="shared" si="88"/>
        <v>2199.1967871485945</v>
      </c>
      <c r="BG50" s="504">
        <f t="shared" si="88"/>
        <v>2199.1967871485945</v>
      </c>
      <c r="BH50" s="508"/>
      <c r="BI50" s="504">
        <f t="shared" ref="BI50:BT50" si="89">SUM(BI43:BI49)</f>
        <v>2199.1967871485945</v>
      </c>
      <c r="BJ50" s="504">
        <f t="shared" si="89"/>
        <v>2199.1967871485945</v>
      </c>
      <c r="BK50" s="504">
        <f t="shared" si="89"/>
        <v>2199.1967871485945</v>
      </c>
      <c r="BL50" s="504">
        <f t="shared" si="89"/>
        <v>2199.1967871485945</v>
      </c>
      <c r="BM50" s="504">
        <f t="shared" si="89"/>
        <v>2199.1967871485945</v>
      </c>
      <c r="BN50" s="504">
        <f t="shared" si="89"/>
        <v>2199.1967871485945</v>
      </c>
      <c r="BO50" s="504">
        <f t="shared" si="89"/>
        <v>2199.1967871485945</v>
      </c>
      <c r="BP50" s="504">
        <f t="shared" si="89"/>
        <v>2199.1967871485945</v>
      </c>
      <c r="BQ50" s="504">
        <f t="shared" si="89"/>
        <v>2199.1967871485945</v>
      </c>
      <c r="BR50" s="504">
        <f t="shared" si="89"/>
        <v>2199.1967871485945</v>
      </c>
      <c r="BS50" s="504">
        <f t="shared" si="89"/>
        <v>2199.1967871485945</v>
      </c>
      <c r="BT50" s="504">
        <f t="shared" si="89"/>
        <v>2199.1967871485945</v>
      </c>
    </row>
    <row r="51" spans="1:72" ht="15" x14ac:dyDescent="0.25">
      <c r="A51" s="587"/>
      <c r="B51" s="502"/>
      <c r="C51" s="400"/>
      <c r="D51" s="512"/>
      <c r="E51" s="418"/>
      <c r="F51" s="513"/>
      <c r="G51" s="514"/>
      <c r="H51" s="418"/>
      <c r="I51" s="513"/>
      <c r="J51" s="515"/>
      <c r="K51" s="514"/>
      <c r="L51" s="513"/>
      <c r="M51" s="513"/>
      <c r="N51" s="513"/>
      <c r="O51" s="513"/>
      <c r="P51" s="513"/>
      <c r="Q51" s="513"/>
      <c r="R51" s="513"/>
      <c r="S51" s="513"/>
      <c r="T51" s="513"/>
      <c r="U51" s="513"/>
      <c r="V51" s="513"/>
      <c r="W51" s="513"/>
      <c r="X51" s="513"/>
      <c r="Y51" s="513"/>
      <c r="Z51" s="516"/>
      <c r="AA51" s="513"/>
      <c r="AB51" s="513"/>
      <c r="AC51" s="513"/>
      <c r="AD51" s="513"/>
      <c r="AE51" s="513"/>
      <c r="AF51" s="513"/>
      <c r="AG51" s="513"/>
      <c r="AH51" s="513"/>
      <c r="AI51" s="513"/>
      <c r="AJ51" s="513"/>
      <c r="AK51" s="513"/>
      <c r="AL51" s="513"/>
      <c r="AN51" s="512"/>
      <c r="AO51" s="418"/>
      <c r="AP51" s="513"/>
      <c r="AQ51" s="517"/>
      <c r="AR51" s="418"/>
      <c r="AS51" s="513"/>
      <c r="AT51" s="515"/>
      <c r="AU51" s="514"/>
      <c r="AV51" s="513"/>
      <c r="AW51" s="513"/>
      <c r="AX51" s="513"/>
      <c r="AY51" s="513"/>
      <c r="AZ51" s="513"/>
      <c r="BA51" s="513"/>
      <c r="BB51" s="513"/>
      <c r="BC51" s="513"/>
      <c r="BD51" s="513"/>
      <c r="BE51" s="513"/>
      <c r="BF51" s="513"/>
      <c r="BG51" s="513"/>
      <c r="BH51" s="516"/>
      <c r="BI51" s="513"/>
      <c r="BJ51" s="513"/>
      <c r="BK51" s="513"/>
      <c r="BL51" s="513"/>
      <c r="BM51" s="513"/>
      <c r="BN51" s="513"/>
      <c r="BO51" s="513"/>
      <c r="BP51" s="513"/>
      <c r="BQ51" s="513"/>
      <c r="BR51" s="513"/>
      <c r="BS51" s="513"/>
      <c r="BT51" s="513"/>
    </row>
    <row r="52" spans="1:72" ht="15" x14ac:dyDescent="0.25">
      <c r="A52" s="502" t="s">
        <v>79</v>
      </c>
      <c r="B52" s="502" t="s">
        <v>80</v>
      </c>
      <c r="C52" s="400"/>
      <c r="D52" s="500">
        <f>SUM(L52:W52)</f>
        <v>0</v>
      </c>
      <c r="E52" s="418">
        <v>0</v>
      </c>
      <c r="F52" s="449">
        <f>IFERROR(D52-E52,0)</f>
        <v>0</v>
      </c>
      <c r="G52" s="421">
        <f>IFERROR(F52/ABS(E52),0)</f>
        <v>0</v>
      </c>
      <c r="H52" s="418">
        <v>0</v>
      </c>
      <c r="I52" s="449">
        <f>IFERROR(D52-H52,0)</f>
        <v>0</v>
      </c>
      <c r="J52" s="426">
        <f>IFERROR(I52/ABS(H52),0)</f>
        <v>0</v>
      </c>
      <c r="K52" s="421"/>
      <c r="L52" s="449">
        <v>0</v>
      </c>
      <c r="M52" s="449">
        <v>0</v>
      </c>
      <c r="N52" s="449">
        <v>0</v>
      </c>
      <c r="O52" s="449">
        <v>0</v>
      </c>
      <c r="P52" s="449">
        <v>0</v>
      </c>
      <c r="Q52" s="449">
        <v>0</v>
      </c>
      <c r="R52" s="449">
        <f>($H52-SUM($L52:Q52))/R$694</f>
        <v>0</v>
      </c>
      <c r="S52" s="449">
        <f>($H52-SUM($L52:R52))/S$694</f>
        <v>0</v>
      </c>
      <c r="T52" s="449">
        <f>($H52-SUM($L52:S52))/T$694</f>
        <v>0</v>
      </c>
      <c r="U52" s="449">
        <f>($H52-SUM($L52:T52))/U$694</f>
        <v>0</v>
      </c>
      <c r="V52" s="449">
        <f>($H52-SUM($L52:U52))/V$694</f>
        <v>0</v>
      </c>
      <c r="W52" s="449">
        <f>($H52-SUM($L52:V52))/W$694</f>
        <v>0</v>
      </c>
      <c r="X52" s="449"/>
      <c r="Y52" s="418">
        <f t="shared" si="39"/>
        <v>0</v>
      </c>
      <c r="Z52" s="511"/>
      <c r="AA52" s="449">
        <f t="shared" ref="AA52:AL52" si="90">IFERROR($H52/12,0)</f>
        <v>0</v>
      </c>
      <c r="AB52" s="449">
        <f t="shared" si="90"/>
        <v>0</v>
      </c>
      <c r="AC52" s="449">
        <f t="shared" si="90"/>
        <v>0</v>
      </c>
      <c r="AD52" s="449">
        <f t="shared" si="90"/>
        <v>0</v>
      </c>
      <c r="AE52" s="449">
        <f t="shared" si="90"/>
        <v>0</v>
      </c>
      <c r="AF52" s="449">
        <f t="shared" si="90"/>
        <v>0</v>
      </c>
      <c r="AG52" s="449">
        <f t="shared" si="90"/>
        <v>0</v>
      </c>
      <c r="AH52" s="449">
        <f t="shared" si="90"/>
        <v>0</v>
      </c>
      <c r="AI52" s="449">
        <f t="shared" si="90"/>
        <v>0</v>
      </c>
      <c r="AJ52" s="449">
        <f t="shared" si="90"/>
        <v>0</v>
      </c>
      <c r="AK52" s="449">
        <f t="shared" si="90"/>
        <v>0</v>
      </c>
      <c r="AL52" s="449">
        <f t="shared" si="90"/>
        <v>0</v>
      </c>
      <c r="AN52" s="500">
        <f>SUM(L52:W52)</f>
        <v>0</v>
      </c>
      <c r="AO52" s="418">
        <f>SUM(BI52:BT52)</f>
        <v>0</v>
      </c>
      <c r="AP52" s="449">
        <f>IFERROR(AO52-AN52,0)</f>
        <v>0</v>
      </c>
      <c r="AQ52" s="453" t="str">
        <f>IFERROR(AP52/ABS(AN52),"-")</f>
        <v>-</v>
      </c>
      <c r="AR52" s="418">
        <f>SUM(BI52:BT52)</f>
        <v>0</v>
      </c>
      <c r="AS52" s="449">
        <f>IFERROR(AO52-AR52,0)</f>
        <v>0</v>
      </c>
      <c r="AT52" s="426">
        <f>IFERROR(AS52/ABS(AR52),0)</f>
        <v>0</v>
      </c>
      <c r="AU52" s="421"/>
      <c r="AV52" s="449">
        <f>BI52</f>
        <v>0</v>
      </c>
      <c r="AW52" s="449">
        <f t="shared" ref="AW52:BG52" si="91">BJ52</f>
        <v>0</v>
      </c>
      <c r="AX52" s="449">
        <f t="shared" si="91"/>
        <v>0</v>
      </c>
      <c r="AY52" s="449">
        <f t="shared" si="91"/>
        <v>0</v>
      </c>
      <c r="AZ52" s="449">
        <f t="shared" si="91"/>
        <v>0</v>
      </c>
      <c r="BA52" s="449">
        <f t="shared" si="91"/>
        <v>0</v>
      </c>
      <c r="BB52" s="449">
        <f t="shared" si="91"/>
        <v>0</v>
      </c>
      <c r="BC52" s="449">
        <f t="shared" si="91"/>
        <v>0</v>
      </c>
      <c r="BD52" s="449">
        <f t="shared" si="91"/>
        <v>0</v>
      </c>
      <c r="BE52" s="449">
        <f t="shared" si="91"/>
        <v>0</v>
      </c>
      <c r="BF52" s="449">
        <f t="shared" si="91"/>
        <v>0</v>
      </c>
      <c r="BG52" s="449">
        <f t="shared" si="91"/>
        <v>0</v>
      </c>
      <c r="BH52" s="400"/>
      <c r="BI52" s="449">
        <f t="shared" ref="BI52:BT52" si="92">IFERROR((($H52/$H$5)*BI$5)/12,0)</f>
        <v>0</v>
      </c>
      <c r="BJ52" s="449">
        <f t="shared" si="92"/>
        <v>0</v>
      </c>
      <c r="BK52" s="449">
        <f t="shared" si="92"/>
        <v>0</v>
      </c>
      <c r="BL52" s="449">
        <f t="shared" si="92"/>
        <v>0</v>
      </c>
      <c r="BM52" s="449">
        <f t="shared" si="92"/>
        <v>0</v>
      </c>
      <c r="BN52" s="449">
        <f t="shared" si="92"/>
        <v>0</v>
      </c>
      <c r="BO52" s="449">
        <f t="shared" si="92"/>
        <v>0</v>
      </c>
      <c r="BP52" s="449">
        <f t="shared" si="92"/>
        <v>0</v>
      </c>
      <c r="BQ52" s="449">
        <f t="shared" si="92"/>
        <v>0</v>
      </c>
      <c r="BR52" s="449">
        <f t="shared" si="92"/>
        <v>0</v>
      </c>
      <c r="BS52" s="449">
        <f t="shared" si="92"/>
        <v>0</v>
      </c>
      <c r="BT52" s="449">
        <f t="shared" si="92"/>
        <v>0</v>
      </c>
    </row>
    <row r="53" spans="1:72" ht="15" x14ac:dyDescent="0.25">
      <c r="A53" s="591"/>
      <c r="B53" s="592" t="s">
        <v>81</v>
      </c>
      <c r="C53" s="400"/>
      <c r="D53" s="503">
        <f>SUM(D52)</f>
        <v>0</v>
      </c>
      <c r="E53" s="504">
        <f>SUM(E52)</f>
        <v>0</v>
      </c>
      <c r="F53" s="504">
        <f>IFERROR(D53-E53,0)</f>
        <v>0</v>
      </c>
      <c r="G53" s="505">
        <f>IFERROR(F53/ABS(E53),0)</f>
        <v>0</v>
      </c>
      <c r="H53" s="504">
        <v>0</v>
      </c>
      <c r="I53" s="504">
        <f>IFERROR(D53-H53,0)</f>
        <v>0</v>
      </c>
      <c r="J53" s="506">
        <f>IFERROR(I53/ABS(H53),0)</f>
        <v>0</v>
      </c>
      <c r="K53" s="507"/>
      <c r="L53" s="504">
        <f t="shared" ref="L53:W53" si="93">SUM(L52)</f>
        <v>0</v>
      </c>
      <c r="M53" s="504">
        <f t="shared" si="93"/>
        <v>0</v>
      </c>
      <c r="N53" s="504">
        <f t="shared" si="93"/>
        <v>0</v>
      </c>
      <c r="O53" s="504">
        <f t="shared" si="93"/>
        <v>0</v>
      </c>
      <c r="P53" s="504">
        <f t="shared" si="93"/>
        <v>0</v>
      </c>
      <c r="Q53" s="504">
        <f t="shared" si="93"/>
        <v>0</v>
      </c>
      <c r="R53" s="504">
        <f t="shared" si="93"/>
        <v>0</v>
      </c>
      <c r="S53" s="504">
        <f t="shared" si="93"/>
        <v>0</v>
      </c>
      <c r="T53" s="504">
        <f t="shared" si="93"/>
        <v>0</v>
      </c>
      <c r="U53" s="504">
        <f t="shared" si="93"/>
        <v>0</v>
      </c>
      <c r="V53" s="504">
        <f t="shared" si="93"/>
        <v>0</v>
      </c>
      <c r="W53" s="504">
        <f t="shared" si="93"/>
        <v>0</v>
      </c>
      <c r="X53" s="504"/>
      <c r="Y53" s="504">
        <f t="shared" si="39"/>
        <v>0</v>
      </c>
      <c r="Z53" s="508"/>
      <c r="AA53" s="504">
        <f t="shared" ref="AA53:AL53" si="94">SUM(AA52)</f>
        <v>0</v>
      </c>
      <c r="AB53" s="504">
        <f t="shared" si="94"/>
        <v>0</v>
      </c>
      <c r="AC53" s="504">
        <f t="shared" si="94"/>
        <v>0</v>
      </c>
      <c r="AD53" s="504">
        <f t="shared" si="94"/>
        <v>0</v>
      </c>
      <c r="AE53" s="504">
        <f t="shared" si="94"/>
        <v>0</v>
      </c>
      <c r="AF53" s="504">
        <f t="shared" si="94"/>
        <v>0</v>
      </c>
      <c r="AG53" s="504">
        <f t="shared" si="94"/>
        <v>0</v>
      </c>
      <c r="AH53" s="504">
        <f t="shared" si="94"/>
        <v>0</v>
      </c>
      <c r="AI53" s="504">
        <f t="shared" si="94"/>
        <v>0</v>
      </c>
      <c r="AJ53" s="504">
        <f t="shared" si="94"/>
        <v>0</v>
      </c>
      <c r="AK53" s="504">
        <f t="shared" si="94"/>
        <v>0</v>
      </c>
      <c r="AL53" s="504">
        <f t="shared" si="94"/>
        <v>0</v>
      </c>
      <c r="AN53" s="503">
        <f>SUM(AN52)</f>
        <v>0</v>
      </c>
      <c r="AO53" s="504">
        <f>SUM(AO52)</f>
        <v>0</v>
      </c>
      <c r="AP53" s="504">
        <f>IFERROR(AO53-AN53,0)</f>
        <v>0</v>
      </c>
      <c r="AQ53" s="509" t="str">
        <f>IFERROR(AP53/ABS(AN53),"-")</f>
        <v>-</v>
      </c>
      <c r="AR53" s="504">
        <v>0</v>
      </c>
      <c r="AS53" s="504">
        <f>IFERROR(AO53-AR53,0)</f>
        <v>0</v>
      </c>
      <c r="AT53" s="506">
        <f>IFERROR(AS53/ABS(AR53),0)</f>
        <v>0</v>
      </c>
      <c r="AU53" s="507"/>
      <c r="AV53" s="504">
        <f t="shared" ref="AV53:BG53" si="95">SUM(AV52)</f>
        <v>0</v>
      </c>
      <c r="AW53" s="504">
        <f t="shared" si="95"/>
        <v>0</v>
      </c>
      <c r="AX53" s="504">
        <f t="shared" si="95"/>
        <v>0</v>
      </c>
      <c r="AY53" s="504">
        <f t="shared" si="95"/>
        <v>0</v>
      </c>
      <c r="AZ53" s="504">
        <f t="shared" si="95"/>
        <v>0</v>
      </c>
      <c r="BA53" s="504">
        <f t="shared" si="95"/>
        <v>0</v>
      </c>
      <c r="BB53" s="504">
        <f t="shared" si="95"/>
        <v>0</v>
      </c>
      <c r="BC53" s="504">
        <f t="shared" si="95"/>
        <v>0</v>
      </c>
      <c r="BD53" s="504">
        <f t="shared" si="95"/>
        <v>0</v>
      </c>
      <c r="BE53" s="504">
        <f t="shared" si="95"/>
        <v>0</v>
      </c>
      <c r="BF53" s="504">
        <f t="shared" si="95"/>
        <v>0</v>
      </c>
      <c r="BG53" s="504">
        <f t="shared" si="95"/>
        <v>0</v>
      </c>
      <c r="BH53" s="508"/>
      <c r="BI53" s="504">
        <f t="shared" ref="BI53:BT53" si="96">SUM(BI52)</f>
        <v>0</v>
      </c>
      <c r="BJ53" s="504">
        <f t="shared" si="96"/>
        <v>0</v>
      </c>
      <c r="BK53" s="504">
        <f t="shared" si="96"/>
        <v>0</v>
      </c>
      <c r="BL53" s="504">
        <f t="shared" si="96"/>
        <v>0</v>
      </c>
      <c r="BM53" s="504">
        <f t="shared" si="96"/>
        <v>0</v>
      </c>
      <c r="BN53" s="504">
        <f t="shared" si="96"/>
        <v>0</v>
      </c>
      <c r="BO53" s="504">
        <f t="shared" si="96"/>
        <v>0</v>
      </c>
      <c r="BP53" s="504">
        <f t="shared" si="96"/>
        <v>0</v>
      </c>
      <c r="BQ53" s="504">
        <f t="shared" si="96"/>
        <v>0</v>
      </c>
      <c r="BR53" s="504">
        <f t="shared" si="96"/>
        <v>0</v>
      </c>
      <c r="BS53" s="504">
        <f t="shared" si="96"/>
        <v>0</v>
      </c>
      <c r="BT53" s="504">
        <f t="shared" si="96"/>
        <v>0</v>
      </c>
    </row>
    <row r="54" spans="1:72" ht="15" x14ac:dyDescent="0.25">
      <c r="A54" s="406"/>
      <c r="B54" s="524"/>
      <c r="C54" s="400"/>
      <c r="D54" s="510"/>
      <c r="E54" s="418"/>
      <c r="F54" s="418"/>
      <c r="G54" s="421"/>
      <c r="H54" s="418"/>
      <c r="I54" s="418"/>
      <c r="J54" s="426"/>
      <c r="K54" s="421"/>
      <c r="L54" s="418"/>
      <c r="M54" s="418"/>
      <c r="N54" s="418"/>
      <c r="O54" s="418"/>
      <c r="P54" s="418"/>
      <c r="Q54" s="418"/>
      <c r="R54" s="418"/>
      <c r="S54" s="418"/>
      <c r="T54" s="418"/>
      <c r="U54" s="418"/>
      <c r="V54" s="418"/>
      <c r="W54" s="418"/>
      <c r="X54" s="418"/>
      <c r="Y54" s="418"/>
      <c r="Z54" s="511"/>
      <c r="AA54" s="418"/>
      <c r="AB54" s="418"/>
      <c r="AC54" s="418"/>
      <c r="AD54" s="418"/>
      <c r="AE54" s="418"/>
      <c r="AF54" s="418"/>
      <c r="AG54" s="418"/>
      <c r="AH54" s="418"/>
      <c r="AI54" s="418"/>
      <c r="AJ54" s="418"/>
      <c r="AK54" s="418"/>
      <c r="AL54" s="418"/>
      <c r="AN54" s="510"/>
      <c r="AO54" s="418"/>
      <c r="AP54" s="418"/>
      <c r="AQ54" s="453"/>
      <c r="AR54" s="418"/>
      <c r="AS54" s="418"/>
      <c r="AT54" s="426"/>
      <c r="AU54" s="421"/>
      <c r="AV54" s="418"/>
      <c r="AW54" s="418"/>
      <c r="AX54" s="418"/>
      <c r="AY54" s="418"/>
      <c r="AZ54" s="418"/>
      <c r="BA54" s="418"/>
      <c r="BB54" s="418"/>
      <c r="BC54" s="418"/>
      <c r="BD54" s="418"/>
      <c r="BE54" s="418"/>
      <c r="BF54" s="418"/>
      <c r="BG54" s="418"/>
      <c r="BH54" s="511"/>
      <c r="BI54" s="418"/>
      <c r="BJ54" s="418"/>
      <c r="BK54" s="418"/>
      <c r="BL54" s="418"/>
      <c r="BM54" s="418"/>
      <c r="BN54" s="418"/>
      <c r="BO54" s="418"/>
      <c r="BP54" s="418"/>
      <c r="BQ54" s="418"/>
      <c r="BR54" s="418"/>
      <c r="BS54" s="418"/>
      <c r="BT54" s="418"/>
    </row>
    <row r="55" spans="1:72" ht="15.75" thickBot="1" x14ac:dyDescent="0.3">
      <c r="A55" s="593"/>
      <c r="B55" s="594" t="s">
        <v>82</v>
      </c>
      <c r="C55" s="400"/>
      <c r="D55" s="518">
        <f>+D34+D41+D50+D53</f>
        <v>10334814.619999999</v>
      </c>
      <c r="E55" s="519">
        <f>+E34+E41+E50+E53</f>
        <v>10116177.743999999</v>
      </c>
      <c r="F55" s="519">
        <f>IFERROR(D55-E55,0)</f>
        <v>218636.87600000016</v>
      </c>
      <c r="G55" s="520">
        <f>IFERROR(F55/ABS(E55),0)</f>
        <v>2.1612597320136626E-2</v>
      </c>
      <c r="H55" s="519">
        <f>+H34+H41+H50+H53</f>
        <v>10267505</v>
      </c>
      <c r="I55" s="519">
        <f>IFERROR(D55-H55,0)</f>
        <v>67309.61999999918</v>
      </c>
      <c r="J55" s="521">
        <f>IFERROR(I55/ABS(H55),0)</f>
        <v>6.555596515414327E-3</v>
      </c>
      <c r="K55" s="507"/>
      <c r="L55" s="519">
        <f t="shared" ref="L55:W55" si="97">+L34+L41+L50+L53</f>
        <v>730312.75</v>
      </c>
      <c r="M55" s="519">
        <f t="shared" si="97"/>
        <v>848075.79999999993</v>
      </c>
      <c r="N55" s="519">
        <f t="shared" si="97"/>
        <v>965802.55000000016</v>
      </c>
      <c r="O55" s="519">
        <f t="shared" si="97"/>
        <v>842328.11999999988</v>
      </c>
      <c r="P55" s="519">
        <f t="shared" si="97"/>
        <v>761610.75999999966</v>
      </c>
      <c r="Q55" s="519">
        <f t="shared" si="97"/>
        <v>951866.68000000028</v>
      </c>
      <c r="R55" s="519">
        <f t="shared" si="97"/>
        <v>872469.66000000015</v>
      </c>
      <c r="S55" s="519">
        <f t="shared" si="97"/>
        <v>872469.66000000015</v>
      </c>
      <c r="T55" s="519">
        <f t="shared" si="97"/>
        <v>872469.66000000015</v>
      </c>
      <c r="U55" s="519">
        <f t="shared" si="97"/>
        <v>872469.66000000015</v>
      </c>
      <c r="V55" s="519">
        <f t="shared" si="97"/>
        <v>872469.66000000015</v>
      </c>
      <c r="W55" s="519">
        <f t="shared" si="97"/>
        <v>872469.66000000061</v>
      </c>
      <c r="X55" s="519"/>
      <c r="Y55" s="519">
        <f t="shared" si="39"/>
        <v>10334814.620000001</v>
      </c>
      <c r="Z55" s="522"/>
      <c r="AA55" s="519">
        <f t="shared" ref="AA55:AL55" si="98">+AA34+AA41+AA50+AA53</f>
        <v>855625.41666666674</v>
      </c>
      <c r="AB55" s="519">
        <f t="shared" si="98"/>
        <v>855625.41666666674</v>
      </c>
      <c r="AC55" s="519">
        <f t="shared" si="98"/>
        <v>855625.41666666674</v>
      </c>
      <c r="AD55" s="519">
        <f t="shared" si="98"/>
        <v>855625.41666666674</v>
      </c>
      <c r="AE55" s="519">
        <f t="shared" si="98"/>
        <v>855625.41666666674</v>
      </c>
      <c r="AF55" s="519">
        <f t="shared" si="98"/>
        <v>855625.41666666674</v>
      </c>
      <c r="AG55" s="519">
        <f t="shared" si="98"/>
        <v>855625.41666666674</v>
      </c>
      <c r="AH55" s="519">
        <f t="shared" si="98"/>
        <v>855625.41666666674</v>
      </c>
      <c r="AI55" s="519">
        <f t="shared" si="98"/>
        <v>855625.41666666674</v>
      </c>
      <c r="AJ55" s="519">
        <f t="shared" si="98"/>
        <v>855625.41666666674</v>
      </c>
      <c r="AK55" s="519">
        <f t="shared" si="98"/>
        <v>855625.41666666674</v>
      </c>
      <c r="AL55" s="519">
        <f t="shared" si="98"/>
        <v>855625.41666666674</v>
      </c>
      <c r="AN55" s="518">
        <f>+AN34+AN41+AN50+AN53</f>
        <v>10334814.619999999</v>
      </c>
      <c r="AO55" s="519">
        <f>+AO34+AO41+AO50+AO53</f>
        <v>10742197.082806049</v>
      </c>
      <c r="AP55" s="519">
        <f>IFERROR(AO55-AN55,0)</f>
        <v>407382.46280604973</v>
      </c>
      <c r="AQ55" s="523">
        <f>IFERROR(AP55/ABS(AN55),"-")</f>
        <v>3.9418458655047436E-2</v>
      </c>
      <c r="AR55" s="519">
        <f>+AR34+AR41+AR50+AR53</f>
        <v>10742197.082806049</v>
      </c>
      <c r="AS55" s="519">
        <f>IFERROR(AO55-AR55,0)</f>
        <v>0</v>
      </c>
      <c r="AT55" s="521">
        <f>IFERROR(AS55/ABS(AR55),0)</f>
        <v>0</v>
      </c>
      <c r="AU55" s="507"/>
      <c r="AV55" s="519">
        <f t="shared" ref="AV55:BG55" si="99">+AV34+AV41+AV50+AV53</f>
        <v>899737.10055043711</v>
      </c>
      <c r="AW55" s="519">
        <f t="shared" si="99"/>
        <v>966950.42490239046</v>
      </c>
      <c r="AX55" s="519">
        <f t="shared" si="99"/>
        <v>880250.15573532216</v>
      </c>
      <c r="AY55" s="519">
        <f t="shared" si="99"/>
        <v>900250.15573532216</v>
      </c>
      <c r="AZ55" s="519">
        <f t="shared" si="99"/>
        <v>884254.15573532216</v>
      </c>
      <c r="BA55" s="519">
        <f t="shared" si="99"/>
        <v>880250.15573532216</v>
      </c>
      <c r="BB55" s="519">
        <f t="shared" si="99"/>
        <v>880250.15573532216</v>
      </c>
      <c r="BC55" s="519">
        <f t="shared" si="99"/>
        <v>884254.15573532216</v>
      </c>
      <c r="BD55" s="519">
        <f t="shared" si="99"/>
        <v>925250.15573532216</v>
      </c>
      <c r="BE55" s="519">
        <f t="shared" si="99"/>
        <v>880250.15573532216</v>
      </c>
      <c r="BF55" s="519">
        <f t="shared" si="99"/>
        <v>880250.15573532216</v>
      </c>
      <c r="BG55" s="519">
        <f t="shared" si="99"/>
        <v>880250.15573532216</v>
      </c>
      <c r="BH55" s="522"/>
      <c r="BI55" s="519">
        <f t="shared" ref="BI55:BT55" si="100">+BI34+BI41+BI50+BI53</f>
        <v>899737.10055043711</v>
      </c>
      <c r="BJ55" s="519">
        <f t="shared" si="100"/>
        <v>966950.42490239046</v>
      </c>
      <c r="BK55" s="519">
        <f t="shared" si="100"/>
        <v>880250.15573532216</v>
      </c>
      <c r="BL55" s="519">
        <f t="shared" si="100"/>
        <v>900250.15573532216</v>
      </c>
      <c r="BM55" s="519">
        <f t="shared" si="100"/>
        <v>884254.15573532216</v>
      </c>
      <c r="BN55" s="519">
        <f t="shared" si="100"/>
        <v>880250.15573532216</v>
      </c>
      <c r="BO55" s="519">
        <f t="shared" si="100"/>
        <v>880250.15573532216</v>
      </c>
      <c r="BP55" s="519">
        <f t="shared" si="100"/>
        <v>884254.15573532216</v>
      </c>
      <c r="BQ55" s="519">
        <f t="shared" si="100"/>
        <v>925250.15573532216</v>
      </c>
      <c r="BR55" s="519">
        <f t="shared" si="100"/>
        <v>880250.15573532216</v>
      </c>
      <c r="BS55" s="519">
        <f t="shared" si="100"/>
        <v>880250.15573532216</v>
      </c>
      <c r="BT55" s="519">
        <f t="shared" si="100"/>
        <v>880250.15573532216</v>
      </c>
    </row>
    <row r="56" spans="1:72" ht="15.75" thickTop="1" x14ac:dyDescent="0.25">
      <c r="A56" s="526"/>
      <c r="B56" s="526"/>
      <c r="C56" s="535"/>
      <c r="D56" s="497"/>
      <c r="E56" s="418"/>
      <c r="F56" s="487"/>
      <c r="G56" s="492"/>
      <c r="H56" s="418"/>
      <c r="I56" s="487"/>
      <c r="J56" s="491"/>
      <c r="K56" s="492"/>
      <c r="L56" s="487"/>
      <c r="M56" s="487"/>
      <c r="N56" s="487"/>
      <c r="O56" s="487"/>
      <c r="P56" s="487"/>
      <c r="Q56" s="487"/>
      <c r="R56" s="487"/>
      <c r="S56" s="487"/>
      <c r="T56" s="487"/>
      <c r="U56" s="487"/>
      <c r="V56" s="487"/>
      <c r="W56" s="487"/>
      <c r="X56" s="487"/>
      <c r="Y56" s="487"/>
      <c r="Z56" s="496"/>
      <c r="AA56" s="487"/>
      <c r="AB56" s="487"/>
      <c r="AC56" s="487"/>
      <c r="AD56" s="487"/>
      <c r="AE56" s="487"/>
      <c r="AF56" s="487"/>
      <c r="AG56" s="487"/>
      <c r="AH56" s="487"/>
      <c r="AI56" s="487"/>
      <c r="AJ56" s="487"/>
      <c r="AK56" s="487"/>
      <c r="AL56" s="487"/>
      <c r="AN56" s="497"/>
      <c r="AO56" s="418"/>
      <c r="AP56" s="487"/>
      <c r="AQ56" s="499"/>
      <c r="AR56" s="418"/>
      <c r="AS56" s="487"/>
      <c r="AT56" s="491"/>
      <c r="AU56" s="492"/>
      <c r="AV56" s="487"/>
      <c r="AW56" s="487"/>
      <c r="AX56" s="487"/>
      <c r="AY56" s="487"/>
      <c r="AZ56" s="487"/>
      <c r="BA56" s="487"/>
      <c r="BB56" s="487"/>
      <c r="BC56" s="487"/>
      <c r="BD56" s="487"/>
      <c r="BE56" s="487"/>
      <c r="BF56" s="487"/>
      <c r="BG56" s="487"/>
      <c r="BH56" s="496"/>
      <c r="BI56" s="487"/>
      <c r="BJ56" s="487"/>
      <c r="BK56" s="487"/>
      <c r="BL56" s="487"/>
      <c r="BM56" s="487"/>
      <c r="BN56" s="487"/>
      <c r="BO56" s="487"/>
      <c r="BP56" s="487"/>
      <c r="BQ56" s="487"/>
      <c r="BR56" s="487"/>
      <c r="BS56" s="487"/>
      <c r="BT56" s="487"/>
    </row>
    <row r="57" spans="1:72" ht="15" x14ac:dyDescent="0.25">
      <c r="A57" s="524" t="s">
        <v>83</v>
      </c>
      <c r="C57" s="400"/>
      <c r="D57" s="512"/>
      <c r="E57" s="418"/>
      <c r="F57" s="513"/>
      <c r="G57" s="514"/>
      <c r="H57" s="418"/>
      <c r="I57" s="513"/>
      <c r="J57" s="515"/>
      <c r="K57" s="514"/>
      <c r="L57" s="513"/>
      <c r="M57" s="513"/>
      <c r="N57" s="513"/>
      <c r="O57" s="513"/>
      <c r="P57" s="513"/>
      <c r="Q57" s="513"/>
      <c r="R57" s="513"/>
      <c r="S57" s="513"/>
      <c r="T57" s="513"/>
      <c r="U57" s="513"/>
      <c r="V57" s="513"/>
      <c r="W57" s="513"/>
      <c r="X57" s="513"/>
      <c r="Y57" s="513"/>
      <c r="Z57" s="516"/>
      <c r="AA57" s="513"/>
      <c r="AB57" s="513"/>
      <c r="AC57" s="513"/>
      <c r="AD57" s="513"/>
      <c r="AE57" s="513"/>
      <c r="AF57" s="513"/>
      <c r="AG57" s="513"/>
      <c r="AH57" s="513"/>
      <c r="AI57" s="513"/>
      <c r="AJ57" s="513"/>
      <c r="AK57" s="513"/>
      <c r="AL57" s="513"/>
      <c r="AN57" s="512"/>
      <c r="AO57" s="418"/>
      <c r="AP57" s="513"/>
      <c r="AQ57" s="517"/>
      <c r="AR57" s="418"/>
      <c r="AS57" s="513"/>
      <c r="AT57" s="515"/>
      <c r="AU57" s="514"/>
      <c r="AV57" s="513"/>
      <c r="AW57" s="513"/>
      <c r="AX57" s="513"/>
      <c r="AY57" s="513"/>
      <c r="AZ57" s="513"/>
      <c r="BA57" s="513"/>
      <c r="BB57" s="513"/>
      <c r="BC57" s="513"/>
      <c r="BD57" s="513"/>
      <c r="BE57" s="513"/>
      <c r="BF57" s="513"/>
      <c r="BG57" s="513"/>
      <c r="BH57" s="516"/>
      <c r="BI57" s="513"/>
      <c r="BJ57" s="513"/>
      <c r="BK57" s="513"/>
      <c r="BL57" s="513"/>
      <c r="BM57" s="513"/>
      <c r="BN57" s="513"/>
      <c r="BO57" s="513"/>
      <c r="BP57" s="513"/>
      <c r="BQ57" s="513"/>
      <c r="BR57" s="513"/>
      <c r="BS57" s="513"/>
      <c r="BT57" s="513"/>
    </row>
    <row r="58" spans="1:72" ht="7.5" customHeight="1" x14ac:dyDescent="0.25">
      <c r="A58" s="524"/>
      <c r="C58" s="400"/>
      <c r="D58" s="512"/>
      <c r="E58" s="418"/>
      <c r="F58" s="513"/>
      <c r="G58" s="514"/>
      <c r="H58" s="418"/>
      <c r="I58" s="513"/>
      <c r="J58" s="515"/>
      <c r="K58" s="514"/>
      <c r="L58" s="513"/>
      <c r="M58" s="513"/>
      <c r="N58" s="513"/>
      <c r="O58" s="513"/>
      <c r="P58" s="513"/>
      <c r="Q58" s="513"/>
      <c r="R58" s="513"/>
      <c r="S58" s="513"/>
      <c r="T58" s="513"/>
      <c r="U58" s="513"/>
      <c r="V58" s="513"/>
      <c r="W58" s="513"/>
      <c r="X58" s="513"/>
      <c r="Y58" s="513"/>
      <c r="Z58" s="516"/>
      <c r="AA58" s="513"/>
      <c r="AB58" s="513"/>
      <c r="AC58" s="513"/>
      <c r="AD58" s="513"/>
      <c r="AE58" s="513"/>
      <c r="AF58" s="513"/>
      <c r="AG58" s="513"/>
      <c r="AH58" s="513"/>
      <c r="AI58" s="513"/>
      <c r="AJ58" s="513"/>
      <c r="AK58" s="513"/>
      <c r="AL58" s="513"/>
      <c r="AN58" s="512"/>
      <c r="AO58" s="418"/>
      <c r="AP58" s="513"/>
      <c r="AQ58" s="517"/>
      <c r="AR58" s="418"/>
      <c r="AS58" s="513"/>
      <c r="AT58" s="515"/>
      <c r="AU58" s="514"/>
      <c r="AV58" s="513"/>
      <c r="AW58" s="513"/>
      <c r="AX58" s="513"/>
      <c r="AY58" s="513"/>
      <c r="AZ58" s="513"/>
      <c r="BA58" s="513"/>
      <c r="BB58" s="513"/>
      <c r="BC58" s="513"/>
      <c r="BD58" s="513"/>
      <c r="BE58" s="513"/>
      <c r="BF58" s="513"/>
      <c r="BG58" s="513"/>
      <c r="BH58" s="516"/>
      <c r="BI58" s="513"/>
      <c r="BJ58" s="513"/>
      <c r="BK58" s="513"/>
      <c r="BL58" s="513"/>
      <c r="BM58" s="513"/>
      <c r="BN58" s="513"/>
      <c r="BO58" s="513"/>
      <c r="BP58" s="513"/>
      <c r="BQ58" s="513"/>
      <c r="BR58" s="513"/>
      <c r="BS58" s="513"/>
      <c r="BT58" s="513"/>
    </row>
    <row r="59" spans="1:72" ht="15.75" x14ac:dyDescent="0.25">
      <c r="A59" s="587"/>
      <c r="B59" s="525" t="s">
        <v>84</v>
      </c>
      <c r="C59" s="400"/>
      <c r="D59" s="512"/>
      <c r="E59" s="418"/>
      <c r="F59" s="513"/>
      <c r="G59" s="514"/>
      <c r="H59" s="418"/>
      <c r="I59" s="513"/>
      <c r="J59" s="515"/>
      <c r="K59" s="514"/>
      <c r="L59" s="513"/>
      <c r="M59" s="513"/>
      <c r="N59" s="513"/>
      <c r="O59" s="513"/>
      <c r="P59" s="513"/>
      <c r="Q59" s="513"/>
      <c r="R59" s="513"/>
      <c r="S59" s="513"/>
      <c r="T59" s="513"/>
      <c r="U59" s="513"/>
      <c r="V59" s="513"/>
      <c r="W59" s="513"/>
      <c r="X59" s="513"/>
      <c r="Y59" s="513"/>
      <c r="Z59" s="516"/>
      <c r="AA59" s="513"/>
      <c r="AB59" s="513"/>
      <c r="AC59" s="513"/>
      <c r="AD59" s="513"/>
      <c r="AE59" s="513"/>
      <c r="AF59" s="513"/>
      <c r="AG59" s="513"/>
      <c r="AH59" s="513"/>
      <c r="AI59" s="513"/>
      <c r="AJ59" s="513"/>
      <c r="AK59" s="513"/>
      <c r="AL59" s="513"/>
      <c r="AN59" s="512"/>
      <c r="AO59" s="418"/>
      <c r="AP59" s="513"/>
      <c r="AQ59" s="517"/>
      <c r="AR59" s="418"/>
      <c r="AS59" s="513"/>
      <c r="AT59" s="515"/>
      <c r="AU59" s="514"/>
      <c r="AV59" s="513"/>
      <c r="AW59" s="513"/>
      <c r="AX59" s="513"/>
      <c r="AY59" s="513"/>
      <c r="AZ59" s="513"/>
      <c r="BA59" s="513"/>
      <c r="BB59" s="513"/>
      <c r="BC59" s="513"/>
      <c r="BD59" s="513"/>
      <c r="BE59" s="513"/>
      <c r="BF59" s="513"/>
      <c r="BG59" s="513"/>
      <c r="BH59" s="516"/>
      <c r="BI59" s="513"/>
      <c r="BJ59" s="513"/>
      <c r="BK59" s="513"/>
      <c r="BL59" s="513"/>
      <c r="BM59" s="513"/>
      <c r="BN59" s="513"/>
      <c r="BO59" s="513"/>
      <c r="BP59" s="513"/>
      <c r="BQ59" s="513"/>
      <c r="BR59" s="513"/>
      <c r="BS59" s="513"/>
      <c r="BT59" s="513"/>
    </row>
    <row r="60" spans="1:72" ht="7.5" customHeight="1" x14ac:dyDescent="0.25">
      <c r="A60" s="587"/>
      <c r="B60" s="526"/>
      <c r="C60" s="400"/>
      <c r="D60" s="512"/>
      <c r="E60" s="418"/>
      <c r="F60" s="513"/>
      <c r="G60" s="514"/>
      <c r="H60" s="418"/>
      <c r="I60" s="513"/>
      <c r="J60" s="515"/>
      <c r="K60" s="514"/>
      <c r="L60" s="513"/>
      <c r="M60" s="513"/>
      <c r="N60" s="513"/>
      <c r="O60" s="513"/>
      <c r="P60" s="513"/>
      <c r="Q60" s="513"/>
      <c r="R60" s="513"/>
      <c r="S60" s="513"/>
      <c r="T60" s="513"/>
      <c r="U60" s="513"/>
      <c r="V60" s="513"/>
      <c r="W60" s="513"/>
      <c r="X60" s="513"/>
      <c r="Y60" s="513"/>
      <c r="Z60" s="516"/>
      <c r="AA60" s="513"/>
      <c r="AB60" s="513"/>
      <c r="AC60" s="513"/>
      <c r="AD60" s="513"/>
      <c r="AE60" s="513"/>
      <c r="AF60" s="513"/>
      <c r="AG60" s="513"/>
      <c r="AH60" s="513"/>
      <c r="AI60" s="513"/>
      <c r="AJ60" s="513"/>
      <c r="AK60" s="513"/>
      <c r="AL60" s="513"/>
      <c r="AN60" s="512"/>
      <c r="AO60" s="418"/>
      <c r="AP60" s="513"/>
      <c r="AQ60" s="517"/>
      <c r="AR60" s="418"/>
      <c r="AS60" s="513"/>
      <c r="AT60" s="515"/>
      <c r="AU60" s="514"/>
      <c r="AV60" s="513"/>
      <c r="AW60" s="513"/>
      <c r="AX60" s="513"/>
      <c r="AY60" s="513"/>
      <c r="AZ60" s="513"/>
      <c r="BA60" s="513"/>
      <c r="BB60" s="513"/>
      <c r="BC60" s="513"/>
      <c r="BD60" s="513"/>
      <c r="BE60" s="513"/>
      <c r="BF60" s="513"/>
      <c r="BG60" s="513"/>
      <c r="BH60" s="516"/>
      <c r="BI60" s="513"/>
      <c r="BJ60" s="513"/>
      <c r="BK60" s="513"/>
      <c r="BL60" s="513"/>
      <c r="BM60" s="513"/>
      <c r="BN60" s="513"/>
      <c r="BO60" s="513"/>
      <c r="BP60" s="513"/>
      <c r="BQ60" s="513"/>
      <c r="BR60" s="513"/>
      <c r="BS60" s="513"/>
      <c r="BT60" s="513"/>
    </row>
    <row r="61" spans="1:72" ht="15" x14ac:dyDescent="0.25">
      <c r="A61" s="502" t="s">
        <v>85</v>
      </c>
      <c r="B61" s="502" t="s">
        <v>86</v>
      </c>
      <c r="C61" s="630"/>
      <c r="D61" s="500">
        <f t="shared" ref="D61:D88" si="101">SUM(L61:W61)</f>
        <v>1106434</v>
      </c>
      <c r="E61" s="449">
        <v>1117310</v>
      </c>
      <c r="F61" s="449">
        <f t="shared" ref="F61:F88" si="102">IFERROR(D61-E61,0)</f>
        <v>-10876</v>
      </c>
      <c r="G61" s="421">
        <f t="shared" ref="G61:G88" si="103">IFERROR(F61/ABS(E61),0)</f>
        <v>-9.734093492405867E-3</v>
      </c>
      <c r="H61" s="449">
        <v>1106434</v>
      </c>
      <c r="I61" s="449">
        <f t="shared" ref="I61:I88" si="104">IFERROR(D61-H61,0)</f>
        <v>0</v>
      </c>
      <c r="J61" s="426">
        <f t="shared" ref="J61:J88" si="105">IFERROR(I61/ABS(H61),0)</f>
        <v>0</v>
      </c>
      <c r="K61" s="421"/>
      <c r="L61" s="449">
        <v>2717.08</v>
      </c>
      <c r="M61" s="449">
        <v>99560.459999999992</v>
      </c>
      <c r="N61" s="449">
        <v>98389.10000000002</v>
      </c>
      <c r="O61" s="449">
        <v>91219.549999999988</v>
      </c>
      <c r="P61" s="449">
        <v>85714.359999999986</v>
      </c>
      <c r="Q61" s="449">
        <v>104537.93</v>
      </c>
      <c r="R61" s="449">
        <f>($H61-SUM($L61:Q61))/R$694</f>
        <v>104049.25333333334</v>
      </c>
      <c r="S61" s="449">
        <f>($H61-SUM($L61:R61))/S$694</f>
        <v>104049.25333333334</v>
      </c>
      <c r="T61" s="449">
        <f>($H61-SUM($L61:S61))/T$694</f>
        <v>104049.25333333336</v>
      </c>
      <c r="U61" s="449">
        <f>($H61-SUM($L61:T61))/U$694</f>
        <v>104049.25333333334</v>
      </c>
      <c r="V61" s="449">
        <f>($H61-SUM($L61:U61))/V$694</f>
        <v>104049.25333333336</v>
      </c>
      <c r="W61" s="449">
        <f>($H61-SUM($L61:V61))/W$694</f>
        <v>104049.25333333341</v>
      </c>
      <c r="X61" s="449"/>
      <c r="Y61" s="449">
        <f t="shared" ref="Y61:Y88" si="106">SUM(L61:W61)</f>
        <v>1106434</v>
      </c>
      <c r="Z61" s="531"/>
      <c r="AA61" s="449">
        <f t="shared" ref="AA61:AL76" si="107">IFERROR($H61/12,0)</f>
        <v>92202.833333333328</v>
      </c>
      <c r="AB61" s="449">
        <f t="shared" si="107"/>
        <v>92202.833333333328</v>
      </c>
      <c r="AC61" s="449">
        <f t="shared" si="107"/>
        <v>92202.833333333328</v>
      </c>
      <c r="AD61" s="449">
        <f t="shared" si="107"/>
        <v>92202.833333333328</v>
      </c>
      <c r="AE61" s="449">
        <f t="shared" si="107"/>
        <v>92202.833333333328</v>
      </c>
      <c r="AF61" s="449">
        <f t="shared" si="107"/>
        <v>92202.833333333328</v>
      </c>
      <c r="AG61" s="449">
        <f t="shared" si="107"/>
        <v>92202.833333333328</v>
      </c>
      <c r="AH61" s="449">
        <f t="shared" si="107"/>
        <v>92202.833333333328</v>
      </c>
      <c r="AI61" s="449">
        <f t="shared" si="107"/>
        <v>92202.833333333328</v>
      </c>
      <c r="AJ61" s="449">
        <f t="shared" si="107"/>
        <v>92202.833333333328</v>
      </c>
      <c r="AK61" s="449">
        <f t="shared" si="107"/>
        <v>92202.833333333328</v>
      </c>
      <c r="AL61" s="449">
        <f t="shared" si="107"/>
        <v>92202.833333333328</v>
      </c>
      <c r="AN61" s="500">
        <f t="shared" ref="AN61:AN88" si="108">SUM(L61:W61)</f>
        <v>1106434</v>
      </c>
      <c r="AO61" s="449">
        <f t="shared" ref="AO61:AO88" si="109">SUM(BI61:BT61)</f>
        <v>1105076.0613999998</v>
      </c>
      <c r="AP61" s="449">
        <f t="shared" ref="AP61:AP88" si="110">IFERROR(AO61-AN61,0)</f>
        <v>-1357.9386000002269</v>
      </c>
      <c r="AQ61" s="453">
        <f t="shared" ref="AQ61:AQ88" si="111">IFERROR(AP61/ABS(AN61),"-")</f>
        <v>-1.2273109828514189E-3</v>
      </c>
      <c r="AR61" s="449">
        <f t="shared" ref="AR61:AR88" si="112">SUM(BI61:BT61)</f>
        <v>1105076.0613999998</v>
      </c>
      <c r="AS61" s="449">
        <f t="shared" ref="AS61:AS88" si="113">IFERROR(AO61-AR61,0)</f>
        <v>0</v>
      </c>
      <c r="AT61" s="426">
        <f t="shared" ref="AT61:AT88" si="114">IFERROR(AS61/ABS(AR61),0)</f>
        <v>0</v>
      </c>
      <c r="AU61" s="421"/>
      <c r="AV61" s="449">
        <f t="shared" ref="AV61:BG82" si="115">BI61</f>
        <v>0</v>
      </c>
      <c r="AW61" s="449">
        <f t="shared" si="115"/>
        <v>92089.671783333339</v>
      </c>
      <c r="AX61" s="449">
        <f t="shared" si="115"/>
        <v>92089.671783333339</v>
      </c>
      <c r="AY61" s="449">
        <f t="shared" si="115"/>
        <v>92089.671783333339</v>
      </c>
      <c r="AZ61" s="449">
        <f t="shared" si="115"/>
        <v>92089.671783333339</v>
      </c>
      <c r="BA61" s="449">
        <f t="shared" si="115"/>
        <v>92089.671783333339</v>
      </c>
      <c r="BB61" s="449">
        <f t="shared" si="115"/>
        <v>92089.671783333339</v>
      </c>
      <c r="BC61" s="449">
        <f t="shared" si="115"/>
        <v>92089.671783333339</v>
      </c>
      <c r="BD61" s="449">
        <f t="shared" si="115"/>
        <v>92089.671783333339</v>
      </c>
      <c r="BE61" s="449">
        <f t="shared" si="115"/>
        <v>92089.671783333339</v>
      </c>
      <c r="BF61" s="449">
        <f t="shared" si="115"/>
        <v>92089.671783333339</v>
      </c>
      <c r="BG61" s="449">
        <f t="shared" si="115"/>
        <v>184179.34356666668</v>
      </c>
      <c r="BH61" s="400"/>
      <c r="BI61" s="449">
        <v>0</v>
      </c>
      <c r="BJ61" s="449">
        <f>SUM('FY19 Staffing V1-1 (3)'!$P$5:$P$36)/12</f>
        <v>92089.671783333339</v>
      </c>
      <c r="BK61" s="449">
        <f>SUM('FY19 Staffing V1-1 (3)'!$P$5:$P$36)/12</f>
        <v>92089.671783333339</v>
      </c>
      <c r="BL61" s="449">
        <f>SUM('FY19 Staffing V1-1 (3)'!$P$5:$P$36)/12</f>
        <v>92089.671783333339</v>
      </c>
      <c r="BM61" s="449">
        <f>SUM('FY19 Staffing V1-1 (3)'!$P$5:$P$36)/12</f>
        <v>92089.671783333339</v>
      </c>
      <c r="BN61" s="449">
        <f>SUM('FY19 Staffing V1-1 (3)'!$P$5:$P$36)/12</f>
        <v>92089.671783333339</v>
      </c>
      <c r="BO61" s="449">
        <f>SUM('FY19 Staffing V1-1 (3)'!$P$5:$P$36)/12</f>
        <v>92089.671783333339</v>
      </c>
      <c r="BP61" s="449">
        <f>SUM('FY19 Staffing V1-1 (3)'!$P$5:$P$36)/12</f>
        <v>92089.671783333339</v>
      </c>
      <c r="BQ61" s="449">
        <f>SUM('FY19 Staffing V1-1 (3)'!$P$5:$P$36)/12</f>
        <v>92089.671783333339</v>
      </c>
      <c r="BR61" s="449">
        <f>SUM('FY19 Staffing V1-1 (3)'!$P$5:$P$36)/12</f>
        <v>92089.671783333339</v>
      </c>
      <c r="BS61" s="449">
        <f>SUM('FY19 Staffing V1-1 (3)'!$P$5:$P$36)/12</f>
        <v>92089.671783333339</v>
      </c>
      <c r="BT61" s="449">
        <f>SUM('FY19 Staffing V1-1 (3)'!$P$5:$P$36)/12*2</f>
        <v>184179.34356666668</v>
      </c>
    </row>
    <row r="62" spans="1:72" ht="15" x14ac:dyDescent="0.25">
      <c r="A62" s="502" t="s">
        <v>87</v>
      </c>
      <c r="B62" s="502" t="s">
        <v>88</v>
      </c>
      <c r="C62" s="630"/>
      <c r="D62" s="500">
        <f t="shared" si="101"/>
        <v>111560</v>
      </c>
      <c r="E62" s="449">
        <v>111560</v>
      </c>
      <c r="F62" s="449">
        <f t="shared" si="102"/>
        <v>0</v>
      </c>
      <c r="G62" s="421">
        <f t="shared" si="103"/>
        <v>0</v>
      </c>
      <c r="H62" s="449">
        <v>111560</v>
      </c>
      <c r="I62" s="449">
        <f t="shared" si="104"/>
        <v>0</v>
      </c>
      <c r="J62" s="426">
        <f t="shared" si="105"/>
        <v>0</v>
      </c>
      <c r="K62" s="421"/>
      <c r="L62" s="449">
        <v>2263.8000000000002</v>
      </c>
      <c r="M62" s="449">
        <v>12999</v>
      </c>
      <c r="N62" s="449">
        <v>10590.400000000001</v>
      </c>
      <c r="O62" s="449">
        <v>9924.3999999999978</v>
      </c>
      <c r="P62" s="449">
        <v>9524.64</v>
      </c>
      <c r="Q62" s="449">
        <v>12373.510000000002</v>
      </c>
      <c r="R62" s="449">
        <f>($H62-SUM($L62:Q62))/R$694</f>
        <v>8980.7083333333339</v>
      </c>
      <c r="S62" s="449">
        <f>($H62-SUM($L62:R62))/S$694</f>
        <v>8980.7083333333339</v>
      </c>
      <c r="T62" s="449">
        <f>($H62-SUM($L62:S62))/T$694</f>
        <v>8980.7083333333358</v>
      </c>
      <c r="U62" s="449">
        <f>($H62-SUM($L62:T62))/U$694</f>
        <v>8980.7083333333339</v>
      </c>
      <c r="V62" s="449">
        <f>($H62-SUM($L62:U62))/V$694</f>
        <v>8980.7083333333358</v>
      </c>
      <c r="W62" s="449">
        <f>($H62-SUM($L62:V62))/W$694</f>
        <v>8980.708333333343</v>
      </c>
      <c r="X62" s="449"/>
      <c r="Y62" s="449">
        <f t="shared" si="106"/>
        <v>111560</v>
      </c>
      <c r="Z62" s="531"/>
      <c r="AA62" s="449">
        <f t="shared" si="107"/>
        <v>9296.6666666666661</v>
      </c>
      <c r="AB62" s="449">
        <f t="shared" si="107"/>
        <v>9296.6666666666661</v>
      </c>
      <c r="AC62" s="449">
        <f t="shared" si="107"/>
        <v>9296.6666666666661</v>
      </c>
      <c r="AD62" s="449">
        <f t="shared" si="107"/>
        <v>9296.6666666666661</v>
      </c>
      <c r="AE62" s="449">
        <f t="shared" si="107"/>
        <v>9296.6666666666661</v>
      </c>
      <c r="AF62" s="449">
        <f t="shared" si="107"/>
        <v>9296.6666666666661</v>
      </c>
      <c r="AG62" s="449">
        <f t="shared" si="107"/>
        <v>9296.6666666666661</v>
      </c>
      <c r="AH62" s="449">
        <f t="shared" si="107"/>
        <v>9296.6666666666661</v>
      </c>
      <c r="AI62" s="449">
        <f t="shared" si="107"/>
        <v>9296.6666666666661</v>
      </c>
      <c r="AJ62" s="449">
        <f t="shared" si="107"/>
        <v>9296.6666666666661</v>
      </c>
      <c r="AK62" s="449">
        <f t="shared" si="107"/>
        <v>9296.6666666666661</v>
      </c>
      <c r="AL62" s="449">
        <f t="shared" si="107"/>
        <v>9296.6666666666661</v>
      </c>
      <c r="AN62" s="500">
        <f t="shared" si="108"/>
        <v>111560</v>
      </c>
      <c r="AO62" s="449">
        <f t="shared" si="109"/>
        <v>65072.206999999995</v>
      </c>
      <c r="AP62" s="449">
        <f t="shared" si="110"/>
        <v>-46487.793000000005</v>
      </c>
      <c r="AQ62" s="453">
        <f t="shared" si="111"/>
        <v>-0.41670664216565084</v>
      </c>
      <c r="AR62" s="449">
        <f t="shared" si="112"/>
        <v>65072.206999999995</v>
      </c>
      <c r="AS62" s="449">
        <f t="shared" si="113"/>
        <v>0</v>
      </c>
      <c r="AT62" s="426">
        <f t="shared" si="114"/>
        <v>0</v>
      </c>
      <c r="AU62" s="421"/>
      <c r="AV62" s="449">
        <f t="shared" si="115"/>
        <v>0</v>
      </c>
      <c r="AW62" s="449">
        <f t="shared" si="115"/>
        <v>5422.6839166666659</v>
      </c>
      <c r="AX62" s="449">
        <f t="shared" si="115"/>
        <v>5422.6839166666659</v>
      </c>
      <c r="AY62" s="449">
        <f t="shared" si="115"/>
        <v>5422.6839166666659</v>
      </c>
      <c r="AZ62" s="449">
        <f t="shared" si="115"/>
        <v>5422.6839166666659</v>
      </c>
      <c r="BA62" s="449">
        <f t="shared" si="115"/>
        <v>5422.6839166666659</v>
      </c>
      <c r="BB62" s="449">
        <f t="shared" si="115"/>
        <v>5422.6839166666659</v>
      </c>
      <c r="BC62" s="449">
        <f t="shared" si="115"/>
        <v>5422.6839166666659</v>
      </c>
      <c r="BD62" s="449">
        <f t="shared" si="115"/>
        <v>5422.6839166666659</v>
      </c>
      <c r="BE62" s="449">
        <f t="shared" si="115"/>
        <v>5422.6839166666659</v>
      </c>
      <c r="BF62" s="449">
        <f t="shared" si="115"/>
        <v>5422.6839166666659</v>
      </c>
      <c r="BG62" s="449">
        <f t="shared" si="115"/>
        <v>10845.367833333332</v>
      </c>
      <c r="BH62" s="400"/>
      <c r="BI62" s="449">
        <v>0</v>
      </c>
      <c r="BJ62" s="449">
        <f>('FY19 Staffing V1-1 (3)'!$P179-'FY19 Staffing V1-1 (3)'!$P175)/12</f>
        <v>5422.6839166666659</v>
      </c>
      <c r="BK62" s="449">
        <f>('FY19 Staffing V1-1 (3)'!$P179-'FY19 Staffing V1-1 (3)'!$P175)/12</f>
        <v>5422.6839166666659</v>
      </c>
      <c r="BL62" s="449">
        <f>('FY19 Staffing V1-1 (3)'!$P179-'FY19 Staffing V1-1 (3)'!$P175)/12</f>
        <v>5422.6839166666659</v>
      </c>
      <c r="BM62" s="449">
        <f>('FY19 Staffing V1-1 (3)'!$P179-'FY19 Staffing V1-1 (3)'!$P175)/12</f>
        <v>5422.6839166666659</v>
      </c>
      <c r="BN62" s="449">
        <f>('FY19 Staffing V1-1 (3)'!$P179-'FY19 Staffing V1-1 (3)'!$P175)/12</f>
        <v>5422.6839166666659</v>
      </c>
      <c r="BO62" s="449">
        <f>('FY19 Staffing V1-1 (3)'!$P179-'FY19 Staffing V1-1 (3)'!$P175)/12</f>
        <v>5422.6839166666659</v>
      </c>
      <c r="BP62" s="449">
        <f>('FY19 Staffing V1-1 (3)'!$P179-'FY19 Staffing V1-1 (3)'!$P175)/12</f>
        <v>5422.6839166666659</v>
      </c>
      <c r="BQ62" s="449">
        <f>('FY19 Staffing V1-1 (3)'!$P179-'FY19 Staffing V1-1 (3)'!$P175)/12</f>
        <v>5422.6839166666659</v>
      </c>
      <c r="BR62" s="449">
        <f>('FY19 Staffing V1-1 (3)'!$P179-'FY19 Staffing V1-1 (3)'!$P175)/12</f>
        <v>5422.6839166666659</v>
      </c>
      <c r="BS62" s="449">
        <f>('FY19 Staffing V1-1 (3)'!$P179-'FY19 Staffing V1-1 (3)'!$P175)/12</f>
        <v>5422.6839166666659</v>
      </c>
      <c r="BT62" s="449">
        <f>('FY19 Staffing V1-1 (3)'!$P179-'FY19 Staffing V1-1 (3)'!$P175)/12*2</f>
        <v>10845.367833333332</v>
      </c>
    </row>
    <row r="63" spans="1:72" ht="15" x14ac:dyDescent="0.25">
      <c r="A63" s="502" t="s">
        <v>89</v>
      </c>
      <c r="B63" s="502" t="s">
        <v>90</v>
      </c>
      <c r="C63" s="538"/>
      <c r="D63" s="500">
        <f t="shared" si="101"/>
        <v>71775</v>
      </c>
      <c r="E63" s="449">
        <v>71775</v>
      </c>
      <c r="F63" s="449">
        <f t="shared" si="102"/>
        <v>0</v>
      </c>
      <c r="G63" s="421">
        <f t="shared" si="103"/>
        <v>0</v>
      </c>
      <c r="H63" s="449">
        <v>71775</v>
      </c>
      <c r="I63" s="449">
        <f t="shared" si="104"/>
        <v>0</v>
      </c>
      <c r="J63" s="426">
        <f t="shared" si="105"/>
        <v>0</v>
      </c>
      <c r="K63" s="421"/>
      <c r="L63" s="449">
        <v>0</v>
      </c>
      <c r="M63" s="449">
        <v>2565</v>
      </c>
      <c r="N63" s="449">
        <v>3147.4399999999996</v>
      </c>
      <c r="O63" s="449">
        <v>3007.1500000000005</v>
      </c>
      <c r="P63" s="449">
        <v>4495.8599999999988</v>
      </c>
      <c r="Q63" s="449">
        <v>5177.3099999999995</v>
      </c>
      <c r="R63" s="449">
        <f>($H63-SUM($L63:Q63))/R$694</f>
        <v>8897.0400000000009</v>
      </c>
      <c r="S63" s="449">
        <f>($H63-SUM($L63:R63))/S$694</f>
        <v>8897.0399999999991</v>
      </c>
      <c r="T63" s="449">
        <f>($H63-SUM($L63:S63))/T$694</f>
        <v>8897.0400000000009</v>
      </c>
      <c r="U63" s="449">
        <f>($H63-SUM($L63:T63))/U$694</f>
        <v>8897.0400000000009</v>
      </c>
      <c r="V63" s="449">
        <f>($H63-SUM($L63:U63))/V$694</f>
        <v>8897.0400000000009</v>
      </c>
      <c r="W63" s="449">
        <f>($H63-SUM($L63:V63))/W$694</f>
        <v>8897.0400000000009</v>
      </c>
      <c r="X63" s="449"/>
      <c r="Y63" s="449">
        <f t="shared" si="106"/>
        <v>71775</v>
      </c>
      <c r="Z63" s="531"/>
      <c r="AA63" s="449">
        <f t="shared" si="107"/>
        <v>5981.25</v>
      </c>
      <c r="AB63" s="449">
        <f t="shared" si="107"/>
        <v>5981.25</v>
      </c>
      <c r="AC63" s="449">
        <f t="shared" si="107"/>
        <v>5981.25</v>
      </c>
      <c r="AD63" s="449">
        <f t="shared" si="107"/>
        <v>5981.25</v>
      </c>
      <c r="AE63" s="449">
        <f t="shared" si="107"/>
        <v>5981.25</v>
      </c>
      <c r="AF63" s="449">
        <f t="shared" si="107"/>
        <v>5981.25</v>
      </c>
      <c r="AG63" s="449">
        <f t="shared" si="107"/>
        <v>5981.25</v>
      </c>
      <c r="AH63" s="449">
        <f t="shared" si="107"/>
        <v>5981.25</v>
      </c>
      <c r="AI63" s="449">
        <f t="shared" si="107"/>
        <v>5981.25</v>
      </c>
      <c r="AJ63" s="449">
        <f t="shared" si="107"/>
        <v>5981.25</v>
      </c>
      <c r="AK63" s="449">
        <f t="shared" si="107"/>
        <v>5981.25</v>
      </c>
      <c r="AL63" s="449">
        <f t="shared" si="107"/>
        <v>5981.25</v>
      </c>
      <c r="AN63" s="500">
        <f t="shared" si="108"/>
        <v>71775</v>
      </c>
      <c r="AO63" s="449">
        <f>SUM(BI63:BT63)</f>
        <v>93291.536879224237</v>
      </c>
      <c r="AP63" s="449">
        <f t="shared" si="110"/>
        <v>21516.536879224237</v>
      </c>
      <c r="AQ63" s="453">
        <f t="shared" si="111"/>
        <v>0.29977759497351775</v>
      </c>
      <c r="AR63" s="449">
        <f t="shared" si="112"/>
        <v>93291.536879224237</v>
      </c>
      <c r="AS63" s="449">
        <f t="shared" si="113"/>
        <v>0</v>
      </c>
      <c r="AT63" s="426">
        <f t="shared" si="114"/>
        <v>0</v>
      </c>
      <c r="AU63" s="421"/>
      <c r="AV63" s="449">
        <f t="shared" si="115"/>
        <v>0</v>
      </c>
      <c r="AW63" s="449">
        <f t="shared" si="115"/>
        <v>0</v>
      </c>
      <c r="AX63" s="449">
        <f t="shared" si="115"/>
        <v>9329.1536879224223</v>
      </c>
      <c r="AY63" s="449">
        <f t="shared" si="115"/>
        <v>9329.1536879224223</v>
      </c>
      <c r="AZ63" s="449">
        <f t="shared" si="115"/>
        <v>9329.1536879224223</v>
      </c>
      <c r="BA63" s="449">
        <f t="shared" si="115"/>
        <v>9329.1536879224223</v>
      </c>
      <c r="BB63" s="449">
        <f t="shared" si="115"/>
        <v>9329.1536879224223</v>
      </c>
      <c r="BC63" s="449">
        <f t="shared" si="115"/>
        <v>9329.1536879224223</v>
      </c>
      <c r="BD63" s="449">
        <f t="shared" si="115"/>
        <v>9329.1536879224223</v>
      </c>
      <c r="BE63" s="449">
        <f t="shared" si="115"/>
        <v>9329.1536879224223</v>
      </c>
      <c r="BF63" s="449">
        <f t="shared" si="115"/>
        <v>9329.1536879224223</v>
      </c>
      <c r="BG63" s="449">
        <f t="shared" si="115"/>
        <v>9329.1536879224223</v>
      </c>
      <c r="BH63" s="400"/>
      <c r="BI63" s="449">
        <v>0</v>
      </c>
      <c r="BJ63" s="449">
        <v>0</v>
      </c>
      <c r="BK63" s="449">
        <f>(SUM('FY19 Staffing V1-1 (3)'!$P$144)/10)*(30/41)</f>
        <v>9329.1536879224223</v>
      </c>
      <c r="BL63" s="449">
        <f>(SUM('FY19 Staffing V1-1 (3)'!$P$144)/10)*(30/41)</f>
        <v>9329.1536879224223</v>
      </c>
      <c r="BM63" s="449">
        <f>(SUM('FY19 Staffing V1-1 (3)'!$P$144)/10)*(30/41)</f>
        <v>9329.1536879224223</v>
      </c>
      <c r="BN63" s="449">
        <f>(SUM('FY19 Staffing V1-1 (3)'!$P$144)/10)*(30/41)</f>
        <v>9329.1536879224223</v>
      </c>
      <c r="BO63" s="449">
        <f>(SUM('FY19 Staffing V1-1 (3)'!$P$144)/10)*(30/41)</f>
        <v>9329.1536879224223</v>
      </c>
      <c r="BP63" s="449">
        <f>(SUM('FY19 Staffing V1-1 (3)'!$P$144)/10)*(30/41)</f>
        <v>9329.1536879224223</v>
      </c>
      <c r="BQ63" s="449">
        <f>(SUM('FY19 Staffing V1-1 (3)'!$P$144)/10)*(30/41)</f>
        <v>9329.1536879224223</v>
      </c>
      <c r="BR63" s="449">
        <f>(SUM('FY19 Staffing V1-1 (3)'!$P$144)/10)*(30/41)</f>
        <v>9329.1536879224223</v>
      </c>
      <c r="BS63" s="449">
        <f>(SUM('FY19 Staffing V1-1 (3)'!$P$144)/10)*(30/41)</f>
        <v>9329.1536879224223</v>
      </c>
      <c r="BT63" s="449">
        <f>(SUM('FY19 Staffing V1-1 (3)'!$P$144)/10)*(30/41)</f>
        <v>9329.1536879224223</v>
      </c>
    </row>
    <row r="64" spans="1:72" ht="15" x14ac:dyDescent="0.25">
      <c r="A64" s="502" t="s">
        <v>91</v>
      </c>
      <c r="B64" s="502" t="s">
        <v>92</v>
      </c>
      <c r="C64" s="538"/>
      <c r="D64" s="500">
        <f t="shared" si="101"/>
        <v>0</v>
      </c>
      <c r="E64" s="449">
        <v>0</v>
      </c>
      <c r="F64" s="449">
        <f t="shared" si="102"/>
        <v>0</v>
      </c>
      <c r="G64" s="421">
        <f t="shared" si="103"/>
        <v>0</v>
      </c>
      <c r="H64" s="449">
        <v>0</v>
      </c>
      <c r="I64" s="449">
        <f t="shared" si="104"/>
        <v>0</v>
      </c>
      <c r="J64" s="426">
        <f t="shared" si="105"/>
        <v>0</v>
      </c>
      <c r="K64" s="421"/>
      <c r="L64" s="449">
        <v>0</v>
      </c>
      <c r="M64" s="449">
        <v>0</v>
      </c>
      <c r="N64" s="449">
        <v>0</v>
      </c>
      <c r="O64" s="449">
        <v>0</v>
      </c>
      <c r="P64" s="449">
        <v>0</v>
      </c>
      <c r="Q64" s="449">
        <v>0</v>
      </c>
      <c r="R64" s="449">
        <f>($H64-SUM($L64:Q64))/R$694</f>
        <v>0</v>
      </c>
      <c r="S64" s="449">
        <f>($H64-SUM($L64:R64))/S$694</f>
        <v>0</v>
      </c>
      <c r="T64" s="449">
        <f>($H64-SUM($L64:S64))/T$694</f>
        <v>0</v>
      </c>
      <c r="U64" s="449">
        <f>($H64-SUM($L64:T64))/U$694</f>
        <v>0</v>
      </c>
      <c r="V64" s="449">
        <f>($H64-SUM($L64:U64))/V$694</f>
        <v>0</v>
      </c>
      <c r="W64" s="449">
        <f>($H64-SUM($L64:V64))/W$694</f>
        <v>0</v>
      </c>
      <c r="X64" s="449"/>
      <c r="Y64" s="449">
        <f t="shared" si="106"/>
        <v>0</v>
      </c>
      <c r="Z64" s="531"/>
      <c r="AA64" s="449">
        <f t="shared" si="107"/>
        <v>0</v>
      </c>
      <c r="AB64" s="449">
        <f t="shared" si="107"/>
        <v>0</v>
      </c>
      <c r="AC64" s="449">
        <f t="shared" si="107"/>
        <v>0</v>
      </c>
      <c r="AD64" s="449">
        <f t="shared" si="107"/>
        <v>0</v>
      </c>
      <c r="AE64" s="449">
        <f t="shared" si="107"/>
        <v>0</v>
      </c>
      <c r="AF64" s="449">
        <f t="shared" si="107"/>
        <v>0</v>
      </c>
      <c r="AG64" s="449">
        <f t="shared" si="107"/>
        <v>0</v>
      </c>
      <c r="AH64" s="449">
        <f t="shared" si="107"/>
        <v>0</v>
      </c>
      <c r="AI64" s="449">
        <f t="shared" si="107"/>
        <v>0</v>
      </c>
      <c r="AJ64" s="449">
        <f t="shared" si="107"/>
        <v>0</v>
      </c>
      <c r="AK64" s="449">
        <f t="shared" si="107"/>
        <v>0</v>
      </c>
      <c r="AL64" s="449">
        <f t="shared" si="107"/>
        <v>0</v>
      </c>
      <c r="AN64" s="500">
        <f t="shared" si="108"/>
        <v>0</v>
      </c>
      <c r="AO64" s="449">
        <f t="shared" si="109"/>
        <v>0</v>
      </c>
      <c r="AP64" s="449">
        <f t="shared" si="110"/>
        <v>0</v>
      </c>
      <c r="AQ64" s="453" t="str">
        <f t="shared" si="111"/>
        <v>-</v>
      </c>
      <c r="AR64" s="449">
        <f t="shared" si="112"/>
        <v>0</v>
      </c>
      <c r="AS64" s="449">
        <f t="shared" si="113"/>
        <v>0</v>
      </c>
      <c r="AT64" s="426">
        <f t="shared" si="114"/>
        <v>0</v>
      </c>
      <c r="AU64" s="421"/>
      <c r="AV64" s="449">
        <f t="shared" si="115"/>
        <v>0</v>
      </c>
      <c r="AW64" s="449">
        <f t="shared" si="115"/>
        <v>0</v>
      </c>
      <c r="AX64" s="449">
        <f t="shared" si="115"/>
        <v>0</v>
      </c>
      <c r="AY64" s="449">
        <f t="shared" si="115"/>
        <v>0</v>
      </c>
      <c r="AZ64" s="449">
        <f t="shared" si="115"/>
        <v>0</v>
      </c>
      <c r="BA64" s="449">
        <f t="shared" si="115"/>
        <v>0</v>
      </c>
      <c r="BB64" s="449">
        <f t="shared" si="115"/>
        <v>0</v>
      </c>
      <c r="BC64" s="449">
        <f t="shared" si="115"/>
        <v>0</v>
      </c>
      <c r="BD64" s="449">
        <f t="shared" si="115"/>
        <v>0</v>
      </c>
      <c r="BE64" s="449">
        <f t="shared" si="115"/>
        <v>0</v>
      </c>
      <c r="BF64" s="449">
        <f t="shared" si="115"/>
        <v>0</v>
      </c>
      <c r="BG64" s="449">
        <f t="shared" si="115"/>
        <v>0</v>
      </c>
      <c r="BH64" s="400"/>
      <c r="BI64" s="449">
        <v>0</v>
      </c>
      <c r="BJ64" s="449">
        <v>0</v>
      </c>
      <c r="BK64" s="449">
        <v>0</v>
      </c>
      <c r="BL64" s="449">
        <v>0</v>
      </c>
      <c r="BM64" s="449">
        <v>0</v>
      </c>
      <c r="BN64" s="449">
        <v>0</v>
      </c>
      <c r="BO64" s="449">
        <v>0</v>
      </c>
      <c r="BP64" s="449">
        <v>0</v>
      </c>
      <c r="BQ64" s="449">
        <v>0</v>
      </c>
      <c r="BR64" s="449">
        <v>0</v>
      </c>
      <c r="BS64" s="449">
        <v>0</v>
      </c>
      <c r="BT64" s="449">
        <v>0</v>
      </c>
    </row>
    <row r="65" spans="1:72" ht="15" x14ac:dyDescent="0.25">
      <c r="A65" s="502" t="s">
        <v>93</v>
      </c>
      <c r="B65" s="502" t="s">
        <v>94</v>
      </c>
      <c r="C65" s="630"/>
      <c r="D65" s="500">
        <f t="shared" si="101"/>
        <v>10000</v>
      </c>
      <c r="E65" s="449">
        <v>10000</v>
      </c>
      <c r="F65" s="449">
        <f t="shared" si="102"/>
        <v>0</v>
      </c>
      <c r="G65" s="421">
        <f t="shared" si="103"/>
        <v>0</v>
      </c>
      <c r="H65" s="449">
        <v>10000</v>
      </c>
      <c r="I65" s="449">
        <f t="shared" si="104"/>
        <v>0</v>
      </c>
      <c r="J65" s="426">
        <f t="shared" si="105"/>
        <v>0</v>
      </c>
      <c r="K65" s="421"/>
      <c r="L65" s="449">
        <v>0</v>
      </c>
      <c r="M65" s="449">
        <v>0</v>
      </c>
      <c r="N65" s="449">
        <v>0</v>
      </c>
      <c r="O65" s="449">
        <v>0</v>
      </c>
      <c r="P65" s="449">
        <v>0</v>
      </c>
      <c r="Q65" s="449">
        <v>0</v>
      </c>
      <c r="R65" s="449">
        <f>($H65-SUM($L65:Q65))/R$694</f>
        <v>1666.6666666666667</v>
      </c>
      <c r="S65" s="449">
        <f>($H65-SUM($L65:R65))/S$694</f>
        <v>1666.6666666666667</v>
      </c>
      <c r="T65" s="449">
        <f>($H65-SUM($L65:S65))/T$694</f>
        <v>1666.6666666666665</v>
      </c>
      <c r="U65" s="449">
        <f>($H65-SUM($L65:T65))/U$694</f>
        <v>1666.6666666666667</v>
      </c>
      <c r="V65" s="449">
        <f>($H65-SUM($L65:U65))/V$694</f>
        <v>1666.6666666666665</v>
      </c>
      <c r="W65" s="449">
        <f>($H65-SUM($L65:V65))/W$694</f>
        <v>1666.6666666666661</v>
      </c>
      <c r="X65" s="449"/>
      <c r="Y65" s="449">
        <f t="shared" si="106"/>
        <v>10000</v>
      </c>
      <c r="Z65" s="531"/>
      <c r="AA65" s="449">
        <f t="shared" si="107"/>
        <v>833.33333333333337</v>
      </c>
      <c r="AB65" s="449">
        <f t="shared" si="107"/>
        <v>833.33333333333337</v>
      </c>
      <c r="AC65" s="449">
        <f t="shared" si="107"/>
        <v>833.33333333333337</v>
      </c>
      <c r="AD65" s="449">
        <f t="shared" si="107"/>
        <v>833.33333333333337</v>
      </c>
      <c r="AE65" s="449">
        <f t="shared" si="107"/>
        <v>833.33333333333337</v>
      </c>
      <c r="AF65" s="449">
        <f t="shared" si="107"/>
        <v>833.33333333333337</v>
      </c>
      <c r="AG65" s="449">
        <f t="shared" si="107"/>
        <v>833.33333333333337</v>
      </c>
      <c r="AH65" s="449">
        <f t="shared" si="107"/>
        <v>833.33333333333337</v>
      </c>
      <c r="AI65" s="449">
        <f t="shared" si="107"/>
        <v>833.33333333333337</v>
      </c>
      <c r="AJ65" s="449">
        <f t="shared" si="107"/>
        <v>833.33333333333337</v>
      </c>
      <c r="AK65" s="449">
        <f t="shared" si="107"/>
        <v>833.33333333333337</v>
      </c>
      <c r="AL65" s="449">
        <f t="shared" si="107"/>
        <v>833.33333333333337</v>
      </c>
      <c r="AN65" s="500">
        <f t="shared" si="108"/>
        <v>10000</v>
      </c>
      <c r="AO65" s="449">
        <f t="shared" si="109"/>
        <v>17808.21</v>
      </c>
      <c r="AP65" s="449">
        <f t="shared" si="110"/>
        <v>7808.2099999999991</v>
      </c>
      <c r="AQ65" s="453">
        <f t="shared" si="111"/>
        <v>0.78082099999999988</v>
      </c>
      <c r="AR65" s="449">
        <f t="shared" si="112"/>
        <v>17808.21</v>
      </c>
      <c r="AS65" s="449">
        <f t="shared" si="113"/>
        <v>0</v>
      </c>
      <c r="AT65" s="426">
        <f t="shared" si="114"/>
        <v>0</v>
      </c>
      <c r="AU65" s="421"/>
      <c r="AV65" s="449">
        <f t="shared" si="115"/>
        <v>0</v>
      </c>
      <c r="AW65" s="449">
        <f t="shared" si="115"/>
        <v>1484.0174999999999</v>
      </c>
      <c r="AX65" s="449">
        <f t="shared" si="115"/>
        <v>1484.0174999999999</v>
      </c>
      <c r="AY65" s="449">
        <f t="shared" si="115"/>
        <v>1484.0174999999999</v>
      </c>
      <c r="AZ65" s="449">
        <f t="shared" si="115"/>
        <v>1484.0174999999999</v>
      </c>
      <c r="BA65" s="449">
        <f t="shared" si="115"/>
        <v>1484.0174999999999</v>
      </c>
      <c r="BB65" s="449">
        <f t="shared" si="115"/>
        <v>1484.0174999999999</v>
      </c>
      <c r="BC65" s="449">
        <f t="shared" si="115"/>
        <v>1484.0174999999999</v>
      </c>
      <c r="BD65" s="449">
        <f t="shared" si="115"/>
        <v>1484.0174999999999</v>
      </c>
      <c r="BE65" s="449">
        <f t="shared" si="115"/>
        <v>1484.0174999999999</v>
      </c>
      <c r="BF65" s="449">
        <f t="shared" si="115"/>
        <v>1484.0174999999999</v>
      </c>
      <c r="BG65" s="449">
        <f t="shared" si="115"/>
        <v>2968.0349999999999</v>
      </c>
      <c r="BH65" s="400"/>
      <c r="BI65" s="449">
        <v>0</v>
      </c>
      <c r="BJ65" s="449">
        <f>17808.21/12</f>
        <v>1484.0174999999999</v>
      </c>
      <c r="BK65" s="449">
        <f t="shared" ref="BK65:BS65" si="116">17808.21/12</f>
        <v>1484.0174999999999</v>
      </c>
      <c r="BL65" s="449">
        <f t="shared" si="116"/>
        <v>1484.0174999999999</v>
      </c>
      <c r="BM65" s="449">
        <f t="shared" si="116"/>
        <v>1484.0174999999999</v>
      </c>
      <c r="BN65" s="449">
        <f t="shared" si="116"/>
        <v>1484.0174999999999</v>
      </c>
      <c r="BO65" s="449">
        <f t="shared" si="116"/>
        <v>1484.0174999999999</v>
      </c>
      <c r="BP65" s="449">
        <f t="shared" si="116"/>
        <v>1484.0174999999999</v>
      </c>
      <c r="BQ65" s="449">
        <f t="shared" si="116"/>
        <v>1484.0174999999999</v>
      </c>
      <c r="BR65" s="449">
        <f t="shared" si="116"/>
        <v>1484.0174999999999</v>
      </c>
      <c r="BS65" s="449">
        <f t="shared" si="116"/>
        <v>1484.0174999999999</v>
      </c>
      <c r="BT65" s="449">
        <f>17808.21/12*2</f>
        <v>2968.0349999999999</v>
      </c>
    </row>
    <row r="66" spans="1:72" ht="15" x14ac:dyDescent="0.25">
      <c r="A66" s="612" t="s">
        <v>95</v>
      </c>
      <c r="B66" s="502" t="s">
        <v>96</v>
      </c>
      <c r="C66" s="538"/>
      <c r="D66" s="500">
        <f t="shared" si="101"/>
        <v>63000</v>
      </c>
      <c r="E66" s="449">
        <v>63000</v>
      </c>
      <c r="F66" s="449">
        <f t="shared" si="102"/>
        <v>0</v>
      </c>
      <c r="G66" s="421">
        <f t="shared" si="103"/>
        <v>0</v>
      </c>
      <c r="H66" s="449">
        <v>63000</v>
      </c>
      <c r="I66" s="449">
        <f t="shared" si="104"/>
        <v>0</v>
      </c>
      <c r="J66" s="426">
        <f t="shared" si="105"/>
        <v>0</v>
      </c>
      <c r="K66" s="421"/>
      <c r="L66" s="449">
        <v>0</v>
      </c>
      <c r="M66" s="449">
        <v>0</v>
      </c>
      <c r="N66" s="449">
        <v>0</v>
      </c>
      <c r="O66" s="449">
        <v>49500</v>
      </c>
      <c r="P66" s="449">
        <v>0</v>
      </c>
      <c r="Q66" s="449">
        <v>0</v>
      </c>
      <c r="R66" s="449">
        <f>($H66-SUM($L66:Q66))/R$694</f>
        <v>2250</v>
      </c>
      <c r="S66" s="449">
        <f>($H66-SUM($L66:R66))/S$694</f>
        <v>2250</v>
      </c>
      <c r="T66" s="449">
        <f>($H66-SUM($L66:S66))/T$694</f>
        <v>2250</v>
      </c>
      <c r="U66" s="449">
        <f>($H66-SUM($L66:T66))/U$694</f>
        <v>2250</v>
      </c>
      <c r="V66" s="449">
        <f>($H66-SUM($L66:U66))/V$694</f>
        <v>2250</v>
      </c>
      <c r="W66" s="449">
        <f>($H66-SUM($L66:V66))/W$694</f>
        <v>2250</v>
      </c>
      <c r="X66" s="449"/>
      <c r="Y66" s="449">
        <f t="shared" si="106"/>
        <v>63000</v>
      </c>
      <c r="Z66" s="531"/>
      <c r="AA66" s="449">
        <f t="shared" si="107"/>
        <v>5250</v>
      </c>
      <c r="AB66" s="449">
        <f t="shared" si="107"/>
        <v>5250</v>
      </c>
      <c r="AC66" s="449">
        <f t="shared" si="107"/>
        <v>5250</v>
      </c>
      <c r="AD66" s="449">
        <f t="shared" si="107"/>
        <v>5250</v>
      </c>
      <c r="AE66" s="449">
        <f t="shared" si="107"/>
        <v>5250</v>
      </c>
      <c r="AF66" s="449">
        <f t="shared" si="107"/>
        <v>5250</v>
      </c>
      <c r="AG66" s="449">
        <f t="shared" si="107"/>
        <v>5250</v>
      </c>
      <c r="AH66" s="449">
        <f t="shared" si="107"/>
        <v>5250</v>
      </c>
      <c r="AI66" s="449">
        <f t="shared" si="107"/>
        <v>5250</v>
      </c>
      <c r="AJ66" s="449">
        <f t="shared" si="107"/>
        <v>5250</v>
      </c>
      <c r="AK66" s="449">
        <f t="shared" si="107"/>
        <v>5250</v>
      </c>
      <c r="AL66" s="449">
        <f t="shared" si="107"/>
        <v>5250</v>
      </c>
      <c r="AN66" s="500">
        <f t="shared" si="108"/>
        <v>63000</v>
      </c>
      <c r="AO66" s="449">
        <f t="shared" si="109"/>
        <v>78000</v>
      </c>
      <c r="AP66" s="449">
        <f t="shared" si="110"/>
        <v>15000</v>
      </c>
      <c r="AQ66" s="453">
        <f t="shared" si="111"/>
        <v>0.23809523809523808</v>
      </c>
      <c r="AR66" s="449">
        <f t="shared" si="112"/>
        <v>78000</v>
      </c>
      <c r="AS66" s="449">
        <f t="shared" si="113"/>
        <v>0</v>
      </c>
      <c r="AT66" s="426">
        <f t="shared" si="114"/>
        <v>0</v>
      </c>
      <c r="AU66" s="421"/>
      <c r="AV66" s="449">
        <f t="shared" si="115"/>
        <v>0</v>
      </c>
      <c r="AW66" s="449">
        <f t="shared" si="115"/>
        <v>0</v>
      </c>
      <c r="AX66" s="449">
        <f t="shared" si="115"/>
        <v>0</v>
      </c>
      <c r="AY66" s="449">
        <f t="shared" si="115"/>
        <v>78000</v>
      </c>
      <c r="AZ66" s="449">
        <f t="shared" si="115"/>
        <v>0</v>
      </c>
      <c r="BA66" s="449">
        <f t="shared" si="115"/>
        <v>0</v>
      </c>
      <c r="BB66" s="449">
        <f t="shared" si="115"/>
        <v>0</v>
      </c>
      <c r="BC66" s="449">
        <f t="shared" si="115"/>
        <v>0</v>
      </c>
      <c r="BD66" s="449">
        <f t="shared" si="115"/>
        <v>0</v>
      </c>
      <c r="BE66" s="449">
        <f t="shared" si="115"/>
        <v>0</v>
      </c>
      <c r="BF66" s="449">
        <f t="shared" si="115"/>
        <v>0</v>
      </c>
      <c r="BG66" s="449">
        <f t="shared" si="115"/>
        <v>0</v>
      </c>
      <c r="BH66" s="400"/>
      <c r="BI66" s="449">
        <v>0</v>
      </c>
      <c r="BJ66" s="449">
        <v>0</v>
      </c>
      <c r="BK66" s="449">
        <v>0</v>
      </c>
      <c r="BL66" s="449">
        <f>SUM('FY19 Staffing V1-1 (3)'!$J$5:$J$36)</f>
        <v>78000</v>
      </c>
      <c r="BM66" s="449">
        <v>0</v>
      </c>
      <c r="BN66" s="449">
        <v>0</v>
      </c>
      <c r="BO66" s="449">
        <v>0</v>
      </c>
      <c r="BP66" s="449">
        <v>0</v>
      </c>
      <c r="BQ66" s="449">
        <v>0</v>
      </c>
      <c r="BR66" s="449">
        <v>0</v>
      </c>
      <c r="BS66" s="449">
        <v>0</v>
      </c>
      <c r="BT66" s="449">
        <v>0</v>
      </c>
    </row>
    <row r="67" spans="1:72" ht="15" x14ac:dyDescent="0.25">
      <c r="A67" s="612" t="s">
        <v>97</v>
      </c>
      <c r="B67" s="502" t="s">
        <v>98</v>
      </c>
      <c r="C67" s="538"/>
      <c r="D67" s="500">
        <f t="shared" si="101"/>
        <v>3000</v>
      </c>
      <c r="E67" s="449">
        <v>0</v>
      </c>
      <c r="F67" s="449">
        <f t="shared" si="102"/>
        <v>3000</v>
      </c>
      <c r="G67" s="421">
        <f t="shared" si="103"/>
        <v>0</v>
      </c>
      <c r="H67" s="449">
        <v>0</v>
      </c>
      <c r="I67" s="449">
        <f t="shared" si="104"/>
        <v>3000</v>
      </c>
      <c r="J67" s="426">
        <f t="shared" si="105"/>
        <v>0</v>
      </c>
      <c r="K67" s="421"/>
      <c r="L67" s="449">
        <v>0</v>
      </c>
      <c r="M67" s="449">
        <v>0</v>
      </c>
      <c r="N67" s="449">
        <v>0</v>
      </c>
      <c r="O67" s="449">
        <v>3000</v>
      </c>
      <c r="P67" s="449">
        <v>0</v>
      </c>
      <c r="Q67" s="449">
        <v>0</v>
      </c>
      <c r="R67" s="449">
        <v>0</v>
      </c>
      <c r="S67" s="449">
        <v>0</v>
      </c>
      <c r="T67" s="449">
        <v>0</v>
      </c>
      <c r="U67" s="449">
        <v>0</v>
      </c>
      <c r="V67" s="449">
        <v>0</v>
      </c>
      <c r="W67" s="449">
        <v>0</v>
      </c>
      <c r="X67" s="449"/>
      <c r="Y67" s="449">
        <f t="shared" si="106"/>
        <v>3000</v>
      </c>
      <c r="Z67" s="531"/>
      <c r="AA67" s="449">
        <f t="shared" si="107"/>
        <v>0</v>
      </c>
      <c r="AB67" s="449">
        <f t="shared" si="107"/>
        <v>0</v>
      </c>
      <c r="AC67" s="449">
        <f t="shared" si="107"/>
        <v>0</v>
      </c>
      <c r="AD67" s="449">
        <f t="shared" si="107"/>
        <v>0</v>
      </c>
      <c r="AE67" s="449">
        <f t="shared" si="107"/>
        <v>0</v>
      </c>
      <c r="AF67" s="449">
        <f t="shared" si="107"/>
        <v>0</v>
      </c>
      <c r="AG67" s="449">
        <f t="shared" si="107"/>
        <v>0</v>
      </c>
      <c r="AH67" s="449">
        <f t="shared" si="107"/>
        <v>0</v>
      </c>
      <c r="AI67" s="449">
        <f t="shared" si="107"/>
        <v>0</v>
      </c>
      <c r="AJ67" s="449">
        <f t="shared" si="107"/>
        <v>0</v>
      </c>
      <c r="AK67" s="449">
        <f t="shared" si="107"/>
        <v>0</v>
      </c>
      <c r="AL67" s="449">
        <f t="shared" si="107"/>
        <v>0</v>
      </c>
      <c r="AN67" s="500">
        <f t="shared" si="108"/>
        <v>3000</v>
      </c>
      <c r="AO67" s="449">
        <f t="shared" si="109"/>
        <v>0</v>
      </c>
      <c r="AP67" s="449">
        <f t="shared" si="110"/>
        <v>-3000</v>
      </c>
      <c r="AQ67" s="453">
        <f t="shared" si="111"/>
        <v>-1</v>
      </c>
      <c r="AR67" s="449">
        <f t="shared" si="112"/>
        <v>0</v>
      </c>
      <c r="AS67" s="449">
        <f t="shared" si="113"/>
        <v>0</v>
      </c>
      <c r="AT67" s="426">
        <f t="shared" si="114"/>
        <v>0</v>
      </c>
      <c r="AU67" s="421"/>
      <c r="AV67" s="449">
        <f t="shared" si="115"/>
        <v>0</v>
      </c>
      <c r="AW67" s="449">
        <f t="shared" si="115"/>
        <v>0</v>
      </c>
      <c r="AX67" s="449">
        <f t="shared" si="115"/>
        <v>0</v>
      </c>
      <c r="AY67" s="449">
        <f t="shared" si="115"/>
        <v>0</v>
      </c>
      <c r="AZ67" s="449">
        <f t="shared" si="115"/>
        <v>0</v>
      </c>
      <c r="BA67" s="449">
        <f t="shared" si="115"/>
        <v>0</v>
      </c>
      <c r="BB67" s="449">
        <f t="shared" si="115"/>
        <v>0</v>
      </c>
      <c r="BC67" s="449">
        <f t="shared" si="115"/>
        <v>0</v>
      </c>
      <c r="BD67" s="449">
        <f t="shared" si="115"/>
        <v>0</v>
      </c>
      <c r="BE67" s="449">
        <f t="shared" si="115"/>
        <v>0</v>
      </c>
      <c r="BF67" s="449">
        <f t="shared" si="115"/>
        <v>0</v>
      </c>
      <c r="BG67" s="449">
        <f t="shared" si="115"/>
        <v>0</v>
      </c>
      <c r="BH67" s="400"/>
      <c r="BI67" s="449">
        <v>0</v>
      </c>
      <c r="BJ67" s="449">
        <v>0</v>
      </c>
      <c r="BK67" s="449">
        <v>0</v>
      </c>
      <c r="BL67" s="449">
        <v>0</v>
      </c>
      <c r="BM67" s="449">
        <v>0</v>
      </c>
      <c r="BN67" s="449">
        <v>0</v>
      </c>
      <c r="BO67" s="449">
        <v>0</v>
      </c>
      <c r="BP67" s="449">
        <v>0</v>
      </c>
      <c r="BQ67" s="449">
        <v>0</v>
      </c>
      <c r="BR67" s="449">
        <v>0</v>
      </c>
      <c r="BS67" s="449">
        <v>0</v>
      </c>
      <c r="BT67" s="449">
        <v>0</v>
      </c>
    </row>
    <row r="68" spans="1:72" ht="15" hidden="1" x14ac:dyDescent="0.25">
      <c r="A68" s="502" t="s">
        <v>99</v>
      </c>
      <c r="B68" s="502" t="s">
        <v>100</v>
      </c>
      <c r="C68" s="541"/>
      <c r="D68" s="500">
        <f t="shared" si="101"/>
        <v>0</v>
      </c>
      <c r="E68" s="449">
        <v>0</v>
      </c>
      <c r="F68" s="449">
        <f t="shared" si="102"/>
        <v>0</v>
      </c>
      <c r="G68" s="421">
        <f t="shared" si="103"/>
        <v>0</v>
      </c>
      <c r="H68" s="449">
        <v>0</v>
      </c>
      <c r="I68" s="449">
        <f t="shared" si="104"/>
        <v>0</v>
      </c>
      <c r="J68" s="426">
        <f t="shared" si="105"/>
        <v>0</v>
      </c>
      <c r="K68" s="421"/>
      <c r="L68" s="449">
        <v>0</v>
      </c>
      <c r="M68" s="449">
        <v>0</v>
      </c>
      <c r="N68" s="449">
        <v>0</v>
      </c>
      <c r="O68" s="449">
        <v>0</v>
      </c>
      <c r="P68" s="449">
        <v>0</v>
      </c>
      <c r="Q68" s="449">
        <v>0</v>
      </c>
      <c r="R68" s="449">
        <f>($H68-SUM($L68:Q68))/R$694</f>
        <v>0</v>
      </c>
      <c r="S68" s="449">
        <f>($H68-SUM($L68:R68))/S$694</f>
        <v>0</v>
      </c>
      <c r="T68" s="449">
        <f>($H68-SUM($L68:S68))/T$694</f>
        <v>0</v>
      </c>
      <c r="U68" s="449">
        <f>($H68-SUM($L68:T68))/U$694</f>
        <v>0</v>
      </c>
      <c r="V68" s="449">
        <f>($H68-SUM($L68:U68))/V$694</f>
        <v>0</v>
      </c>
      <c r="W68" s="449">
        <f>($H68-SUM($L68:V68))/W$694</f>
        <v>0</v>
      </c>
      <c r="X68" s="449"/>
      <c r="Y68" s="449">
        <f t="shared" si="106"/>
        <v>0</v>
      </c>
      <c r="Z68" s="531"/>
      <c r="AA68" s="449">
        <f t="shared" si="107"/>
        <v>0</v>
      </c>
      <c r="AB68" s="449">
        <f t="shared" si="107"/>
        <v>0</v>
      </c>
      <c r="AC68" s="449">
        <f t="shared" si="107"/>
        <v>0</v>
      </c>
      <c r="AD68" s="449">
        <f t="shared" si="107"/>
        <v>0</v>
      </c>
      <c r="AE68" s="449">
        <f t="shared" si="107"/>
        <v>0</v>
      </c>
      <c r="AF68" s="449">
        <f t="shared" si="107"/>
        <v>0</v>
      </c>
      <c r="AG68" s="449">
        <f t="shared" si="107"/>
        <v>0</v>
      </c>
      <c r="AH68" s="449">
        <f t="shared" si="107"/>
        <v>0</v>
      </c>
      <c r="AI68" s="449">
        <f t="shared" si="107"/>
        <v>0</v>
      </c>
      <c r="AJ68" s="449">
        <f t="shared" si="107"/>
        <v>0</v>
      </c>
      <c r="AK68" s="449">
        <f t="shared" si="107"/>
        <v>0</v>
      </c>
      <c r="AL68" s="449">
        <f t="shared" si="107"/>
        <v>0</v>
      </c>
      <c r="AN68" s="500">
        <f t="shared" si="108"/>
        <v>0</v>
      </c>
      <c r="AO68" s="449">
        <f t="shared" si="109"/>
        <v>0</v>
      </c>
      <c r="AP68" s="449">
        <f t="shared" si="110"/>
        <v>0</v>
      </c>
      <c r="AQ68" s="453" t="str">
        <f t="shared" si="111"/>
        <v>-</v>
      </c>
      <c r="AR68" s="449">
        <f t="shared" si="112"/>
        <v>0</v>
      </c>
      <c r="AS68" s="449">
        <f t="shared" si="113"/>
        <v>0</v>
      </c>
      <c r="AT68" s="426">
        <f t="shared" si="114"/>
        <v>0</v>
      </c>
      <c r="AU68" s="421"/>
      <c r="AV68" s="449">
        <f t="shared" si="115"/>
        <v>0</v>
      </c>
      <c r="AW68" s="449">
        <f t="shared" si="115"/>
        <v>0</v>
      </c>
      <c r="AX68" s="449">
        <f t="shared" si="115"/>
        <v>0</v>
      </c>
      <c r="AY68" s="449">
        <f t="shared" si="115"/>
        <v>0</v>
      </c>
      <c r="AZ68" s="449">
        <f t="shared" si="115"/>
        <v>0</v>
      </c>
      <c r="BA68" s="449">
        <f t="shared" si="115"/>
        <v>0</v>
      </c>
      <c r="BB68" s="449">
        <f t="shared" si="115"/>
        <v>0</v>
      </c>
      <c r="BC68" s="449">
        <f t="shared" si="115"/>
        <v>0</v>
      </c>
      <c r="BD68" s="449">
        <f t="shared" si="115"/>
        <v>0</v>
      </c>
      <c r="BE68" s="449">
        <f t="shared" si="115"/>
        <v>0</v>
      </c>
      <c r="BF68" s="449">
        <f t="shared" si="115"/>
        <v>0</v>
      </c>
      <c r="BG68" s="449">
        <f t="shared" si="115"/>
        <v>0</v>
      </c>
      <c r="BH68" s="400"/>
      <c r="BI68" s="449">
        <v>0</v>
      </c>
      <c r="BJ68" s="449">
        <v>0</v>
      </c>
      <c r="BK68" s="449">
        <v>0</v>
      </c>
      <c r="BL68" s="449">
        <v>0</v>
      </c>
      <c r="BM68" s="449">
        <v>0</v>
      </c>
      <c r="BN68" s="449">
        <v>0</v>
      </c>
      <c r="BO68" s="449">
        <v>0</v>
      </c>
      <c r="BP68" s="449">
        <v>0</v>
      </c>
      <c r="BQ68" s="449">
        <v>0</v>
      </c>
      <c r="BR68" s="449">
        <v>0</v>
      </c>
      <c r="BS68" s="449">
        <v>0</v>
      </c>
      <c r="BT68" s="449">
        <v>0</v>
      </c>
    </row>
    <row r="69" spans="1:72" ht="15" hidden="1" x14ac:dyDescent="0.25">
      <c r="A69" s="502" t="s">
        <v>101</v>
      </c>
      <c r="B69" s="502" t="s">
        <v>102</v>
      </c>
      <c r="C69" s="541"/>
      <c r="D69" s="500">
        <f t="shared" si="101"/>
        <v>0</v>
      </c>
      <c r="E69" s="449">
        <v>0</v>
      </c>
      <c r="F69" s="449">
        <f t="shared" si="102"/>
        <v>0</v>
      </c>
      <c r="G69" s="421">
        <f t="shared" si="103"/>
        <v>0</v>
      </c>
      <c r="H69" s="449">
        <v>0</v>
      </c>
      <c r="I69" s="449">
        <f t="shared" si="104"/>
        <v>0</v>
      </c>
      <c r="J69" s="426">
        <f t="shared" si="105"/>
        <v>0</v>
      </c>
      <c r="K69" s="421"/>
      <c r="L69" s="449">
        <v>0</v>
      </c>
      <c r="M69" s="449">
        <v>0</v>
      </c>
      <c r="N69" s="449">
        <v>0</v>
      </c>
      <c r="O69" s="449">
        <v>0</v>
      </c>
      <c r="P69" s="449">
        <v>0</v>
      </c>
      <c r="Q69" s="449">
        <v>0</v>
      </c>
      <c r="R69" s="449">
        <f>($H69-SUM($L69:Q69))/R$694</f>
        <v>0</v>
      </c>
      <c r="S69" s="449">
        <f>($H69-SUM($L69:R69))/S$694</f>
        <v>0</v>
      </c>
      <c r="T69" s="449">
        <f>($H69-SUM($L69:S69))/T$694</f>
        <v>0</v>
      </c>
      <c r="U69" s="449">
        <f>($H69-SUM($L69:T69))/U$694</f>
        <v>0</v>
      </c>
      <c r="V69" s="449">
        <f>($H69-SUM($L69:U69))/V$694</f>
        <v>0</v>
      </c>
      <c r="W69" s="449">
        <f>($H69-SUM($L69:V69))/W$694</f>
        <v>0</v>
      </c>
      <c r="X69" s="449"/>
      <c r="Y69" s="449">
        <f t="shared" si="106"/>
        <v>0</v>
      </c>
      <c r="Z69" s="531"/>
      <c r="AA69" s="449">
        <f t="shared" si="107"/>
        <v>0</v>
      </c>
      <c r="AB69" s="449">
        <f t="shared" si="107"/>
        <v>0</v>
      </c>
      <c r="AC69" s="449">
        <f t="shared" si="107"/>
        <v>0</v>
      </c>
      <c r="AD69" s="449">
        <f t="shared" si="107"/>
        <v>0</v>
      </c>
      <c r="AE69" s="449">
        <f t="shared" si="107"/>
        <v>0</v>
      </c>
      <c r="AF69" s="449">
        <f t="shared" si="107"/>
        <v>0</v>
      </c>
      <c r="AG69" s="449">
        <f t="shared" si="107"/>
        <v>0</v>
      </c>
      <c r="AH69" s="449">
        <f t="shared" si="107"/>
        <v>0</v>
      </c>
      <c r="AI69" s="449">
        <f t="shared" si="107"/>
        <v>0</v>
      </c>
      <c r="AJ69" s="449">
        <f t="shared" si="107"/>
        <v>0</v>
      </c>
      <c r="AK69" s="449">
        <f t="shared" si="107"/>
        <v>0</v>
      </c>
      <c r="AL69" s="449">
        <f t="shared" si="107"/>
        <v>0</v>
      </c>
      <c r="AN69" s="500">
        <f t="shared" si="108"/>
        <v>0</v>
      </c>
      <c r="AO69" s="449">
        <f t="shared" si="109"/>
        <v>0</v>
      </c>
      <c r="AP69" s="449">
        <f t="shared" si="110"/>
        <v>0</v>
      </c>
      <c r="AQ69" s="453" t="str">
        <f t="shared" si="111"/>
        <v>-</v>
      </c>
      <c r="AR69" s="449">
        <f t="shared" si="112"/>
        <v>0</v>
      </c>
      <c r="AS69" s="449">
        <f t="shared" si="113"/>
        <v>0</v>
      </c>
      <c r="AT69" s="426">
        <f t="shared" si="114"/>
        <v>0</v>
      </c>
      <c r="AU69" s="421"/>
      <c r="AV69" s="449">
        <f t="shared" si="115"/>
        <v>0</v>
      </c>
      <c r="AW69" s="449">
        <f t="shared" si="115"/>
        <v>0</v>
      </c>
      <c r="AX69" s="449">
        <f t="shared" si="115"/>
        <v>0</v>
      </c>
      <c r="AY69" s="449">
        <f t="shared" si="115"/>
        <v>0</v>
      </c>
      <c r="AZ69" s="449">
        <f t="shared" si="115"/>
        <v>0</v>
      </c>
      <c r="BA69" s="449">
        <f t="shared" si="115"/>
        <v>0</v>
      </c>
      <c r="BB69" s="449">
        <f t="shared" si="115"/>
        <v>0</v>
      </c>
      <c r="BC69" s="449">
        <f t="shared" si="115"/>
        <v>0</v>
      </c>
      <c r="BD69" s="449">
        <f t="shared" si="115"/>
        <v>0</v>
      </c>
      <c r="BE69" s="449">
        <f t="shared" si="115"/>
        <v>0</v>
      </c>
      <c r="BF69" s="449">
        <f t="shared" si="115"/>
        <v>0</v>
      </c>
      <c r="BG69" s="449">
        <f t="shared" si="115"/>
        <v>0</v>
      </c>
      <c r="BH69" s="400"/>
      <c r="BI69" s="449">
        <v>0</v>
      </c>
      <c r="BJ69" s="449">
        <v>0</v>
      </c>
      <c r="BK69" s="449">
        <v>0</v>
      </c>
      <c r="BL69" s="449">
        <v>0</v>
      </c>
      <c r="BM69" s="449">
        <v>0</v>
      </c>
      <c r="BN69" s="449">
        <v>0</v>
      </c>
      <c r="BO69" s="449">
        <v>0</v>
      </c>
      <c r="BP69" s="449">
        <v>0</v>
      </c>
      <c r="BQ69" s="449">
        <v>0</v>
      </c>
      <c r="BR69" s="449">
        <v>0</v>
      </c>
      <c r="BS69" s="449">
        <v>0</v>
      </c>
      <c r="BT69" s="449">
        <v>0</v>
      </c>
    </row>
    <row r="70" spans="1:72" ht="15" x14ac:dyDescent="0.25">
      <c r="A70" s="502" t="s">
        <v>103</v>
      </c>
      <c r="B70" s="502" t="s">
        <v>104</v>
      </c>
      <c r="C70" s="541"/>
      <c r="D70" s="500">
        <f t="shared" si="101"/>
        <v>152980</v>
      </c>
      <c r="E70" s="449">
        <v>147530</v>
      </c>
      <c r="F70" s="449">
        <f t="shared" si="102"/>
        <v>5450</v>
      </c>
      <c r="G70" s="421">
        <f t="shared" si="103"/>
        <v>3.6941638988680268E-2</v>
      </c>
      <c r="H70" s="449">
        <v>152980</v>
      </c>
      <c r="I70" s="449">
        <f t="shared" si="104"/>
        <v>0</v>
      </c>
      <c r="J70" s="426">
        <f t="shared" si="105"/>
        <v>0</v>
      </c>
      <c r="K70" s="421"/>
      <c r="L70" s="449">
        <v>55.15</v>
      </c>
      <c r="M70" s="449">
        <v>16511.609999999997</v>
      </c>
      <c r="N70" s="449">
        <v>11936.460000000003</v>
      </c>
      <c r="O70" s="449">
        <v>17700.059999999998</v>
      </c>
      <c r="P70" s="449">
        <v>8983.89</v>
      </c>
      <c r="Q70" s="449">
        <v>9316.4900000000052</v>
      </c>
      <c r="R70" s="449">
        <f>($H70-SUM($L70:Q70))/R$694</f>
        <v>14746.056666666665</v>
      </c>
      <c r="S70" s="449">
        <f>($H70-SUM($L70:R70))/S$694</f>
        <v>14746.056666666665</v>
      </c>
      <c r="T70" s="449">
        <f>($H70-SUM($L70:S70))/T$694</f>
        <v>14746.056666666664</v>
      </c>
      <c r="U70" s="449">
        <f>($H70-SUM($L70:T70))/U$694</f>
        <v>14746.056666666662</v>
      </c>
      <c r="V70" s="449">
        <f>($H70-SUM($L70:U70))/V$694</f>
        <v>14746.056666666664</v>
      </c>
      <c r="W70" s="449">
        <f>($H70-SUM($L70:V70))/W$694</f>
        <v>14746.056666666671</v>
      </c>
      <c r="X70" s="449"/>
      <c r="Y70" s="449">
        <f t="shared" si="106"/>
        <v>152980</v>
      </c>
      <c r="Z70" s="531"/>
      <c r="AA70" s="449">
        <f t="shared" si="107"/>
        <v>12748.333333333334</v>
      </c>
      <c r="AB70" s="449">
        <f t="shared" si="107"/>
        <v>12748.333333333334</v>
      </c>
      <c r="AC70" s="449">
        <f t="shared" si="107"/>
        <v>12748.333333333334</v>
      </c>
      <c r="AD70" s="449">
        <f t="shared" si="107"/>
        <v>12748.333333333334</v>
      </c>
      <c r="AE70" s="449">
        <f t="shared" si="107"/>
        <v>12748.333333333334</v>
      </c>
      <c r="AF70" s="449">
        <f t="shared" si="107"/>
        <v>12748.333333333334</v>
      </c>
      <c r="AG70" s="449">
        <f t="shared" si="107"/>
        <v>12748.333333333334</v>
      </c>
      <c r="AH70" s="449">
        <f t="shared" si="107"/>
        <v>12748.333333333334</v>
      </c>
      <c r="AI70" s="449">
        <f t="shared" si="107"/>
        <v>12748.333333333334</v>
      </c>
      <c r="AJ70" s="449">
        <f t="shared" si="107"/>
        <v>12748.333333333334</v>
      </c>
      <c r="AK70" s="449">
        <f t="shared" si="107"/>
        <v>12748.333333333334</v>
      </c>
      <c r="AL70" s="449">
        <f t="shared" si="107"/>
        <v>12748.333333333334</v>
      </c>
      <c r="AN70" s="500">
        <f t="shared" si="108"/>
        <v>152980</v>
      </c>
      <c r="AO70" s="449">
        <f t="shared" si="109"/>
        <v>140462.87999999995</v>
      </c>
      <c r="AP70" s="449">
        <f t="shared" si="110"/>
        <v>-12517.120000000054</v>
      </c>
      <c r="AQ70" s="453">
        <f t="shared" si="111"/>
        <v>-8.182193750817135E-2</v>
      </c>
      <c r="AR70" s="449">
        <f t="shared" si="112"/>
        <v>140462.87999999995</v>
      </c>
      <c r="AS70" s="449">
        <f t="shared" si="113"/>
        <v>0</v>
      </c>
      <c r="AT70" s="426">
        <f t="shared" si="114"/>
        <v>0</v>
      </c>
      <c r="AU70" s="421"/>
      <c r="AV70" s="449">
        <f t="shared" si="115"/>
        <v>0</v>
      </c>
      <c r="AW70" s="449">
        <f t="shared" si="115"/>
        <v>11705.239999999998</v>
      </c>
      <c r="AX70" s="449">
        <f t="shared" si="115"/>
        <v>11705.239999999998</v>
      </c>
      <c r="AY70" s="449">
        <f t="shared" si="115"/>
        <v>11705.239999999998</v>
      </c>
      <c r="AZ70" s="449">
        <f t="shared" si="115"/>
        <v>11705.239999999998</v>
      </c>
      <c r="BA70" s="449">
        <f t="shared" si="115"/>
        <v>11705.239999999998</v>
      </c>
      <c r="BB70" s="449">
        <f t="shared" si="115"/>
        <v>11705.239999999998</v>
      </c>
      <c r="BC70" s="449">
        <f t="shared" si="115"/>
        <v>11705.239999999998</v>
      </c>
      <c r="BD70" s="449">
        <f t="shared" si="115"/>
        <v>11705.239999999998</v>
      </c>
      <c r="BE70" s="449">
        <f t="shared" si="115"/>
        <v>11705.239999999998</v>
      </c>
      <c r="BF70" s="449">
        <f t="shared" si="115"/>
        <v>11705.239999999998</v>
      </c>
      <c r="BG70" s="449">
        <f t="shared" si="115"/>
        <v>23410.479999999996</v>
      </c>
      <c r="BH70" s="400"/>
      <c r="BI70" s="449">
        <v>0</v>
      </c>
      <c r="BJ70" s="449">
        <f>SUM('FY19 Staffing V1-1 (3)'!$Q$5:$R$36,'FY19 Staffing V1-1 (3)'!$T$5:$U$36)/12</f>
        <v>11705.239999999998</v>
      </c>
      <c r="BK70" s="449">
        <f>SUM('FY19 Staffing V1-1 (3)'!$Q$5:$R$36,'FY19 Staffing V1-1 (3)'!$T$5:$U$36)/12</f>
        <v>11705.239999999998</v>
      </c>
      <c r="BL70" s="449">
        <f>SUM('FY19 Staffing V1-1 (3)'!$Q$5:$R$36,'FY19 Staffing V1-1 (3)'!$T$5:$U$36)/12</f>
        <v>11705.239999999998</v>
      </c>
      <c r="BM70" s="449">
        <f>SUM('FY19 Staffing V1-1 (3)'!$Q$5:$R$36,'FY19 Staffing V1-1 (3)'!$T$5:$U$36)/12</f>
        <v>11705.239999999998</v>
      </c>
      <c r="BN70" s="449">
        <f>SUM('FY19 Staffing V1-1 (3)'!$Q$5:$R$36,'FY19 Staffing V1-1 (3)'!$T$5:$U$36)/12</f>
        <v>11705.239999999998</v>
      </c>
      <c r="BO70" s="449">
        <f>SUM('FY19 Staffing V1-1 (3)'!$Q$5:$R$36,'FY19 Staffing V1-1 (3)'!$T$5:$U$36)/12</f>
        <v>11705.239999999998</v>
      </c>
      <c r="BP70" s="449">
        <f>SUM('FY19 Staffing V1-1 (3)'!$Q$5:$R$36,'FY19 Staffing V1-1 (3)'!$T$5:$U$36)/12</f>
        <v>11705.239999999998</v>
      </c>
      <c r="BQ70" s="449">
        <f>SUM('FY19 Staffing V1-1 (3)'!$Q$5:$R$36,'FY19 Staffing V1-1 (3)'!$T$5:$U$36)/12</f>
        <v>11705.239999999998</v>
      </c>
      <c r="BR70" s="449">
        <f>SUM('FY19 Staffing V1-1 (3)'!$Q$5:$R$36,'FY19 Staffing V1-1 (3)'!$T$5:$U$36)/12</f>
        <v>11705.239999999998</v>
      </c>
      <c r="BS70" s="449">
        <f>SUM('FY19 Staffing V1-1 (3)'!$Q$5:$R$36,'FY19 Staffing V1-1 (3)'!$T$5:$U$36)/12</f>
        <v>11705.239999999998</v>
      </c>
      <c r="BT70" s="449">
        <f>SUM('FY19 Staffing V1-1 (3)'!$Q$5:$R$36,'FY19 Staffing V1-1 (3)'!$T$5:$U$36)/12*2</f>
        <v>23410.479999999996</v>
      </c>
    </row>
    <row r="71" spans="1:72" ht="15" x14ac:dyDescent="0.25">
      <c r="A71" s="502" t="s">
        <v>105</v>
      </c>
      <c r="B71" s="502" t="s">
        <v>106</v>
      </c>
      <c r="C71" s="541"/>
      <c r="D71" s="500">
        <f t="shared" si="101"/>
        <v>8283</v>
      </c>
      <c r="E71" s="449">
        <v>8283</v>
      </c>
      <c r="F71" s="449">
        <f t="shared" si="102"/>
        <v>0</v>
      </c>
      <c r="G71" s="421">
        <f t="shared" si="103"/>
        <v>0</v>
      </c>
      <c r="H71" s="449">
        <v>8283</v>
      </c>
      <c r="I71" s="449">
        <f t="shared" si="104"/>
        <v>0</v>
      </c>
      <c r="J71" s="426">
        <f t="shared" si="105"/>
        <v>0</v>
      </c>
      <c r="K71" s="421"/>
      <c r="L71" s="449">
        <v>0</v>
      </c>
      <c r="M71" s="449">
        <v>716.68</v>
      </c>
      <c r="N71" s="449">
        <v>18.82000000000005</v>
      </c>
      <c r="O71" s="449">
        <v>334.08999999999992</v>
      </c>
      <c r="P71" s="449">
        <v>399.47</v>
      </c>
      <c r="Q71" s="449">
        <v>567.51</v>
      </c>
      <c r="R71" s="449">
        <f>($H71-SUM($L71:Q71))/R$694</f>
        <v>1041.0716666666667</v>
      </c>
      <c r="S71" s="449">
        <f>($H71-SUM($L71:R71))/S$694</f>
        <v>1041.0716666666667</v>
      </c>
      <c r="T71" s="449">
        <f>($H71-SUM($L71:S71))/T$694</f>
        <v>1041.0716666666667</v>
      </c>
      <c r="U71" s="449">
        <f>($H71-SUM($L71:T71))/U$694</f>
        <v>1041.0716666666667</v>
      </c>
      <c r="V71" s="449">
        <f>($H71-SUM($L71:U71))/V$694</f>
        <v>1041.0716666666667</v>
      </c>
      <c r="W71" s="449">
        <f>($H71-SUM($L71:V71))/W$694</f>
        <v>1041.0716666666667</v>
      </c>
      <c r="X71" s="449"/>
      <c r="Y71" s="449">
        <f t="shared" si="106"/>
        <v>8283</v>
      </c>
      <c r="Z71" s="531"/>
      <c r="AA71" s="449">
        <f t="shared" si="107"/>
        <v>690.25</v>
      </c>
      <c r="AB71" s="449">
        <f t="shared" si="107"/>
        <v>690.25</v>
      </c>
      <c r="AC71" s="449">
        <f t="shared" si="107"/>
        <v>690.25</v>
      </c>
      <c r="AD71" s="449">
        <f t="shared" si="107"/>
        <v>690.25</v>
      </c>
      <c r="AE71" s="449">
        <f t="shared" si="107"/>
        <v>690.25</v>
      </c>
      <c r="AF71" s="449">
        <f t="shared" si="107"/>
        <v>690.25</v>
      </c>
      <c r="AG71" s="449">
        <f t="shared" si="107"/>
        <v>690.25</v>
      </c>
      <c r="AH71" s="449">
        <f t="shared" si="107"/>
        <v>690.25</v>
      </c>
      <c r="AI71" s="449">
        <f t="shared" si="107"/>
        <v>690.25</v>
      </c>
      <c r="AJ71" s="449">
        <f t="shared" si="107"/>
        <v>690.25</v>
      </c>
      <c r="AK71" s="449">
        <f t="shared" si="107"/>
        <v>690.25</v>
      </c>
      <c r="AL71" s="449">
        <f t="shared" si="107"/>
        <v>690.25</v>
      </c>
      <c r="AN71" s="500">
        <f t="shared" si="108"/>
        <v>8283</v>
      </c>
      <c r="AO71" s="449">
        <f t="shared" si="109"/>
        <v>9426.9973170731701</v>
      </c>
      <c r="AP71" s="449">
        <f t="shared" si="110"/>
        <v>1143.9973170731701</v>
      </c>
      <c r="AQ71" s="453">
        <f t="shared" si="111"/>
        <v>0.13811388591973561</v>
      </c>
      <c r="AR71" s="449">
        <f t="shared" si="112"/>
        <v>9426.9973170731701</v>
      </c>
      <c r="AS71" s="449">
        <f t="shared" si="113"/>
        <v>0</v>
      </c>
      <c r="AT71" s="426">
        <f t="shared" si="114"/>
        <v>0</v>
      </c>
      <c r="AU71" s="421"/>
      <c r="AV71" s="449">
        <f t="shared" si="115"/>
        <v>0</v>
      </c>
      <c r="AW71" s="449">
        <f t="shared" si="115"/>
        <v>0</v>
      </c>
      <c r="AX71" s="449">
        <f t="shared" si="115"/>
        <v>856.99975609756086</v>
      </c>
      <c r="AY71" s="449">
        <f t="shared" si="115"/>
        <v>856.99975609756086</v>
      </c>
      <c r="AZ71" s="449">
        <f t="shared" si="115"/>
        <v>856.99975609756086</v>
      </c>
      <c r="BA71" s="449">
        <f t="shared" si="115"/>
        <v>856.99975609756086</v>
      </c>
      <c r="BB71" s="449">
        <f t="shared" si="115"/>
        <v>856.99975609756086</v>
      </c>
      <c r="BC71" s="449">
        <f t="shared" si="115"/>
        <v>856.99975609756086</v>
      </c>
      <c r="BD71" s="449">
        <f t="shared" si="115"/>
        <v>856.99975609756086</v>
      </c>
      <c r="BE71" s="449">
        <f t="shared" si="115"/>
        <v>856.99975609756086</v>
      </c>
      <c r="BF71" s="449">
        <f t="shared" si="115"/>
        <v>856.99975609756086</v>
      </c>
      <c r="BG71" s="449">
        <f t="shared" si="115"/>
        <v>1713.9995121951217</v>
      </c>
      <c r="BH71" s="400"/>
      <c r="BI71" s="449">
        <v>0</v>
      </c>
      <c r="BJ71" s="449">
        <v>0</v>
      </c>
      <c r="BK71" s="449">
        <f>(SUM('FY19 Staffing V1-1 (3)'!$Q$144:$R$144,'FY19 Staffing V1-1 (3)'!$T$144:$U$144)/10)*(30/41)</f>
        <v>856.99975609756086</v>
      </c>
      <c r="BL71" s="449">
        <f>(SUM('FY19 Staffing V1-1 (3)'!$Q$144:$R$144,'FY19 Staffing V1-1 (3)'!$T$144:$U$144)/10)*(30/41)</f>
        <v>856.99975609756086</v>
      </c>
      <c r="BM71" s="449">
        <f>(SUM('FY19 Staffing V1-1 (3)'!$Q$144:$R$144,'FY19 Staffing V1-1 (3)'!$T$144:$U$144)/10)*(30/41)</f>
        <v>856.99975609756086</v>
      </c>
      <c r="BN71" s="449">
        <f>(SUM('FY19 Staffing V1-1 (3)'!$Q$144:$R$144,'FY19 Staffing V1-1 (3)'!$T$144:$U$144)/10)*(30/41)</f>
        <v>856.99975609756086</v>
      </c>
      <c r="BO71" s="449">
        <f>(SUM('FY19 Staffing V1-1 (3)'!$Q$144:$R$144,'FY19 Staffing V1-1 (3)'!$T$144:$U$144)/10)*(30/41)</f>
        <v>856.99975609756086</v>
      </c>
      <c r="BP71" s="449">
        <f>(SUM('FY19 Staffing V1-1 (3)'!$Q$144:$R$144,'FY19 Staffing V1-1 (3)'!$T$144:$U$144)/10)*(30/41)</f>
        <v>856.99975609756086</v>
      </c>
      <c r="BQ71" s="449">
        <f>(SUM('FY19 Staffing V1-1 (3)'!$Q$144:$R$144,'FY19 Staffing V1-1 (3)'!$T$144:$U$144)/10)*(30/41)</f>
        <v>856.99975609756086</v>
      </c>
      <c r="BR71" s="449">
        <f>(SUM('FY19 Staffing V1-1 (3)'!$Q$144:$R$144,'FY19 Staffing V1-1 (3)'!$T$144:$U$144)/10)*(30/41)</f>
        <v>856.99975609756086</v>
      </c>
      <c r="BS71" s="449">
        <f>(SUM('FY19 Staffing V1-1 (3)'!$Q$144:$R$144,'FY19 Staffing V1-1 (3)'!$T$144:$U$144)/10)*(30/41)</f>
        <v>856.99975609756086</v>
      </c>
      <c r="BT71" s="449">
        <f>(SUM('FY19 Staffing V1-1 (3)'!$Q$144:$R$144,'FY19 Staffing V1-1 (3)'!$T$144:$U$144)/10)*(30/41)*2</f>
        <v>1713.9995121951217</v>
      </c>
    </row>
    <row r="72" spans="1:72" ht="15" x14ac:dyDescent="0.25">
      <c r="A72" s="502" t="s">
        <v>107</v>
      </c>
      <c r="B72" s="502" t="s">
        <v>108</v>
      </c>
      <c r="C72" s="541"/>
      <c r="D72" s="500">
        <f t="shared" si="101"/>
        <v>21772</v>
      </c>
      <c r="E72" s="449">
        <v>21772</v>
      </c>
      <c r="F72" s="449">
        <f t="shared" si="102"/>
        <v>0</v>
      </c>
      <c r="G72" s="421">
        <f t="shared" si="103"/>
        <v>0</v>
      </c>
      <c r="H72" s="449">
        <v>21772</v>
      </c>
      <c r="I72" s="449">
        <f t="shared" si="104"/>
        <v>0</v>
      </c>
      <c r="J72" s="426">
        <f t="shared" si="105"/>
        <v>0</v>
      </c>
      <c r="K72" s="421"/>
      <c r="L72" s="449">
        <v>406.69</v>
      </c>
      <c r="M72" s="449">
        <v>2438.08</v>
      </c>
      <c r="N72" s="449">
        <v>1166.8800000000001</v>
      </c>
      <c r="O72" s="449">
        <v>1703.6200000000003</v>
      </c>
      <c r="P72" s="449">
        <v>1256.0199999999995</v>
      </c>
      <c r="Q72" s="449">
        <v>1565.0899999999992</v>
      </c>
      <c r="R72" s="449">
        <f>($H72-SUM($L72:Q72))/R$694</f>
        <v>2205.936666666667</v>
      </c>
      <c r="S72" s="449">
        <f>($H72-SUM($L72:R72))/S$694</f>
        <v>2205.936666666667</v>
      </c>
      <c r="T72" s="449">
        <f>($H72-SUM($L72:S72))/T$694</f>
        <v>2205.936666666667</v>
      </c>
      <c r="U72" s="449">
        <f>($H72-SUM($L72:T72))/U$694</f>
        <v>2205.936666666667</v>
      </c>
      <c r="V72" s="449">
        <f>($H72-SUM($L72:U72))/V$694</f>
        <v>2205.9366666666665</v>
      </c>
      <c r="W72" s="449">
        <f>($H72-SUM($L72:V72))/W$694</f>
        <v>2205.9366666666683</v>
      </c>
      <c r="X72" s="449"/>
      <c r="Y72" s="449">
        <f t="shared" si="106"/>
        <v>21772</v>
      </c>
      <c r="Z72" s="531"/>
      <c r="AA72" s="449">
        <f t="shared" si="107"/>
        <v>1814.3333333333333</v>
      </c>
      <c r="AB72" s="449">
        <f t="shared" si="107"/>
        <v>1814.3333333333333</v>
      </c>
      <c r="AC72" s="449">
        <f t="shared" si="107"/>
        <v>1814.3333333333333</v>
      </c>
      <c r="AD72" s="449">
        <f t="shared" si="107"/>
        <v>1814.3333333333333</v>
      </c>
      <c r="AE72" s="449">
        <f t="shared" si="107"/>
        <v>1814.3333333333333</v>
      </c>
      <c r="AF72" s="449">
        <f t="shared" si="107"/>
        <v>1814.3333333333333</v>
      </c>
      <c r="AG72" s="449">
        <f t="shared" si="107"/>
        <v>1814.3333333333333</v>
      </c>
      <c r="AH72" s="449">
        <f t="shared" si="107"/>
        <v>1814.3333333333333</v>
      </c>
      <c r="AI72" s="449">
        <f t="shared" si="107"/>
        <v>1814.3333333333333</v>
      </c>
      <c r="AJ72" s="449">
        <f t="shared" si="107"/>
        <v>1814.3333333333333</v>
      </c>
      <c r="AK72" s="449">
        <f t="shared" si="107"/>
        <v>1814.3333333333333</v>
      </c>
      <c r="AL72" s="449">
        <f t="shared" si="107"/>
        <v>1814.3333333333333</v>
      </c>
      <c r="AN72" s="500">
        <f t="shared" si="108"/>
        <v>21772</v>
      </c>
      <c r="AO72" s="449">
        <f t="shared" si="109"/>
        <v>12140.733835500001</v>
      </c>
      <c r="AP72" s="449">
        <f t="shared" si="110"/>
        <v>-9631.2661644999989</v>
      </c>
      <c r="AQ72" s="453">
        <f t="shared" si="111"/>
        <v>-0.44236938106283297</v>
      </c>
      <c r="AR72" s="449">
        <f t="shared" si="112"/>
        <v>12140.733835500001</v>
      </c>
      <c r="AS72" s="449">
        <f t="shared" si="113"/>
        <v>0</v>
      </c>
      <c r="AT72" s="426">
        <f t="shared" si="114"/>
        <v>0</v>
      </c>
      <c r="AU72" s="421"/>
      <c r="AV72" s="449">
        <f t="shared" si="115"/>
        <v>0</v>
      </c>
      <c r="AW72" s="449">
        <f t="shared" si="115"/>
        <v>1011.7278196249999</v>
      </c>
      <c r="AX72" s="449">
        <f t="shared" si="115"/>
        <v>1011.7278196249999</v>
      </c>
      <c r="AY72" s="449">
        <f t="shared" si="115"/>
        <v>1011.7278196249999</v>
      </c>
      <c r="AZ72" s="449">
        <f t="shared" si="115"/>
        <v>1011.7278196249999</v>
      </c>
      <c r="BA72" s="449">
        <f t="shared" si="115"/>
        <v>1011.7278196249999</v>
      </c>
      <c r="BB72" s="449">
        <f t="shared" si="115"/>
        <v>1011.7278196249999</v>
      </c>
      <c r="BC72" s="449">
        <f t="shared" si="115"/>
        <v>1011.7278196249999</v>
      </c>
      <c r="BD72" s="449">
        <f t="shared" si="115"/>
        <v>1011.7278196249999</v>
      </c>
      <c r="BE72" s="449">
        <f t="shared" si="115"/>
        <v>1011.7278196249999</v>
      </c>
      <c r="BF72" s="449">
        <f t="shared" si="115"/>
        <v>1011.7278196249999</v>
      </c>
      <c r="BG72" s="449">
        <f t="shared" si="115"/>
        <v>2023.4556392499999</v>
      </c>
      <c r="BH72" s="400"/>
      <c r="BI72" s="449">
        <v>0</v>
      </c>
      <c r="BJ72" s="449">
        <f>(('FY19 Staffing V1-1 (3)'!$Q$179+'FY19 Staffing V1-1 (3)'!$R$179+'FY19 Staffing V1-1 (3)'!$T$179+'FY19 Staffing V1-1 (3)'!$U$179)-('FY19 Staffing V1-1 (3)'!$Q$175+'FY19 Staffing V1-1 (3)'!$R$175+'FY19 Staffing V1-1 (3)'!$T$175+'FY19 Staffing V1-1 (3)'!$U$175))/12</f>
        <v>1011.7278196249999</v>
      </c>
      <c r="BK72" s="449">
        <f>(('FY19 Staffing V1-1 (3)'!$Q$179+'FY19 Staffing V1-1 (3)'!$R$179+'FY19 Staffing V1-1 (3)'!$T$179+'FY19 Staffing V1-1 (3)'!$U$179)-('FY19 Staffing V1-1 (3)'!$Q$175+'FY19 Staffing V1-1 (3)'!$R$175+'FY19 Staffing V1-1 (3)'!$T$175+'FY19 Staffing V1-1 (3)'!$U$175))/12</f>
        <v>1011.7278196249999</v>
      </c>
      <c r="BL72" s="449">
        <f>(('FY19 Staffing V1-1 (3)'!$Q$179+'FY19 Staffing V1-1 (3)'!$R$179+'FY19 Staffing V1-1 (3)'!$T$179+'FY19 Staffing V1-1 (3)'!$U$179)-('FY19 Staffing V1-1 (3)'!$Q$175+'FY19 Staffing V1-1 (3)'!$R$175+'FY19 Staffing V1-1 (3)'!$T$175+'FY19 Staffing V1-1 (3)'!$U$175))/12</f>
        <v>1011.7278196249999</v>
      </c>
      <c r="BM72" s="449">
        <f>(('FY19 Staffing V1-1 (3)'!$Q$179+'FY19 Staffing V1-1 (3)'!$R$179+'FY19 Staffing V1-1 (3)'!$T$179+'FY19 Staffing V1-1 (3)'!$U$179)-('FY19 Staffing V1-1 (3)'!$Q$175+'FY19 Staffing V1-1 (3)'!$R$175+'FY19 Staffing V1-1 (3)'!$T$175+'FY19 Staffing V1-1 (3)'!$U$175))/12</f>
        <v>1011.7278196249999</v>
      </c>
      <c r="BN72" s="449">
        <f>(('FY19 Staffing V1-1 (3)'!$Q$179+'FY19 Staffing V1-1 (3)'!$R$179+'FY19 Staffing V1-1 (3)'!$T$179+'FY19 Staffing V1-1 (3)'!$U$179)-('FY19 Staffing V1-1 (3)'!$Q$175+'FY19 Staffing V1-1 (3)'!$R$175+'FY19 Staffing V1-1 (3)'!$T$175+'FY19 Staffing V1-1 (3)'!$U$175))/12</f>
        <v>1011.7278196249999</v>
      </c>
      <c r="BO72" s="449">
        <f>(('FY19 Staffing V1-1 (3)'!$Q$179+'FY19 Staffing V1-1 (3)'!$R$179+'FY19 Staffing V1-1 (3)'!$T$179+'FY19 Staffing V1-1 (3)'!$U$179)-('FY19 Staffing V1-1 (3)'!$Q$175+'FY19 Staffing V1-1 (3)'!$R$175+'FY19 Staffing V1-1 (3)'!$T$175+'FY19 Staffing V1-1 (3)'!$U$175))/12</f>
        <v>1011.7278196249999</v>
      </c>
      <c r="BP72" s="449">
        <f>(('FY19 Staffing V1-1 (3)'!$Q$179+'FY19 Staffing V1-1 (3)'!$R$179+'FY19 Staffing V1-1 (3)'!$T$179+'FY19 Staffing V1-1 (3)'!$U$179)-('FY19 Staffing V1-1 (3)'!$Q$175+'FY19 Staffing V1-1 (3)'!$R$175+'FY19 Staffing V1-1 (3)'!$T$175+'FY19 Staffing V1-1 (3)'!$U$175))/12</f>
        <v>1011.7278196249999</v>
      </c>
      <c r="BQ72" s="449">
        <f>(('FY19 Staffing V1-1 (3)'!$Q$179+'FY19 Staffing V1-1 (3)'!$R$179+'FY19 Staffing V1-1 (3)'!$T$179+'FY19 Staffing V1-1 (3)'!$U$179)-('FY19 Staffing V1-1 (3)'!$Q$175+'FY19 Staffing V1-1 (3)'!$R$175+'FY19 Staffing V1-1 (3)'!$T$175+'FY19 Staffing V1-1 (3)'!$U$175))/12</f>
        <v>1011.7278196249999</v>
      </c>
      <c r="BR72" s="449">
        <f>(('FY19 Staffing V1-1 (3)'!$Q$179+'FY19 Staffing V1-1 (3)'!$R$179+'FY19 Staffing V1-1 (3)'!$T$179+'FY19 Staffing V1-1 (3)'!$U$179)-('FY19 Staffing V1-1 (3)'!$Q$175+'FY19 Staffing V1-1 (3)'!$R$175+'FY19 Staffing V1-1 (3)'!$T$175+'FY19 Staffing V1-1 (3)'!$U$175))/12</f>
        <v>1011.7278196249999</v>
      </c>
      <c r="BS72" s="449">
        <f>(('FY19 Staffing V1-1 (3)'!$Q$179+'FY19 Staffing V1-1 (3)'!$R$179+'FY19 Staffing V1-1 (3)'!$T$179+'FY19 Staffing V1-1 (3)'!$U$179)-('FY19 Staffing V1-1 (3)'!$Q$175+'FY19 Staffing V1-1 (3)'!$R$175+'FY19 Staffing V1-1 (3)'!$T$175+'FY19 Staffing V1-1 (3)'!$U$175))/12</f>
        <v>1011.7278196249999</v>
      </c>
      <c r="BT72" s="449">
        <f>(('FY19 Staffing V1-1 (3)'!$Q$179+'FY19 Staffing V1-1 (3)'!$R$179+'FY19 Staffing V1-1 (3)'!$T$179+'FY19 Staffing V1-1 (3)'!$U$179)-('FY19 Staffing V1-1 (3)'!$Q$175+'FY19 Staffing V1-1 (3)'!$R$175+'FY19 Staffing V1-1 (3)'!$T$175+'FY19 Staffing V1-1 (3)'!$U$175))/12*2</f>
        <v>2023.4556392499999</v>
      </c>
    </row>
    <row r="73" spans="1:72" ht="15" x14ac:dyDescent="0.25">
      <c r="A73" s="502" t="s">
        <v>109</v>
      </c>
      <c r="B73" s="502" t="s">
        <v>110</v>
      </c>
      <c r="C73" s="541"/>
      <c r="D73" s="500">
        <f t="shared" si="101"/>
        <v>113413</v>
      </c>
      <c r="E73" s="449">
        <v>108236</v>
      </c>
      <c r="F73" s="449">
        <f t="shared" si="102"/>
        <v>5177</v>
      </c>
      <c r="G73" s="421">
        <f t="shared" si="103"/>
        <v>4.7830666321741377E-2</v>
      </c>
      <c r="H73" s="449">
        <v>113413</v>
      </c>
      <c r="I73" s="449">
        <f t="shared" si="104"/>
        <v>0</v>
      </c>
      <c r="J73" s="426">
        <f t="shared" si="105"/>
        <v>0</v>
      </c>
      <c r="K73" s="421"/>
      <c r="L73" s="449">
        <v>366.64</v>
      </c>
      <c r="M73" s="449">
        <v>7075.8899999999994</v>
      </c>
      <c r="N73" s="449">
        <v>11585.810000000001</v>
      </c>
      <c r="O73" s="449">
        <v>28565.7</v>
      </c>
      <c r="P73" s="449">
        <v>13473.379999999997</v>
      </c>
      <c r="Q73" s="449">
        <v>12214.220000000001</v>
      </c>
      <c r="R73" s="449">
        <f>($H73-SUM($L73:Q73))/R$694</f>
        <v>6688.56</v>
      </c>
      <c r="S73" s="449">
        <f>($H73-SUM($L73:R73))/S$694</f>
        <v>6688.56</v>
      </c>
      <c r="T73" s="449">
        <f>($H73-SUM($L73:S73))/T$694</f>
        <v>6688.5600000000013</v>
      </c>
      <c r="U73" s="449">
        <f>($H73-SUM($L73:T73))/U$694</f>
        <v>6688.5600000000022</v>
      </c>
      <c r="V73" s="449">
        <f>($H73-SUM($L73:U73))/V$694</f>
        <v>6688.5600000000049</v>
      </c>
      <c r="W73" s="449">
        <f>($H73-SUM($L73:V73))/W$694</f>
        <v>6688.5599999999977</v>
      </c>
      <c r="X73" s="449"/>
      <c r="Y73" s="449">
        <f t="shared" si="106"/>
        <v>113413</v>
      </c>
      <c r="Z73" s="531"/>
      <c r="AA73" s="449">
        <f t="shared" si="107"/>
        <v>9451.0833333333339</v>
      </c>
      <c r="AB73" s="449">
        <f t="shared" si="107"/>
        <v>9451.0833333333339</v>
      </c>
      <c r="AC73" s="449">
        <f t="shared" si="107"/>
        <v>9451.0833333333339</v>
      </c>
      <c r="AD73" s="449">
        <f t="shared" si="107"/>
        <v>9451.0833333333339</v>
      </c>
      <c r="AE73" s="449">
        <f t="shared" si="107"/>
        <v>9451.0833333333339</v>
      </c>
      <c r="AF73" s="449">
        <f t="shared" si="107"/>
        <v>9451.0833333333339</v>
      </c>
      <c r="AG73" s="449">
        <f t="shared" si="107"/>
        <v>9451.0833333333339</v>
      </c>
      <c r="AH73" s="449">
        <f t="shared" si="107"/>
        <v>9451.0833333333339</v>
      </c>
      <c r="AI73" s="449">
        <f t="shared" si="107"/>
        <v>9451.0833333333339</v>
      </c>
      <c r="AJ73" s="449">
        <f t="shared" si="107"/>
        <v>9451.0833333333339</v>
      </c>
      <c r="AK73" s="449">
        <f t="shared" si="107"/>
        <v>9451.0833333333339</v>
      </c>
      <c r="AL73" s="449">
        <f t="shared" si="107"/>
        <v>9451.0833333333339</v>
      </c>
      <c r="AN73" s="500">
        <f t="shared" si="108"/>
        <v>113413</v>
      </c>
      <c r="AO73" s="449">
        <f t="shared" si="109"/>
        <v>168634.6069696401</v>
      </c>
      <c r="AP73" s="449">
        <f t="shared" si="110"/>
        <v>55221.606969640095</v>
      </c>
      <c r="AQ73" s="453">
        <f t="shared" si="111"/>
        <v>0.48690720613721616</v>
      </c>
      <c r="AR73" s="449">
        <f t="shared" si="112"/>
        <v>168634.6069696401</v>
      </c>
      <c r="AS73" s="449">
        <f t="shared" si="113"/>
        <v>0</v>
      </c>
      <c r="AT73" s="426">
        <f t="shared" si="114"/>
        <v>0</v>
      </c>
      <c r="AU73" s="421"/>
      <c r="AV73" s="449">
        <f t="shared" si="115"/>
        <v>0</v>
      </c>
      <c r="AW73" s="449">
        <f t="shared" si="115"/>
        <v>14052.883914136672</v>
      </c>
      <c r="AX73" s="449">
        <f t="shared" si="115"/>
        <v>14052.883914136672</v>
      </c>
      <c r="AY73" s="449">
        <f t="shared" si="115"/>
        <v>14052.883914136672</v>
      </c>
      <c r="AZ73" s="449">
        <f t="shared" si="115"/>
        <v>14052.883914136672</v>
      </c>
      <c r="BA73" s="449">
        <f t="shared" si="115"/>
        <v>14052.883914136672</v>
      </c>
      <c r="BB73" s="449">
        <f t="shared" si="115"/>
        <v>14052.883914136672</v>
      </c>
      <c r="BC73" s="449">
        <f t="shared" si="115"/>
        <v>14052.883914136672</v>
      </c>
      <c r="BD73" s="449">
        <f t="shared" si="115"/>
        <v>14052.883914136672</v>
      </c>
      <c r="BE73" s="449">
        <f t="shared" si="115"/>
        <v>14052.883914136672</v>
      </c>
      <c r="BF73" s="449">
        <f t="shared" si="115"/>
        <v>14052.883914136672</v>
      </c>
      <c r="BG73" s="449">
        <f t="shared" si="115"/>
        <v>28105.767828273343</v>
      </c>
      <c r="BH73" s="400"/>
      <c r="BI73" s="449">
        <v>0</v>
      </c>
      <c r="BJ73" s="449">
        <f>SUM('FY19 Staffing V1-1 (3)'!$W$5:$W$36)/12</f>
        <v>14052.883914136672</v>
      </c>
      <c r="BK73" s="449">
        <f>SUM('FY19 Staffing V1-1 (3)'!$W$5:$W$36)/12</f>
        <v>14052.883914136672</v>
      </c>
      <c r="BL73" s="449">
        <f>SUM('FY19 Staffing V1-1 (3)'!$W$5:$W$36)/12</f>
        <v>14052.883914136672</v>
      </c>
      <c r="BM73" s="449">
        <f>SUM('FY19 Staffing V1-1 (3)'!$W$5:$W$36)/12</f>
        <v>14052.883914136672</v>
      </c>
      <c r="BN73" s="449">
        <f>SUM('FY19 Staffing V1-1 (3)'!$W$5:$W$36)/12</f>
        <v>14052.883914136672</v>
      </c>
      <c r="BO73" s="449">
        <f>SUM('FY19 Staffing V1-1 (3)'!$W$5:$W$36)/12</f>
        <v>14052.883914136672</v>
      </c>
      <c r="BP73" s="449">
        <f>SUM('FY19 Staffing V1-1 (3)'!$W$5:$W$36)/12</f>
        <v>14052.883914136672</v>
      </c>
      <c r="BQ73" s="449">
        <f>SUM('FY19 Staffing V1-1 (3)'!$W$5:$W$36)/12</f>
        <v>14052.883914136672</v>
      </c>
      <c r="BR73" s="449">
        <f>SUM('FY19 Staffing V1-1 (3)'!$W$5:$W$36)/12</f>
        <v>14052.883914136672</v>
      </c>
      <c r="BS73" s="449">
        <f>SUM('FY19 Staffing V1-1 (3)'!$W$5:$W$36)/12</f>
        <v>14052.883914136672</v>
      </c>
      <c r="BT73" s="449">
        <f>SUM('FY19 Staffing V1-1 (3)'!$W$5:$W$36)/12*2</f>
        <v>28105.767828273343</v>
      </c>
    </row>
    <row r="74" spans="1:72" ht="15" x14ac:dyDescent="0.25">
      <c r="A74" s="502" t="s">
        <v>111</v>
      </c>
      <c r="B74" s="502" t="s">
        <v>112</v>
      </c>
      <c r="C74" s="541"/>
      <c r="D74" s="500">
        <f t="shared" si="101"/>
        <v>10042.629999999999</v>
      </c>
      <c r="E74" s="449">
        <v>6244</v>
      </c>
      <c r="F74" s="449">
        <f t="shared" si="102"/>
        <v>3798.6299999999992</v>
      </c>
      <c r="G74" s="421">
        <f t="shared" si="103"/>
        <v>0.60836483023702737</v>
      </c>
      <c r="H74" s="449">
        <v>6244</v>
      </c>
      <c r="I74" s="449">
        <f t="shared" si="104"/>
        <v>3798.6299999999992</v>
      </c>
      <c r="J74" s="426">
        <f t="shared" si="105"/>
        <v>0.60836483023702737</v>
      </c>
      <c r="K74" s="421"/>
      <c r="L74" s="449">
        <v>12.55</v>
      </c>
      <c r="M74" s="449">
        <v>12.55</v>
      </c>
      <c r="N74" s="449">
        <v>20.549999999999997</v>
      </c>
      <c r="O74" s="449">
        <v>5754.3600000000006</v>
      </c>
      <c r="P74" s="449">
        <v>3675.0300000000007</v>
      </c>
      <c r="Q74" s="449">
        <v>567.58999999999833</v>
      </c>
      <c r="R74" s="449">
        <v>0</v>
      </c>
      <c r="S74" s="449">
        <v>0</v>
      </c>
      <c r="T74" s="449">
        <v>0</v>
      </c>
      <c r="U74" s="449">
        <v>0</v>
      </c>
      <c r="V74" s="449">
        <v>0</v>
      </c>
      <c r="W74" s="449">
        <v>0</v>
      </c>
      <c r="X74" s="449"/>
      <c r="Y74" s="449">
        <f t="shared" si="106"/>
        <v>10042.629999999999</v>
      </c>
      <c r="Z74" s="531"/>
      <c r="AA74" s="449">
        <f t="shared" si="107"/>
        <v>520.33333333333337</v>
      </c>
      <c r="AB74" s="449">
        <f t="shared" si="107"/>
        <v>520.33333333333337</v>
      </c>
      <c r="AC74" s="449">
        <f t="shared" si="107"/>
        <v>520.33333333333337</v>
      </c>
      <c r="AD74" s="449">
        <f t="shared" si="107"/>
        <v>520.33333333333337</v>
      </c>
      <c r="AE74" s="449">
        <f t="shared" si="107"/>
        <v>520.33333333333337</v>
      </c>
      <c r="AF74" s="449">
        <f t="shared" si="107"/>
        <v>520.33333333333337</v>
      </c>
      <c r="AG74" s="449">
        <f t="shared" si="107"/>
        <v>520.33333333333337</v>
      </c>
      <c r="AH74" s="449">
        <f t="shared" si="107"/>
        <v>520.33333333333337</v>
      </c>
      <c r="AI74" s="449">
        <f t="shared" si="107"/>
        <v>520.33333333333337</v>
      </c>
      <c r="AJ74" s="449">
        <f t="shared" si="107"/>
        <v>520.33333333333337</v>
      </c>
      <c r="AK74" s="449">
        <f t="shared" si="107"/>
        <v>520.33333333333337</v>
      </c>
      <c r="AL74" s="449">
        <f t="shared" si="107"/>
        <v>520.33333333333337</v>
      </c>
      <c r="AN74" s="500">
        <f t="shared" si="108"/>
        <v>10042.629999999999</v>
      </c>
      <c r="AO74" s="449">
        <f t="shared" si="109"/>
        <v>7032.2348832400021</v>
      </c>
      <c r="AP74" s="449">
        <f t="shared" si="110"/>
        <v>-3010.3951167599971</v>
      </c>
      <c r="AQ74" s="453">
        <f t="shared" si="111"/>
        <v>-0.29976162785644772</v>
      </c>
      <c r="AR74" s="449">
        <f t="shared" si="112"/>
        <v>7032.2348832400021</v>
      </c>
      <c r="AS74" s="449">
        <f t="shared" si="113"/>
        <v>0</v>
      </c>
      <c r="AT74" s="426">
        <f t="shared" si="114"/>
        <v>0</v>
      </c>
      <c r="AU74" s="421"/>
      <c r="AV74" s="449">
        <f t="shared" si="115"/>
        <v>0</v>
      </c>
      <c r="AW74" s="449">
        <f t="shared" si="115"/>
        <v>586.01957360333347</v>
      </c>
      <c r="AX74" s="449">
        <f t="shared" si="115"/>
        <v>586.01957360333347</v>
      </c>
      <c r="AY74" s="449">
        <f t="shared" si="115"/>
        <v>586.01957360333347</v>
      </c>
      <c r="AZ74" s="449">
        <f t="shared" si="115"/>
        <v>586.01957360333347</v>
      </c>
      <c r="BA74" s="449">
        <f t="shared" si="115"/>
        <v>586.01957360333347</v>
      </c>
      <c r="BB74" s="449">
        <f t="shared" si="115"/>
        <v>586.01957360333347</v>
      </c>
      <c r="BC74" s="449">
        <f t="shared" si="115"/>
        <v>586.01957360333347</v>
      </c>
      <c r="BD74" s="449">
        <f t="shared" si="115"/>
        <v>586.01957360333347</v>
      </c>
      <c r="BE74" s="449">
        <f t="shared" si="115"/>
        <v>586.01957360333347</v>
      </c>
      <c r="BF74" s="449">
        <f t="shared" si="115"/>
        <v>586.01957360333347</v>
      </c>
      <c r="BG74" s="449">
        <f t="shared" si="115"/>
        <v>1172.0391472066669</v>
      </c>
      <c r="BH74" s="400"/>
      <c r="BI74" s="449">
        <v>0</v>
      </c>
      <c r="BJ74" s="449">
        <f>(('FY19 Staffing V1-1 (3)'!$W$179-'FY19 Staffing V1-1 (3)'!$W$175))/12</f>
        <v>586.01957360333347</v>
      </c>
      <c r="BK74" s="449">
        <f>(('FY19 Staffing V1-1 (3)'!$W$179-'FY19 Staffing V1-1 (3)'!$W$175))/12</f>
        <v>586.01957360333347</v>
      </c>
      <c r="BL74" s="449">
        <f>(('FY19 Staffing V1-1 (3)'!$W$179-'FY19 Staffing V1-1 (3)'!$W$175))/12</f>
        <v>586.01957360333347</v>
      </c>
      <c r="BM74" s="449">
        <f>(('FY19 Staffing V1-1 (3)'!$W$179-'FY19 Staffing V1-1 (3)'!$W$175))/12</f>
        <v>586.01957360333347</v>
      </c>
      <c r="BN74" s="449">
        <f>(('FY19 Staffing V1-1 (3)'!$W$179-'FY19 Staffing V1-1 (3)'!$W$175))/12</f>
        <v>586.01957360333347</v>
      </c>
      <c r="BO74" s="449">
        <f>(('FY19 Staffing V1-1 (3)'!$W$179-'FY19 Staffing V1-1 (3)'!$W$175))/12</f>
        <v>586.01957360333347</v>
      </c>
      <c r="BP74" s="449">
        <f>(('FY19 Staffing V1-1 (3)'!$W$179-'FY19 Staffing V1-1 (3)'!$W$175))/12</f>
        <v>586.01957360333347</v>
      </c>
      <c r="BQ74" s="449">
        <f>(('FY19 Staffing V1-1 (3)'!$W$179-'FY19 Staffing V1-1 (3)'!$W$175))/12</f>
        <v>586.01957360333347</v>
      </c>
      <c r="BR74" s="449">
        <f>(('FY19 Staffing V1-1 (3)'!$W$179-'FY19 Staffing V1-1 (3)'!$W$175))/12</f>
        <v>586.01957360333347</v>
      </c>
      <c r="BS74" s="449">
        <f>(('FY19 Staffing V1-1 (3)'!$W$179-'FY19 Staffing V1-1 (3)'!$W$175))/12</f>
        <v>586.01957360333347</v>
      </c>
      <c r="BT74" s="449">
        <f>(('FY19 Staffing V1-1 (3)'!$W$179-'FY19 Staffing V1-1 (3)'!$W$175))/12*2</f>
        <v>1172.0391472066669</v>
      </c>
    </row>
    <row r="75" spans="1:72" ht="15.75" hidden="1" customHeight="1" x14ac:dyDescent="0.25">
      <c r="A75" s="502" t="s">
        <v>113</v>
      </c>
      <c r="B75" s="502" t="s">
        <v>114</v>
      </c>
      <c r="C75" s="541"/>
      <c r="D75" s="500">
        <f t="shared" si="101"/>
        <v>0</v>
      </c>
      <c r="E75" s="449">
        <v>0</v>
      </c>
      <c r="F75" s="449">
        <f t="shared" si="102"/>
        <v>0</v>
      </c>
      <c r="G75" s="421">
        <f t="shared" si="103"/>
        <v>0</v>
      </c>
      <c r="H75" s="449">
        <v>0</v>
      </c>
      <c r="I75" s="449">
        <f t="shared" si="104"/>
        <v>0</v>
      </c>
      <c r="J75" s="426">
        <f t="shared" si="105"/>
        <v>0</v>
      </c>
      <c r="K75" s="421"/>
      <c r="L75" s="449">
        <v>0</v>
      </c>
      <c r="M75" s="449">
        <v>0</v>
      </c>
      <c r="N75" s="449">
        <v>0</v>
      </c>
      <c r="O75" s="449">
        <v>0</v>
      </c>
      <c r="P75" s="449">
        <v>0</v>
      </c>
      <c r="Q75" s="449">
        <v>0</v>
      </c>
      <c r="R75" s="449">
        <f>($H75-SUM($L75:Q75))/R$694</f>
        <v>0</v>
      </c>
      <c r="S75" s="449">
        <f>($H75-SUM($L75:R75))/S$694</f>
        <v>0</v>
      </c>
      <c r="T75" s="449">
        <f>($H75-SUM($L75:S75))/T$694</f>
        <v>0</v>
      </c>
      <c r="U75" s="449">
        <f>($H75-SUM($L75:T75))/U$694</f>
        <v>0</v>
      </c>
      <c r="V75" s="449">
        <f>($H75-SUM($L75:U75))/V$694</f>
        <v>0</v>
      </c>
      <c r="W75" s="449">
        <f>($H75-SUM($L75:V75))/W$694</f>
        <v>0</v>
      </c>
      <c r="X75" s="449"/>
      <c r="Y75" s="449">
        <f t="shared" si="106"/>
        <v>0</v>
      </c>
      <c r="Z75" s="531"/>
      <c r="AA75" s="449">
        <f t="shared" si="107"/>
        <v>0</v>
      </c>
      <c r="AB75" s="449">
        <f t="shared" si="107"/>
        <v>0</v>
      </c>
      <c r="AC75" s="449">
        <f t="shared" si="107"/>
        <v>0</v>
      </c>
      <c r="AD75" s="449">
        <f t="shared" si="107"/>
        <v>0</v>
      </c>
      <c r="AE75" s="449">
        <f t="shared" si="107"/>
        <v>0</v>
      </c>
      <c r="AF75" s="449">
        <f t="shared" si="107"/>
        <v>0</v>
      </c>
      <c r="AG75" s="449">
        <f t="shared" si="107"/>
        <v>0</v>
      </c>
      <c r="AH75" s="449">
        <f t="shared" si="107"/>
        <v>0</v>
      </c>
      <c r="AI75" s="449">
        <f t="shared" si="107"/>
        <v>0</v>
      </c>
      <c r="AJ75" s="449">
        <f t="shared" si="107"/>
        <v>0</v>
      </c>
      <c r="AK75" s="449">
        <f t="shared" si="107"/>
        <v>0</v>
      </c>
      <c r="AL75" s="449">
        <f t="shared" si="107"/>
        <v>0</v>
      </c>
      <c r="AN75" s="500">
        <f t="shared" si="108"/>
        <v>0</v>
      </c>
      <c r="AO75" s="449">
        <f t="shared" si="109"/>
        <v>0</v>
      </c>
      <c r="AP75" s="449">
        <f t="shared" si="110"/>
        <v>0</v>
      </c>
      <c r="AQ75" s="453" t="str">
        <f t="shared" si="111"/>
        <v>-</v>
      </c>
      <c r="AR75" s="449">
        <f t="shared" si="112"/>
        <v>0</v>
      </c>
      <c r="AS75" s="449">
        <f t="shared" si="113"/>
        <v>0</v>
      </c>
      <c r="AT75" s="426">
        <f t="shared" si="114"/>
        <v>0</v>
      </c>
      <c r="AU75" s="421"/>
      <c r="AV75" s="449">
        <f t="shared" si="115"/>
        <v>0</v>
      </c>
      <c r="AW75" s="449">
        <f t="shared" si="115"/>
        <v>0</v>
      </c>
      <c r="AX75" s="449">
        <f t="shared" si="115"/>
        <v>0</v>
      </c>
      <c r="AY75" s="449">
        <f t="shared" si="115"/>
        <v>0</v>
      </c>
      <c r="AZ75" s="449">
        <f t="shared" si="115"/>
        <v>0</v>
      </c>
      <c r="BA75" s="449">
        <f t="shared" si="115"/>
        <v>0</v>
      </c>
      <c r="BB75" s="449">
        <f t="shared" si="115"/>
        <v>0</v>
      </c>
      <c r="BC75" s="449">
        <f t="shared" si="115"/>
        <v>0</v>
      </c>
      <c r="BD75" s="449">
        <f t="shared" si="115"/>
        <v>0</v>
      </c>
      <c r="BE75" s="449">
        <f t="shared" si="115"/>
        <v>0</v>
      </c>
      <c r="BF75" s="449">
        <f t="shared" si="115"/>
        <v>0</v>
      </c>
      <c r="BG75" s="449">
        <f t="shared" si="115"/>
        <v>0</v>
      </c>
      <c r="BH75" s="400"/>
      <c r="BI75" s="449">
        <v>0</v>
      </c>
      <c r="BJ75" s="449">
        <v>0</v>
      </c>
      <c r="BK75" s="449">
        <v>0</v>
      </c>
      <c r="BL75" s="449">
        <v>0</v>
      </c>
      <c r="BM75" s="449">
        <v>0</v>
      </c>
      <c r="BN75" s="449">
        <v>0</v>
      </c>
      <c r="BO75" s="449">
        <v>0</v>
      </c>
      <c r="BP75" s="449">
        <v>0</v>
      </c>
      <c r="BQ75" s="449">
        <v>0</v>
      </c>
      <c r="BR75" s="449">
        <v>0</v>
      </c>
      <c r="BS75" s="449">
        <v>0</v>
      </c>
      <c r="BT75" s="449">
        <v>0</v>
      </c>
    </row>
    <row r="76" spans="1:72" ht="15.75" hidden="1" customHeight="1" x14ac:dyDescent="0.25">
      <c r="A76" s="502" t="s">
        <v>115</v>
      </c>
      <c r="B76" s="502" t="s">
        <v>116</v>
      </c>
      <c r="C76" s="541"/>
      <c r="D76" s="500">
        <f t="shared" si="101"/>
        <v>0</v>
      </c>
      <c r="E76" s="449">
        <v>0</v>
      </c>
      <c r="F76" s="449">
        <f t="shared" si="102"/>
        <v>0</v>
      </c>
      <c r="G76" s="421">
        <f t="shared" si="103"/>
        <v>0</v>
      </c>
      <c r="H76" s="449">
        <v>0</v>
      </c>
      <c r="I76" s="449">
        <f t="shared" si="104"/>
        <v>0</v>
      </c>
      <c r="J76" s="426">
        <f t="shared" si="105"/>
        <v>0</v>
      </c>
      <c r="K76" s="421"/>
      <c r="L76" s="449">
        <v>0</v>
      </c>
      <c r="M76" s="449">
        <v>0</v>
      </c>
      <c r="N76" s="449">
        <v>0</v>
      </c>
      <c r="O76" s="449">
        <v>0</v>
      </c>
      <c r="P76" s="449">
        <v>0</v>
      </c>
      <c r="Q76" s="449">
        <v>0</v>
      </c>
      <c r="R76" s="449">
        <f>($H76-SUM($L76:Q76))/R$694</f>
        <v>0</v>
      </c>
      <c r="S76" s="449">
        <f>($H76-SUM($L76:R76))/S$694</f>
        <v>0</v>
      </c>
      <c r="T76" s="449">
        <f>($H76-SUM($L76:S76))/T$694</f>
        <v>0</v>
      </c>
      <c r="U76" s="449">
        <f>($H76-SUM($L76:T76))/U$694</f>
        <v>0</v>
      </c>
      <c r="V76" s="449">
        <f>($H76-SUM($L76:U76))/V$694</f>
        <v>0</v>
      </c>
      <c r="W76" s="449">
        <f>($H76-SUM($L76:V76))/W$694</f>
        <v>0</v>
      </c>
      <c r="X76" s="449"/>
      <c r="Y76" s="449">
        <f t="shared" si="106"/>
        <v>0</v>
      </c>
      <c r="Z76" s="531"/>
      <c r="AA76" s="449">
        <f t="shared" si="107"/>
        <v>0</v>
      </c>
      <c r="AB76" s="449">
        <f t="shared" si="107"/>
        <v>0</v>
      </c>
      <c r="AC76" s="449">
        <f t="shared" si="107"/>
        <v>0</v>
      </c>
      <c r="AD76" s="449">
        <f t="shared" si="107"/>
        <v>0</v>
      </c>
      <c r="AE76" s="449">
        <f t="shared" si="107"/>
        <v>0</v>
      </c>
      <c r="AF76" s="449">
        <f t="shared" si="107"/>
        <v>0</v>
      </c>
      <c r="AG76" s="449">
        <f t="shared" si="107"/>
        <v>0</v>
      </c>
      <c r="AH76" s="449">
        <f t="shared" si="107"/>
        <v>0</v>
      </c>
      <c r="AI76" s="449">
        <f t="shared" si="107"/>
        <v>0</v>
      </c>
      <c r="AJ76" s="449">
        <f t="shared" si="107"/>
        <v>0</v>
      </c>
      <c r="AK76" s="449">
        <f t="shared" si="107"/>
        <v>0</v>
      </c>
      <c r="AL76" s="449">
        <f t="shared" si="107"/>
        <v>0</v>
      </c>
      <c r="AN76" s="500">
        <f t="shared" si="108"/>
        <v>0</v>
      </c>
      <c r="AO76" s="449">
        <f t="shared" si="109"/>
        <v>0</v>
      </c>
      <c r="AP76" s="449">
        <f t="shared" si="110"/>
        <v>0</v>
      </c>
      <c r="AQ76" s="453" t="str">
        <f t="shared" si="111"/>
        <v>-</v>
      </c>
      <c r="AR76" s="449">
        <f t="shared" si="112"/>
        <v>0</v>
      </c>
      <c r="AS76" s="449">
        <f t="shared" si="113"/>
        <v>0</v>
      </c>
      <c r="AT76" s="426">
        <f t="shared" si="114"/>
        <v>0</v>
      </c>
      <c r="AU76" s="421"/>
      <c r="AV76" s="449">
        <f t="shared" si="115"/>
        <v>0</v>
      </c>
      <c r="AW76" s="449">
        <f t="shared" si="115"/>
        <v>0</v>
      </c>
      <c r="AX76" s="449">
        <f t="shared" si="115"/>
        <v>0</v>
      </c>
      <c r="AY76" s="449">
        <f t="shared" si="115"/>
        <v>0</v>
      </c>
      <c r="AZ76" s="449">
        <f t="shared" si="115"/>
        <v>0</v>
      </c>
      <c r="BA76" s="449">
        <f t="shared" si="115"/>
        <v>0</v>
      </c>
      <c r="BB76" s="449">
        <f t="shared" si="115"/>
        <v>0</v>
      </c>
      <c r="BC76" s="449">
        <f t="shared" si="115"/>
        <v>0</v>
      </c>
      <c r="BD76" s="449">
        <f t="shared" si="115"/>
        <v>0</v>
      </c>
      <c r="BE76" s="449">
        <f t="shared" si="115"/>
        <v>0</v>
      </c>
      <c r="BF76" s="449">
        <f t="shared" si="115"/>
        <v>0</v>
      </c>
      <c r="BG76" s="449">
        <f t="shared" si="115"/>
        <v>0</v>
      </c>
      <c r="BH76" s="400"/>
      <c r="BI76" s="449">
        <v>0</v>
      </c>
      <c r="BJ76" s="449">
        <v>0</v>
      </c>
      <c r="BK76" s="449">
        <v>0</v>
      </c>
      <c r="BL76" s="449">
        <v>0</v>
      </c>
      <c r="BM76" s="449">
        <v>0</v>
      </c>
      <c r="BN76" s="449">
        <v>0</v>
      </c>
      <c r="BO76" s="449">
        <v>0</v>
      </c>
      <c r="BP76" s="449">
        <v>0</v>
      </c>
      <c r="BQ76" s="449">
        <v>0</v>
      </c>
      <c r="BR76" s="449">
        <v>0</v>
      </c>
      <c r="BS76" s="449">
        <v>0</v>
      </c>
      <c r="BT76" s="449">
        <v>0</v>
      </c>
    </row>
    <row r="77" spans="1:72" ht="15.75" hidden="1" customHeight="1" x14ac:dyDescent="0.25">
      <c r="A77" s="502" t="s">
        <v>117</v>
      </c>
      <c r="B77" s="502" t="s">
        <v>118</v>
      </c>
      <c r="C77" s="541"/>
      <c r="D77" s="500">
        <f t="shared" si="101"/>
        <v>0</v>
      </c>
      <c r="E77" s="449">
        <v>0</v>
      </c>
      <c r="F77" s="449">
        <f t="shared" si="102"/>
        <v>0</v>
      </c>
      <c r="G77" s="421">
        <f t="shared" si="103"/>
        <v>0</v>
      </c>
      <c r="H77" s="449">
        <v>0</v>
      </c>
      <c r="I77" s="449">
        <f t="shared" si="104"/>
        <v>0</v>
      </c>
      <c r="J77" s="426">
        <f t="shared" si="105"/>
        <v>0</v>
      </c>
      <c r="K77" s="421"/>
      <c r="L77" s="449">
        <v>0</v>
      </c>
      <c r="M77" s="449">
        <v>0</v>
      </c>
      <c r="N77" s="449">
        <v>0</v>
      </c>
      <c r="O77" s="449">
        <v>0</v>
      </c>
      <c r="P77" s="449">
        <v>0</v>
      </c>
      <c r="Q77" s="449">
        <v>0</v>
      </c>
      <c r="R77" s="449">
        <f>($H77-SUM($L77:Q77))/R$694</f>
        <v>0</v>
      </c>
      <c r="S77" s="449">
        <f>($H77-SUM($L77:R77))/S$694</f>
        <v>0</v>
      </c>
      <c r="T77" s="449">
        <f>($H77-SUM($L77:S77))/T$694</f>
        <v>0</v>
      </c>
      <c r="U77" s="449">
        <f>($H77-SUM($L77:T77))/U$694</f>
        <v>0</v>
      </c>
      <c r="V77" s="449">
        <f>($H77-SUM($L77:U77))/V$694</f>
        <v>0</v>
      </c>
      <c r="W77" s="449">
        <f>($H77-SUM($L77:V77))/W$694</f>
        <v>0</v>
      </c>
      <c r="X77" s="449"/>
      <c r="Y77" s="449">
        <f t="shared" si="106"/>
        <v>0</v>
      </c>
      <c r="Z77" s="531"/>
      <c r="AA77" s="449">
        <f t="shared" ref="AA77:AL88" si="117">IFERROR($H77/12,0)</f>
        <v>0</v>
      </c>
      <c r="AB77" s="449">
        <f t="shared" si="117"/>
        <v>0</v>
      </c>
      <c r="AC77" s="449">
        <f t="shared" si="117"/>
        <v>0</v>
      </c>
      <c r="AD77" s="449">
        <f t="shared" si="117"/>
        <v>0</v>
      </c>
      <c r="AE77" s="449">
        <f t="shared" si="117"/>
        <v>0</v>
      </c>
      <c r="AF77" s="449">
        <f t="shared" si="117"/>
        <v>0</v>
      </c>
      <c r="AG77" s="449">
        <f t="shared" si="117"/>
        <v>0</v>
      </c>
      <c r="AH77" s="449">
        <f t="shared" si="117"/>
        <v>0</v>
      </c>
      <c r="AI77" s="449">
        <f t="shared" si="117"/>
        <v>0</v>
      </c>
      <c r="AJ77" s="449">
        <f t="shared" si="117"/>
        <v>0</v>
      </c>
      <c r="AK77" s="449">
        <f t="shared" si="117"/>
        <v>0</v>
      </c>
      <c r="AL77" s="449">
        <f t="shared" si="117"/>
        <v>0</v>
      </c>
      <c r="AN77" s="500">
        <f t="shared" si="108"/>
        <v>0</v>
      </c>
      <c r="AO77" s="449">
        <f t="shared" si="109"/>
        <v>0</v>
      </c>
      <c r="AP77" s="449">
        <f t="shared" si="110"/>
        <v>0</v>
      </c>
      <c r="AQ77" s="453" t="str">
        <f t="shared" si="111"/>
        <v>-</v>
      </c>
      <c r="AR77" s="449">
        <f t="shared" si="112"/>
        <v>0</v>
      </c>
      <c r="AS77" s="449">
        <f t="shared" si="113"/>
        <v>0</v>
      </c>
      <c r="AT77" s="426">
        <f t="shared" si="114"/>
        <v>0</v>
      </c>
      <c r="AU77" s="421"/>
      <c r="AV77" s="449">
        <f t="shared" si="115"/>
        <v>0</v>
      </c>
      <c r="AW77" s="449">
        <f t="shared" si="115"/>
        <v>0</v>
      </c>
      <c r="AX77" s="449">
        <f t="shared" si="115"/>
        <v>0</v>
      </c>
      <c r="AY77" s="449">
        <f t="shared" si="115"/>
        <v>0</v>
      </c>
      <c r="AZ77" s="449">
        <f t="shared" si="115"/>
        <v>0</v>
      </c>
      <c r="BA77" s="449">
        <f t="shared" si="115"/>
        <v>0</v>
      </c>
      <c r="BB77" s="449">
        <f t="shared" si="115"/>
        <v>0</v>
      </c>
      <c r="BC77" s="449">
        <f t="shared" si="115"/>
        <v>0</v>
      </c>
      <c r="BD77" s="449">
        <f t="shared" si="115"/>
        <v>0</v>
      </c>
      <c r="BE77" s="449">
        <f t="shared" si="115"/>
        <v>0</v>
      </c>
      <c r="BF77" s="449">
        <f t="shared" si="115"/>
        <v>0</v>
      </c>
      <c r="BG77" s="449">
        <f t="shared" si="115"/>
        <v>0</v>
      </c>
      <c r="BH77" s="400"/>
      <c r="BI77" s="449">
        <v>0</v>
      </c>
      <c r="BJ77" s="449">
        <v>0</v>
      </c>
      <c r="BK77" s="449">
        <v>0</v>
      </c>
      <c r="BL77" s="449">
        <v>0</v>
      </c>
      <c r="BM77" s="449">
        <v>0</v>
      </c>
      <c r="BN77" s="449">
        <v>0</v>
      </c>
      <c r="BO77" s="449">
        <v>0</v>
      </c>
      <c r="BP77" s="449">
        <v>0</v>
      </c>
      <c r="BQ77" s="449">
        <v>0</v>
      </c>
      <c r="BR77" s="449">
        <v>0</v>
      </c>
      <c r="BS77" s="449">
        <v>0</v>
      </c>
      <c r="BT77" s="449">
        <v>0</v>
      </c>
    </row>
    <row r="78" spans="1:72" ht="15.75" hidden="1" customHeight="1" x14ac:dyDescent="0.25">
      <c r="A78" s="502" t="s">
        <v>119</v>
      </c>
      <c r="B78" s="502" t="s">
        <v>120</v>
      </c>
      <c r="C78" s="541"/>
      <c r="D78" s="500">
        <f t="shared" si="101"/>
        <v>0</v>
      </c>
      <c r="E78" s="449">
        <v>0</v>
      </c>
      <c r="F78" s="449">
        <f t="shared" si="102"/>
        <v>0</v>
      </c>
      <c r="G78" s="421">
        <f t="shared" si="103"/>
        <v>0</v>
      </c>
      <c r="H78" s="449">
        <v>0</v>
      </c>
      <c r="I78" s="449">
        <f t="shared" si="104"/>
        <v>0</v>
      </c>
      <c r="J78" s="426">
        <f t="shared" si="105"/>
        <v>0</v>
      </c>
      <c r="K78" s="421"/>
      <c r="L78" s="449">
        <v>0</v>
      </c>
      <c r="M78" s="449">
        <v>0</v>
      </c>
      <c r="N78" s="449">
        <v>0</v>
      </c>
      <c r="O78" s="449">
        <v>0</v>
      </c>
      <c r="P78" s="449">
        <v>0</v>
      </c>
      <c r="Q78" s="449">
        <v>0</v>
      </c>
      <c r="R78" s="449">
        <f>($H78-SUM($L78:Q78))/R$694</f>
        <v>0</v>
      </c>
      <c r="S78" s="449">
        <f>($H78-SUM($L78:R78))/S$694</f>
        <v>0</v>
      </c>
      <c r="T78" s="449">
        <f>($H78-SUM($L78:S78))/T$694</f>
        <v>0</v>
      </c>
      <c r="U78" s="449">
        <f>($H78-SUM($L78:T78))/U$694</f>
        <v>0</v>
      </c>
      <c r="V78" s="449">
        <f>($H78-SUM($L78:U78))/V$694</f>
        <v>0</v>
      </c>
      <c r="W78" s="449">
        <f>($H78-SUM($L78:V78))/W$694</f>
        <v>0</v>
      </c>
      <c r="X78" s="449"/>
      <c r="Y78" s="449">
        <f t="shared" si="106"/>
        <v>0</v>
      </c>
      <c r="Z78" s="531"/>
      <c r="AA78" s="449">
        <f t="shared" si="117"/>
        <v>0</v>
      </c>
      <c r="AB78" s="449">
        <f t="shared" si="117"/>
        <v>0</v>
      </c>
      <c r="AC78" s="449">
        <f t="shared" si="117"/>
        <v>0</v>
      </c>
      <c r="AD78" s="449">
        <f t="shared" si="117"/>
        <v>0</v>
      </c>
      <c r="AE78" s="449">
        <f t="shared" si="117"/>
        <v>0</v>
      </c>
      <c r="AF78" s="449">
        <f t="shared" si="117"/>
        <v>0</v>
      </c>
      <c r="AG78" s="449">
        <f t="shared" si="117"/>
        <v>0</v>
      </c>
      <c r="AH78" s="449">
        <f t="shared" si="117"/>
        <v>0</v>
      </c>
      <c r="AI78" s="449">
        <f t="shared" si="117"/>
        <v>0</v>
      </c>
      <c r="AJ78" s="449">
        <f t="shared" si="117"/>
        <v>0</v>
      </c>
      <c r="AK78" s="449">
        <f t="shared" si="117"/>
        <v>0</v>
      </c>
      <c r="AL78" s="449">
        <f t="shared" si="117"/>
        <v>0</v>
      </c>
      <c r="AN78" s="500">
        <f t="shared" si="108"/>
        <v>0</v>
      </c>
      <c r="AO78" s="449">
        <f t="shared" si="109"/>
        <v>0</v>
      </c>
      <c r="AP78" s="449">
        <f t="shared" si="110"/>
        <v>0</v>
      </c>
      <c r="AQ78" s="453" t="str">
        <f t="shared" si="111"/>
        <v>-</v>
      </c>
      <c r="AR78" s="449">
        <f t="shared" si="112"/>
        <v>0</v>
      </c>
      <c r="AS78" s="449">
        <f t="shared" si="113"/>
        <v>0</v>
      </c>
      <c r="AT78" s="426">
        <f t="shared" si="114"/>
        <v>0</v>
      </c>
      <c r="AU78" s="421"/>
      <c r="AV78" s="449">
        <f t="shared" si="115"/>
        <v>0</v>
      </c>
      <c r="AW78" s="449">
        <f t="shared" si="115"/>
        <v>0</v>
      </c>
      <c r="AX78" s="449">
        <f t="shared" si="115"/>
        <v>0</v>
      </c>
      <c r="AY78" s="449">
        <f t="shared" si="115"/>
        <v>0</v>
      </c>
      <c r="AZ78" s="449">
        <f t="shared" si="115"/>
        <v>0</v>
      </c>
      <c r="BA78" s="449">
        <f t="shared" si="115"/>
        <v>0</v>
      </c>
      <c r="BB78" s="449">
        <f t="shared" si="115"/>
        <v>0</v>
      </c>
      <c r="BC78" s="449">
        <f t="shared" si="115"/>
        <v>0</v>
      </c>
      <c r="BD78" s="449">
        <f t="shared" si="115"/>
        <v>0</v>
      </c>
      <c r="BE78" s="449">
        <f t="shared" si="115"/>
        <v>0</v>
      </c>
      <c r="BF78" s="449">
        <f t="shared" si="115"/>
        <v>0</v>
      </c>
      <c r="BG78" s="449">
        <f t="shared" si="115"/>
        <v>0</v>
      </c>
      <c r="BH78" s="400"/>
      <c r="BI78" s="449">
        <v>0</v>
      </c>
      <c r="BJ78" s="449">
        <v>0</v>
      </c>
      <c r="BK78" s="449">
        <v>0</v>
      </c>
      <c r="BL78" s="449">
        <v>0</v>
      </c>
      <c r="BM78" s="449">
        <v>0</v>
      </c>
      <c r="BN78" s="449">
        <v>0</v>
      </c>
      <c r="BO78" s="449">
        <v>0</v>
      </c>
      <c r="BP78" s="449">
        <v>0</v>
      </c>
      <c r="BQ78" s="449">
        <v>0</v>
      </c>
      <c r="BR78" s="449">
        <v>0</v>
      </c>
      <c r="BS78" s="449">
        <v>0</v>
      </c>
      <c r="BT78" s="449">
        <v>0</v>
      </c>
    </row>
    <row r="79" spans="1:72" ht="15" x14ac:dyDescent="0.25">
      <c r="A79" s="502" t="s">
        <v>121</v>
      </c>
      <c r="B79" s="502" t="s">
        <v>122</v>
      </c>
      <c r="C79" s="541"/>
      <c r="D79" s="500">
        <f t="shared" si="101"/>
        <v>46777</v>
      </c>
      <c r="E79" s="449">
        <v>47212</v>
      </c>
      <c r="F79" s="449">
        <f t="shared" si="102"/>
        <v>-435</v>
      </c>
      <c r="G79" s="421">
        <f t="shared" si="103"/>
        <v>-9.2137592137592136E-3</v>
      </c>
      <c r="H79" s="449">
        <v>46777</v>
      </c>
      <c r="I79" s="449">
        <f t="shared" si="104"/>
        <v>0</v>
      </c>
      <c r="J79" s="426">
        <f t="shared" si="105"/>
        <v>0</v>
      </c>
      <c r="K79" s="421"/>
      <c r="L79" s="449">
        <v>108.67</v>
      </c>
      <c r="M79" s="449">
        <v>1767.85</v>
      </c>
      <c r="N79" s="449">
        <v>1874.3600000000001</v>
      </c>
      <c r="O79" s="449">
        <v>2719.84</v>
      </c>
      <c r="P79" s="449">
        <v>1585.75</v>
      </c>
      <c r="Q79" s="449">
        <v>1963.3900000000003</v>
      </c>
      <c r="R79" s="449">
        <f>($H79-SUM($L79:Q79))/R$694</f>
        <v>6126.19</v>
      </c>
      <c r="S79" s="449">
        <f>($H79-SUM($L79:R79))/S$694</f>
        <v>6126.1900000000005</v>
      </c>
      <c r="T79" s="449">
        <f>($H79-SUM($L79:S79))/T$694</f>
        <v>6126.1900000000005</v>
      </c>
      <c r="U79" s="449">
        <f>($H79-SUM($L79:T79))/U$694</f>
        <v>6126.19</v>
      </c>
      <c r="V79" s="449">
        <f>($H79-SUM($L79:U79))/V$694</f>
        <v>6126.1899999999987</v>
      </c>
      <c r="W79" s="449">
        <f>($H79-SUM($L79:V79))/W$694</f>
        <v>6126.1900000000023</v>
      </c>
      <c r="X79" s="449"/>
      <c r="Y79" s="449">
        <f t="shared" si="106"/>
        <v>46777</v>
      </c>
      <c r="Z79" s="531"/>
      <c r="AA79" s="449">
        <f t="shared" si="117"/>
        <v>3898.0833333333335</v>
      </c>
      <c r="AB79" s="449">
        <f t="shared" si="117"/>
        <v>3898.0833333333335</v>
      </c>
      <c r="AC79" s="449">
        <f t="shared" si="117"/>
        <v>3898.0833333333335</v>
      </c>
      <c r="AD79" s="449">
        <f t="shared" si="117"/>
        <v>3898.0833333333335</v>
      </c>
      <c r="AE79" s="449">
        <f t="shared" si="117"/>
        <v>3898.0833333333335</v>
      </c>
      <c r="AF79" s="449">
        <f t="shared" si="117"/>
        <v>3898.0833333333335</v>
      </c>
      <c r="AG79" s="449">
        <f t="shared" si="117"/>
        <v>3898.0833333333335</v>
      </c>
      <c r="AH79" s="449">
        <f t="shared" si="117"/>
        <v>3898.0833333333335</v>
      </c>
      <c r="AI79" s="449">
        <f t="shared" si="117"/>
        <v>3898.0833333333335</v>
      </c>
      <c r="AJ79" s="449">
        <f t="shared" si="117"/>
        <v>3898.0833333333335</v>
      </c>
      <c r="AK79" s="449">
        <f t="shared" si="117"/>
        <v>3898.0833333333335</v>
      </c>
      <c r="AL79" s="449">
        <f t="shared" si="117"/>
        <v>3898.0833333333335</v>
      </c>
      <c r="AN79" s="500">
        <f t="shared" si="108"/>
        <v>46777</v>
      </c>
      <c r="AO79" s="449">
        <f t="shared" si="109"/>
        <v>44203.05000000001</v>
      </c>
      <c r="AP79" s="449">
        <f t="shared" si="110"/>
        <v>-2573.9499999999898</v>
      </c>
      <c r="AQ79" s="453">
        <f t="shared" si="111"/>
        <v>-5.5025974303610531E-2</v>
      </c>
      <c r="AR79" s="449">
        <f t="shared" si="112"/>
        <v>44203.05000000001</v>
      </c>
      <c r="AS79" s="449">
        <f t="shared" si="113"/>
        <v>0</v>
      </c>
      <c r="AT79" s="426">
        <f t="shared" si="114"/>
        <v>0</v>
      </c>
      <c r="AU79" s="421"/>
      <c r="AV79" s="449">
        <f t="shared" si="115"/>
        <v>0</v>
      </c>
      <c r="AW79" s="449">
        <f t="shared" si="115"/>
        <v>3683.5875000000001</v>
      </c>
      <c r="AX79" s="449">
        <f t="shared" si="115"/>
        <v>3683.5875000000001</v>
      </c>
      <c r="AY79" s="449">
        <f t="shared" si="115"/>
        <v>3683.5875000000001</v>
      </c>
      <c r="AZ79" s="449">
        <f t="shared" si="115"/>
        <v>3683.5875000000001</v>
      </c>
      <c r="BA79" s="449">
        <f t="shared" si="115"/>
        <v>3683.5875000000001</v>
      </c>
      <c r="BB79" s="449">
        <f t="shared" si="115"/>
        <v>3683.5875000000001</v>
      </c>
      <c r="BC79" s="449">
        <f t="shared" si="115"/>
        <v>3683.5875000000001</v>
      </c>
      <c r="BD79" s="449">
        <f t="shared" si="115"/>
        <v>3683.5875000000001</v>
      </c>
      <c r="BE79" s="449">
        <f t="shared" si="115"/>
        <v>3683.5875000000001</v>
      </c>
      <c r="BF79" s="449">
        <f t="shared" si="115"/>
        <v>3683.5875000000001</v>
      </c>
      <c r="BG79" s="449">
        <f t="shared" si="115"/>
        <v>7367.1750000000002</v>
      </c>
      <c r="BH79" s="400"/>
      <c r="BI79" s="449">
        <v>0</v>
      </c>
      <c r="BJ79" s="449">
        <f>SUM('FY19 Staffing V1-1 (3)'!$S$5:$S$36)/12</f>
        <v>3683.5875000000001</v>
      </c>
      <c r="BK79" s="449">
        <f>SUM('FY19 Staffing V1-1 (3)'!$S$5:$S$36)/12</f>
        <v>3683.5875000000001</v>
      </c>
      <c r="BL79" s="449">
        <f>SUM('FY19 Staffing V1-1 (3)'!$S$5:$S$36)/12</f>
        <v>3683.5875000000001</v>
      </c>
      <c r="BM79" s="449">
        <f>SUM('FY19 Staffing V1-1 (3)'!$S$5:$S$36)/12</f>
        <v>3683.5875000000001</v>
      </c>
      <c r="BN79" s="449">
        <f>SUM('FY19 Staffing V1-1 (3)'!$S$5:$S$36)/12</f>
        <v>3683.5875000000001</v>
      </c>
      <c r="BO79" s="449">
        <f>SUM('FY19 Staffing V1-1 (3)'!$S$5:$S$36)/12</f>
        <v>3683.5875000000001</v>
      </c>
      <c r="BP79" s="449">
        <f>SUM('FY19 Staffing V1-1 (3)'!$S$5:$S$36)/12</f>
        <v>3683.5875000000001</v>
      </c>
      <c r="BQ79" s="449">
        <f>SUM('FY19 Staffing V1-1 (3)'!$S$5:$S$36)/12</f>
        <v>3683.5875000000001</v>
      </c>
      <c r="BR79" s="449">
        <f>SUM('FY19 Staffing V1-1 (3)'!$S$5:$S$36)/12</f>
        <v>3683.5875000000001</v>
      </c>
      <c r="BS79" s="449">
        <f>SUM('FY19 Staffing V1-1 (3)'!$S$5:$S$36)/12</f>
        <v>3683.5875000000001</v>
      </c>
      <c r="BT79" s="449">
        <f>SUM('FY19 Staffing V1-1 (3)'!$S$5:$S$36)/12*2</f>
        <v>7367.1750000000002</v>
      </c>
    </row>
    <row r="80" spans="1:72" ht="15" x14ac:dyDescent="0.25">
      <c r="A80" s="502" t="s">
        <v>123</v>
      </c>
      <c r="B80" s="502" t="s">
        <v>124</v>
      </c>
      <c r="C80" s="541"/>
      <c r="D80" s="500">
        <f t="shared" si="101"/>
        <v>480</v>
      </c>
      <c r="E80" s="449">
        <v>480</v>
      </c>
      <c r="F80" s="449">
        <f t="shared" si="102"/>
        <v>0</v>
      </c>
      <c r="G80" s="421">
        <f t="shared" si="103"/>
        <v>0</v>
      </c>
      <c r="H80" s="449">
        <v>480</v>
      </c>
      <c r="I80" s="449">
        <f t="shared" si="104"/>
        <v>0</v>
      </c>
      <c r="J80" s="426">
        <f t="shared" si="105"/>
        <v>0</v>
      </c>
      <c r="K80" s="421"/>
      <c r="L80" s="449">
        <v>0</v>
      </c>
      <c r="M80" s="449">
        <v>13.68</v>
      </c>
      <c r="N80" s="449">
        <v>10.080000000000002</v>
      </c>
      <c r="O80" s="449">
        <v>7.1999999999999993</v>
      </c>
      <c r="P80" s="449">
        <v>3.6000000000000014</v>
      </c>
      <c r="Q80" s="449">
        <v>3.5999999999999943</v>
      </c>
      <c r="R80" s="449">
        <f>($H80-SUM($L80:Q80))/R$694</f>
        <v>73.64</v>
      </c>
      <c r="S80" s="449">
        <f>($H80-SUM($L80:R80))/S$694</f>
        <v>73.64</v>
      </c>
      <c r="T80" s="449">
        <f>($H80-SUM($L80:S80))/T$694</f>
        <v>73.64</v>
      </c>
      <c r="U80" s="449">
        <f>($H80-SUM($L80:T80))/U$694</f>
        <v>73.64</v>
      </c>
      <c r="V80" s="449">
        <f>($H80-SUM($L80:U80))/V$694</f>
        <v>73.640000000000015</v>
      </c>
      <c r="W80" s="449">
        <f>($H80-SUM($L80:V80))/W$694</f>
        <v>73.639999999999986</v>
      </c>
      <c r="X80" s="449"/>
      <c r="Y80" s="449">
        <f t="shared" si="106"/>
        <v>480</v>
      </c>
      <c r="Z80" s="531"/>
      <c r="AA80" s="449">
        <f t="shared" si="117"/>
        <v>40</v>
      </c>
      <c r="AB80" s="449">
        <f t="shared" si="117"/>
        <v>40</v>
      </c>
      <c r="AC80" s="449">
        <f t="shared" si="117"/>
        <v>40</v>
      </c>
      <c r="AD80" s="449">
        <f t="shared" si="117"/>
        <v>40</v>
      </c>
      <c r="AE80" s="449">
        <f t="shared" si="117"/>
        <v>40</v>
      </c>
      <c r="AF80" s="449">
        <f t="shared" si="117"/>
        <v>40</v>
      </c>
      <c r="AG80" s="449">
        <f t="shared" si="117"/>
        <v>40</v>
      </c>
      <c r="AH80" s="449">
        <f t="shared" si="117"/>
        <v>40</v>
      </c>
      <c r="AI80" s="449">
        <f t="shared" si="117"/>
        <v>40</v>
      </c>
      <c r="AJ80" s="449">
        <f t="shared" si="117"/>
        <v>40</v>
      </c>
      <c r="AK80" s="449">
        <f t="shared" si="117"/>
        <v>40</v>
      </c>
      <c r="AL80" s="449">
        <f t="shared" si="117"/>
        <v>40</v>
      </c>
      <c r="AN80" s="500">
        <f t="shared" si="108"/>
        <v>480</v>
      </c>
      <c r="AO80" s="449">
        <f t="shared" si="109"/>
        <v>0</v>
      </c>
      <c r="AP80" s="449">
        <f t="shared" si="110"/>
        <v>-480</v>
      </c>
      <c r="AQ80" s="453">
        <f t="shared" si="111"/>
        <v>-1</v>
      </c>
      <c r="AR80" s="449">
        <f t="shared" si="112"/>
        <v>0</v>
      </c>
      <c r="AS80" s="449">
        <f t="shared" si="113"/>
        <v>0</v>
      </c>
      <c r="AT80" s="426">
        <f t="shared" si="114"/>
        <v>0</v>
      </c>
      <c r="AU80" s="421"/>
      <c r="AV80" s="449">
        <f t="shared" si="115"/>
        <v>0</v>
      </c>
      <c r="AW80" s="449">
        <f t="shared" si="115"/>
        <v>0</v>
      </c>
      <c r="AX80" s="449">
        <f t="shared" si="115"/>
        <v>0</v>
      </c>
      <c r="AY80" s="449">
        <f t="shared" si="115"/>
        <v>0</v>
      </c>
      <c r="AZ80" s="449">
        <f t="shared" si="115"/>
        <v>0</v>
      </c>
      <c r="BA80" s="449">
        <f t="shared" si="115"/>
        <v>0</v>
      </c>
      <c r="BB80" s="449">
        <f t="shared" si="115"/>
        <v>0</v>
      </c>
      <c r="BC80" s="449">
        <f t="shared" si="115"/>
        <v>0</v>
      </c>
      <c r="BD80" s="449">
        <f t="shared" si="115"/>
        <v>0</v>
      </c>
      <c r="BE80" s="449">
        <f t="shared" si="115"/>
        <v>0</v>
      </c>
      <c r="BF80" s="449">
        <f t="shared" si="115"/>
        <v>0</v>
      </c>
      <c r="BG80" s="449">
        <f t="shared" si="115"/>
        <v>0</v>
      </c>
      <c r="BH80" s="400"/>
      <c r="BI80" s="449">
        <f>SUM('FY19 Staffing V1-1 (3)'!$S$144)/12</f>
        <v>0</v>
      </c>
      <c r="BJ80" s="449">
        <f>SUM('FY19 Staffing V1-1 (3)'!$S$144)/12</f>
        <v>0</v>
      </c>
      <c r="BK80" s="449">
        <f>SUM('FY19 Staffing V1-1 (3)'!$S$144)/12</f>
        <v>0</v>
      </c>
      <c r="BL80" s="449">
        <f>SUM('FY19 Staffing V1-1 (3)'!$S$144)/12</f>
        <v>0</v>
      </c>
      <c r="BM80" s="449">
        <f>SUM('FY19 Staffing V1-1 (3)'!$S$144)/12</f>
        <v>0</v>
      </c>
      <c r="BN80" s="449">
        <f>SUM('FY19 Staffing V1-1 (3)'!$S$144)/12</f>
        <v>0</v>
      </c>
      <c r="BO80" s="449">
        <f>SUM('FY19 Staffing V1-1 (3)'!$S$144)/12</f>
        <v>0</v>
      </c>
      <c r="BP80" s="449">
        <f>SUM('FY19 Staffing V1-1 (3)'!$S$144)/12</f>
        <v>0</v>
      </c>
      <c r="BQ80" s="449">
        <f>SUM('FY19 Staffing V1-1 (3)'!$S$144)/12</f>
        <v>0</v>
      </c>
      <c r="BR80" s="449">
        <f>SUM('FY19 Staffing V1-1 (3)'!$S$144)/12</f>
        <v>0</v>
      </c>
      <c r="BS80" s="449">
        <f>SUM('FY19 Staffing V1-1 (3)'!$S$144)/12</f>
        <v>0</v>
      </c>
      <c r="BT80" s="449">
        <f>SUM('FY19 Staffing V1-1 (3)'!$S$144)/12</f>
        <v>0</v>
      </c>
    </row>
    <row r="81" spans="1:72" ht="15" x14ac:dyDescent="0.25">
      <c r="A81" s="502" t="s">
        <v>125</v>
      </c>
      <c r="B81" s="502" t="s">
        <v>126</v>
      </c>
      <c r="C81" s="541"/>
      <c r="D81" s="500">
        <f t="shared" si="101"/>
        <v>4462</v>
      </c>
      <c r="E81" s="449">
        <v>4462</v>
      </c>
      <c r="F81" s="449">
        <f t="shared" si="102"/>
        <v>0</v>
      </c>
      <c r="G81" s="421">
        <f t="shared" si="103"/>
        <v>0</v>
      </c>
      <c r="H81" s="449">
        <v>4462</v>
      </c>
      <c r="I81" s="449">
        <f t="shared" si="104"/>
        <v>0</v>
      </c>
      <c r="J81" s="426">
        <f t="shared" si="105"/>
        <v>0</v>
      </c>
      <c r="K81" s="421"/>
      <c r="L81" s="449">
        <v>0</v>
      </c>
      <c r="M81" s="449">
        <v>63.4</v>
      </c>
      <c r="N81" s="449">
        <v>83.07</v>
      </c>
      <c r="O81" s="449">
        <v>93.669999999999987</v>
      </c>
      <c r="P81" s="449">
        <v>87.970000000000027</v>
      </c>
      <c r="Q81" s="449">
        <v>188.30999999999995</v>
      </c>
      <c r="R81" s="449">
        <f>($H81-SUM($L81:Q81))/R$694</f>
        <v>657.59666666666669</v>
      </c>
      <c r="S81" s="449">
        <f>($H81-SUM($L81:R81))/S$694</f>
        <v>657.59666666666669</v>
      </c>
      <c r="T81" s="449">
        <f>($H81-SUM($L81:S81))/T$694</f>
        <v>657.59666666666669</v>
      </c>
      <c r="U81" s="449">
        <f>($H81-SUM($L81:T81))/U$694</f>
        <v>657.59666666666669</v>
      </c>
      <c r="V81" s="449">
        <f>($H81-SUM($L81:U81))/V$694</f>
        <v>657.59666666666658</v>
      </c>
      <c r="W81" s="449">
        <f>($H81-SUM($L81:V81))/W$694</f>
        <v>657.59666666666635</v>
      </c>
      <c r="X81" s="449"/>
      <c r="Y81" s="449">
        <f t="shared" si="106"/>
        <v>4462</v>
      </c>
      <c r="Z81" s="531"/>
      <c r="AA81" s="449">
        <f t="shared" si="117"/>
        <v>371.83333333333331</v>
      </c>
      <c r="AB81" s="449">
        <f t="shared" si="117"/>
        <v>371.83333333333331</v>
      </c>
      <c r="AC81" s="449">
        <f t="shared" si="117"/>
        <v>371.83333333333331</v>
      </c>
      <c r="AD81" s="449">
        <f t="shared" si="117"/>
        <v>371.83333333333331</v>
      </c>
      <c r="AE81" s="449">
        <f t="shared" si="117"/>
        <v>371.83333333333331</v>
      </c>
      <c r="AF81" s="449">
        <f t="shared" si="117"/>
        <v>371.83333333333331</v>
      </c>
      <c r="AG81" s="449">
        <f t="shared" si="117"/>
        <v>371.83333333333331</v>
      </c>
      <c r="AH81" s="449">
        <f t="shared" si="117"/>
        <v>371.83333333333331</v>
      </c>
      <c r="AI81" s="449">
        <f t="shared" si="117"/>
        <v>371.83333333333331</v>
      </c>
      <c r="AJ81" s="449">
        <f t="shared" si="117"/>
        <v>371.83333333333331</v>
      </c>
      <c r="AK81" s="449">
        <f t="shared" si="117"/>
        <v>371.83333333333331</v>
      </c>
      <c r="AL81" s="449">
        <f t="shared" si="117"/>
        <v>371.83333333333331</v>
      </c>
      <c r="AN81" s="500">
        <f t="shared" si="108"/>
        <v>4462</v>
      </c>
      <c r="AO81" s="449">
        <f t="shared" si="109"/>
        <v>2602.8800000000006</v>
      </c>
      <c r="AP81" s="449">
        <f t="shared" si="110"/>
        <v>-1859.1199999999994</v>
      </c>
      <c r="AQ81" s="453">
        <f t="shared" si="111"/>
        <v>-0.41665620797848485</v>
      </c>
      <c r="AR81" s="449">
        <f t="shared" si="112"/>
        <v>2602.8800000000006</v>
      </c>
      <c r="AS81" s="449">
        <f t="shared" si="113"/>
        <v>0</v>
      </c>
      <c r="AT81" s="426">
        <f t="shared" si="114"/>
        <v>0</v>
      </c>
      <c r="AU81" s="421"/>
      <c r="AV81" s="449">
        <f t="shared" si="115"/>
        <v>0</v>
      </c>
      <c r="AW81" s="449">
        <f t="shared" si="115"/>
        <v>216.90666666666667</v>
      </c>
      <c r="AX81" s="449">
        <f t="shared" si="115"/>
        <v>216.90666666666667</v>
      </c>
      <c r="AY81" s="449">
        <f t="shared" si="115"/>
        <v>216.90666666666667</v>
      </c>
      <c r="AZ81" s="449">
        <f t="shared" si="115"/>
        <v>216.90666666666667</v>
      </c>
      <c r="BA81" s="449">
        <f t="shared" si="115"/>
        <v>216.90666666666667</v>
      </c>
      <c r="BB81" s="449">
        <f t="shared" si="115"/>
        <v>216.90666666666667</v>
      </c>
      <c r="BC81" s="449">
        <f t="shared" si="115"/>
        <v>216.90666666666667</v>
      </c>
      <c r="BD81" s="449">
        <f t="shared" si="115"/>
        <v>216.90666666666667</v>
      </c>
      <c r="BE81" s="449">
        <f t="shared" si="115"/>
        <v>216.90666666666667</v>
      </c>
      <c r="BF81" s="449">
        <f t="shared" si="115"/>
        <v>216.90666666666667</v>
      </c>
      <c r="BG81" s="449">
        <f t="shared" si="115"/>
        <v>433.81333333333333</v>
      </c>
      <c r="BH81" s="400"/>
      <c r="BI81" s="449">
        <v>0</v>
      </c>
      <c r="BJ81" s="449">
        <f>('FY19 Staffing V1-1 (3)'!$S$179-'FY19 Staffing V1-1 (3)'!$S$175)/12</f>
        <v>216.90666666666667</v>
      </c>
      <c r="BK81" s="449">
        <f>('FY19 Staffing V1-1 (3)'!$S$179-'FY19 Staffing V1-1 (3)'!$S$175)/12</f>
        <v>216.90666666666667</v>
      </c>
      <c r="BL81" s="449">
        <f>('FY19 Staffing V1-1 (3)'!$S$179-'FY19 Staffing V1-1 (3)'!$S$175)/12</f>
        <v>216.90666666666667</v>
      </c>
      <c r="BM81" s="449">
        <f>('FY19 Staffing V1-1 (3)'!$S$179-'FY19 Staffing V1-1 (3)'!$S$175)/12</f>
        <v>216.90666666666667</v>
      </c>
      <c r="BN81" s="449">
        <f>('FY19 Staffing V1-1 (3)'!$S$179-'FY19 Staffing V1-1 (3)'!$S$175)/12</f>
        <v>216.90666666666667</v>
      </c>
      <c r="BO81" s="449">
        <f>('FY19 Staffing V1-1 (3)'!$S$179-'FY19 Staffing V1-1 (3)'!$S$175)/12</f>
        <v>216.90666666666667</v>
      </c>
      <c r="BP81" s="449">
        <f>('FY19 Staffing V1-1 (3)'!$S$179-'FY19 Staffing V1-1 (3)'!$S$175)/12</f>
        <v>216.90666666666667</v>
      </c>
      <c r="BQ81" s="449">
        <f>('FY19 Staffing V1-1 (3)'!$S$179-'FY19 Staffing V1-1 (3)'!$S$175)/12</f>
        <v>216.90666666666667</v>
      </c>
      <c r="BR81" s="449">
        <f>('FY19 Staffing V1-1 (3)'!$S$179-'FY19 Staffing V1-1 (3)'!$S$175)/12</f>
        <v>216.90666666666667</v>
      </c>
      <c r="BS81" s="449">
        <f>('FY19 Staffing V1-1 (3)'!$S$179-'FY19 Staffing V1-1 (3)'!$S$175)/12</f>
        <v>216.90666666666667</v>
      </c>
      <c r="BT81" s="449">
        <f>('FY19 Staffing V1-1 (3)'!$S$179-'FY19 Staffing V1-1 (3)'!$S$175)/12*2</f>
        <v>433.81333333333333</v>
      </c>
    </row>
    <row r="82" spans="1:72" ht="15" x14ac:dyDescent="0.25">
      <c r="A82" s="502" t="s">
        <v>127</v>
      </c>
      <c r="B82" s="502" t="s">
        <v>128</v>
      </c>
      <c r="C82" s="596"/>
      <c r="D82" s="500">
        <f t="shared" si="101"/>
        <v>96000</v>
      </c>
      <c r="E82" s="449">
        <v>76028</v>
      </c>
      <c r="F82" s="449">
        <f t="shared" si="102"/>
        <v>19972</v>
      </c>
      <c r="G82" s="421">
        <f t="shared" si="103"/>
        <v>0.26269269216604407</v>
      </c>
      <c r="H82" s="449">
        <v>96000</v>
      </c>
      <c r="I82" s="449">
        <f t="shared" si="104"/>
        <v>0</v>
      </c>
      <c r="J82" s="426">
        <f t="shared" si="105"/>
        <v>0</v>
      </c>
      <c r="K82" s="421"/>
      <c r="L82" s="449">
        <v>72274.37</v>
      </c>
      <c r="M82" s="449">
        <v>5954.6399999999994</v>
      </c>
      <c r="N82" s="449">
        <v>2220.8000000000029</v>
      </c>
      <c r="O82" s="449">
        <v>0</v>
      </c>
      <c r="P82" s="449">
        <v>12303.690000000002</v>
      </c>
      <c r="Q82" s="449">
        <v>0</v>
      </c>
      <c r="R82" s="449">
        <f>($H82-SUM($L82:Q82))/R$694</f>
        <v>541.08333333333337</v>
      </c>
      <c r="S82" s="449">
        <f>($H82-SUM($L82:R82))/S$694</f>
        <v>541.08333333333428</v>
      </c>
      <c r="T82" s="449">
        <f>($H82-SUM($L82:S82))/T$694</f>
        <v>541.08333333333576</v>
      </c>
      <c r="U82" s="449">
        <f>($H82-SUM($L82:T82))/U$694</f>
        <v>541.08333333333337</v>
      </c>
      <c r="V82" s="449">
        <f>($H82-SUM($L82:U82))/V$694</f>
        <v>541.08333333333576</v>
      </c>
      <c r="W82" s="449">
        <f>($H82-SUM($L82:V82))/W$694</f>
        <v>541.08333333334303</v>
      </c>
      <c r="X82" s="449"/>
      <c r="Y82" s="449">
        <f t="shared" si="106"/>
        <v>96000</v>
      </c>
      <c r="Z82" s="531"/>
      <c r="AA82" s="449">
        <f t="shared" si="117"/>
        <v>8000</v>
      </c>
      <c r="AB82" s="449">
        <f t="shared" si="117"/>
        <v>8000</v>
      </c>
      <c r="AC82" s="449">
        <f t="shared" si="117"/>
        <v>8000</v>
      </c>
      <c r="AD82" s="449">
        <f t="shared" si="117"/>
        <v>8000</v>
      </c>
      <c r="AE82" s="449">
        <f t="shared" si="117"/>
        <v>8000</v>
      </c>
      <c r="AF82" s="449">
        <f t="shared" si="117"/>
        <v>8000</v>
      </c>
      <c r="AG82" s="449">
        <f t="shared" si="117"/>
        <v>8000</v>
      </c>
      <c r="AH82" s="449">
        <f t="shared" si="117"/>
        <v>8000</v>
      </c>
      <c r="AI82" s="449">
        <f t="shared" si="117"/>
        <v>8000</v>
      </c>
      <c r="AJ82" s="449">
        <f t="shared" si="117"/>
        <v>8000</v>
      </c>
      <c r="AK82" s="449">
        <f t="shared" si="117"/>
        <v>8000</v>
      </c>
      <c r="AL82" s="449">
        <f t="shared" si="117"/>
        <v>8000</v>
      </c>
      <c r="AN82" s="500">
        <f t="shared" si="108"/>
        <v>96000</v>
      </c>
      <c r="AO82" s="449">
        <f t="shared" si="109"/>
        <v>76799.999999999985</v>
      </c>
      <c r="AP82" s="449">
        <f t="shared" si="110"/>
        <v>-19200.000000000015</v>
      </c>
      <c r="AQ82" s="453">
        <f t="shared" si="111"/>
        <v>-0.20000000000000015</v>
      </c>
      <c r="AR82" s="449">
        <f t="shared" si="112"/>
        <v>76799.999999999985</v>
      </c>
      <c r="AS82" s="449">
        <f t="shared" si="113"/>
        <v>0</v>
      </c>
      <c r="AT82" s="426">
        <f t="shared" si="114"/>
        <v>0</v>
      </c>
      <c r="AU82" s="421"/>
      <c r="AV82" s="449">
        <f t="shared" si="115"/>
        <v>15360</v>
      </c>
      <c r="AW82" s="449">
        <f t="shared" si="115"/>
        <v>15360</v>
      </c>
      <c r="AX82" s="449">
        <f t="shared" si="115"/>
        <v>10240</v>
      </c>
      <c r="AY82" s="449">
        <f t="shared" ref="AY82:BG88" si="118">BL82</f>
        <v>10240</v>
      </c>
      <c r="AZ82" s="449">
        <f t="shared" si="118"/>
        <v>10240</v>
      </c>
      <c r="BA82" s="449">
        <f t="shared" si="118"/>
        <v>2194.2857142857142</v>
      </c>
      <c r="BB82" s="449">
        <f t="shared" si="118"/>
        <v>2194.2857142857142</v>
      </c>
      <c r="BC82" s="449">
        <f t="shared" si="118"/>
        <v>2194.2857142857142</v>
      </c>
      <c r="BD82" s="449">
        <f t="shared" si="118"/>
        <v>2194.2857142857142</v>
      </c>
      <c r="BE82" s="449">
        <f t="shared" si="118"/>
        <v>2194.2857142857142</v>
      </c>
      <c r="BF82" s="449">
        <f t="shared" si="118"/>
        <v>2194.2857142857142</v>
      </c>
      <c r="BG82" s="449">
        <f t="shared" si="118"/>
        <v>2194.2857142857142</v>
      </c>
      <c r="BH82" s="400"/>
      <c r="BI82" s="449">
        <f>(IFERROR(($H82*0.8),0))*BI$696</f>
        <v>15360</v>
      </c>
      <c r="BJ82" s="449">
        <f t="shared" ref="BJ82:BT82" si="119">(IFERROR(($H82*0.8),0))*BJ$696</f>
        <v>15360</v>
      </c>
      <c r="BK82" s="449">
        <f t="shared" si="119"/>
        <v>10240</v>
      </c>
      <c r="BL82" s="449">
        <f t="shared" si="119"/>
        <v>10240</v>
      </c>
      <c r="BM82" s="449">
        <f t="shared" si="119"/>
        <v>10240</v>
      </c>
      <c r="BN82" s="449">
        <f t="shared" si="119"/>
        <v>2194.2857142857142</v>
      </c>
      <c r="BO82" s="449">
        <f t="shared" si="119"/>
        <v>2194.2857142857142</v>
      </c>
      <c r="BP82" s="449">
        <f t="shared" si="119"/>
        <v>2194.2857142857142</v>
      </c>
      <c r="BQ82" s="449">
        <f t="shared" si="119"/>
        <v>2194.2857142857142</v>
      </c>
      <c r="BR82" s="449">
        <f t="shared" si="119"/>
        <v>2194.2857142857142</v>
      </c>
      <c r="BS82" s="449">
        <f t="shared" si="119"/>
        <v>2194.2857142857142</v>
      </c>
      <c r="BT82" s="449">
        <f t="shared" si="119"/>
        <v>2194.2857142857142</v>
      </c>
    </row>
    <row r="83" spans="1:72" ht="15" x14ac:dyDescent="0.25">
      <c r="A83" s="502" t="s">
        <v>129</v>
      </c>
      <c r="B83" s="502" t="s">
        <v>130</v>
      </c>
      <c r="C83" s="596"/>
      <c r="D83" s="500">
        <f t="shared" si="101"/>
        <v>2831</v>
      </c>
      <c r="E83" s="449">
        <v>2411</v>
      </c>
      <c r="F83" s="449">
        <f t="shared" si="102"/>
        <v>420</v>
      </c>
      <c r="G83" s="421">
        <f t="shared" si="103"/>
        <v>0.17420157610949813</v>
      </c>
      <c r="H83" s="449">
        <v>2831</v>
      </c>
      <c r="I83" s="449">
        <f t="shared" si="104"/>
        <v>0</v>
      </c>
      <c r="J83" s="426">
        <f t="shared" si="105"/>
        <v>0</v>
      </c>
      <c r="K83" s="421"/>
      <c r="L83" s="449">
        <v>0</v>
      </c>
      <c r="M83" s="449">
        <v>0</v>
      </c>
      <c r="N83" s="449">
        <v>0</v>
      </c>
      <c r="O83" s="449">
        <v>0</v>
      </c>
      <c r="P83" s="449">
        <v>0</v>
      </c>
      <c r="Q83" s="449">
        <v>0</v>
      </c>
      <c r="R83" s="449">
        <f>($H83-SUM($L83:Q83))/R$694</f>
        <v>471.83333333333331</v>
      </c>
      <c r="S83" s="449">
        <f>($H83-SUM($L83:R83))/S$694</f>
        <v>471.83333333333331</v>
      </c>
      <c r="T83" s="449">
        <f>($H83-SUM($L83:S83))/T$694</f>
        <v>471.83333333333337</v>
      </c>
      <c r="U83" s="449">
        <f>($H83-SUM($L83:T83))/U$694</f>
        <v>471.83333333333331</v>
      </c>
      <c r="V83" s="449">
        <f>($H83-SUM($L83:U83))/V$694</f>
        <v>471.83333333333337</v>
      </c>
      <c r="W83" s="449">
        <f>($H83-SUM($L83:V83))/W$694</f>
        <v>471.83333333333348</v>
      </c>
      <c r="X83" s="449"/>
      <c r="Y83" s="449">
        <f t="shared" si="106"/>
        <v>2831</v>
      </c>
      <c r="Z83" s="531"/>
      <c r="AA83" s="449">
        <f t="shared" si="117"/>
        <v>235.91666666666666</v>
      </c>
      <c r="AB83" s="449">
        <f t="shared" si="117"/>
        <v>235.91666666666666</v>
      </c>
      <c r="AC83" s="449">
        <f t="shared" si="117"/>
        <v>235.91666666666666</v>
      </c>
      <c r="AD83" s="449">
        <f t="shared" si="117"/>
        <v>235.91666666666666</v>
      </c>
      <c r="AE83" s="449">
        <f t="shared" si="117"/>
        <v>235.91666666666666</v>
      </c>
      <c r="AF83" s="449">
        <f t="shared" si="117"/>
        <v>235.91666666666666</v>
      </c>
      <c r="AG83" s="449">
        <f t="shared" si="117"/>
        <v>235.91666666666666</v>
      </c>
      <c r="AH83" s="449">
        <f t="shared" si="117"/>
        <v>235.91666666666666</v>
      </c>
      <c r="AI83" s="449">
        <f t="shared" si="117"/>
        <v>235.91666666666666</v>
      </c>
      <c r="AJ83" s="449">
        <f t="shared" si="117"/>
        <v>235.91666666666666</v>
      </c>
      <c r="AK83" s="449">
        <f t="shared" si="117"/>
        <v>235.91666666666666</v>
      </c>
      <c r="AL83" s="449">
        <f t="shared" si="117"/>
        <v>235.91666666666666</v>
      </c>
      <c r="AN83" s="500">
        <f t="shared" si="108"/>
        <v>2831</v>
      </c>
      <c r="AO83" s="449">
        <f t="shared" si="109"/>
        <v>0</v>
      </c>
      <c r="AP83" s="449">
        <f t="shared" si="110"/>
        <v>-2831</v>
      </c>
      <c r="AQ83" s="453">
        <f t="shared" si="111"/>
        <v>-1</v>
      </c>
      <c r="AR83" s="449">
        <f t="shared" si="112"/>
        <v>0</v>
      </c>
      <c r="AS83" s="449">
        <f t="shared" si="113"/>
        <v>0</v>
      </c>
      <c r="AT83" s="426">
        <f t="shared" si="114"/>
        <v>0</v>
      </c>
      <c r="AU83" s="421"/>
      <c r="AV83" s="449">
        <f t="shared" ref="AV83:AX88" si="120">BI83</f>
        <v>0</v>
      </c>
      <c r="AW83" s="449">
        <f t="shared" si="120"/>
        <v>0</v>
      </c>
      <c r="AX83" s="449">
        <f t="shared" si="120"/>
        <v>0</v>
      </c>
      <c r="AY83" s="449">
        <f t="shared" si="118"/>
        <v>0</v>
      </c>
      <c r="AZ83" s="449">
        <f t="shared" si="118"/>
        <v>0</v>
      </c>
      <c r="BA83" s="449">
        <f t="shared" si="118"/>
        <v>0</v>
      </c>
      <c r="BB83" s="449">
        <f t="shared" si="118"/>
        <v>0</v>
      </c>
      <c r="BC83" s="449">
        <f t="shared" si="118"/>
        <v>0</v>
      </c>
      <c r="BD83" s="449">
        <f t="shared" si="118"/>
        <v>0</v>
      </c>
      <c r="BE83" s="449">
        <f t="shared" si="118"/>
        <v>0</v>
      </c>
      <c r="BF83" s="449">
        <f t="shared" si="118"/>
        <v>0</v>
      </c>
      <c r="BG83" s="449">
        <f t="shared" si="118"/>
        <v>0</v>
      </c>
      <c r="BH83" s="400"/>
      <c r="BI83" s="449">
        <f>(IFERROR((($H83/$H$5)*BI$5),0))*BI$696*0</f>
        <v>0</v>
      </c>
      <c r="BJ83" s="449">
        <f t="shared" ref="BJ83:BT83" si="121">(IFERROR((($H83/$H$5)*BJ$5),0))*BJ$696*0</f>
        <v>0</v>
      </c>
      <c r="BK83" s="449">
        <f t="shared" si="121"/>
        <v>0</v>
      </c>
      <c r="BL83" s="449">
        <f t="shared" si="121"/>
        <v>0</v>
      </c>
      <c r="BM83" s="449">
        <f t="shared" si="121"/>
        <v>0</v>
      </c>
      <c r="BN83" s="449">
        <f t="shared" si="121"/>
        <v>0</v>
      </c>
      <c r="BO83" s="449">
        <f t="shared" si="121"/>
        <v>0</v>
      </c>
      <c r="BP83" s="449">
        <f t="shared" si="121"/>
        <v>0</v>
      </c>
      <c r="BQ83" s="449">
        <f t="shared" si="121"/>
        <v>0</v>
      </c>
      <c r="BR83" s="449">
        <f t="shared" si="121"/>
        <v>0</v>
      </c>
      <c r="BS83" s="449">
        <f t="shared" si="121"/>
        <v>0</v>
      </c>
      <c r="BT83" s="449">
        <f t="shared" si="121"/>
        <v>0</v>
      </c>
    </row>
    <row r="84" spans="1:72" ht="15" x14ac:dyDescent="0.25">
      <c r="A84" s="537" t="s">
        <v>131</v>
      </c>
      <c r="B84" s="537" t="s">
        <v>132</v>
      </c>
      <c r="C84" s="597"/>
      <c r="D84" s="500">
        <f>SUM(L84:W84)</f>
        <v>0</v>
      </c>
      <c r="E84" s="449">
        <v>0</v>
      </c>
      <c r="F84" s="449">
        <f t="shared" si="102"/>
        <v>0</v>
      </c>
      <c r="G84" s="421">
        <f t="shared" si="103"/>
        <v>0</v>
      </c>
      <c r="H84" s="449">
        <v>0</v>
      </c>
      <c r="I84" s="449">
        <f t="shared" si="104"/>
        <v>0</v>
      </c>
      <c r="J84" s="426">
        <f t="shared" si="105"/>
        <v>0</v>
      </c>
      <c r="K84" s="421"/>
      <c r="L84" s="449">
        <v>0</v>
      </c>
      <c r="M84" s="449">
        <v>0</v>
      </c>
      <c r="N84" s="449">
        <v>0</v>
      </c>
      <c r="O84" s="449">
        <v>0</v>
      </c>
      <c r="P84" s="449">
        <v>0</v>
      </c>
      <c r="Q84" s="449">
        <v>0</v>
      </c>
      <c r="R84" s="449">
        <f>($H84-SUM($L84:Q84))/R$694</f>
        <v>0</v>
      </c>
      <c r="S84" s="449">
        <f>($H84-SUM($L84:R84))/S$694</f>
        <v>0</v>
      </c>
      <c r="T84" s="449">
        <f>($H84-SUM($L84:S84))/T$694</f>
        <v>0</v>
      </c>
      <c r="U84" s="449">
        <f>($H84-SUM($L84:T84))/U$694</f>
        <v>0</v>
      </c>
      <c r="V84" s="449">
        <f>($H84-SUM($L84:U84))/V$694</f>
        <v>0</v>
      </c>
      <c r="W84" s="449">
        <f>($H84-SUM($L84:V84))/W$694</f>
        <v>0</v>
      </c>
      <c r="X84" s="449"/>
      <c r="Y84" s="449">
        <f t="shared" si="106"/>
        <v>0</v>
      </c>
      <c r="Z84" s="531"/>
      <c r="AA84" s="449">
        <f t="shared" si="117"/>
        <v>0</v>
      </c>
      <c r="AB84" s="449">
        <f t="shared" si="117"/>
        <v>0</v>
      </c>
      <c r="AC84" s="449">
        <f t="shared" si="117"/>
        <v>0</v>
      </c>
      <c r="AD84" s="449">
        <f t="shared" si="117"/>
        <v>0</v>
      </c>
      <c r="AE84" s="449">
        <f t="shared" si="117"/>
        <v>0</v>
      </c>
      <c r="AF84" s="449">
        <f t="shared" si="117"/>
        <v>0</v>
      </c>
      <c r="AG84" s="449">
        <f t="shared" si="117"/>
        <v>0</v>
      </c>
      <c r="AH84" s="449">
        <f t="shared" si="117"/>
        <v>0</v>
      </c>
      <c r="AI84" s="449">
        <f t="shared" si="117"/>
        <v>0</v>
      </c>
      <c r="AJ84" s="449">
        <f t="shared" si="117"/>
        <v>0</v>
      </c>
      <c r="AK84" s="449">
        <f t="shared" si="117"/>
        <v>0</v>
      </c>
      <c r="AL84" s="449">
        <f t="shared" si="117"/>
        <v>0</v>
      </c>
      <c r="AN84" s="500">
        <f>SUM(L84:W84)</f>
        <v>0</v>
      </c>
      <c r="AO84" s="449">
        <f>SUM(BI84:BT84)</f>
        <v>15228.915662650606</v>
      </c>
      <c r="AP84" s="449">
        <f t="shared" si="110"/>
        <v>15228.915662650606</v>
      </c>
      <c r="AQ84" s="453" t="str">
        <f t="shared" si="111"/>
        <v>-</v>
      </c>
      <c r="AR84" s="449">
        <f t="shared" si="112"/>
        <v>15228.915662650606</v>
      </c>
      <c r="AS84" s="449">
        <f t="shared" si="113"/>
        <v>0</v>
      </c>
      <c r="AT84" s="426">
        <f t="shared" si="114"/>
        <v>0</v>
      </c>
      <c r="AU84" s="421"/>
      <c r="AV84" s="449">
        <f t="shared" si="120"/>
        <v>1269.0763052208836</v>
      </c>
      <c r="AW84" s="449">
        <f t="shared" si="120"/>
        <v>1269.0763052208836</v>
      </c>
      <c r="AX84" s="449">
        <f t="shared" si="120"/>
        <v>1269.0763052208836</v>
      </c>
      <c r="AY84" s="449">
        <f t="shared" si="118"/>
        <v>1269.0763052208836</v>
      </c>
      <c r="AZ84" s="449">
        <f t="shared" si="118"/>
        <v>1269.0763052208836</v>
      </c>
      <c r="BA84" s="449">
        <f t="shared" si="118"/>
        <v>1269.0763052208836</v>
      </c>
      <c r="BB84" s="449">
        <f t="shared" si="118"/>
        <v>1269.0763052208836</v>
      </c>
      <c r="BC84" s="449">
        <f t="shared" si="118"/>
        <v>1269.0763052208836</v>
      </c>
      <c r="BD84" s="449">
        <f t="shared" si="118"/>
        <v>1269.0763052208836</v>
      </c>
      <c r="BE84" s="449">
        <f t="shared" si="118"/>
        <v>1269.0763052208836</v>
      </c>
      <c r="BF84" s="449">
        <f t="shared" si="118"/>
        <v>1269.0763052208836</v>
      </c>
      <c r="BG84" s="449">
        <f t="shared" si="118"/>
        <v>1269.0763052208836</v>
      </c>
      <c r="BH84" s="400"/>
      <c r="BI84" s="449">
        <f>$AO$47/12*(790/BI$5)</f>
        <v>1269.0763052208836</v>
      </c>
      <c r="BJ84" s="449">
        <f t="shared" ref="BJ84:BT84" si="122">$AO$47/12*(790/BJ$5)</f>
        <v>1269.0763052208836</v>
      </c>
      <c r="BK84" s="449">
        <f t="shared" si="122"/>
        <v>1269.0763052208836</v>
      </c>
      <c r="BL84" s="449">
        <f t="shared" si="122"/>
        <v>1269.0763052208836</v>
      </c>
      <c r="BM84" s="449">
        <f t="shared" si="122"/>
        <v>1269.0763052208836</v>
      </c>
      <c r="BN84" s="449">
        <f t="shared" si="122"/>
        <v>1269.0763052208836</v>
      </c>
      <c r="BO84" s="449">
        <f t="shared" si="122"/>
        <v>1269.0763052208836</v>
      </c>
      <c r="BP84" s="449">
        <f t="shared" si="122"/>
        <v>1269.0763052208836</v>
      </c>
      <c r="BQ84" s="449">
        <f t="shared" si="122"/>
        <v>1269.0763052208836</v>
      </c>
      <c r="BR84" s="449">
        <f t="shared" si="122"/>
        <v>1269.0763052208836</v>
      </c>
      <c r="BS84" s="449">
        <f t="shared" si="122"/>
        <v>1269.0763052208836</v>
      </c>
      <c r="BT84" s="449">
        <f t="shared" si="122"/>
        <v>1269.0763052208836</v>
      </c>
    </row>
    <row r="85" spans="1:72" ht="15" x14ac:dyDescent="0.25">
      <c r="A85" s="502" t="s">
        <v>133</v>
      </c>
      <c r="B85" s="502" t="s">
        <v>134</v>
      </c>
      <c r="C85" s="596"/>
      <c r="D85" s="500">
        <f t="shared" si="101"/>
        <v>20000</v>
      </c>
      <c r="E85" s="449">
        <v>0</v>
      </c>
      <c r="F85" s="449">
        <f t="shared" si="102"/>
        <v>20000</v>
      </c>
      <c r="G85" s="421">
        <f t="shared" si="103"/>
        <v>0</v>
      </c>
      <c r="H85" s="449">
        <v>20000</v>
      </c>
      <c r="I85" s="449">
        <f t="shared" si="104"/>
        <v>0</v>
      </c>
      <c r="J85" s="426">
        <f t="shared" si="105"/>
        <v>0</v>
      </c>
      <c r="K85" s="421"/>
      <c r="L85" s="449">
        <v>0</v>
      </c>
      <c r="M85" s="449">
        <v>0</v>
      </c>
      <c r="N85" s="449">
        <v>0</v>
      </c>
      <c r="O85" s="449">
        <v>0</v>
      </c>
      <c r="P85" s="449">
        <v>0</v>
      </c>
      <c r="Q85" s="449">
        <v>0</v>
      </c>
      <c r="R85" s="449">
        <f>($H85-SUM($L85:Q85))/R$694</f>
        <v>3333.3333333333335</v>
      </c>
      <c r="S85" s="449">
        <f>($H85-SUM($L85:R85))/S$694</f>
        <v>3333.3333333333335</v>
      </c>
      <c r="T85" s="449">
        <f>($H85-SUM($L85:S85))/T$694</f>
        <v>3333.333333333333</v>
      </c>
      <c r="U85" s="449">
        <f>($H85-SUM($L85:T85))/U$694</f>
        <v>3333.3333333333335</v>
      </c>
      <c r="V85" s="449">
        <f>($H85-SUM($L85:U85))/V$694</f>
        <v>3333.333333333333</v>
      </c>
      <c r="W85" s="449">
        <f>($H85-SUM($L85:V85))/W$694</f>
        <v>3333.3333333333321</v>
      </c>
      <c r="X85" s="449"/>
      <c r="Y85" s="449">
        <f t="shared" si="106"/>
        <v>20000</v>
      </c>
      <c r="Z85" s="531"/>
      <c r="AA85" s="449">
        <f t="shared" si="117"/>
        <v>1666.6666666666667</v>
      </c>
      <c r="AB85" s="449">
        <f t="shared" si="117"/>
        <v>1666.6666666666667</v>
      </c>
      <c r="AC85" s="449">
        <f t="shared" si="117"/>
        <v>1666.6666666666667</v>
      </c>
      <c r="AD85" s="449">
        <f t="shared" si="117"/>
        <v>1666.6666666666667</v>
      </c>
      <c r="AE85" s="449">
        <f t="shared" si="117"/>
        <v>1666.6666666666667</v>
      </c>
      <c r="AF85" s="449">
        <f t="shared" si="117"/>
        <v>1666.6666666666667</v>
      </c>
      <c r="AG85" s="449">
        <f t="shared" si="117"/>
        <v>1666.6666666666667</v>
      </c>
      <c r="AH85" s="449">
        <f t="shared" si="117"/>
        <v>1666.6666666666667</v>
      </c>
      <c r="AI85" s="449">
        <f t="shared" si="117"/>
        <v>1666.6666666666667</v>
      </c>
      <c r="AJ85" s="449">
        <f t="shared" si="117"/>
        <v>1666.6666666666667</v>
      </c>
      <c r="AK85" s="449">
        <f t="shared" si="117"/>
        <v>1666.6666666666667</v>
      </c>
      <c r="AL85" s="449">
        <f t="shared" si="117"/>
        <v>1666.6666666666667</v>
      </c>
      <c r="AN85" s="500">
        <f t="shared" si="108"/>
        <v>20000</v>
      </c>
      <c r="AO85" s="449">
        <f t="shared" si="109"/>
        <v>16000</v>
      </c>
      <c r="AP85" s="449">
        <f t="shared" si="110"/>
        <v>-4000</v>
      </c>
      <c r="AQ85" s="453">
        <f t="shared" si="111"/>
        <v>-0.2</v>
      </c>
      <c r="AR85" s="449">
        <f t="shared" si="112"/>
        <v>16000</v>
      </c>
      <c r="AS85" s="449">
        <f t="shared" si="113"/>
        <v>0</v>
      </c>
      <c r="AT85" s="426">
        <f t="shared" si="114"/>
        <v>0</v>
      </c>
      <c r="AU85" s="421"/>
      <c r="AV85" s="449">
        <f t="shared" si="120"/>
        <v>3200</v>
      </c>
      <c r="AW85" s="449">
        <f t="shared" si="120"/>
        <v>3200</v>
      </c>
      <c r="AX85" s="449">
        <f t="shared" si="120"/>
        <v>2133.3333333333335</v>
      </c>
      <c r="AY85" s="449">
        <f t="shared" si="118"/>
        <v>2133.3333333333335</v>
      </c>
      <c r="AZ85" s="449">
        <f t="shared" si="118"/>
        <v>2133.3333333333335</v>
      </c>
      <c r="BA85" s="449">
        <f t="shared" si="118"/>
        <v>457.14285714285711</v>
      </c>
      <c r="BB85" s="449">
        <f t="shared" si="118"/>
        <v>457.14285714285711</v>
      </c>
      <c r="BC85" s="449">
        <f t="shared" si="118"/>
        <v>457.14285714285711</v>
      </c>
      <c r="BD85" s="449">
        <f t="shared" si="118"/>
        <v>457.14285714285711</v>
      </c>
      <c r="BE85" s="449">
        <f t="shared" si="118"/>
        <v>457.14285714285711</v>
      </c>
      <c r="BF85" s="449">
        <f t="shared" si="118"/>
        <v>457.14285714285711</v>
      </c>
      <c r="BG85" s="449">
        <f t="shared" si="118"/>
        <v>457.14285714285711</v>
      </c>
      <c r="BH85" s="400"/>
      <c r="BI85" s="449">
        <f>(IFERROR(($H85*0.8),0))*BI$696</f>
        <v>3200</v>
      </c>
      <c r="BJ85" s="449">
        <f t="shared" ref="BJ85:BT85" si="123">(IFERROR(($H85*0.8),0))*BJ$696</f>
        <v>3200</v>
      </c>
      <c r="BK85" s="449">
        <f t="shared" si="123"/>
        <v>2133.3333333333335</v>
      </c>
      <c r="BL85" s="449">
        <f t="shared" si="123"/>
        <v>2133.3333333333335</v>
      </c>
      <c r="BM85" s="449">
        <f t="shared" si="123"/>
        <v>2133.3333333333335</v>
      </c>
      <c r="BN85" s="449">
        <f t="shared" si="123"/>
        <v>457.14285714285711</v>
      </c>
      <c r="BO85" s="449">
        <f t="shared" si="123"/>
        <v>457.14285714285711</v>
      </c>
      <c r="BP85" s="449">
        <f t="shared" si="123"/>
        <v>457.14285714285711</v>
      </c>
      <c r="BQ85" s="449">
        <f t="shared" si="123"/>
        <v>457.14285714285711</v>
      </c>
      <c r="BR85" s="449">
        <f t="shared" si="123"/>
        <v>457.14285714285711</v>
      </c>
      <c r="BS85" s="449">
        <f t="shared" si="123"/>
        <v>457.14285714285711</v>
      </c>
      <c r="BT85" s="449">
        <f t="shared" si="123"/>
        <v>457.14285714285711</v>
      </c>
    </row>
    <row r="86" spans="1:72" ht="15" x14ac:dyDescent="0.25">
      <c r="A86" s="502" t="s">
        <v>135</v>
      </c>
      <c r="B86" s="502" t="s">
        <v>136</v>
      </c>
      <c r="C86" s="597"/>
      <c r="D86" s="500">
        <f t="shared" si="101"/>
        <v>2860</v>
      </c>
      <c r="E86" s="449">
        <v>12860</v>
      </c>
      <c r="F86" s="449">
        <f t="shared" si="102"/>
        <v>-10000</v>
      </c>
      <c r="G86" s="421">
        <f t="shared" si="103"/>
        <v>-0.77760497667185069</v>
      </c>
      <c r="H86" s="449">
        <v>2860</v>
      </c>
      <c r="I86" s="449">
        <f t="shared" si="104"/>
        <v>0</v>
      </c>
      <c r="J86" s="426">
        <f t="shared" si="105"/>
        <v>0</v>
      </c>
      <c r="K86" s="421"/>
      <c r="L86" s="449">
        <v>0</v>
      </c>
      <c r="M86" s="449">
        <v>0</v>
      </c>
      <c r="N86" s="449">
        <v>0</v>
      </c>
      <c r="O86" s="449">
        <v>0</v>
      </c>
      <c r="P86" s="449">
        <v>0</v>
      </c>
      <c r="Q86" s="449">
        <v>0</v>
      </c>
      <c r="R86" s="449">
        <f>($H86-SUM($L86:Q86))/R$694</f>
        <v>476.66666666666669</v>
      </c>
      <c r="S86" s="449">
        <f>($H86-SUM($L86:R86))/S$694</f>
        <v>476.66666666666669</v>
      </c>
      <c r="T86" s="449">
        <f>($H86-SUM($L86:S86))/T$694</f>
        <v>476.66666666666663</v>
      </c>
      <c r="U86" s="449">
        <f>($H86-SUM($L86:T86))/U$694</f>
        <v>476.66666666666669</v>
      </c>
      <c r="V86" s="449">
        <f>($H86-SUM($L86:U86))/V$694</f>
        <v>476.66666666666663</v>
      </c>
      <c r="W86" s="449">
        <f>($H86-SUM($L86:V86))/W$694</f>
        <v>476.66666666666652</v>
      </c>
      <c r="X86" s="449"/>
      <c r="Y86" s="449">
        <f t="shared" si="106"/>
        <v>2860</v>
      </c>
      <c r="Z86" s="531"/>
      <c r="AA86" s="449">
        <f t="shared" si="117"/>
        <v>238.33333333333334</v>
      </c>
      <c r="AB86" s="449">
        <f t="shared" si="117"/>
        <v>238.33333333333334</v>
      </c>
      <c r="AC86" s="449">
        <f t="shared" si="117"/>
        <v>238.33333333333334</v>
      </c>
      <c r="AD86" s="449">
        <f t="shared" si="117"/>
        <v>238.33333333333334</v>
      </c>
      <c r="AE86" s="449">
        <f t="shared" si="117"/>
        <v>238.33333333333334</v>
      </c>
      <c r="AF86" s="449">
        <f t="shared" si="117"/>
        <v>238.33333333333334</v>
      </c>
      <c r="AG86" s="449">
        <f t="shared" si="117"/>
        <v>238.33333333333334</v>
      </c>
      <c r="AH86" s="449">
        <f t="shared" si="117"/>
        <v>238.33333333333334</v>
      </c>
      <c r="AI86" s="449">
        <f t="shared" si="117"/>
        <v>238.33333333333334</v>
      </c>
      <c r="AJ86" s="449">
        <f t="shared" si="117"/>
        <v>238.33333333333334</v>
      </c>
      <c r="AK86" s="449">
        <f t="shared" si="117"/>
        <v>238.33333333333334</v>
      </c>
      <c r="AL86" s="449">
        <f t="shared" si="117"/>
        <v>238.33333333333334</v>
      </c>
      <c r="AN86" s="500">
        <f t="shared" si="108"/>
        <v>2860</v>
      </c>
      <c r="AO86" s="449">
        <f t="shared" si="109"/>
        <v>0</v>
      </c>
      <c r="AP86" s="449">
        <f t="shared" si="110"/>
        <v>-2860</v>
      </c>
      <c r="AQ86" s="453">
        <f t="shared" si="111"/>
        <v>-1</v>
      </c>
      <c r="AR86" s="449">
        <f t="shared" si="112"/>
        <v>0</v>
      </c>
      <c r="AS86" s="449">
        <f t="shared" si="113"/>
        <v>0</v>
      </c>
      <c r="AT86" s="426">
        <f t="shared" si="114"/>
        <v>0</v>
      </c>
      <c r="AU86" s="421"/>
      <c r="AV86" s="449">
        <f t="shared" si="120"/>
        <v>0</v>
      </c>
      <c r="AW86" s="449">
        <f t="shared" si="120"/>
        <v>0</v>
      </c>
      <c r="AX86" s="449">
        <f t="shared" si="120"/>
        <v>0</v>
      </c>
      <c r="AY86" s="449">
        <f t="shared" si="118"/>
        <v>0</v>
      </c>
      <c r="AZ86" s="449">
        <f t="shared" si="118"/>
        <v>0</v>
      </c>
      <c r="BA86" s="449">
        <f t="shared" si="118"/>
        <v>0</v>
      </c>
      <c r="BB86" s="449">
        <f t="shared" si="118"/>
        <v>0</v>
      </c>
      <c r="BC86" s="449">
        <f t="shared" si="118"/>
        <v>0</v>
      </c>
      <c r="BD86" s="449">
        <f t="shared" si="118"/>
        <v>0</v>
      </c>
      <c r="BE86" s="449">
        <f t="shared" si="118"/>
        <v>0</v>
      </c>
      <c r="BF86" s="449">
        <f t="shared" si="118"/>
        <v>0</v>
      </c>
      <c r="BG86" s="449">
        <f t="shared" si="118"/>
        <v>0</v>
      </c>
      <c r="BH86" s="400"/>
      <c r="BI86" s="449">
        <f>IFERROR((($H86/$H$5)*BI$5)/12,0)*0</f>
        <v>0</v>
      </c>
      <c r="BJ86" s="449">
        <f t="shared" ref="BJ86:BT86" si="124">IFERROR((($H86/$H$5)*BJ$5)/12,0)*0</f>
        <v>0</v>
      </c>
      <c r="BK86" s="449">
        <f t="shared" si="124"/>
        <v>0</v>
      </c>
      <c r="BL86" s="449">
        <f t="shared" si="124"/>
        <v>0</v>
      </c>
      <c r="BM86" s="449">
        <f t="shared" si="124"/>
        <v>0</v>
      </c>
      <c r="BN86" s="449">
        <f t="shared" si="124"/>
        <v>0</v>
      </c>
      <c r="BO86" s="449">
        <f t="shared" si="124"/>
        <v>0</v>
      </c>
      <c r="BP86" s="449">
        <f t="shared" si="124"/>
        <v>0</v>
      </c>
      <c r="BQ86" s="449">
        <f t="shared" si="124"/>
        <v>0</v>
      </c>
      <c r="BR86" s="449">
        <f t="shared" si="124"/>
        <v>0</v>
      </c>
      <c r="BS86" s="449">
        <f t="shared" si="124"/>
        <v>0</v>
      </c>
      <c r="BT86" s="449">
        <f t="shared" si="124"/>
        <v>0</v>
      </c>
    </row>
    <row r="87" spans="1:72" ht="15" x14ac:dyDescent="0.25">
      <c r="A87" s="502" t="s">
        <v>137</v>
      </c>
      <c r="B87" s="502" t="s">
        <v>138</v>
      </c>
      <c r="C87" s="597"/>
      <c r="D87" s="500">
        <f t="shared" si="101"/>
        <v>0</v>
      </c>
      <c r="E87" s="449">
        <v>0</v>
      </c>
      <c r="F87" s="449">
        <f t="shared" si="102"/>
        <v>0</v>
      </c>
      <c r="G87" s="421">
        <f t="shared" si="103"/>
        <v>0</v>
      </c>
      <c r="H87" s="449">
        <v>0</v>
      </c>
      <c r="I87" s="449">
        <f t="shared" si="104"/>
        <v>0</v>
      </c>
      <c r="J87" s="426">
        <f t="shared" si="105"/>
        <v>0</v>
      </c>
      <c r="K87" s="421"/>
      <c r="L87" s="449">
        <v>0</v>
      </c>
      <c r="M87" s="449">
        <v>0</v>
      </c>
      <c r="N87" s="449">
        <v>0</v>
      </c>
      <c r="O87" s="449">
        <v>0</v>
      </c>
      <c r="P87" s="449">
        <v>0</v>
      </c>
      <c r="Q87" s="449">
        <v>0</v>
      </c>
      <c r="R87" s="449">
        <f>($H87-SUM($L87:Q87))/R$694</f>
        <v>0</v>
      </c>
      <c r="S87" s="449">
        <f>($H87-SUM($L87:R87))/S$694</f>
        <v>0</v>
      </c>
      <c r="T87" s="449">
        <f>($H87-SUM($L87:S87))/T$694</f>
        <v>0</v>
      </c>
      <c r="U87" s="449">
        <f>($H87-SUM($L87:T87))/U$694</f>
        <v>0</v>
      </c>
      <c r="V87" s="449">
        <f>($H87-SUM($L87:U87))/V$694</f>
        <v>0</v>
      </c>
      <c r="W87" s="449">
        <f>($H87-SUM($L87:V87))/W$694</f>
        <v>0</v>
      </c>
      <c r="X87" s="449"/>
      <c r="Y87" s="449">
        <f t="shared" si="106"/>
        <v>0</v>
      </c>
      <c r="Z87" s="531"/>
      <c r="AA87" s="449">
        <f t="shared" si="117"/>
        <v>0</v>
      </c>
      <c r="AB87" s="449">
        <f t="shared" si="117"/>
        <v>0</v>
      </c>
      <c r="AC87" s="449">
        <f t="shared" si="117"/>
        <v>0</v>
      </c>
      <c r="AD87" s="449">
        <f t="shared" si="117"/>
        <v>0</v>
      </c>
      <c r="AE87" s="449">
        <f t="shared" si="117"/>
        <v>0</v>
      </c>
      <c r="AF87" s="449">
        <f t="shared" si="117"/>
        <v>0</v>
      </c>
      <c r="AG87" s="449">
        <f t="shared" si="117"/>
        <v>0</v>
      </c>
      <c r="AH87" s="449">
        <f t="shared" si="117"/>
        <v>0</v>
      </c>
      <c r="AI87" s="449">
        <f t="shared" si="117"/>
        <v>0</v>
      </c>
      <c r="AJ87" s="449">
        <f t="shared" si="117"/>
        <v>0</v>
      </c>
      <c r="AK87" s="449">
        <f t="shared" si="117"/>
        <v>0</v>
      </c>
      <c r="AL87" s="449">
        <f t="shared" si="117"/>
        <v>0</v>
      </c>
      <c r="AN87" s="500">
        <f t="shared" si="108"/>
        <v>0</v>
      </c>
      <c r="AO87" s="449">
        <f t="shared" si="109"/>
        <v>0</v>
      </c>
      <c r="AP87" s="449">
        <f t="shared" si="110"/>
        <v>0</v>
      </c>
      <c r="AQ87" s="453" t="str">
        <f t="shared" si="111"/>
        <v>-</v>
      </c>
      <c r="AR87" s="449">
        <f t="shared" si="112"/>
        <v>0</v>
      </c>
      <c r="AS87" s="449">
        <f t="shared" si="113"/>
        <v>0</v>
      </c>
      <c r="AT87" s="426">
        <f t="shared" si="114"/>
        <v>0</v>
      </c>
      <c r="AU87" s="421"/>
      <c r="AV87" s="449">
        <f t="shared" si="120"/>
        <v>0</v>
      </c>
      <c r="AW87" s="449">
        <f t="shared" si="120"/>
        <v>0</v>
      </c>
      <c r="AX87" s="449">
        <f t="shared" si="120"/>
        <v>0</v>
      </c>
      <c r="AY87" s="449">
        <f t="shared" si="118"/>
        <v>0</v>
      </c>
      <c r="AZ87" s="449">
        <f t="shared" si="118"/>
        <v>0</v>
      </c>
      <c r="BA87" s="449">
        <f t="shared" si="118"/>
        <v>0</v>
      </c>
      <c r="BB87" s="449">
        <f t="shared" si="118"/>
        <v>0</v>
      </c>
      <c r="BC87" s="449">
        <f t="shared" si="118"/>
        <v>0</v>
      </c>
      <c r="BD87" s="449">
        <f t="shared" si="118"/>
        <v>0</v>
      </c>
      <c r="BE87" s="449">
        <f t="shared" si="118"/>
        <v>0</v>
      </c>
      <c r="BF87" s="449">
        <f t="shared" si="118"/>
        <v>0</v>
      </c>
      <c r="BG87" s="449">
        <f t="shared" si="118"/>
        <v>0</v>
      </c>
      <c r="BH87" s="400"/>
      <c r="BI87" s="449">
        <f t="shared" ref="BI87:BT87" si="125">IFERROR((($H87/$H$5)*BI$5)/12,0)</f>
        <v>0</v>
      </c>
      <c r="BJ87" s="449">
        <f t="shared" si="125"/>
        <v>0</v>
      </c>
      <c r="BK87" s="449">
        <f t="shared" si="125"/>
        <v>0</v>
      </c>
      <c r="BL87" s="449">
        <f t="shared" si="125"/>
        <v>0</v>
      </c>
      <c r="BM87" s="449">
        <f t="shared" si="125"/>
        <v>0</v>
      </c>
      <c r="BN87" s="449">
        <f t="shared" si="125"/>
        <v>0</v>
      </c>
      <c r="BO87" s="449">
        <f t="shared" si="125"/>
        <v>0</v>
      </c>
      <c r="BP87" s="449">
        <f t="shared" si="125"/>
        <v>0</v>
      </c>
      <c r="BQ87" s="449">
        <f t="shared" si="125"/>
        <v>0</v>
      </c>
      <c r="BR87" s="449">
        <f t="shared" si="125"/>
        <v>0</v>
      </c>
      <c r="BS87" s="449">
        <f t="shared" si="125"/>
        <v>0</v>
      </c>
      <c r="BT87" s="449">
        <f t="shared" si="125"/>
        <v>0</v>
      </c>
    </row>
    <row r="88" spans="1:72" ht="14.25" customHeight="1" x14ac:dyDescent="0.25">
      <c r="A88" s="502" t="s">
        <v>139</v>
      </c>
      <c r="B88" s="502" t="s">
        <v>140</v>
      </c>
      <c r="C88" s="596"/>
      <c r="D88" s="500">
        <f t="shared" si="101"/>
        <v>38006.120000000003</v>
      </c>
      <c r="E88" s="449">
        <v>0</v>
      </c>
      <c r="F88" s="449">
        <f t="shared" si="102"/>
        <v>38006.120000000003</v>
      </c>
      <c r="G88" s="421">
        <f t="shared" si="103"/>
        <v>0</v>
      </c>
      <c r="H88" s="449">
        <v>0</v>
      </c>
      <c r="I88" s="449">
        <f t="shared" si="104"/>
        <v>38006.120000000003</v>
      </c>
      <c r="J88" s="426">
        <f t="shared" si="105"/>
        <v>0</v>
      </c>
      <c r="K88" s="421"/>
      <c r="L88" s="449">
        <v>0</v>
      </c>
      <c r="M88" s="449">
        <v>38006.120000000003</v>
      </c>
      <c r="N88" s="449">
        <v>0</v>
      </c>
      <c r="O88" s="449">
        <v>0</v>
      </c>
      <c r="P88" s="449">
        <v>0</v>
      </c>
      <c r="Q88" s="449">
        <v>0</v>
      </c>
      <c r="R88" s="449">
        <v>0</v>
      </c>
      <c r="S88" s="449">
        <v>0</v>
      </c>
      <c r="T88" s="449">
        <v>0</v>
      </c>
      <c r="U88" s="449">
        <v>0</v>
      </c>
      <c r="V88" s="449">
        <v>0</v>
      </c>
      <c r="W88" s="449">
        <v>0</v>
      </c>
      <c r="X88" s="449"/>
      <c r="Y88" s="449">
        <f t="shared" si="106"/>
        <v>38006.120000000003</v>
      </c>
      <c r="Z88" s="531"/>
      <c r="AA88" s="449">
        <f t="shared" si="117"/>
        <v>0</v>
      </c>
      <c r="AB88" s="449">
        <f t="shared" si="117"/>
        <v>0</v>
      </c>
      <c r="AC88" s="449">
        <f t="shared" si="117"/>
        <v>0</v>
      </c>
      <c r="AD88" s="449">
        <f t="shared" si="117"/>
        <v>0</v>
      </c>
      <c r="AE88" s="449">
        <f t="shared" si="117"/>
        <v>0</v>
      </c>
      <c r="AF88" s="449">
        <f t="shared" si="117"/>
        <v>0</v>
      </c>
      <c r="AG88" s="449">
        <f t="shared" si="117"/>
        <v>0</v>
      </c>
      <c r="AH88" s="449">
        <f t="shared" si="117"/>
        <v>0</v>
      </c>
      <c r="AI88" s="449">
        <f t="shared" si="117"/>
        <v>0</v>
      </c>
      <c r="AJ88" s="449">
        <f t="shared" si="117"/>
        <v>0</v>
      </c>
      <c r="AK88" s="449">
        <f t="shared" si="117"/>
        <v>0</v>
      </c>
      <c r="AL88" s="449">
        <f t="shared" si="117"/>
        <v>0</v>
      </c>
      <c r="AN88" s="500">
        <f t="shared" si="108"/>
        <v>38006.120000000003</v>
      </c>
      <c r="AO88" s="449">
        <f t="shared" si="109"/>
        <v>0</v>
      </c>
      <c r="AP88" s="449">
        <f t="shared" si="110"/>
        <v>-38006.120000000003</v>
      </c>
      <c r="AQ88" s="453">
        <f t="shared" si="111"/>
        <v>-1</v>
      </c>
      <c r="AR88" s="449">
        <f t="shared" si="112"/>
        <v>0</v>
      </c>
      <c r="AS88" s="449">
        <f t="shared" si="113"/>
        <v>0</v>
      </c>
      <c r="AT88" s="426">
        <f t="shared" si="114"/>
        <v>0</v>
      </c>
      <c r="AU88" s="421"/>
      <c r="AV88" s="449">
        <f t="shared" si="120"/>
        <v>0</v>
      </c>
      <c r="AW88" s="449">
        <f t="shared" si="120"/>
        <v>0</v>
      </c>
      <c r="AX88" s="449">
        <f t="shared" si="120"/>
        <v>0</v>
      </c>
      <c r="AY88" s="449">
        <f t="shared" si="118"/>
        <v>0</v>
      </c>
      <c r="AZ88" s="449">
        <f t="shared" si="118"/>
        <v>0</v>
      </c>
      <c r="BA88" s="449">
        <f t="shared" si="118"/>
        <v>0</v>
      </c>
      <c r="BB88" s="449">
        <f t="shared" si="118"/>
        <v>0</v>
      </c>
      <c r="BC88" s="449">
        <f t="shared" si="118"/>
        <v>0</v>
      </c>
      <c r="BD88" s="449">
        <f t="shared" si="118"/>
        <v>0</v>
      </c>
      <c r="BE88" s="449">
        <f t="shared" si="118"/>
        <v>0</v>
      </c>
      <c r="BF88" s="449">
        <f t="shared" si="118"/>
        <v>0</v>
      </c>
      <c r="BG88" s="449">
        <f t="shared" si="118"/>
        <v>0</v>
      </c>
      <c r="BH88" s="400"/>
      <c r="BI88" s="449">
        <f>IFERROR((($D88/$H$5)*BI$5)/12,0)*0</f>
        <v>0</v>
      </c>
      <c r="BJ88" s="449">
        <f t="shared" ref="BJ88:BT88" si="126">IFERROR((($D88/$H$5)*BJ$5)/12,0)*0</f>
        <v>0</v>
      </c>
      <c r="BK88" s="449">
        <f t="shared" si="126"/>
        <v>0</v>
      </c>
      <c r="BL88" s="449">
        <f t="shared" si="126"/>
        <v>0</v>
      </c>
      <c r="BM88" s="449">
        <f t="shared" si="126"/>
        <v>0</v>
      </c>
      <c r="BN88" s="449">
        <f t="shared" si="126"/>
        <v>0</v>
      </c>
      <c r="BO88" s="449">
        <f t="shared" si="126"/>
        <v>0</v>
      </c>
      <c r="BP88" s="449">
        <f t="shared" si="126"/>
        <v>0</v>
      </c>
      <c r="BQ88" s="449">
        <f t="shared" si="126"/>
        <v>0</v>
      </c>
      <c r="BR88" s="449">
        <f t="shared" si="126"/>
        <v>0</v>
      </c>
      <c r="BS88" s="449">
        <f t="shared" si="126"/>
        <v>0</v>
      </c>
      <c r="BT88" s="449">
        <f t="shared" si="126"/>
        <v>0</v>
      </c>
    </row>
    <row r="89" spans="1:72" ht="14.25" customHeight="1" x14ac:dyDescent="0.25">
      <c r="A89" s="587"/>
      <c r="B89" s="502"/>
      <c r="C89" s="596"/>
      <c r="D89" s="500"/>
      <c r="E89" s="449"/>
      <c r="F89" s="449"/>
      <c r="G89" s="421"/>
      <c r="H89" s="449"/>
      <c r="I89" s="449"/>
      <c r="J89" s="426"/>
      <c r="K89" s="421"/>
      <c r="L89" s="449"/>
      <c r="M89" s="449"/>
      <c r="N89" s="449"/>
      <c r="O89" s="449"/>
      <c r="P89" s="449"/>
      <c r="Q89" s="449"/>
      <c r="R89" s="449"/>
      <c r="S89" s="449"/>
      <c r="T89" s="449"/>
      <c r="U89" s="449"/>
      <c r="V89" s="449"/>
      <c r="W89" s="449"/>
      <c r="X89" s="449"/>
      <c r="Y89" s="449"/>
      <c r="Z89" s="531"/>
      <c r="AA89" s="449"/>
      <c r="AB89" s="449"/>
      <c r="AC89" s="449"/>
      <c r="AD89" s="449"/>
      <c r="AE89" s="449"/>
      <c r="AF89" s="449"/>
      <c r="AG89" s="449"/>
      <c r="AH89" s="449"/>
      <c r="AI89" s="449"/>
      <c r="AJ89" s="449"/>
      <c r="AK89" s="449"/>
      <c r="AL89" s="449"/>
      <c r="AN89" s="500"/>
      <c r="AO89" s="449"/>
      <c r="AP89" s="449"/>
      <c r="AQ89" s="453"/>
      <c r="AR89" s="449"/>
      <c r="AS89" s="449"/>
      <c r="AT89" s="426"/>
      <c r="AU89" s="421"/>
      <c r="AV89" s="449"/>
      <c r="AW89" s="449"/>
      <c r="AX89" s="449"/>
      <c r="AY89" s="449"/>
      <c r="AZ89" s="449"/>
      <c r="BA89" s="449"/>
      <c r="BB89" s="449"/>
      <c r="BC89" s="449"/>
      <c r="BD89" s="449"/>
      <c r="BE89" s="449"/>
      <c r="BF89" s="449"/>
      <c r="BG89" s="449"/>
      <c r="BH89" s="531"/>
      <c r="BI89" s="449"/>
      <c r="BJ89" s="449"/>
      <c r="BK89" s="449"/>
      <c r="BL89" s="449"/>
      <c r="BM89" s="449"/>
      <c r="BN89" s="449"/>
      <c r="BO89" s="449"/>
      <c r="BP89" s="449"/>
      <c r="BQ89" s="449"/>
      <c r="BR89" s="449"/>
      <c r="BS89" s="449"/>
      <c r="BT89" s="449"/>
    </row>
    <row r="90" spans="1:72" s="536" customFormat="1" ht="14.25" customHeight="1" thickBot="1" x14ac:dyDescent="0.3">
      <c r="A90" s="526"/>
      <c r="B90" s="524" t="s">
        <v>141</v>
      </c>
      <c r="C90" s="598"/>
      <c r="D90" s="532">
        <f>SUM(D61:D89)</f>
        <v>1883675.75</v>
      </c>
      <c r="E90" s="533">
        <f>SUM(E61:E89)</f>
        <v>1809163</v>
      </c>
      <c r="F90" s="533">
        <f>IFERROR(D90-E90,0)</f>
        <v>74512.75</v>
      </c>
      <c r="G90" s="520">
        <f>IFERROR(F90/ABS(E90),0)</f>
        <v>4.1186311017857427E-2</v>
      </c>
      <c r="H90" s="533">
        <f>SUM(H61:H89)</f>
        <v>1838871</v>
      </c>
      <c r="I90" s="533">
        <f>IFERROR(D90-H90,0)</f>
        <v>44804.75</v>
      </c>
      <c r="J90" s="521">
        <f>IFERROR(I90/ABS(H90),0)</f>
        <v>2.4365357874478417E-2</v>
      </c>
      <c r="K90" s="507"/>
      <c r="L90" s="533">
        <f>SUM(L61:L89)</f>
        <v>78204.95</v>
      </c>
      <c r="M90" s="533">
        <f t="shared" ref="M90:W90" si="127">SUM(M61:M89)</f>
        <v>187684.95999999996</v>
      </c>
      <c r="N90" s="533">
        <f t="shared" si="127"/>
        <v>141043.77000000002</v>
      </c>
      <c r="O90" s="533">
        <f t="shared" si="127"/>
        <v>213529.64</v>
      </c>
      <c r="P90" s="533">
        <f t="shared" si="127"/>
        <v>141503.66</v>
      </c>
      <c r="Q90" s="533">
        <f t="shared" si="127"/>
        <v>148474.95000000001</v>
      </c>
      <c r="R90" s="533">
        <f t="shared" si="127"/>
        <v>162205.63666666672</v>
      </c>
      <c r="S90" s="533">
        <f t="shared" si="127"/>
        <v>162205.63666666672</v>
      </c>
      <c r="T90" s="533">
        <f t="shared" si="127"/>
        <v>162205.63666666675</v>
      </c>
      <c r="U90" s="533">
        <f t="shared" si="127"/>
        <v>162205.63666666672</v>
      </c>
      <c r="V90" s="533">
        <f t="shared" si="127"/>
        <v>162205.63666666675</v>
      </c>
      <c r="W90" s="533">
        <f t="shared" si="127"/>
        <v>162205.6366666668</v>
      </c>
      <c r="X90" s="533"/>
      <c r="Y90" s="533">
        <f>SUM(L90:W90)</f>
        <v>1883675.7500000005</v>
      </c>
      <c r="Z90" s="508"/>
      <c r="AA90" s="533">
        <f t="shared" ref="AA90:AL90" si="128">SUM(AA61:AA89)</f>
        <v>153239.25</v>
      </c>
      <c r="AB90" s="533">
        <f t="shared" si="128"/>
        <v>153239.25</v>
      </c>
      <c r="AC90" s="533">
        <f t="shared" si="128"/>
        <v>153239.25</v>
      </c>
      <c r="AD90" s="533">
        <f t="shared" si="128"/>
        <v>153239.25</v>
      </c>
      <c r="AE90" s="533">
        <f t="shared" si="128"/>
        <v>153239.25</v>
      </c>
      <c r="AF90" s="533">
        <f t="shared" si="128"/>
        <v>153239.25</v>
      </c>
      <c r="AG90" s="533">
        <f t="shared" si="128"/>
        <v>153239.25</v>
      </c>
      <c r="AH90" s="533">
        <f t="shared" si="128"/>
        <v>153239.25</v>
      </c>
      <c r="AI90" s="533">
        <f t="shared" si="128"/>
        <v>153239.25</v>
      </c>
      <c r="AJ90" s="533">
        <f t="shared" si="128"/>
        <v>153239.25</v>
      </c>
      <c r="AK90" s="533">
        <f t="shared" si="128"/>
        <v>153239.25</v>
      </c>
      <c r="AL90" s="533">
        <f t="shared" si="128"/>
        <v>153239.25</v>
      </c>
      <c r="AN90" s="532">
        <f>SUM(AN61:AN89)</f>
        <v>1883675.75</v>
      </c>
      <c r="AO90" s="533">
        <f>SUM(AO61:AO89)</f>
        <v>1851780.3139473277</v>
      </c>
      <c r="AP90" s="533">
        <f>IFERROR(AO90-AN90,0)</f>
        <v>-31895.436052672332</v>
      </c>
      <c r="AQ90" s="523">
        <f>IFERROR(AP90/ABS(AN90),"-")</f>
        <v>-1.6932551184922529E-2</v>
      </c>
      <c r="AR90" s="533">
        <f>SUM(AR61:AR89)</f>
        <v>1851780.3139473277</v>
      </c>
      <c r="AS90" s="533">
        <f>IFERROR(AO90-AR90,0)</f>
        <v>0</v>
      </c>
      <c r="AT90" s="521">
        <f>IFERROR(AS90/ABS(AR90),0)</f>
        <v>0</v>
      </c>
      <c r="AU90" s="507"/>
      <c r="AV90" s="533">
        <f>SUM(AV61:AV89)</f>
        <v>19829.076305220882</v>
      </c>
      <c r="AW90" s="533">
        <f t="shared" ref="AW90:BG90" si="129">SUM(AW61:AW89)</f>
        <v>150081.81497925255</v>
      </c>
      <c r="AX90" s="533">
        <f t="shared" si="129"/>
        <v>154081.30175660588</v>
      </c>
      <c r="AY90" s="533">
        <f t="shared" si="129"/>
        <v>232081.30175660588</v>
      </c>
      <c r="AZ90" s="533">
        <f t="shared" si="129"/>
        <v>154081.30175660588</v>
      </c>
      <c r="BA90" s="533">
        <f t="shared" si="129"/>
        <v>144359.39699470112</v>
      </c>
      <c r="BB90" s="533">
        <f t="shared" si="129"/>
        <v>144359.39699470112</v>
      </c>
      <c r="BC90" s="533">
        <f t="shared" si="129"/>
        <v>144359.39699470112</v>
      </c>
      <c r="BD90" s="533">
        <f t="shared" si="129"/>
        <v>144359.39699470112</v>
      </c>
      <c r="BE90" s="533">
        <f t="shared" si="129"/>
        <v>144359.39699470112</v>
      </c>
      <c r="BF90" s="533">
        <f t="shared" si="129"/>
        <v>144359.39699470112</v>
      </c>
      <c r="BG90" s="533">
        <f t="shared" si="129"/>
        <v>275469.13542483037</v>
      </c>
      <c r="BH90" s="508"/>
      <c r="BI90" s="533">
        <f t="shared" ref="BI90:BT90" si="130">SUM(BI61:BI89)</f>
        <v>19829.076305220882</v>
      </c>
      <c r="BJ90" s="533">
        <f t="shared" si="130"/>
        <v>150081.81497925255</v>
      </c>
      <c r="BK90" s="533">
        <f t="shared" si="130"/>
        <v>154081.30175660588</v>
      </c>
      <c r="BL90" s="533">
        <f t="shared" si="130"/>
        <v>232081.30175660588</v>
      </c>
      <c r="BM90" s="533">
        <f t="shared" si="130"/>
        <v>154081.30175660588</v>
      </c>
      <c r="BN90" s="533">
        <f t="shared" si="130"/>
        <v>144359.39699470112</v>
      </c>
      <c r="BO90" s="533">
        <f t="shared" si="130"/>
        <v>144359.39699470112</v>
      </c>
      <c r="BP90" s="533">
        <f t="shared" si="130"/>
        <v>144359.39699470112</v>
      </c>
      <c r="BQ90" s="533">
        <f t="shared" si="130"/>
        <v>144359.39699470112</v>
      </c>
      <c r="BR90" s="533">
        <f t="shared" si="130"/>
        <v>144359.39699470112</v>
      </c>
      <c r="BS90" s="533">
        <f t="shared" si="130"/>
        <v>144359.39699470112</v>
      </c>
      <c r="BT90" s="533">
        <f t="shared" si="130"/>
        <v>275469.13542483037</v>
      </c>
    </row>
    <row r="91" spans="1:72" ht="14.25" customHeight="1" thickTop="1" x14ac:dyDescent="0.25">
      <c r="A91" s="587"/>
      <c r="B91" s="502"/>
      <c r="C91" s="596"/>
      <c r="D91" s="500"/>
      <c r="E91" s="449"/>
      <c r="F91" s="449"/>
      <c r="G91" s="421"/>
      <c r="H91" s="449"/>
      <c r="I91" s="449"/>
      <c r="J91" s="426"/>
      <c r="K91" s="421"/>
      <c r="L91" s="449"/>
      <c r="M91" s="449"/>
      <c r="N91" s="449"/>
      <c r="O91" s="449"/>
      <c r="P91" s="449"/>
      <c r="Q91" s="449"/>
      <c r="R91" s="449"/>
      <c r="S91" s="449"/>
      <c r="T91" s="449"/>
      <c r="U91" s="449"/>
      <c r="V91" s="449"/>
      <c r="W91" s="449"/>
      <c r="X91" s="449"/>
      <c r="Y91" s="449"/>
      <c r="Z91" s="531"/>
      <c r="AA91" s="449"/>
      <c r="AB91" s="449"/>
      <c r="AC91" s="449"/>
      <c r="AD91" s="449"/>
      <c r="AE91" s="449"/>
      <c r="AF91" s="449"/>
      <c r="AG91" s="449"/>
      <c r="AH91" s="449"/>
      <c r="AI91" s="449"/>
      <c r="AJ91" s="449"/>
      <c r="AK91" s="449"/>
      <c r="AL91" s="449"/>
      <c r="AN91" s="500"/>
      <c r="AO91" s="449"/>
      <c r="AP91" s="449"/>
      <c r="AQ91" s="453"/>
      <c r="AR91" s="449"/>
      <c r="AS91" s="449"/>
      <c r="AT91" s="426"/>
      <c r="AU91" s="421"/>
      <c r="AV91" s="449"/>
      <c r="AW91" s="449"/>
      <c r="AX91" s="449"/>
      <c r="AY91" s="449"/>
      <c r="AZ91" s="449"/>
      <c r="BA91" s="449"/>
      <c r="BB91" s="449"/>
      <c r="BC91" s="449"/>
      <c r="BD91" s="449"/>
      <c r="BE91" s="449"/>
      <c r="BF91" s="449"/>
      <c r="BG91" s="449"/>
      <c r="BH91" s="531"/>
      <c r="BI91" s="449"/>
      <c r="BJ91" s="449"/>
      <c r="BK91" s="449"/>
      <c r="BL91" s="449"/>
      <c r="BM91" s="449"/>
      <c r="BN91" s="449"/>
      <c r="BO91" s="449"/>
      <c r="BP91" s="449"/>
      <c r="BQ91" s="449"/>
      <c r="BR91" s="449"/>
      <c r="BS91" s="449"/>
      <c r="BT91" s="449"/>
    </row>
    <row r="92" spans="1:72" ht="14.25" customHeight="1" x14ac:dyDescent="0.25">
      <c r="A92" s="587"/>
      <c r="B92" s="525" t="s">
        <v>142</v>
      </c>
      <c r="C92" s="596"/>
      <c r="D92" s="500"/>
      <c r="E92" s="449"/>
      <c r="F92" s="449"/>
      <c r="G92" s="421"/>
      <c r="H92" s="449"/>
      <c r="I92" s="449"/>
      <c r="J92" s="426"/>
      <c r="K92" s="421"/>
      <c r="L92" s="449"/>
      <c r="M92" s="449"/>
      <c r="N92" s="449"/>
      <c r="O92" s="449"/>
      <c r="P92" s="449"/>
      <c r="Q92" s="449"/>
      <c r="R92" s="449"/>
      <c r="S92" s="449"/>
      <c r="T92" s="449"/>
      <c r="U92" s="449"/>
      <c r="V92" s="449"/>
      <c r="W92" s="449"/>
      <c r="X92" s="449"/>
      <c r="Y92" s="449"/>
      <c r="Z92" s="531"/>
      <c r="AA92" s="449"/>
      <c r="AB92" s="449"/>
      <c r="AC92" s="449"/>
      <c r="AD92" s="449"/>
      <c r="AE92" s="449"/>
      <c r="AF92" s="449"/>
      <c r="AG92" s="449"/>
      <c r="AH92" s="449"/>
      <c r="AI92" s="449"/>
      <c r="AJ92" s="449"/>
      <c r="AK92" s="449"/>
      <c r="AL92" s="449"/>
      <c r="AN92" s="500"/>
      <c r="AO92" s="449"/>
      <c r="AP92" s="449"/>
      <c r="AQ92" s="453"/>
      <c r="AR92" s="449"/>
      <c r="AS92" s="449"/>
      <c r="AT92" s="426"/>
      <c r="AU92" s="421"/>
      <c r="AV92" s="449"/>
      <c r="AW92" s="449"/>
      <c r="AX92" s="449"/>
      <c r="AY92" s="449"/>
      <c r="AZ92" s="449"/>
      <c r="BA92" s="449"/>
      <c r="BB92" s="449"/>
      <c r="BC92" s="449"/>
      <c r="BD92" s="449"/>
      <c r="BE92" s="449"/>
      <c r="BF92" s="449"/>
      <c r="BG92" s="449"/>
      <c r="BH92" s="531"/>
      <c r="BI92" s="449"/>
      <c r="BJ92" s="449"/>
      <c r="BK92" s="449"/>
      <c r="BL92" s="449"/>
      <c r="BM92" s="449"/>
      <c r="BN92" s="449"/>
      <c r="BO92" s="449"/>
      <c r="BP92" s="449"/>
      <c r="BQ92" s="449"/>
      <c r="BR92" s="449"/>
      <c r="BS92" s="449"/>
      <c r="BT92" s="449"/>
    </row>
    <row r="93" spans="1:72" ht="6" customHeight="1" x14ac:dyDescent="0.25">
      <c r="A93" s="587"/>
      <c r="B93" s="502"/>
      <c r="C93" s="596"/>
      <c r="D93" s="500"/>
      <c r="E93" s="449"/>
      <c r="F93" s="449"/>
      <c r="G93" s="421"/>
      <c r="H93" s="449"/>
      <c r="I93" s="449"/>
      <c r="J93" s="426"/>
      <c r="K93" s="421"/>
      <c r="L93" s="449"/>
      <c r="M93" s="449"/>
      <c r="N93" s="449"/>
      <c r="O93" s="449"/>
      <c r="P93" s="449"/>
      <c r="Q93" s="449"/>
      <c r="R93" s="449"/>
      <c r="S93" s="449"/>
      <c r="T93" s="449"/>
      <c r="U93" s="449"/>
      <c r="V93" s="449"/>
      <c r="W93" s="449"/>
      <c r="X93" s="449"/>
      <c r="Y93" s="449"/>
      <c r="Z93" s="531"/>
      <c r="AA93" s="449"/>
      <c r="AB93" s="449"/>
      <c r="AC93" s="449"/>
      <c r="AD93" s="449"/>
      <c r="AE93" s="449"/>
      <c r="AF93" s="449"/>
      <c r="AG93" s="449"/>
      <c r="AH93" s="449"/>
      <c r="AI93" s="449"/>
      <c r="AJ93" s="449"/>
      <c r="AK93" s="449"/>
      <c r="AL93" s="449"/>
      <c r="AN93" s="500"/>
      <c r="AO93" s="449"/>
      <c r="AP93" s="449"/>
      <c r="AQ93" s="453"/>
      <c r="AR93" s="449"/>
      <c r="AS93" s="449"/>
      <c r="AT93" s="426"/>
      <c r="AU93" s="421"/>
      <c r="AV93" s="449"/>
      <c r="AW93" s="449"/>
      <c r="AX93" s="449"/>
      <c r="AY93" s="449"/>
      <c r="AZ93" s="449"/>
      <c r="BA93" s="449"/>
      <c r="BB93" s="449"/>
      <c r="BC93" s="449"/>
      <c r="BD93" s="449"/>
      <c r="BE93" s="449"/>
      <c r="BF93" s="449"/>
      <c r="BG93" s="449"/>
      <c r="BH93" s="531"/>
      <c r="BI93" s="449"/>
      <c r="BJ93" s="449"/>
      <c r="BK93" s="449"/>
      <c r="BL93" s="449"/>
      <c r="BM93" s="449"/>
      <c r="BN93" s="449"/>
      <c r="BO93" s="449"/>
      <c r="BP93" s="449"/>
      <c r="BQ93" s="449"/>
      <c r="BR93" s="449"/>
      <c r="BS93" s="449"/>
      <c r="BT93" s="449"/>
    </row>
    <row r="94" spans="1:72" ht="14.25" customHeight="1" x14ac:dyDescent="0.25">
      <c r="A94" s="502" t="s">
        <v>143</v>
      </c>
      <c r="B94" s="502" t="s">
        <v>144</v>
      </c>
      <c r="C94" s="630"/>
      <c r="D94" s="500">
        <f t="shared" ref="D94:D118" si="131">SUM(L94:W94)</f>
        <v>488838</v>
      </c>
      <c r="E94" s="449">
        <v>465348</v>
      </c>
      <c r="F94" s="449">
        <f t="shared" ref="F94:F118" si="132">IFERROR(D94-E94,0)</f>
        <v>23490</v>
      </c>
      <c r="G94" s="421">
        <f t="shared" ref="G94:G118" si="133">IFERROR(F94/ABS(E94),0)</f>
        <v>5.0478351685190437E-2</v>
      </c>
      <c r="H94" s="449">
        <v>488838</v>
      </c>
      <c r="I94" s="449">
        <f t="shared" ref="I94:I118" si="134">IFERROR(D94-H94,0)</f>
        <v>0</v>
      </c>
      <c r="J94" s="426">
        <f t="shared" ref="J94:J118" si="135">IFERROR(I94/ABS(H94),0)</f>
        <v>0</v>
      </c>
      <c r="K94" s="421"/>
      <c r="L94" s="449">
        <v>0.03</v>
      </c>
      <c r="M94" s="449">
        <v>59502.64</v>
      </c>
      <c r="N94" s="449">
        <v>52168.350000000006</v>
      </c>
      <c r="O94" s="449">
        <v>49754.400000000009</v>
      </c>
      <c r="P94" s="449">
        <v>50099.689999999973</v>
      </c>
      <c r="Q94" s="449">
        <v>64993.170000000042</v>
      </c>
      <c r="R94" s="449">
        <f>($H94-SUM($L94:Q94))/R$694</f>
        <v>35386.619999999995</v>
      </c>
      <c r="S94" s="449">
        <f>($H94-SUM($L94:R94))/S$694</f>
        <v>35386.619999999995</v>
      </c>
      <c r="T94" s="449">
        <f>($H94-SUM($L94:S94))/T$694</f>
        <v>35386.619999999995</v>
      </c>
      <c r="U94" s="449">
        <f>($H94-SUM($L94:T94))/U$694</f>
        <v>35386.619999999995</v>
      </c>
      <c r="V94" s="449">
        <f>($H94-SUM($L94:U94))/V$694</f>
        <v>35386.619999999995</v>
      </c>
      <c r="W94" s="449">
        <f>($H94-SUM($L94:V94))/W$694</f>
        <v>35386.619999999995</v>
      </c>
      <c r="X94" s="449"/>
      <c r="Y94" s="449">
        <f t="shared" ref="Y94:Y118" si="136">SUM(L94:W94)</f>
        <v>488838</v>
      </c>
      <c r="Z94" s="531"/>
      <c r="AA94" s="449">
        <f t="shared" ref="AA94:AL109" si="137">IFERROR($H94/12,0)</f>
        <v>40736.5</v>
      </c>
      <c r="AB94" s="449">
        <f t="shared" si="137"/>
        <v>40736.5</v>
      </c>
      <c r="AC94" s="449">
        <f t="shared" si="137"/>
        <v>40736.5</v>
      </c>
      <c r="AD94" s="449">
        <f t="shared" si="137"/>
        <v>40736.5</v>
      </c>
      <c r="AE94" s="449">
        <f t="shared" si="137"/>
        <v>40736.5</v>
      </c>
      <c r="AF94" s="449">
        <f t="shared" si="137"/>
        <v>40736.5</v>
      </c>
      <c r="AG94" s="449">
        <f t="shared" si="137"/>
        <v>40736.5</v>
      </c>
      <c r="AH94" s="449">
        <f t="shared" si="137"/>
        <v>40736.5</v>
      </c>
      <c r="AI94" s="449">
        <f t="shared" si="137"/>
        <v>40736.5</v>
      </c>
      <c r="AJ94" s="449">
        <f t="shared" si="137"/>
        <v>40736.5</v>
      </c>
      <c r="AK94" s="449">
        <f t="shared" si="137"/>
        <v>40736.5</v>
      </c>
      <c r="AL94" s="449">
        <f t="shared" si="137"/>
        <v>40736.5</v>
      </c>
      <c r="AN94" s="500">
        <f t="shared" ref="AN94:AN118" si="138">SUM(L94:W94)</f>
        <v>488838</v>
      </c>
      <c r="AO94" s="449">
        <f t="shared" ref="AO94:AO118" si="139">SUM(BI94:BT94)</f>
        <v>482902.78980000009</v>
      </c>
      <c r="AP94" s="449">
        <f t="shared" ref="AP94:AP118" si="140">IFERROR(AO94-AN94,0)</f>
        <v>-5935.210199999914</v>
      </c>
      <c r="AQ94" s="453">
        <f t="shared" ref="AQ94:AQ118" si="141">IFERROR(AP94/ABS(AN94),"-")</f>
        <v>-1.2141466498103491E-2</v>
      </c>
      <c r="AR94" s="449">
        <f t="shared" ref="AR94:AR118" si="142">SUM(BI94:BT94)</f>
        <v>482902.78980000009</v>
      </c>
      <c r="AS94" s="449">
        <f t="shared" ref="AS94:AS118" si="143">IFERROR(AO94-AR94,0)</f>
        <v>0</v>
      </c>
      <c r="AT94" s="426">
        <f t="shared" ref="AT94:AT118" si="144">IFERROR(AS94/ABS(AR94),0)</f>
        <v>0</v>
      </c>
      <c r="AU94" s="421"/>
      <c r="AV94" s="449">
        <f t="shared" ref="AV94:BG115" si="145">BI94</f>
        <v>0</v>
      </c>
      <c r="AW94" s="449">
        <f t="shared" si="145"/>
        <v>40241.899150000005</v>
      </c>
      <c r="AX94" s="449">
        <f t="shared" si="145"/>
        <v>40241.899150000005</v>
      </c>
      <c r="AY94" s="449">
        <f t="shared" si="145"/>
        <v>40241.899150000005</v>
      </c>
      <c r="AZ94" s="449">
        <f t="shared" si="145"/>
        <v>40241.899150000005</v>
      </c>
      <c r="BA94" s="449">
        <f t="shared" si="145"/>
        <v>40241.899150000005</v>
      </c>
      <c r="BB94" s="449">
        <f t="shared" si="145"/>
        <v>40241.899150000005</v>
      </c>
      <c r="BC94" s="449">
        <f t="shared" si="145"/>
        <v>40241.899150000005</v>
      </c>
      <c r="BD94" s="449">
        <f t="shared" si="145"/>
        <v>40241.899150000005</v>
      </c>
      <c r="BE94" s="449">
        <f t="shared" si="145"/>
        <v>40241.899150000005</v>
      </c>
      <c r="BF94" s="449">
        <f t="shared" si="145"/>
        <v>40241.899150000005</v>
      </c>
      <c r="BG94" s="449">
        <f t="shared" si="145"/>
        <v>80483.798300000009</v>
      </c>
      <c r="BH94" s="400"/>
      <c r="BI94" s="449">
        <v>0</v>
      </c>
      <c r="BJ94" s="449">
        <f>SUM('FY19 Staffing V1-1 (3)'!$P$48:$P$61)/12</f>
        <v>40241.899150000005</v>
      </c>
      <c r="BK94" s="449">
        <f>SUM('FY19 Staffing V1-1 (3)'!$P$48:$P$61)/12</f>
        <v>40241.899150000005</v>
      </c>
      <c r="BL94" s="449">
        <f>SUM('FY19 Staffing V1-1 (3)'!$P$48:$P$61)/12</f>
        <v>40241.899150000005</v>
      </c>
      <c r="BM94" s="449">
        <f>SUM('FY19 Staffing V1-1 (3)'!$P$48:$P$61)/12</f>
        <v>40241.899150000005</v>
      </c>
      <c r="BN94" s="449">
        <f>SUM('FY19 Staffing V1-1 (3)'!$P$48:$P$61)/12</f>
        <v>40241.899150000005</v>
      </c>
      <c r="BO94" s="449">
        <f>SUM('FY19 Staffing V1-1 (3)'!$P$48:$P$61)/12</f>
        <v>40241.899150000005</v>
      </c>
      <c r="BP94" s="449">
        <f>SUM('FY19 Staffing V1-1 (3)'!$P$48:$P$61)/12</f>
        <v>40241.899150000005</v>
      </c>
      <c r="BQ94" s="449">
        <f>SUM('FY19 Staffing V1-1 (3)'!$P$48:$P$61)/12</f>
        <v>40241.899150000005</v>
      </c>
      <c r="BR94" s="449">
        <f>SUM('FY19 Staffing V1-1 (3)'!$P$48:$P$61)/12</f>
        <v>40241.899150000005</v>
      </c>
      <c r="BS94" s="449">
        <f>SUM('FY19 Staffing V1-1 (3)'!$P$48:$P$61)/12</f>
        <v>40241.899150000005</v>
      </c>
      <c r="BT94" s="449">
        <f>SUM('FY19 Staffing V1-1 (3)'!$P$48:$P$61)/12*2</f>
        <v>80483.798300000009</v>
      </c>
    </row>
    <row r="95" spans="1:72" ht="15" x14ac:dyDescent="0.25">
      <c r="A95" s="537" t="s">
        <v>145</v>
      </c>
      <c r="B95" s="537" t="s">
        <v>90</v>
      </c>
      <c r="C95" s="541"/>
      <c r="D95" s="500">
        <f>SUM(L95:W95)</f>
        <v>0</v>
      </c>
      <c r="E95" s="449">
        <v>0</v>
      </c>
      <c r="F95" s="449">
        <f t="shared" si="132"/>
        <v>0</v>
      </c>
      <c r="G95" s="421">
        <f t="shared" si="133"/>
        <v>0</v>
      </c>
      <c r="H95" s="449">
        <v>0</v>
      </c>
      <c r="I95" s="449">
        <f t="shared" si="134"/>
        <v>0</v>
      </c>
      <c r="J95" s="426">
        <f t="shared" si="135"/>
        <v>0</v>
      </c>
      <c r="K95" s="421"/>
      <c r="L95" s="449">
        <v>0</v>
      </c>
      <c r="M95" s="449">
        <v>0</v>
      </c>
      <c r="N95" s="449">
        <v>0</v>
      </c>
      <c r="O95" s="449">
        <v>0</v>
      </c>
      <c r="P95" s="449">
        <v>0</v>
      </c>
      <c r="Q95" s="449">
        <v>0</v>
      </c>
      <c r="R95" s="449">
        <f>($H95-SUM($L95:Q95))/R$694</f>
        <v>0</v>
      </c>
      <c r="S95" s="449">
        <f>($H95-SUM($L95:R95))/S$694</f>
        <v>0</v>
      </c>
      <c r="T95" s="449">
        <f>($H95-SUM($L95:S95))/T$694</f>
        <v>0</v>
      </c>
      <c r="U95" s="449">
        <f>($H95-SUM($L95:T95))/U$694</f>
        <v>0</v>
      </c>
      <c r="V95" s="449">
        <f>($H95-SUM($L95:U95))/V$694</f>
        <v>0</v>
      </c>
      <c r="W95" s="449">
        <f>($H95-SUM($L95:V95))/W$694</f>
        <v>0</v>
      </c>
      <c r="X95" s="449"/>
      <c r="Y95" s="449">
        <f t="shared" si="136"/>
        <v>0</v>
      </c>
      <c r="Z95" s="531"/>
      <c r="AA95" s="449">
        <f t="shared" si="137"/>
        <v>0</v>
      </c>
      <c r="AB95" s="449">
        <f t="shared" si="137"/>
        <v>0</v>
      </c>
      <c r="AC95" s="449">
        <f t="shared" si="137"/>
        <v>0</v>
      </c>
      <c r="AD95" s="449">
        <f t="shared" si="137"/>
        <v>0</v>
      </c>
      <c r="AE95" s="449">
        <f t="shared" si="137"/>
        <v>0</v>
      </c>
      <c r="AF95" s="449">
        <f t="shared" si="137"/>
        <v>0</v>
      </c>
      <c r="AG95" s="449">
        <f t="shared" si="137"/>
        <v>0</v>
      </c>
      <c r="AH95" s="449">
        <f t="shared" si="137"/>
        <v>0</v>
      </c>
      <c r="AI95" s="449">
        <f t="shared" si="137"/>
        <v>0</v>
      </c>
      <c r="AJ95" s="449">
        <f t="shared" si="137"/>
        <v>0</v>
      </c>
      <c r="AK95" s="449">
        <f t="shared" si="137"/>
        <v>0</v>
      </c>
      <c r="AL95" s="449">
        <f t="shared" si="137"/>
        <v>0</v>
      </c>
      <c r="AN95" s="500">
        <f>SUM(L95:W95)</f>
        <v>0</v>
      </c>
      <c r="AO95" s="449">
        <f>SUM(BI95:BT95)</f>
        <v>44468.96591243022</v>
      </c>
      <c r="AP95" s="449">
        <f t="shared" si="140"/>
        <v>44468.96591243022</v>
      </c>
      <c r="AQ95" s="453" t="str">
        <f t="shared" si="141"/>
        <v>-</v>
      </c>
      <c r="AR95" s="449">
        <f t="shared" si="142"/>
        <v>44468.96591243022</v>
      </c>
      <c r="AS95" s="449">
        <f t="shared" si="143"/>
        <v>0</v>
      </c>
      <c r="AT95" s="426">
        <f t="shared" si="144"/>
        <v>0</v>
      </c>
      <c r="AU95" s="421"/>
      <c r="AV95" s="449">
        <f t="shared" si="145"/>
        <v>0</v>
      </c>
      <c r="AW95" s="449">
        <f t="shared" si="145"/>
        <v>0</v>
      </c>
      <c r="AX95" s="449">
        <f t="shared" si="145"/>
        <v>4042.633264766383</v>
      </c>
      <c r="AY95" s="449">
        <f t="shared" si="145"/>
        <v>4042.633264766383</v>
      </c>
      <c r="AZ95" s="449">
        <f t="shared" si="145"/>
        <v>4042.633264766383</v>
      </c>
      <c r="BA95" s="449">
        <f t="shared" si="145"/>
        <v>4042.633264766383</v>
      </c>
      <c r="BB95" s="449">
        <f t="shared" si="145"/>
        <v>4042.633264766383</v>
      </c>
      <c r="BC95" s="449">
        <f t="shared" si="145"/>
        <v>4042.633264766383</v>
      </c>
      <c r="BD95" s="449">
        <f t="shared" si="145"/>
        <v>4042.633264766383</v>
      </c>
      <c r="BE95" s="449">
        <f t="shared" si="145"/>
        <v>4042.633264766383</v>
      </c>
      <c r="BF95" s="449">
        <f t="shared" si="145"/>
        <v>4042.633264766383</v>
      </c>
      <c r="BG95" s="449">
        <f t="shared" si="145"/>
        <v>8085.2665295327661</v>
      </c>
      <c r="BH95" s="400"/>
      <c r="BI95" s="449">
        <v>0</v>
      </c>
      <c r="BJ95" s="449">
        <v>0</v>
      </c>
      <c r="BK95" s="449">
        <f>(SUM('FY19 Staffing V1-1 (3)'!$P$144)/10)*(13/41)</f>
        <v>4042.633264766383</v>
      </c>
      <c r="BL95" s="449">
        <f>(SUM('FY19 Staffing V1-1 (3)'!$P$144)/10)*(13/41)</f>
        <v>4042.633264766383</v>
      </c>
      <c r="BM95" s="449">
        <f>(SUM('FY19 Staffing V1-1 (3)'!$P$144)/10)*(13/41)</f>
        <v>4042.633264766383</v>
      </c>
      <c r="BN95" s="449">
        <f>(SUM('FY19 Staffing V1-1 (3)'!$P$144)/10)*(13/41)</f>
        <v>4042.633264766383</v>
      </c>
      <c r="BO95" s="449">
        <f>(SUM('FY19 Staffing V1-1 (3)'!$P$144)/10)*(13/41)</f>
        <v>4042.633264766383</v>
      </c>
      <c r="BP95" s="449">
        <f>(SUM('FY19 Staffing V1-1 (3)'!$P$144)/10)*(13/41)</f>
        <v>4042.633264766383</v>
      </c>
      <c r="BQ95" s="449">
        <f>(SUM('FY19 Staffing V1-1 (3)'!$P$144)/10)*(13/41)</f>
        <v>4042.633264766383</v>
      </c>
      <c r="BR95" s="449">
        <f>(SUM('FY19 Staffing V1-1 (3)'!$P$144)/10)*(13/41)</f>
        <v>4042.633264766383</v>
      </c>
      <c r="BS95" s="449">
        <f>(SUM('FY19 Staffing V1-1 (3)'!$P$144)/10)*(13/41)</f>
        <v>4042.633264766383</v>
      </c>
      <c r="BT95" s="449">
        <f>(SUM('FY19 Staffing V1-1 (3)'!$P$144)/10)*(13/41)*2</f>
        <v>8085.2665295327661</v>
      </c>
    </row>
    <row r="96" spans="1:72" ht="15" x14ac:dyDescent="0.25">
      <c r="A96" s="502" t="s">
        <v>146</v>
      </c>
      <c r="B96" s="502" t="s">
        <v>147</v>
      </c>
      <c r="C96" s="630"/>
      <c r="D96" s="500">
        <f t="shared" si="131"/>
        <v>18585</v>
      </c>
      <c r="E96" s="449">
        <v>0</v>
      </c>
      <c r="F96" s="449">
        <f t="shared" si="132"/>
        <v>18585</v>
      </c>
      <c r="G96" s="421">
        <f t="shared" si="133"/>
        <v>0</v>
      </c>
      <c r="H96" s="449">
        <v>18585</v>
      </c>
      <c r="I96" s="449">
        <f t="shared" si="134"/>
        <v>0</v>
      </c>
      <c r="J96" s="426">
        <f t="shared" si="135"/>
        <v>0</v>
      </c>
      <c r="K96" s="421"/>
      <c r="L96" s="449">
        <v>0</v>
      </c>
      <c r="M96" s="449">
        <v>0</v>
      </c>
      <c r="N96" s="449">
        <v>0</v>
      </c>
      <c r="O96" s="449">
        <v>0</v>
      </c>
      <c r="P96" s="449">
        <v>0</v>
      </c>
      <c r="Q96" s="449">
        <v>0</v>
      </c>
      <c r="R96" s="449">
        <f>($H96-SUM($L96:Q96))/R$694</f>
        <v>3097.5</v>
      </c>
      <c r="S96" s="449">
        <f>($H96-SUM($L96:R96))/S$694</f>
        <v>3097.5</v>
      </c>
      <c r="T96" s="449">
        <f>($H96-SUM($L96:S96))/T$694</f>
        <v>3097.5</v>
      </c>
      <c r="U96" s="449">
        <f>($H96-SUM($L96:T96))/U$694</f>
        <v>3097.5</v>
      </c>
      <c r="V96" s="449">
        <f>($H96-SUM($L96:U96))/V$694</f>
        <v>3097.5</v>
      </c>
      <c r="W96" s="449">
        <f>($H96-SUM($L96:V96))/W$694</f>
        <v>3097.5</v>
      </c>
      <c r="X96" s="449"/>
      <c r="Y96" s="449">
        <f t="shared" si="136"/>
        <v>18585</v>
      </c>
      <c r="Z96" s="531"/>
      <c r="AA96" s="449">
        <f t="shared" si="137"/>
        <v>1548.75</v>
      </c>
      <c r="AB96" s="449">
        <f t="shared" si="137"/>
        <v>1548.75</v>
      </c>
      <c r="AC96" s="449">
        <f t="shared" si="137"/>
        <v>1548.75</v>
      </c>
      <c r="AD96" s="449">
        <f t="shared" si="137"/>
        <v>1548.75</v>
      </c>
      <c r="AE96" s="449">
        <f t="shared" si="137"/>
        <v>1548.75</v>
      </c>
      <c r="AF96" s="449">
        <f t="shared" si="137"/>
        <v>1548.75</v>
      </c>
      <c r="AG96" s="449">
        <f t="shared" si="137"/>
        <v>1548.75</v>
      </c>
      <c r="AH96" s="449">
        <f t="shared" si="137"/>
        <v>1548.75</v>
      </c>
      <c r="AI96" s="449">
        <f t="shared" si="137"/>
        <v>1548.75</v>
      </c>
      <c r="AJ96" s="449">
        <f t="shared" si="137"/>
        <v>1548.75</v>
      </c>
      <c r="AK96" s="449">
        <f t="shared" si="137"/>
        <v>1548.75</v>
      </c>
      <c r="AL96" s="449">
        <f t="shared" si="137"/>
        <v>1548.75</v>
      </c>
      <c r="AN96" s="500">
        <f t="shared" si="138"/>
        <v>18585</v>
      </c>
      <c r="AO96" s="449">
        <f>SUM(BI96:BT96)</f>
        <v>21687.680000000004</v>
      </c>
      <c r="AP96" s="449">
        <f t="shared" si="140"/>
        <v>3102.6800000000039</v>
      </c>
      <c r="AQ96" s="453">
        <f t="shared" si="141"/>
        <v>0.16694538606403034</v>
      </c>
      <c r="AR96" s="449">
        <f t="shared" si="142"/>
        <v>21687.680000000004</v>
      </c>
      <c r="AS96" s="449">
        <f t="shared" si="143"/>
        <v>0</v>
      </c>
      <c r="AT96" s="426">
        <f t="shared" si="144"/>
        <v>0</v>
      </c>
      <c r="AU96" s="421"/>
      <c r="AV96" s="449">
        <f t="shared" si="145"/>
        <v>0</v>
      </c>
      <c r="AW96" s="449">
        <f t="shared" si="145"/>
        <v>1807.3066666666666</v>
      </c>
      <c r="AX96" s="449">
        <f t="shared" si="145"/>
        <v>1807.3066666666666</v>
      </c>
      <c r="AY96" s="449">
        <f t="shared" si="145"/>
        <v>1807.3066666666666</v>
      </c>
      <c r="AZ96" s="449">
        <f t="shared" si="145"/>
        <v>1807.3066666666666</v>
      </c>
      <c r="BA96" s="449">
        <f t="shared" si="145"/>
        <v>1807.3066666666666</v>
      </c>
      <c r="BB96" s="449">
        <f t="shared" si="145"/>
        <v>1807.3066666666666</v>
      </c>
      <c r="BC96" s="449">
        <f t="shared" si="145"/>
        <v>1807.3066666666666</v>
      </c>
      <c r="BD96" s="449">
        <f t="shared" si="145"/>
        <v>1807.3066666666666</v>
      </c>
      <c r="BE96" s="449">
        <f t="shared" si="145"/>
        <v>1807.3066666666666</v>
      </c>
      <c r="BF96" s="449">
        <f t="shared" si="145"/>
        <v>1807.3066666666666</v>
      </c>
      <c r="BG96" s="449">
        <f t="shared" si="145"/>
        <v>3614.6133333333332</v>
      </c>
      <c r="BH96" s="400"/>
      <c r="BI96" s="449">
        <v>0</v>
      </c>
      <c r="BJ96" s="449">
        <f>('FY19 Staffing V1-1 (3)'!$P175)/12</f>
        <v>1807.3066666666666</v>
      </c>
      <c r="BK96" s="449">
        <f>('FY19 Staffing V1-1 (3)'!$P175)/12</f>
        <v>1807.3066666666666</v>
      </c>
      <c r="BL96" s="449">
        <f>('FY19 Staffing V1-1 (3)'!$P175)/12</f>
        <v>1807.3066666666666</v>
      </c>
      <c r="BM96" s="449">
        <f>('FY19 Staffing V1-1 (3)'!$P175)/12</f>
        <v>1807.3066666666666</v>
      </c>
      <c r="BN96" s="449">
        <f>('FY19 Staffing V1-1 (3)'!$P175)/12</f>
        <v>1807.3066666666666</v>
      </c>
      <c r="BO96" s="449">
        <f>('FY19 Staffing V1-1 (3)'!$P175)/12</f>
        <v>1807.3066666666666</v>
      </c>
      <c r="BP96" s="449">
        <f>('FY19 Staffing V1-1 (3)'!$P175)/12</f>
        <v>1807.3066666666666</v>
      </c>
      <c r="BQ96" s="449">
        <f>('FY19 Staffing V1-1 (3)'!$P175)/12</f>
        <v>1807.3066666666666</v>
      </c>
      <c r="BR96" s="449">
        <f>('FY19 Staffing V1-1 (3)'!$P175)/12</f>
        <v>1807.3066666666666</v>
      </c>
      <c r="BS96" s="449">
        <f>('FY19 Staffing V1-1 (3)'!$P175)/12</f>
        <v>1807.3066666666666</v>
      </c>
      <c r="BT96" s="449">
        <f>('FY19 Staffing V1-1 (3)'!$P175)/12*2</f>
        <v>3614.6133333333332</v>
      </c>
    </row>
    <row r="97" spans="1:72" ht="15" x14ac:dyDescent="0.25">
      <c r="A97" s="502" t="s">
        <v>148</v>
      </c>
      <c r="B97" s="502" t="s">
        <v>149</v>
      </c>
      <c r="C97" s="630"/>
      <c r="D97" s="500">
        <f t="shared" si="131"/>
        <v>10000</v>
      </c>
      <c r="E97" s="449">
        <v>10000</v>
      </c>
      <c r="F97" s="449">
        <f t="shared" si="132"/>
        <v>0</v>
      </c>
      <c r="G97" s="421">
        <f t="shared" si="133"/>
        <v>0</v>
      </c>
      <c r="H97" s="449">
        <v>10000</v>
      </c>
      <c r="I97" s="449">
        <f t="shared" si="134"/>
        <v>0</v>
      </c>
      <c r="J97" s="426">
        <f t="shared" si="135"/>
        <v>0</v>
      </c>
      <c r="K97" s="421"/>
      <c r="L97" s="449">
        <v>0</v>
      </c>
      <c r="M97" s="449">
        <v>0</v>
      </c>
      <c r="N97" s="449">
        <v>0</v>
      </c>
      <c r="O97" s="449">
        <v>0</v>
      </c>
      <c r="P97" s="449">
        <v>0</v>
      </c>
      <c r="Q97" s="449">
        <v>0</v>
      </c>
      <c r="R97" s="449">
        <f>($H97-SUM($L97:Q97))/R$694</f>
        <v>1666.6666666666667</v>
      </c>
      <c r="S97" s="449">
        <f>($H97-SUM($L97:R97))/S$694</f>
        <v>1666.6666666666667</v>
      </c>
      <c r="T97" s="449">
        <f>($H97-SUM($L97:S97))/T$694</f>
        <v>1666.6666666666665</v>
      </c>
      <c r="U97" s="449">
        <f>($H97-SUM($L97:T97))/U$694</f>
        <v>1666.6666666666667</v>
      </c>
      <c r="V97" s="449">
        <f>($H97-SUM($L97:U97))/V$694</f>
        <v>1666.6666666666665</v>
      </c>
      <c r="W97" s="449">
        <f>($H97-SUM($L97:V97))/W$694</f>
        <v>1666.6666666666661</v>
      </c>
      <c r="X97" s="449"/>
      <c r="Y97" s="449">
        <f t="shared" si="136"/>
        <v>10000</v>
      </c>
      <c r="Z97" s="531"/>
      <c r="AA97" s="449">
        <f t="shared" si="137"/>
        <v>833.33333333333337</v>
      </c>
      <c r="AB97" s="449">
        <f t="shared" si="137"/>
        <v>833.33333333333337</v>
      </c>
      <c r="AC97" s="449">
        <f t="shared" si="137"/>
        <v>833.33333333333337</v>
      </c>
      <c r="AD97" s="449">
        <f t="shared" si="137"/>
        <v>833.33333333333337</v>
      </c>
      <c r="AE97" s="449">
        <f t="shared" si="137"/>
        <v>833.33333333333337</v>
      </c>
      <c r="AF97" s="449">
        <f t="shared" si="137"/>
        <v>833.33333333333337</v>
      </c>
      <c r="AG97" s="449">
        <f t="shared" si="137"/>
        <v>833.33333333333337</v>
      </c>
      <c r="AH97" s="449">
        <f t="shared" si="137"/>
        <v>833.33333333333337</v>
      </c>
      <c r="AI97" s="449">
        <f t="shared" si="137"/>
        <v>833.33333333333337</v>
      </c>
      <c r="AJ97" s="449">
        <f t="shared" si="137"/>
        <v>833.33333333333337</v>
      </c>
      <c r="AK97" s="449">
        <f t="shared" si="137"/>
        <v>833.33333333333337</v>
      </c>
      <c r="AL97" s="449">
        <f t="shared" si="137"/>
        <v>833.33333333333337</v>
      </c>
      <c r="AN97" s="500">
        <f t="shared" si="138"/>
        <v>10000</v>
      </c>
      <c r="AO97" s="449">
        <f t="shared" si="139"/>
        <v>10684.925999999999</v>
      </c>
      <c r="AP97" s="449">
        <f t="shared" si="140"/>
        <v>684.92599999999948</v>
      </c>
      <c r="AQ97" s="453">
        <f t="shared" si="141"/>
        <v>6.8492599999999945E-2</v>
      </c>
      <c r="AR97" s="449">
        <f t="shared" si="142"/>
        <v>10684.925999999999</v>
      </c>
      <c r="AS97" s="449">
        <f t="shared" si="143"/>
        <v>0</v>
      </c>
      <c r="AT97" s="426">
        <f t="shared" si="144"/>
        <v>0</v>
      </c>
      <c r="AU97" s="421"/>
      <c r="AV97" s="449">
        <f t="shared" si="145"/>
        <v>0</v>
      </c>
      <c r="AW97" s="449">
        <f t="shared" si="145"/>
        <v>890.41049999999996</v>
      </c>
      <c r="AX97" s="449">
        <f t="shared" si="145"/>
        <v>890.41049999999996</v>
      </c>
      <c r="AY97" s="449">
        <f t="shared" si="145"/>
        <v>890.41049999999996</v>
      </c>
      <c r="AZ97" s="449">
        <f t="shared" si="145"/>
        <v>890.41049999999996</v>
      </c>
      <c r="BA97" s="449">
        <f t="shared" si="145"/>
        <v>890.41049999999996</v>
      </c>
      <c r="BB97" s="449">
        <f t="shared" si="145"/>
        <v>890.41049999999996</v>
      </c>
      <c r="BC97" s="449">
        <f t="shared" si="145"/>
        <v>890.41049999999996</v>
      </c>
      <c r="BD97" s="449">
        <f t="shared" si="145"/>
        <v>890.41049999999996</v>
      </c>
      <c r="BE97" s="449">
        <f t="shared" si="145"/>
        <v>890.41049999999996</v>
      </c>
      <c r="BF97" s="449">
        <f t="shared" si="145"/>
        <v>890.41049999999996</v>
      </c>
      <c r="BG97" s="449">
        <f t="shared" si="145"/>
        <v>1780.8209999999999</v>
      </c>
      <c r="BH97" s="400"/>
      <c r="BI97" s="449">
        <v>0</v>
      </c>
      <c r="BJ97" s="449">
        <f t="shared" ref="BJ97:BS97" si="146">(17808.21/12)*0.6</f>
        <v>890.41049999999996</v>
      </c>
      <c r="BK97" s="449">
        <f t="shared" si="146"/>
        <v>890.41049999999996</v>
      </c>
      <c r="BL97" s="449">
        <f t="shared" si="146"/>
        <v>890.41049999999996</v>
      </c>
      <c r="BM97" s="449">
        <f t="shared" si="146"/>
        <v>890.41049999999996</v>
      </c>
      <c r="BN97" s="449">
        <f t="shared" si="146"/>
        <v>890.41049999999996</v>
      </c>
      <c r="BO97" s="449">
        <f t="shared" si="146"/>
        <v>890.41049999999996</v>
      </c>
      <c r="BP97" s="449">
        <f t="shared" si="146"/>
        <v>890.41049999999996</v>
      </c>
      <c r="BQ97" s="449">
        <f t="shared" si="146"/>
        <v>890.41049999999996</v>
      </c>
      <c r="BR97" s="449">
        <f t="shared" si="146"/>
        <v>890.41049999999996</v>
      </c>
      <c r="BS97" s="449">
        <f t="shared" si="146"/>
        <v>890.41049999999996</v>
      </c>
      <c r="BT97" s="449">
        <f>(17808.21/12)*0.6*2</f>
        <v>1780.8209999999999</v>
      </c>
    </row>
    <row r="98" spans="1:72" ht="15" x14ac:dyDescent="0.25">
      <c r="A98" s="502" t="s">
        <v>150</v>
      </c>
      <c r="B98" s="502" t="s">
        <v>151</v>
      </c>
      <c r="C98" s="630"/>
      <c r="D98" s="500">
        <f t="shared" si="131"/>
        <v>33000</v>
      </c>
      <c r="E98" s="449">
        <v>33000</v>
      </c>
      <c r="F98" s="449">
        <f t="shared" si="132"/>
        <v>0</v>
      </c>
      <c r="G98" s="421">
        <f t="shared" si="133"/>
        <v>0</v>
      </c>
      <c r="H98" s="449">
        <v>33000</v>
      </c>
      <c r="I98" s="449">
        <f t="shared" si="134"/>
        <v>0</v>
      </c>
      <c r="J98" s="426">
        <f t="shared" si="135"/>
        <v>0</v>
      </c>
      <c r="K98" s="421"/>
      <c r="L98" s="449">
        <v>0</v>
      </c>
      <c r="M98" s="449">
        <v>0</v>
      </c>
      <c r="N98" s="449">
        <v>0</v>
      </c>
      <c r="O98" s="449">
        <v>24000</v>
      </c>
      <c r="P98" s="449">
        <v>0</v>
      </c>
      <c r="Q98" s="449">
        <v>0</v>
      </c>
      <c r="R98" s="449">
        <f>($H98-SUM($L98:Q98))/R$694</f>
        <v>1500</v>
      </c>
      <c r="S98" s="449">
        <f>($H98-SUM($L98:R98))/S$694</f>
        <v>1500</v>
      </c>
      <c r="T98" s="449">
        <f>($H98-SUM($L98:S98))/T$694</f>
        <v>1500</v>
      </c>
      <c r="U98" s="449">
        <f>($H98-SUM($L98:T98))/U$694</f>
        <v>1500</v>
      </c>
      <c r="V98" s="449">
        <f>($H98-SUM($L98:U98))/V$694</f>
        <v>1500</v>
      </c>
      <c r="W98" s="449">
        <f>($H98-SUM($L98:V98))/W$694</f>
        <v>1500</v>
      </c>
      <c r="X98" s="449"/>
      <c r="Y98" s="449">
        <f t="shared" si="136"/>
        <v>33000</v>
      </c>
      <c r="Z98" s="531"/>
      <c r="AA98" s="449">
        <f t="shared" si="137"/>
        <v>2750</v>
      </c>
      <c r="AB98" s="449">
        <f t="shared" si="137"/>
        <v>2750</v>
      </c>
      <c r="AC98" s="449">
        <f t="shared" si="137"/>
        <v>2750</v>
      </c>
      <c r="AD98" s="449">
        <f t="shared" si="137"/>
        <v>2750</v>
      </c>
      <c r="AE98" s="449">
        <f t="shared" si="137"/>
        <v>2750</v>
      </c>
      <c r="AF98" s="449">
        <f t="shared" si="137"/>
        <v>2750</v>
      </c>
      <c r="AG98" s="449">
        <f t="shared" si="137"/>
        <v>2750</v>
      </c>
      <c r="AH98" s="449">
        <f t="shared" si="137"/>
        <v>2750</v>
      </c>
      <c r="AI98" s="449">
        <f t="shared" si="137"/>
        <v>2750</v>
      </c>
      <c r="AJ98" s="449">
        <f t="shared" si="137"/>
        <v>2750</v>
      </c>
      <c r="AK98" s="449">
        <f t="shared" si="137"/>
        <v>2750</v>
      </c>
      <c r="AL98" s="449">
        <f t="shared" si="137"/>
        <v>2750</v>
      </c>
      <c r="AN98" s="500">
        <f t="shared" si="138"/>
        <v>33000</v>
      </c>
      <c r="AO98" s="449">
        <f t="shared" si="139"/>
        <v>39000</v>
      </c>
      <c r="AP98" s="449">
        <f t="shared" si="140"/>
        <v>6000</v>
      </c>
      <c r="AQ98" s="453">
        <f t="shared" si="141"/>
        <v>0.18181818181818182</v>
      </c>
      <c r="AR98" s="449">
        <f t="shared" si="142"/>
        <v>39000</v>
      </c>
      <c r="AS98" s="449">
        <f t="shared" si="143"/>
        <v>0</v>
      </c>
      <c r="AT98" s="426">
        <f t="shared" si="144"/>
        <v>0</v>
      </c>
      <c r="AU98" s="421"/>
      <c r="AV98" s="449">
        <f t="shared" si="145"/>
        <v>0</v>
      </c>
      <c r="AW98" s="449">
        <f t="shared" si="145"/>
        <v>0</v>
      </c>
      <c r="AX98" s="449">
        <f t="shared" si="145"/>
        <v>0</v>
      </c>
      <c r="AY98" s="449">
        <f t="shared" si="145"/>
        <v>39000</v>
      </c>
      <c r="AZ98" s="449">
        <f t="shared" si="145"/>
        <v>0</v>
      </c>
      <c r="BA98" s="449">
        <f t="shared" si="145"/>
        <v>0</v>
      </c>
      <c r="BB98" s="449">
        <f t="shared" si="145"/>
        <v>0</v>
      </c>
      <c r="BC98" s="449">
        <f t="shared" si="145"/>
        <v>0</v>
      </c>
      <c r="BD98" s="449">
        <f t="shared" si="145"/>
        <v>0</v>
      </c>
      <c r="BE98" s="449">
        <f t="shared" si="145"/>
        <v>0</v>
      </c>
      <c r="BF98" s="449">
        <f t="shared" si="145"/>
        <v>0</v>
      </c>
      <c r="BG98" s="449">
        <f t="shared" si="145"/>
        <v>0</v>
      </c>
      <c r="BH98" s="400"/>
      <c r="BI98" s="449">
        <v>0</v>
      </c>
      <c r="BJ98" s="449">
        <v>0</v>
      </c>
      <c r="BK98" s="449">
        <v>0</v>
      </c>
      <c r="BL98" s="449">
        <f>SUM('FY19 Staffing V1-1 (3)'!$J$48:$J$61)</f>
        <v>39000</v>
      </c>
      <c r="BM98" s="449">
        <v>0</v>
      </c>
      <c r="BN98" s="449">
        <v>0</v>
      </c>
      <c r="BO98" s="449">
        <v>0</v>
      </c>
      <c r="BP98" s="449">
        <v>0</v>
      </c>
      <c r="BQ98" s="449">
        <v>0</v>
      </c>
      <c r="BR98" s="449">
        <v>0</v>
      </c>
      <c r="BS98" s="449">
        <v>0</v>
      </c>
      <c r="BT98" s="449">
        <v>0</v>
      </c>
    </row>
    <row r="99" spans="1:72" ht="15" x14ac:dyDescent="0.25">
      <c r="A99" s="502" t="s">
        <v>152</v>
      </c>
      <c r="B99" s="502" t="s">
        <v>153</v>
      </c>
      <c r="C99" s="630"/>
      <c r="D99" s="500">
        <f t="shared" si="131"/>
        <v>0</v>
      </c>
      <c r="E99" s="449">
        <v>0</v>
      </c>
      <c r="F99" s="449">
        <f t="shared" si="132"/>
        <v>0</v>
      </c>
      <c r="G99" s="421">
        <f t="shared" si="133"/>
        <v>0</v>
      </c>
      <c r="H99" s="449">
        <v>0</v>
      </c>
      <c r="I99" s="449">
        <f t="shared" si="134"/>
        <v>0</v>
      </c>
      <c r="J99" s="426">
        <f t="shared" si="135"/>
        <v>0</v>
      </c>
      <c r="K99" s="421"/>
      <c r="L99" s="449">
        <v>0</v>
      </c>
      <c r="M99" s="449">
        <v>0</v>
      </c>
      <c r="N99" s="449">
        <v>0</v>
      </c>
      <c r="O99" s="449">
        <v>0</v>
      </c>
      <c r="P99" s="449">
        <v>0</v>
      </c>
      <c r="Q99" s="449">
        <v>0</v>
      </c>
      <c r="R99" s="449">
        <f>($H99-SUM($L99:Q99))/R$694</f>
        <v>0</v>
      </c>
      <c r="S99" s="449">
        <f>($H99-SUM($L99:R99))/S$694</f>
        <v>0</v>
      </c>
      <c r="T99" s="449">
        <f>($H99-SUM($L99:S99))/T$694</f>
        <v>0</v>
      </c>
      <c r="U99" s="449">
        <f>($H99-SUM($L99:T99))/U$694</f>
        <v>0</v>
      </c>
      <c r="V99" s="449">
        <f>($H99-SUM($L99:U99))/V$694</f>
        <v>0</v>
      </c>
      <c r="W99" s="449">
        <f>($H99-SUM($L99:V99))/W$694</f>
        <v>0</v>
      </c>
      <c r="X99" s="449"/>
      <c r="Y99" s="449">
        <f t="shared" si="136"/>
        <v>0</v>
      </c>
      <c r="Z99" s="531"/>
      <c r="AA99" s="449">
        <f t="shared" si="137"/>
        <v>0</v>
      </c>
      <c r="AB99" s="449">
        <f t="shared" si="137"/>
        <v>0</v>
      </c>
      <c r="AC99" s="449">
        <f t="shared" si="137"/>
        <v>0</v>
      </c>
      <c r="AD99" s="449">
        <f t="shared" si="137"/>
        <v>0</v>
      </c>
      <c r="AE99" s="449">
        <f t="shared" si="137"/>
        <v>0</v>
      </c>
      <c r="AF99" s="449">
        <f t="shared" si="137"/>
        <v>0</v>
      </c>
      <c r="AG99" s="449">
        <f t="shared" si="137"/>
        <v>0</v>
      </c>
      <c r="AH99" s="449">
        <f t="shared" si="137"/>
        <v>0</v>
      </c>
      <c r="AI99" s="449">
        <f t="shared" si="137"/>
        <v>0</v>
      </c>
      <c r="AJ99" s="449">
        <f t="shared" si="137"/>
        <v>0</v>
      </c>
      <c r="AK99" s="449">
        <f t="shared" si="137"/>
        <v>0</v>
      </c>
      <c r="AL99" s="449">
        <f t="shared" si="137"/>
        <v>0</v>
      </c>
      <c r="AN99" s="500">
        <f t="shared" si="138"/>
        <v>0</v>
      </c>
      <c r="AO99" s="449">
        <f t="shared" si="139"/>
        <v>0</v>
      </c>
      <c r="AP99" s="449">
        <f t="shared" si="140"/>
        <v>0</v>
      </c>
      <c r="AQ99" s="453" t="str">
        <f t="shared" si="141"/>
        <v>-</v>
      </c>
      <c r="AR99" s="449">
        <f t="shared" si="142"/>
        <v>0</v>
      </c>
      <c r="AS99" s="449">
        <f t="shared" si="143"/>
        <v>0</v>
      </c>
      <c r="AT99" s="426">
        <f t="shared" si="144"/>
        <v>0</v>
      </c>
      <c r="AU99" s="421"/>
      <c r="AV99" s="449">
        <f t="shared" si="145"/>
        <v>0</v>
      </c>
      <c r="AW99" s="449">
        <f t="shared" si="145"/>
        <v>0</v>
      </c>
      <c r="AX99" s="449">
        <f t="shared" si="145"/>
        <v>0</v>
      </c>
      <c r="AY99" s="449">
        <f t="shared" si="145"/>
        <v>0</v>
      </c>
      <c r="AZ99" s="449">
        <f t="shared" si="145"/>
        <v>0</v>
      </c>
      <c r="BA99" s="449">
        <f t="shared" si="145"/>
        <v>0</v>
      </c>
      <c r="BB99" s="449">
        <f t="shared" si="145"/>
        <v>0</v>
      </c>
      <c r="BC99" s="449">
        <f t="shared" si="145"/>
        <v>0</v>
      </c>
      <c r="BD99" s="449">
        <f t="shared" si="145"/>
        <v>0</v>
      </c>
      <c r="BE99" s="449">
        <f t="shared" si="145"/>
        <v>0</v>
      </c>
      <c r="BF99" s="449">
        <f t="shared" si="145"/>
        <v>0</v>
      </c>
      <c r="BG99" s="449">
        <f t="shared" si="145"/>
        <v>0</v>
      </c>
      <c r="BH99" s="400"/>
      <c r="BI99" s="449">
        <v>0</v>
      </c>
      <c r="BJ99" s="449">
        <v>0</v>
      </c>
      <c r="BK99" s="449">
        <v>0</v>
      </c>
      <c r="BL99" s="449">
        <v>0</v>
      </c>
      <c r="BM99" s="449">
        <v>0</v>
      </c>
      <c r="BN99" s="449">
        <v>0</v>
      </c>
      <c r="BO99" s="449">
        <v>0</v>
      </c>
      <c r="BP99" s="449">
        <v>0</v>
      </c>
      <c r="BQ99" s="449">
        <v>0</v>
      </c>
      <c r="BR99" s="449">
        <v>0</v>
      </c>
      <c r="BS99" s="449">
        <v>0</v>
      </c>
      <c r="BT99" s="449">
        <v>0</v>
      </c>
    </row>
    <row r="100" spans="1:72" ht="15" hidden="1" x14ac:dyDescent="0.25">
      <c r="A100" s="502" t="s">
        <v>154</v>
      </c>
      <c r="B100" s="502" t="s">
        <v>155</v>
      </c>
      <c r="C100" s="541"/>
      <c r="D100" s="500">
        <f t="shared" si="131"/>
        <v>0</v>
      </c>
      <c r="E100" s="449">
        <v>0</v>
      </c>
      <c r="F100" s="449">
        <f t="shared" si="132"/>
        <v>0</v>
      </c>
      <c r="G100" s="421">
        <f t="shared" si="133"/>
        <v>0</v>
      </c>
      <c r="H100" s="449">
        <v>0</v>
      </c>
      <c r="I100" s="449">
        <f t="shared" si="134"/>
        <v>0</v>
      </c>
      <c r="J100" s="426">
        <f t="shared" si="135"/>
        <v>0</v>
      </c>
      <c r="K100" s="421"/>
      <c r="L100" s="449">
        <v>0</v>
      </c>
      <c r="M100" s="449">
        <v>0</v>
      </c>
      <c r="N100" s="449">
        <v>0</v>
      </c>
      <c r="O100" s="449">
        <v>0</v>
      </c>
      <c r="P100" s="449">
        <v>0</v>
      </c>
      <c r="Q100" s="449">
        <v>0</v>
      </c>
      <c r="R100" s="449">
        <f>($H100-SUM($L100:Q100))/R$694</f>
        <v>0</v>
      </c>
      <c r="S100" s="449">
        <f>($H100-SUM($L100:R100))/S$694</f>
        <v>0</v>
      </c>
      <c r="T100" s="449">
        <f>($H100-SUM($L100:S100))/T$694</f>
        <v>0</v>
      </c>
      <c r="U100" s="449">
        <f>($H100-SUM($L100:T100))/U$694</f>
        <v>0</v>
      </c>
      <c r="V100" s="449">
        <f>($H100-SUM($L100:U100))/V$694</f>
        <v>0</v>
      </c>
      <c r="W100" s="449">
        <f>($H100-SUM($L100:V100))/W$694</f>
        <v>0</v>
      </c>
      <c r="X100" s="449"/>
      <c r="Y100" s="449">
        <f t="shared" si="136"/>
        <v>0</v>
      </c>
      <c r="Z100" s="531"/>
      <c r="AA100" s="449">
        <f t="shared" si="137"/>
        <v>0</v>
      </c>
      <c r="AB100" s="449">
        <f t="shared" si="137"/>
        <v>0</v>
      </c>
      <c r="AC100" s="449">
        <f t="shared" si="137"/>
        <v>0</v>
      </c>
      <c r="AD100" s="449">
        <f t="shared" si="137"/>
        <v>0</v>
      </c>
      <c r="AE100" s="449">
        <f t="shared" si="137"/>
        <v>0</v>
      </c>
      <c r="AF100" s="449">
        <f t="shared" si="137"/>
        <v>0</v>
      </c>
      <c r="AG100" s="449">
        <f t="shared" si="137"/>
        <v>0</v>
      </c>
      <c r="AH100" s="449">
        <f t="shared" si="137"/>
        <v>0</v>
      </c>
      <c r="AI100" s="449">
        <f t="shared" si="137"/>
        <v>0</v>
      </c>
      <c r="AJ100" s="449">
        <f t="shared" si="137"/>
        <v>0</v>
      </c>
      <c r="AK100" s="449">
        <f t="shared" si="137"/>
        <v>0</v>
      </c>
      <c r="AL100" s="449">
        <f t="shared" si="137"/>
        <v>0</v>
      </c>
      <c r="AN100" s="500">
        <f t="shared" si="138"/>
        <v>0</v>
      </c>
      <c r="AO100" s="449">
        <f t="shared" si="139"/>
        <v>0</v>
      </c>
      <c r="AP100" s="449">
        <f t="shared" si="140"/>
        <v>0</v>
      </c>
      <c r="AQ100" s="453" t="str">
        <f t="shared" si="141"/>
        <v>-</v>
      </c>
      <c r="AR100" s="449">
        <f t="shared" si="142"/>
        <v>0</v>
      </c>
      <c r="AS100" s="449">
        <f t="shared" si="143"/>
        <v>0</v>
      </c>
      <c r="AT100" s="426">
        <f t="shared" si="144"/>
        <v>0</v>
      </c>
      <c r="AU100" s="421"/>
      <c r="AV100" s="449">
        <f t="shared" si="145"/>
        <v>0</v>
      </c>
      <c r="AW100" s="449">
        <f t="shared" si="145"/>
        <v>0</v>
      </c>
      <c r="AX100" s="449">
        <f t="shared" si="145"/>
        <v>0</v>
      </c>
      <c r="AY100" s="449">
        <f t="shared" si="145"/>
        <v>0</v>
      </c>
      <c r="AZ100" s="449">
        <f t="shared" si="145"/>
        <v>0</v>
      </c>
      <c r="BA100" s="449">
        <f t="shared" si="145"/>
        <v>0</v>
      </c>
      <c r="BB100" s="449">
        <f t="shared" si="145"/>
        <v>0</v>
      </c>
      <c r="BC100" s="449">
        <f t="shared" si="145"/>
        <v>0</v>
      </c>
      <c r="BD100" s="449">
        <f t="shared" si="145"/>
        <v>0</v>
      </c>
      <c r="BE100" s="449">
        <f t="shared" si="145"/>
        <v>0</v>
      </c>
      <c r="BF100" s="449">
        <f t="shared" si="145"/>
        <v>0</v>
      </c>
      <c r="BG100" s="449">
        <f t="shared" si="145"/>
        <v>0</v>
      </c>
      <c r="BH100" s="400"/>
      <c r="BI100" s="449">
        <v>0</v>
      </c>
      <c r="BJ100" s="449">
        <v>0</v>
      </c>
      <c r="BK100" s="449">
        <v>0</v>
      </c>
      <c r="BL100" s="449">
        <v>0</v>
      </c>
      <c r="BM100" s="449">
        <v>0</v>
      </c>
      <c r="BN100" s="449">
        <v>0</v>
      </c>
      <c r="BO100" s="449">
        <v>0</v>
      </c>
      <c r="BP100" s="449">
        <v>0</v>
      </c>
      <c r="BQ100" s="449">
        <v>0</v>
      </c>
      <c r="BR100" s="449">
        <v>0</v>
      </c>
      <c r="BS100" s="449">
        <v>0</v>
      </c>
      <c r="BT100" s="449">
        <v>0</v>
      </c>
    </row>
    <row r="101" spans="1:72" ht="15" x14ac:dyDescent="0.25">
      <c r="A101" s="502" t="s">
        <v>156</v>
      </c>
      <c r="B101" s="502" t="s">
        <v>157</v>
      </c>
      <c r="C101" s="541"/>
      <c r="D101" s="500">
        <f t="shared" si="131"/>
        <v>65747</v>
      </c>
      <c r="E101" s="449">
        <v>57668</v>
      </c>
      <c r="F101" s="449">
        <f t="shared" si="132"/>
        <v>8079</v>
      </c>
      <c r="G101" s="421">
        <f t="shared" si="133"/>
        <v>0.14009502670458487</v>
      </c>
      <c r="H101" s="449">
        <v>65747</v>
      </c>
      <c r="I101" s="449">
        <f t="shared" si="134"/>
        <v>0</v>
      </c>
      <c r="J101" s="426">
        <f t="shared" si="135"/>
        <v>0</v>
      </c>
      <c r="K101" s="421"/>
      <c r="L101" s="449">
        <v>58.35</v>
      </c>
      <c r="M101" s="449">
        <v>9540.49</v>
      </c>
      <c r="N101" s="449">
        <v>6394.1399999999994</v>
      </c>
      <c r="O101" s="449">
        <v>9281.0499999999993</v>
      </c>
      <c r="P101" s="449">
        <v>5238.3000000000029</v>
      </c>
      <c r="Q101" s="449">
        <v>5441.2699999999968</v>
      </c>
      <c r="R101" s="449">
        <f>($H101-SUM($L101:Q101))/R$694</f>
        <v>4965.5666666666666</v>
      </c>
      <c r="S101" s="449">
        <f>($H101-SUM($L101:R101))/S$694</f>
        <v>4965.5666666666675</v>
      </c>
      <c r="T101" s="449">
        <f>($H101-SUM($L101:S101))/T$694</f>
        <v>4965.5666666666675</v>
      </c>
      <c r="U101" s="449">
        <f>($H101-SUM($L101:T101))/U$694</f>
        <v>4965.5666666666684</v>
      </c>
      <c r="V101" s="449">
        <f>($H101-SUM($L101:U101))/V$694</f>
        <v>4965.5666666666693</v>
      </c>
      <c r="W101" s="449">
        <f>($H101-SUM($L101:V101))/W$694</f>
        <v>4965.5666666666657</v>
      </c>
      <c r="X101" s="449"/>
      <c r="Y101" s="449">
        <f t="shared" si="136"/>
        <v>65747</v>
      </c>
      <c r="Z101" s="531"/>
      <c r="AA101" s="449">
        <f t="shared" si="137"/>
        <v>5478.916666666667</v>
      </c>
      <c r="AB101" s="449">
        <f t="shared" si="137"/>
        <v>5478.916666666667</v>
      </c>
      <c r="AC101" s="449">
        <f t="shared" si="137"/>
        <v>5478.916666666667</v>
      </c>
      <c r="AD101" s="449">
        <f t="shared" si="137"/>
        <v>5478.916666666667</v>
      </c>
      <c r="AE101" s="449">
        <f t="shared" si="137"/>
        <v>5478.916666666667</v>
      </c>
      <c r="AF101" s="449">
        <f t="shared" si="137"/>
        <v>5478.916666666667</v>
      </c>
      <c r="AG101" s="449">
        <f t="shared" si="137"/>
        <v>5478.916666666667</v>
      </c>
      <c r="AH101" s="449">
        <f t="shared" si="137"/>
        <v>5478.916666666667</v>
      </c>
      <c r="AI101" s="449">
        <f t="shared" si="137"/>
        <v>5478.916666666667</v>
      </c>
      <c r="AJ101" s="449">
        <f t="shared" si="137"/>
        <v>5478.916666666667</v>
      </c>
      <c r="AK101" s="449">
        <f t="shared" si="137"/>
        <v>5478.916666666667</v>
      </c>
      <c r="AL101" s="449">
        <f t="shared" si="137"/>
        <v>5478.916666666667</v>
      </c>
      <c r="AN101" s="500">
        <f t="shared" si="138"/>
        <v>65747</v>
      </c>
      <c r="AO101" s="449">
        <f t="shared" si="139"/>
        <v>56394.049999999996</v>
      </c>
      <c r="AP101" s="449">
        <f t="shared" si="140"/>
        <v>-9352.9500000000044</v>
      </c>
      <c r="AQ101" s="453">
        <f t="shared" si="141"/>
        <v>-0.14225668091319763</v>
      </c>
      <c r="AR101" s="449">
        <f t="shared" si="142"/>
        <v>56394.049999999996</v>
      </c>
      <c r="AS101" s="449">
        <f t="shared" si="143"/>
        <v>0</v>
      </c>
      <c r="AT101" s="426">
        <f t="shared" si="144"/>
        <v>0</v>
      </c>
      <c r="AU101" s="421"/>
      <c r="AV101" s="449">
        <f t="shared" si="145"/>
        <v>0</v>
      </c>
      <c r="AW101" s="449">
        <f t="shared" si="145"/>
        <v>4699.5041666666666</v>
      </c>
      <c r="AX101" s="449">
        <f t="shared" si="145"/>
        <v>4699.5041666666666</v>
      </c>
      <c r="AY101" s="449">
        <f t="shared" si="145"/>
        <v>4699.5041666666666</v>
      </c>
      <c r="AZ101" s="449">
        <f t="shared" si="145"/>
        <v>4699.5041666666666</v>
      </c>
      <c r="BA101" s="449">
        <f t="shared" si="145"/>
        <v>4699.5041666666666</v>
      </c>
      <c r="BB101" s="449">
        <f t="shared" si="145"/>
        <v>4699.5041666666666</v>
      </c>
      <c r="BC101" s="449">
        <f t="shared" si="145"/>
        <v>4699.5041666666666</v>
      </c>
      <c r="BD101" s="449">
        <f t="shared" si="145"/>
        <v>4699.5041666666666</v>
      </c>
      <c r="BE101" s="449">
        <f t="shared" si="145"/>
        <v>4699.5041666666666</v>
      </c>
      <c r="BF101" s="449">
        <f t="shared" si="145"/>
        <v>4699.5041666666666</v>
      </c>
      <c r="BG101" s="449">
        <f t="shared" si="145"/>
        <v>9399.0083333333332</v>
      </c>
      <c r="BH101" s="400"/>
      <c r="BI101" s="449">
        <v>0</v>
      </c>
      <c r="BJ101" s="449">
        <f>SUM('FY19 Staffing V1-1 (3)'!$Q$48:$R$61,'FY19 Staffing V1-1 (3)'!$T$48:$U$61)/12</f>
        <v>4699.5041666666666</v>
      </c>
      <c r="BK101" s="449">
        <f>SUM('FY19 Staffing V1-1 (3)'!$Q$48:$R$61,'FY19 Staffing V1-1 (3)'!$T$48:$U$61)/12</f>
        <v>4699.5041666666666</v>
      </c>
      <c r="BL101" s="449">
        <f>SUM('FY19 Staffing V1-1 (3)'!$Q$48:$R$61,'FY19 Staffing V1-1 (3)'!$T$48:$U$61)/12</f>
        <v>4699.5041666666666</v>
      </c>
      <c r="BM101" s="449">
        <f>SUM('FY19 Staffing V1-1 (3)'!$Q$48:$R$61,'FY19 Staffing V1-1 (3)'!$T$48:$U$61)/12</f>
        <v>4699.5041666666666</v>
      </c>
      <c r="BN101" s="449">
        <f>SUM('FY19 Staffing V1-1 (3)'!$Q$48:$R$61,'FY19 Staffing V1-1 (3)'!$T$48:$U$61)/12</f>
        <v>4699.5041666666666</v>
      </c>
      <c r="BO101" s="449">
        <f>SUM('FY19 Staffing V1-1 (3)'!$Q$48:$R$61,'FY19 Staffing V1-1 (3)'!$T$48:$U$61)/12</f>
        <v>4699.5041666666666</v>
      </c>
      <c r="BP101" s="449">
        <f>SUM('FY19 Staffing V1-1 (3)'!$Q$48:$R$61,'FY19 Staffing V1-1 (3)'!$T$48:$U$61)/12</f>
        <v>4699.5041666666666</v>
      </c>
      <c r="BQ101" s="449">
        <f>SUM('FY19 Staffing V1-1 (3)'!$Q$48:$R$61,'FY19 Staffing V1-1 (3)'!$T$48:$U$61)/12</f>
        <v>4699.5041666666666</v>
      </c>
      <c r="BR101" s="449">
        <f>SUM('FY19 Staffing V1-1 (3)'!$Q$48:$R$61,'FY19 Staffing V1-1 (3)'!$T$48:$U$61)/12</f>
        <v>4699.5041666666666</v>
      </c>
      <c r="BS101" s="449">
        <f>SUM('FY19 Staffing V1-1 (3)'!$Q$48:$R$61,'FY19 Staffing V1-1 (3)'!$T$48:$U$61)/12</f>
        <v>4699.5041666666666</v>
      </c>
      <c r="BT101" s="449">
        <f>SUM('FY19 Staffing V1-1 (3)'!$Q$48:$R$61,'FY19 Staffing V1-1 (3)'!$T$48:$U$61)/12*2</f>
        <v>9399.0083333333332</v>
      </c>
    </row>
    <row r="102" spans="1:72" ht="15" x14ac:dyDescent="0.25">
      <c r="A102" s="537" t="s">
        <v>158</v>
      </c>
      <c r="B102" s="537" t="s">
        <v>106</v>
      </c>
      <c r="C102" s="541"/>
      <c r="D102" s="500">
        <f>SUM(L102:W102)</f>
        <v>0</v>
      </c>
      <c r="E102" s="449">
        <v>0</v>
      </c>
      <c r="F102" s="449">
        <f t="shared" si="132"/>
        <v>0</v>
      </c>
      <c r="G102" s="421">
        <f t="shared" si="133"/>
        <v>0</v>
      </c>
      <c r="H102" s="449">
        <v>0</v>
      </c>
      <c r="I102" s="449">
        <f t="shared" si="134"/>
        <v>0</v>
      </c>
      <c r="J102" s="426">
        <f t="shared" si="135"/>
        <v>0</v>
      </c>
      <c r="K102" s="421"/>
      <c r="L102" s="449">
        <v>0</v>
      </c>
      <c r="M102" s="449">
        <v>0</v>
      </c>
      <c r="N102" s="449">
        <v>0</v>
      </c>
      <c r="O102" s="449">
        <v>0</v>
      </c>
      <c r="P102" s="449">
        <v>0</v>
      </c>
      <c r="Q102" s="449">
        <v>0</v>
      </c>
      <c r="R102" s="449">
        <f>($H102-SUM($L102:Q102))/R$694</f>
        <v>0</v>
      </c>
      <c r="S102" s="449">
        <f>($H102-SUM($L102:R102))/S$694</f>
        <v>0</v>
      </c>
      <c r="T102" s="449">
        <f>($H102-SUM($L102:S102))/T$694</f>
        <v>0</v>
      </c>
      <c r="U102" s="449">
        <f>($H102-SUM($L102:T102))/U$694</f>
        <v>0</v>
      </c>
      <c r="V102" s="449">
        <f>($H102-SUM($L102:U102))/V$694</f>
        <v>0</v>
      </c>
      <c r="W102" s="449">
        <f>($H102-SUM($L102:V102))/W$694</f>
        <v>0</v>
      </c>
      <c r="X102" s="449"/>
      <c r="Y102" s="449">
        <f t="shared" si="136"/>
        <v>0</v>
      </c>
      <c r="Z102" s="531"/>
      <c r="AA102" s="449">
        <f t="shared" si="137"/>
        <v>0</v>
      </c>
      <c r="AB102" s="449">
        <f t="shared" si="137"/>
        <v>0</v>
      </c>
      <c r="AC102" s="449">
        <f t="shared" si="137"/>
        <v>0</v>
      </c>
      <c r="AD102" s="449">
        <f t="shared" si="137"/>
        <v>0</v>
      </c>
      <c r="AE102" s="449">
        <f t="shared" si="137"/>
        <v>0</v>
      </c>
      <c r="AF102" s="449">
        <f t="shared" si="137"/>
        <v>0</v>
      </c>
      <c r="AG102" s="449">
        <f t="shared" si="137"/>
        <v>0</v>
      </c>
      <c r="AH102" s="449">
        <f t="shared" si="137"/>
        <v>0</v>
      </c>
      <c r="AI102" s="449">
        <f t="shared" si="137"/>
        <v>0</v>
      </c>
      <c r="AJ102" s="449">
        <f t="shared" si="137"/>
        <v>0</v>
      </c>
      <c r="AK102" s="449">
        <f t="shared" si="137"/>
        <v>0</v>
      </c>
      <c r="AL102" s="449">
        <f t="shared" si="137"/>
        <v>0</v>
      </c>
      <c r="AN102" s="500">
        <f>SUM(L102:W102)</f>
        <v>0</v>
      </c>
      <c r="AO102" s="449">
        <f>SUM(BI102:BT102)</f>
        <v>4085.0321707317075</v>
      </c>
      <c r="AP102" s="449">
        <f t="shared" si="140"/>
        <v>4085.0321707317075</v>
      </c>
      <c r="AQ102" s="453" t="str">
        <f t="shared" si="141"/>
        <v>-</v>
      </c>
      <c r="AR102" s="449">
        <f t="shared" si="142"/>
        <v>4085.0321707317075</v>
      </c>
      <c r="AS102" s="449">
        <f t="shared" si="143"/>
        <v>0</v>
      </c>
      <c r="AT102" s="426">
        <f t="shared" si="144"/>
        <v>0</v>
      </c>
      <c r="AU102" s="421"/>
      <c r="AV102" s="449">
        <f t="shared" si="145"/>
        <v>0</v>
      </c>
      <c r="AW102" s="449">
        <f t="shared" si="145"/>
        <v>0</v>
      </c>
      <c r="AX102" s="449">
        <f t="shared" si="145"/>
        <v>371.36656097560973</v>
      </c>
      <c r="AY102" s="449">
        <f t="shared" si="145"/>
        <v>371.36656097560973</v>
      </c>
      <c r="AZ102" s="449">
        <f t="shared" si="145"/>
        <v>371.36656097560973</v>
      </c>
      <c r="BA102" s="449">
        <f t="shared" si="145"/>
        <v>371.36656097560973</v>
      </c>
      <c r="BB102" s="449">
        <f t="shared" si="145"/>
        <v>371.36656097560973</v>
      </c>
      <c r="BC102" s="449">
        <f t="shared" si="145"/>
        <v>371.36656097560973</v>
      </c>
      <c r="BD102" s="449">
        <f t="shared" si="145"/>
        <v>371.36656097560973</v>
      </c>
      <c r="BE102" s="449">
        <f t="shared" si="145"/>
        <v>371.36656097560973</v>
      </c>
      <c r="BF102" s="449">
        <f t="shared" si="145"/>
        <v>371.36656097560973</v>
      </c>
      <c r="BG102" s="449">
        <f t="shared" si="145"/>
        <v>742.73312195121946</v>
      </c>
      <c r="BH102" s="400"/>
      <c r="BI102" s="449">
        <v>0</v>
      </c>
      <c r="BJ102" s="449">
        <v>0</v>
      </c>
      <c r="BK102" s="449">
        <f>(SUM('FY19 Staffing V1-1 (3)'!$Q$144:$R$144,'FY19 Staffing V1-1 (3)'!$T$144:$U$144)/10)*(13/41)</f>
        <v>371.36656097560973</v>
      </c>
      <c r="BL102" s="449">
        <f>(SUM('FY19 Staffing V1-1 (3)'!$Q$144:$R$144,'FY19 Staffing V1-1 (3)'!$T$144:$U$144)/10)*(13/41)</f>
        <v>371.36656097560973</v>
      </c>
      <c r="BM102" s="449">
        <f>(SUM('FY19 Staffing V1-1 (3)'!$Q$144:$R$144,'FY19 Staffing V1-1 (3)'!$T$144:$U$144)/10)*(13/41)</f>
        <v>371.36656097560973</v>
      </c>
      <c r="BN102" s="449">
        <f>(SUM('FY19 Staffing V1-1 (3)'!$Q$144:$R$144,'FY19 Staffing V1-1 (3)'!$T$144:$U$144)/10)*(13/41)</f>
        <v>371.36656097560973</v>
      </c>
      <c r="BO102" s="449">
        <f>(SUM('FY19 Staffing V1-1 (3)'!$Q$144:$R$144,'FY19 Staffing V1-1 (3)'!$T$144:$U$144)/10)*(13/41)</f>
        <v>371.36656097560973</v>
      </c>
      <c r="BP102" s="449">
        <f>(SUM('FY19 Staffing V1-1 (3)'!$Q$144:$R$144,'FY19 Staffing V1-1 (3)'!$T$144:$U$144)/10)*(13/41)</f>
        <v>371.36656097560973</v>
      </c>
      <c r="BQ102" s="449">
        <f>(SUM('FY19 Staffing V1-1 (3)'!$Q$144:$R$144,'FY19 Staffing V1-1 (3)'!$T$144:$U$144)/10)*(13/41)</f>
        <v>371.36656097560973</v>
      </c>
      <c r="BR102" s="449">
        <f>(SUM('FY19 Staffing V1-1 (3)'!$Q$144:$R$144,'FY19 Staffing V1-1 (3)'!$T$144:$U$144)/10)*(13/41)</f>
        <v>371.36656097560973</v>
      </c>
      <c r="BS102" s="449">
        <f>(SUM('FY19 Staffing V1-1 (3)'!$Q$144:$R$144,'FY19 Staffing V1-1 (3)'!$T$144:$U$144)/10)*(13/41)</f>
        <v>371.36656097560973</v>
      </c>
      <c r="BT102" s="449">
        <f>(SUM('FY19 Staffing V1-1 (3)'!$Q$144:$R$144,'FY19 Staffing V1-1 (3)'!$T$144:$U$144)/10)*(13/41)*2</f>
        <v>742.73312195121946</v>
      </c>
    </row>
    <row r="103" spans="1:72" ht="15" x14ac:dyDescent="0.25">
      <c r="A103" s="502" t="s">
        <v>159</v>
      </c>
      <c r="B103" s="502" t="s">
        <v>160</v>
      </c>
      <c r="C103" s="541"/>
      <c r="D103" s="500">
        <f t="shared" si="131"/>
        <v>1422</v>
      </c>
      <c r="E103" s="449">
        <v>0</v>
      </c>
      <c r="F103" s="449">
        <f t="shared" si="132"/>
        <v>1422</v>
      </c>
      <c r="G103" s="421">
        <f t="shared" si="133"/>
        <v>0</v>
      </c>
      <c r="H103" s="449">
        <v>1422</v>
      </c>
      <c r="I103" s="449">
        <f t="shared" si="134"/>
        <v>0</v>
      </c>
      <c r="J103" s="426">
        <f t="shared" si="135"/>
        <v>0</v>
      </c>
      <c r="K103" s="421"/>
      <c r="L103" s="449">
        <v>0</v>
      </c>
      <c r="M103" s="449">
        <v>0</v>
      </c>
      <c r="N103" s="449">
        <v>0</v>
      </c>
      <c r="O103" s="449">
        <v>0</v>
      </c>
      <c r="P103" s="449">
        <v>0</v>
      </c>
      <c r="Q103" s="449">
        <v>0</v>
      </c>
      <c r="R103" s="449">
        <f>($H103-SUM($L103:Q103))/R$694</f>
        <v>237</v>
      </c>
      <c r="S103" s="449">
        <f>($H103-SUM($L103:R103))/S$694</f>
        <v>237</v>
      </c>
      <c r="T103" s="449">
        <f>($H103-SUM($L103:S103))/T$694</f>
        <v>237</v>
      </c>
      <c r="U103" s="449">
        <f>($H103-SUM($L103:T103))/U$694</f>
        <v>237</v>
      </c>
      <c r="V103" s="449">
        <f>($H103-SUM($L103:U103))/V$694</f>
        <v>237</v>
      </c>
      <c r="W103" s="449">
        <f>($H103-SUM($L103:V103))/W$694</f>
        <v>237</v>
      </c>
      <c r="X103" s="449"/>
      <c r="Y103" s="449">
        <f t="shared" si="136"/>
        <v>1422</v>
      </c>
      <c r="Z103" s="531"/>
      <c r="AA103" s="449">
        <f t="shared" si="137"/>
        <v>118.5</v>
      </c>
      <c r="AB103" s="449">
        <f t="shared" si="137"/>
        <v>118.5</v>
      </c>
      <c r="AC103" s="449">
        <f t="shared" si="137"/>
        <v>118.5</v>
      </c>
      <c r="AD103" s="449">
        <f t="shared" si="137"/>
        <v>118.5</v>
      </c>
      <c r="AE103" s="449">
        <f t="shared" si="137"/>
        <v>118.5</v>
      </c>
      <c r="AF103" s="449">
        <f t="shared" si="137"/>
        <v>118.5</v>
      </c>
      <c r="AG103" s="449">
        <f t="shared" si="137"/>
        <v>118.5</v>
      </c>
      <c r="AH103" s="449">
        <f t="shared" si="137"/>
        <v>118.5</v>
      </c>
      <c r="AI103" s="449">
        <f t="shared" si="137"/>
        <v>118.5</v>
      </c>
      <c r="AJ103" s="449">
        <f t="shared" si="137"/>
        <v>118.5</v>
      </c>
      <c r="AK103" s="449">
        <f t="shared" si="137"/>
        <v>118.5</v>
      </c>
      <c r="AL103" s="449">
        <f t="shared" si="137"/>
        <v>118.5</v>
      </c>
      <c r="AN103" s="500">
        <f t="shared" si="138"/>
        <v>1422</v>
      </c>
      <c r="AO103" s="449">
        <f>SUM(BI103:BT103)</f>
        <v>3280.1075199999996</v>
      </c>
      <c r="AP103" s="449">
        <f t="shared" si="140"/>
        <v>1858.1075199999996</v>
      </c>
      <c r="AQ103" s="453">
        <f t="shared" si="141"/>
        <v>1.3066860196905763</v>
      </c>
      <c r="AR103" s="449">
        <f t="shared" si="142"/>
        <v>3280.1075199999996</v>
      </c>
      <c r="AS103" s="449">
        <f t="shared" si="143"/>
        <v>0</v>
      </c>
      <c r="AT103" s="426">
        <f t="shared" si="144"/>
        <v>0</v>
      </c>
      <c r="AU103" s="421"/>
      <c r="AV103" s="449">
        <f t="shared" si="145"/>
        <v>0</v>
      </c>
      <c r="AW103" s="449">
        <f t="shared" si="145"/>
        <v>273.34229333333332</v>
      </c>
      <c r="AX103" s="449">
        <f t="shared" si="145"/>
        <v>273.34229333333332</v>
      </c>
      <c r="AY103" s="449">
        <f t="shared" si="145"/>
        <v>273.34229333333332</v>
      </c>
      <c r="AZ103" s="449">
        <f t="shared" si="145"/>
        <v>273.34229333333332</v>
      </c>
      <c r="BA103" s="449">
        <f t="shared" si="145"/>
        <v>273.34229333333332</v>
      </c>
      <c r="BB103" s="449">
        <f t="shared" si="145"/>
        <v>273.34229333333332</v>
      </c>
      <c r="BC103" s="449">
        <f t="shared" si="145"/>
        <v>273.34229333333332</v>
      </c>
      <c r="BD103" s="449">
        <f t="shared" si="145"/>
        <v>273.34229333333332</v>
      </c>
      <c r="BE103" s="449">
        <f t="shared" si="145"/>
        <v>273.34229333333332</v>
      </c>
      <c r="BF103" s="449">
        <f t="shared" si="145"/>
        <v>273.34229333333332</v>
      </c>
      <c r="BG103" s="449">
        <f t="shared" si="145"/>
        <v>546.68458666666663</v>
      </c>
      <c r="BH103" s="400"/>
      <c r="BI103" s="449">
        <v>0</v>
      </c>
      <c r="BJ103" s="449">
        <f>('FY19 Staffing V1-1 (3)'!$Q$175+'FY19 Staffing V1-1 (3)'!$R$175+'FY19 Staffing V1-1 (3)'!$T$175+'FY19 Staffing V1-1 (3)'!$U$175)/12</f>
        <v>273.34229333333332</v>
      </c>
      <c r="BK103" s="449">
        <f>('FY19 Staffing V1-1 (3)'!$Q$175+'FY19 Staffing V1-1 (3)'!$R$175+'FY19 Staffing V1-1 (3)'!$T$175+'FY19 Staffing V1-1 (3)'!$U$175)/12</f>
        <v>273.34229333333332</v>
      </c>
      <c r="BL103" s="449">
        <f>('FY19 Staffing V1-1 (3)'!$Q$175+'FY19 Staffing V1-1 (3)'!$R$175+'FY19 Staffing V1-1 (3)'!$T$175+'FY19 Staffing V1-1 (3)'!$U$175)/12</f>
        <v>273.34229333333332</v>
      </c>
      <c r="BM103" s="449">
        <f>('FY19 Staffing V1-1 (3)'!$Q$175+'FY19 Staffing V1-1 (3)'!$R$175+'FY19 Staffing V1-1 (3)'!$T$175+'FY19 Staffing V1-1 (3)'!$U$175)/12</f>
        <v>273.34229333333332</v>
      </c>
      <c r="BN103" s="449">
        <f>('FY19 Staffing V1-1 (3)'!$Q$175+'FY19 Staffing V1-1 (3)'!$R$175+'FY19 Staffing V1-1 (3)'!$T$175+'FY19 Staffing V1-1 (3)'!$U$175)/12</f>
        <v>273.34229333333332</v>
      </c>
      <c r="BO103" s="449">
        <f>('FY19 Staffing V1-1 (3)'!$Q$175+'FY19 Staffing V1-1 (3)'!$R$175+'FY19 Staffing V1-1 (3)'!$T$175+'FY19 Staffing V1-1 (3)'!$U$175)/12</f>
        <v>273.34229333333332</v>
      </c>
      <c r="BP103" s="449">
        <f>('FY19 Staffing V1-1 (3)'!$Q$175+'FY19 Staffing V1-1 (3)'!$R$175+'FY19 Staffing V1-1 (3)'!$T$175+'FY19 Staffing V1-1 (3)'!$U$175)/12</f>
        <v>273.34229333333332</v>
      </c>
      <c r="BQ103" s="449">
        <f>('FY19 Staffing V1-1 (3)'!$Q$175+'FY19 Staffing V1-1 (3)'!$R$175+'FY19 Staffing V1-1 (3)'!$T$175+'FY19 Staffing V1-1 (3)'!$U$175)/12</f>
        <v>273.34229333333332</v>
      </c>
      <c r="BR103" s="449">
        <f>('FY19 Staffing V1-1 (3)'!$Q$175+'FY19 Staffing V1-1 (3)'!$R$175+'FY19 Staffing V1-1 (3)'!$T$175+'FY19 Staffing V1-1 (3)'!$U$175)/12</f>
        <v>273.34229333333332</v>
      </c>
      <c r="BS103" s="449">
        <f>('FY19 Staffing V1-1 (3)'!$Q$175+'FY19 Staffing V1-1 (3)'!$R$175+'FY19 Staffing V1-1 (3)'!$T$175+'FY19 Staffing V1-1 (3)'!$U$175)/12</f>
        <v>273.34229333333332</v>
      </c>
      <c r="BT103" s="449">
        <f>('FY19 Staffing V1-1 (3)'!$Q$175+'FY19 Staffing V1-1 (3)'!$R$175+'FY19 Staffing V1-1 (3)'!$T$175+'FY19 Staffing V1-1 (3)'!$U$175)/12*2</f>
        <v>546.68458666666663</v>
      </c>
    </row>
    <row r="104" spans="1:72" ht="15" x14ac:dyDescent="0.25">
      <c r="A104" s="502" t="s">
        <v>161</v>
      </c>
      <c r="B104" s="502" t="s">
        <v>162</v>
      </c>
      <c r="C104" s="541"/>
      <c r="D104" s="500">
        <f t="shared" si="131"/>
        <v>55923</v>
      </c>
      <c r="E104" s="449">
        <v>61835</v>
      </c>
      <c r="F104" s="449">
        <f t="shared" si="132"/>
        <v>-5912</v>
      </c>
      <c r="G104" s="421">
        <f t="shared" si="133"/>
        <v>-9.5609282768658529E-2</v>
      </c>
      <c r="H104" s="449">
        <v>55923</v>
      </c>
      <c r="I104" s="449">
        <f t="shared" si="134"/>
        <v>0</v>
      </c>
      <c r="J104" s="426">
        <f t="shared" si="135"/>
        <v>0</v>
      </c>
      <c r="K104" s="421"/>
      <c r="L104" s="449">
        <v>255.74</v>
      </c>
      <c r="M104" s="449">
        <v>4886.29</v>
      </c>
      <c r="N104" s="449">
        <v>8000.6500000000005</v>
      </c>
      <c r="O104" s="449">
        <v>13542.14</v>
      </c>
      <c r="P104" s="449">
        <v>7103.5500000000029</v>
      </c>
      <c r="Q104" s="449">
        <v>6330.4099999999962</v>
      </c>
      <c r="R104" s="449">
        <f>($H104-SUM($L104:Q104))/R$694</f>
        <v>2634.0366666666669</v>
      </c>
      <c r="S104" s="449">
        <f>($H104-SUM($L104:R104))/S$694</f>
        <v>2634.0366666666669</v>
      </c>
      <c r="T104" s="449">
        <f>($H104-SUM($L104:S104))/T$694</f>
        <v>2634.0366666666669</v>
      </c>
      <c r="U104" s="449">
        <f>($H104-SUM($L104:T104))/U$694</f>
        <v>2634.0366666666669</v>
      </c>
      <c r="V104" s="449">
        <f>($H104-SUM($L104:U104))/V$694</f>
        <v>2634.0366666666669</v>
      </c>
      <c r="W104" s="449">
        <f>($H104-SUM($L104:V104))/W$694</f>
        <v>2634.0366666666669</v>
      </c>
      <c r="X104" s="449"/>
      <c r="Y104" s="449">
        <f t="shared" si="136"/>
        <v>55923</v>
      </c>
      <c r="Z104" s="531"/>
      <c r="AA104" s="449">
        <f t="shared" si="137"/>
        <v>4660.25</v>
      </c>
      <c r="AB104" s="449">
        <f t="shared" si="137"/>
        <v>4660.25</v>
      </c>
      <c r="AC104" s="449">
        <f t="shared" si="137"/>
        <v>4660.25</v>
      </c>
      <c r="AD104" s="449">
        <f t="shared" si="137"/>
        <v>4660.25</v>
      </c>
      <c r="AE104" s="449">
        <f t="shared" si="137"/>
        <v>4660.25</v>
      </c>
      <c r="AF104" s="449">
        <f t="shared" si="137"/>
        <v>4660.25</v>
      </c>
      <c r="AG104" s="449">
        <f t="shared" si="137"/>
        <v>4660.25</v>
      </c>
      <c r="AH104" s="449">
        <f t="shared" si="137"/>
        <v>4660.25</v>
      </c>
      <c r="AI104" s="449">
        <f t="shared" si="137"/>
        <v>4660.25</v>
      </c>
      <c r="AJ104" s="449">
        <f t="shared" si="137"/>
        <v>4660.25</v>
      </c>
      <c r="AK104" s="449">
        <f t="shared" si="137"/>
        <v>4660.25</v>
      </c>
      <c r="AL104" s="449">
        <f t="shared" si="137"/>
        <v>4660.25</v>
      </c>
      <c r="AN104" s="500">
        <f t="shared" si="138"/>
        <v>55923</v>
      </c>
      <c r="AO104" s="449">
        <f t="shared" si="139"/>
        <v>73690.965723480025</v>
      </c>
      <c r="AP104" s="449">
        <f t="shared" si="140"/>
        <v>17767.965723480025</v>
      </c>
      <c r="AQ104" s="453">
        <f t="shared" si="141"/>
        <v>0.31772196991363172</v>
      </c>
      <c r="AR104" s="449">
        <f t="shared" si="142"/>
        <v>73690.965723480025</v>
      </c>
      <c r="AS104" s="449">
        <f t="shared" si="143"/>
        <v>0</v>
      </c>
      <c r="AT104" s="426">
        <f t="shared" si="144"/>
        <v>0</v>
      </c>
      <c r="AU104" s="421"/>
      <c r="AV104" s="449">
        <f t="shared" si="145"/>
        <v>0</v>
      </c>
      <c r="AW104" s="449">
        <f t="shared" si="145"/>
        <v>6140.9138102900006</v>
      </c>
      <c r="AX104" s="449">
        <f t="shared" si="145"/>
        <v>6140.9138102900006</v>
      </c>
      <c r="AY104" s="449">
        <f t="shared" si="145"/>
        <v>6140.9138102900006</v>
      </c>
      <c r="AZ104" s="449">
        <f t="shared" si="145"/>
        <v>6140.9138102900006</v>
      </c>
      <c r="BA104" s="449">
        <f t="shared" si="145"/>
        <v>6140.9138102900006</v>
      </c>
      <c r="BB104" s="449">
        <f t="shared" si="145"/>
        <v>6140.9138102900006</v>
      </c>
      <c r="BC104" s="449">
        <f t="shared" si="145"/>
        <v>6140.9138102900006</v>
      </c>
      <c r="BD104" s="449">
        <f t="shared" si="145"/>
        <v>6140.9138102900006</v>
      </c>
      <c r="BE104" s="449">
        <f t="shared" si="145"/>
        <v>6140.9138102900006</v>
      </c>
      <c r="BF104" s="449">
        <f t="shared" si="145"/>
        <v>6140.9138102900006</v>
      </c>
      <c r="BG104" s="449">
        <f t="shared" si="145"/>
        <v>12281.827620580001</v>
      </c>
      <c r="BH104" s="400"/>
      <c r="BI104" s="449">
        <v>0</v>
      </c>
      <c r="BJ104" s="449">
        <f>SUM('FY19 Staffing V1-1 (3)'!$W$48:$W$61,'FY19 Staffing V1-1 (3)'!$W$63)/12</f>
        <v>6140.9138102900006</v>
      </c>
      <c r="BK104" s="449">
        <f>SUM('FY19 Staffing V1-1 (3)'!$W$48:$W$61,'FY19 Staffing V1-1 (3)'!$W$63)/12</f>
        <v>6140.9138102900006</v>
      </c>
      <c r="BL104" s="449">
        <f>SUM('FY19 Staffing V1-1 (3)'!$W$48:$W$61,'FY19 Staffing V1-1 (3)'!$W$63)/12</f>
        <v>6140.9138102900006</v>
      </c>
      <c r="BM104" s="449">
        <f>SUM('FY19 Staffing V1-1 (3)'!$W$48:$W$61,'FY19 Staffing V1-1 (3)'!$W$63)/12</f>
        <v>6140.9138102900006</v>
      </c>
      <c r="BN104" s="449">
        <f>SUM('FY19 Staffing V1-1 (3)'!$W$48:$W$61,'FY19 Staffing V1-1 (3)'!$W$63)/12</f>
        <v>6140.9138102900006</v>
      </c>
      <c r="BO104" s="449">
        <f>SUM('FY19 Staffing V1-1 (3)'!$W$48:$W$61,'FY19 Staffing V1-1 (3)'!$W$63)/12</f>
        <v>6140.9138102900006</v>
      </c>
      <c r="BP104" s="449">
        <f>SUM('FY19 Staffing V1-1 (3)'!$W$48:$W$61,'FY19 Staffing V1-1 (3)'!$W$63)/12</f>
        <v>6140.9138102900006</v>
      </c>
      <c r="BQ104" s="449">
        <f>SUM('FY19 Staffing V1-1 (3)'!$W$48:$W$61,'FY19 Staffing V1-1 (3)'!$W$63)/12</f>
        <v>6140.9138102900006</v>
      </c>
      <c r="BR104" s="449">
        <f>SUM('FY19 Staffing V1-1 (3)'!$W$48:$W$61,'FY19 Staffing V1-1 (3)'!$W$63)/12</f>
        <v>6140.9138102900006</v>
      </c>
      <c r="BS104" s="449">
        <f>SUM('FY19 Staffing V1-1 (3)'!$W$48:$W$61,'FY19 Staffing V1-1 (3)'!$W$63)/12</f>
        <v>6140.9138102900006</v>
      </c>
      <c r="BT104" s="449">
        <f>SUM('FY19 Staffing V1-1 (3)'!$W$48:$W$61,'FY19 Staffing V1-1 (3)'!$W$63)/12*2</f>
        <v>12281.827620580001</v>
      </c>
    </row>
    <row r="105" spans="1:72" ht="15" x14ac:dyDescent="0.25">
      <c r="A105" s="502" t="s">
        <v>163</v>
      </c>
      <c r="B105" s="502" t="s">
        <v>164</v>
      </c>
      <c r="C105" s="541"/>
      <c r="D105" s="500">
        <f t="shared" si="131"/>
        <v>0</v>
      </c>
      <c r="E105" s="449">
        <v>0</v>
      </c>
      <c r="F105" s="449">
        <f t="shared" si="132"/>
        <v>0</v>
      </c>
      <c r="G105" s="421">
        <f t="shared" si="133"/>
        <v>0</v>
      </c>
      <c r="H105" s="449">
        <v>0</v>
      </c>
      <c r="I105" s="449">
        <f t="shared" si="134"/>
        <v>0</v>
      </c>
      <c r="J105" s="426">
        <f t="shared" si="135"/>
        <v>0</v>
      </c>
      <c r="K105" s="421"/>
      <c r="L105" s="449">
        <v>0</v>
      </c>
      <c r="M105" s="449">
        <v>0</v>
      </c>
      <c r="N105" s="449">
        <v>0</v>
      </c>
      <c r="O105" s="449">
        <v>0</v>
      </c>
      <c r="P105" s="449">
        <v>0</v>
      </c>
      <c r="Q105" s="449">
        <v>0</v>
      </c>
      <c r="R105" s="449">
        <f>($H105-SUM($L105:Q105))/R$694</f>
        <v>0</v>
      </c>
      <c r="S105" s="449">
        <f>($H105-SUM($L105:R105))/S$694</f>
        <v>0</v>
      </c>
      <c r="T105" s="449">
        <f>($H105-SUM($L105:S105))/T$694</f>
        <v>0</v>
      </c>
      <c r="U105" s="449">
        <f>($H105-SUM($L105:T105))/U$694</f>
        <v>0</v>
      </c>
      <c r="V105" s="449">
        <f>($H105-SUM($L105:U105))/V$694</f>
        <v>0</v>
      </c>
      <c r="W105" s="449">
        <f>($H105-SUM($L105:V105))/W$694</f>
        <v>0</v>
      </c>
      <c r="X105" s="449"/>
      <c r="Y105" s="449">
        <f t="shared" si="136"/>
        <v>0</v>
      </c>
      <c r="Z105" s="531"/>
      <c r="AA105" s="449">
        <f t="shared" si="137"/>
        <v>0</v>
      </c>
      <c r="AB105" s="449">
        <f t="shared" si="137"/>
        <v>0</v>
      </c>
      <c r="AC105" s="449">
        <f t="shared" si="137"/>
        <v>0</v>
      </c>
      <c r="AD105" s="449">
        <f t="shared" si="137"/>
        <v>0</v>
      </c>
      <c r="AE105" s="449">
        <f t="shared" si="137"/>
        <v>0</v>
      </c>
      <c r="AF105" s="449">
        <f t="shared" si="137"/>
        <v>0</v>
      </c>
      <c r="AG105" s="449">
        <f t="shared" si="137"/>
        <v>0</v>
      </c>
      <c r="AH105" s="449">
        <f t="shared" si="137"/>
        <v>0</v>
      </c>
      <c r="AI105" s="449">
        <f t="shared" si="137"/>
        <v>0</v>
      </c>
      <c r="AJ105" s="449">
        <f t="shared" si="137"/>
        <v>0</v>
      </c>
      <c r="AK105" s="449">
        <f t="shared" si="137"/>
        <v>0</v>
      </c>
      <c r="AL105" s="449">
        <f t="shared" si="137"/>
        <v>0</v>
      </c>
      <c r="AN105" s="500">
        <f t="shared" si="138"/>
        <v>0</v>
      </c>
      <c r="AO105" s="449">
        <f>SUM(BI105:BT105)</f>
        <v>3309.5399680000005</v>
      </c>
      <c r="AP105" s="449">
        <f t="shared" si="140"/>
        <v>3309.5399680000005</v>
      </c>
      <c r="AQ105" s="453" t="str">
        <f t="shared" si="141"/>
        <v>-</v>
      </c>
      <c r="AR105" s="449">
        <f t="shared" si="142"/>
        <v>3309.5399680000005</v>
      </c>
      <c r="AS105" s="449">
        <f t="shared" si="143"/>
        <v>0</v>
      </c>
      <c r="AT105" s="426">
        <f t="shared" si="144"/>
        <v>0</v>
      </c>
      <c r="AU105" s="421"/>
      <c r="AV105" s="449">
        <f t="shared" si="145"/>
        <v>0</v>
      </c>
      <c r="AW105" s="449">
        <f t="shared" si="145"/>
        <v>275.79499733333336</v>
      </c>
      <c r="AX105" s="449">
        <f t="shared" si="145"/>
        <v>275.79499733333336</v>
      </c>
      <c r="AY105" s="449">
        <f t="shared" si="145"/>
        <v>275.79499733333336</v>
      </c>
      <c r="AZ105" s="449">
        <f t="shared" si="145"/>
        <v>275.79499733333336</v>
      </c>
      <c r="BA105" s="449">
        <f t="shared" si="145"/>
        <v>275.79499733333336</v>
      </c>
      <c r="BB105" s="449">
        <f t="shared" si="145"/>
        <v>275.79499733333336</v>
      </c>
      <c r="BC105" s="449">
        <f t="shared" si="145"/>
        <v>275.79499733333336</v>
      </c>
      <c r="BD105" s="449">
        <f t="shared" si="145"/>
        <v>275.79499733333336</v>
      </c>
      <c r="BE105" s="449">
        <f t="shared" si="145"/>
        <v>275.79499733333336</v>
      </c>
      <c r="BF105" s="449">
        <f t="shared" si="145"/>
        <v>275.79499733333336</v>
      </c>
      <c r="BG105" s="449">
        <f t="shared" si="145"/>
        <v>551.58999466666671</v>
      </c>
      <c r="BH105" s="400"/>
      <c r="BI105" s="449">
        <v>0</v>
      </c>
      <c r="BJ105" s="449">
        <f>('FY19 Staffing V1-1 (3)'!$W$175)/12</f>
        <v>275.79499733333336</v>
      </c>
      <c r="BK105" s="449">
        <f>('FY19 Staffing V1-1 (3)'!$W$175)/12</f>
        <v>275.79499733333336</v>
      </c>
      <c r="BL105" s="449">
        <f>('FY19 Staffing V1-1 (3)'!$W$175)/12</f>
        <v>275.79499733333336</v>
      </c>
      <c r="BM105" s="449">
        <f>('FY19 Staffing V1-1 (3)'!$W$175)/12</f>
        <v>275.79499733333336</v>
      </c>
      <c r="BN105" s="449">
        <f>('FY19 Staffing V1-1 (3)'!$W$175)/12</f>
        <v>275.79499733333336</v>
      </c>
      <c r="BO105" s="449">
        <f>('FY19 Staffing V1-1 (3)'!$W$175)/12</f>
        <v>275.79499733333336</v>
      </c>
      <c r="BP105" s="449">
        <f>('FY19 Staffing V1-1 (3)'!$W$175)/12</f>
        <v>275.79499733333336</v>
      </c>
      <c r="BQ105" s="449">
        <f>('FY19 Staffing V1-1 (3)'!$W$175)/12</f>
        <v>275.79499733333336</v>
      </c>
      <c r="BR105" s="449">
        <f>('FY19 Staffing V1-1 (3)'!$W$175)/12</f>
        <v>275.79499733333336</v>
      </c>
      <c r="BS105" s="449">
        <f>('FY19 Staffing V1-1 (3)'!$W$175)/12</f>
        <v>275.79499733333336</v>
      </c>
      <c r="BT105" s="449">
        <f>('FY19 Staffing V1-1 (3)'!$W$175)/12*2</f>
        <v>551.58999466666671</v>
      </c>
    </row>
    <row r="106" spans="1:72" ht="15" hidden="1" x14ac:dyDescent="0.25">
      <c r="A106" s="502" t="s">
        <v>165</v>
      </c>
      <c r="B106" s="502" t="s">
        <v>166</v>
      </c>
      <c r="C106" s="541"/>
      <c r="D106" s="500">
        <f t="shared" si="131"/>
        <v>0</v>
      </c>
      <c r="E106" s="449">
        <v>0</v>
      </c>
      <c r="F106" s="449">
        <f t="shared" si="132"/>
        <v>0</v>
      </c>
      <c r="G106" s="421">
        <f t="shared" si="133"/>
        <v>0</v>
      </c>
      <c r="H106" s="449">
        <v>0</v>
      </c>
      <c r="I106" s="449">
        <f t="shared" si="134"/>
        <v>0</v>
      </c>
      <c r="J106" s="426">
        <f t="shared" si="135"/>
        <v>0</v>
      </c>
      <c r="K106" s="421"/>
      <c r="L106" s="449">
        <v>0</v>
      </c>
      <c r="M106" s="449">
        <v>0</v>
      </c>
      <c r="N106" s="449">
        <v>0</v>
      </c>
      <c r="O106" s="449">
        <v>0</v>
      </c>
      <c r="P106" s="449">
        <v>0</v>
      </c>
      <c r="Q106" s="449">
        <v>0</v>
      </c>
      <c r="R106" s="449">
        <f>($H106-SUM($L106:Q106))/R$694</f>
        <v>0</v>
      </c>
      <c r="S106" s="449">
        <f>($H106-SUM($L106:R106))/S$694</f>
        <v>0</v>
      </c>
      <c r="T106" s="449">
        <f>($H106-SUM($L106:S106))/T$694</f>
        <v>0</v>
      </c>
      <c r="U106" s="449">
        <f>($H106-SUM($L106:T106))/U$694</f>
        <v>0</v>
      </c>
      <c r="V106" s="449">
        <f>($H106-SUM($L106:U106))/V$694</f>
        <v>0</v>
      </c>
      <c r="W106" s="449">
        <f>($H106-SUM($L106:V106))/W$694</f>
        <v>0</v>
      </c>
      <c r="X106" s="449"/>
      <c r="Y106" s="449">
        <f t="shared" si="136"/>
        <v>0</v>
      </c>
      <c r="Z106" s="531"/>
      <c r="AA106" s="449">
        <f t="shared" si="137"/>
        <v>0</v>
      </c>
      <c r="AB106" s="449">
        <f t="shared" si="137"/>
        <v>0</v>
      </c>
      <c r="AC106" s="449">
        <f t="shared" si="137"/>
        <v>0</v>
      </c>
      <c r="AD106" s="449">
        <f t="shared" si="137"/>
        <v>0</v>
      </c>
      <c r="AE106" s="449">
        <f t="shared" si="137"/>
        <v>0</v>
      </c>
      <c r="AF106" s="449">
        <f t="shared" si="137"/>
        <v>0</v>
      </c>
      <c r="AG106" s="449">
        <f t="shared" si="137"/>
        <v>0</v>
      </c>
      <c r="AH106" s="449">
        <f t="shared" si="137"/>
        <v>0</v>
      </c>
      <c r="AI106" s="449">
        <f t="shared" si="137"/>
        <v>0</v>
      </c>
      <c r="AJ106" s="449">
        <f t="shared" si="137"/>
        <v>0</v>
      </c>
      <c r="AK106" s="449">
        <f t="shared" si="137"/>
        <v>0</v>
      </c>
      <c r="AL106" s="449">
        <f t="shared" si="137"/>
        <v>0</v>
      </c>
      <c r="AN106" s="500">
        <f t="shared" si="138"/>
        <v>0</v>
      </c>
      <c r="AO106" s="449">
        <f t="shared" si="139"/>
        <v>0</v>
      </c>
      <c r="AP106" s="449">
        <f t="shared" si="140"/>
        <v>0</v>
      </c>
      <c r="AQ106" s="453" t="str">
        <f t="shared" si="141"/>
        <v>-</v>
      </c>
      <c r="AR106" s="449">
        <f t="shared" si="142"/>
        <v>0</v>
      </c>
      <c r="AS106" s="449">
        <f t="shared" si="143"/>
        <v>0</v>
      </c>
      <c r="AT106" s="426">
        <f t="shared" si="144"/>
        <v>0</v>
      </c>
      <c r="AU106" s="421"/>
      <c r="AV106" s="449">
        <f t="shared" si="145"/>
        <v>0</v>
      </c>
      <c r="AW106" s="449">
        <f t="shared" si="145"/>
        <v>0</v>
      </c>
      <c r="AX106" s="449">
        <f t="shared" si="145"/>
        <v>0</v>
      </c>
      <c r="AY106" s="449">
        <f t="shared" si="145"/>
        <v>0</v>
      </c>
      <c r="AZ106" s="449">
        <f t="shared" si="145"/>
        <v>0</v>
      </c>
      <c r="BA106" s="449">
        <f t="shared" si="145"/>
        <v>0</v>
      </c>
      <c r="BB106" s="449">
        <f t="shared" si="145"/>
        <v>0</v>
      </c>
      <c r="BC106" s="449">
        <f t="shared" si="145"/>
        <v>0</v>
      </c>
      <c r="BD106" s="449">
        <f t="shared" si="145"/>
        <v>0</v>
      </c>
      <c r="BE106" s="449">
        <f t="shared" si="145"/>
        <v>0</v>
      </c>
      <c r="BF106" s="449">
        <f t="shared" si="145"/>
        <v>0</v>
      </c>
      <c r="BG106" s="449">
        <f t="shared" si="145"/>
        <v>0</v>
      </c>
      <c r="BH106" s="400"/>
      <c r="BI106" s="449">
        <v>0</v>
      </c>
      <c r="BJ106" s="449">
        <v>0</v>
      </c>
      <c r="BK106" s="449">
        <v>0</v>
      </c>
      <c r="BL106" s="449">
        <v>0</v>
      </c>
      <c r="BM106" s="449">
        <v>0</v>
      </c>
      <c r="BN106" s="449">
        <v>0</v>
      </c>
      <c r="BO106" s="449">
        <v>0</v>
      </c>
      <c r="BP106" s="449">
        <v>0</v>
      </c>
      <c r="BQ106" s="449">
        <v>0</v>
      </c>
      <c r="BR106" s="449">
        <v>0</v>
      </c>
      <c r="BS106" s="449">
        <v>0</v>
      </c>
      <c r="BT106" s="449">
        <v>0</v>
      </c>
    </row>
    <row r="107" spans="1:72" ht="15" hidden="1" x14ac:dyDescent="0.25">
      <c r="A107" s="502" t="s">
        <v>167</v>
      </c>
      <c r="B107" s="502" t="s">
        <v>168</v>
      </c>
      <c r="C107" s="541"/>
      <c r="D107" s="500">
        <f t="shared" si="131"/>
        <v>0</v>
      </c>
      <c r="E107" s="449">
        <v>0</v>
      </c>
      <c r="F107" s="449">
        <f t="shared" si="132"/>
        <v>0</v>
      </c>
      <c r="G107" s="421">
        <f t="shared" si="133"/>
        <v>0</v>
      </c>
      <c r="H107" s="449">
        <v>0</v>
      </c>
      <c r="I107" s="449">
        <f t="shared" si="134"/>
        <v>0</v>
      </c>
      <c r="J107" s="426">
        <f t="shared" si="135"/>
        <v>0</v>
      </c>
      <c r="K107" s="421"/>
      <c r="L107" s="449">
        <v>0</v>
      </c>
      <c r="M107" s="449">
        <v>0</v>
      </c>
      <c r="N107" s="449">
        <v>0</v>
      </c>
      <c r="O107" s="449">
        <v>0</v>
      </c>
      <c r="P107" s="449">
        <v>0</v>
      </c>
      <c r="Q107" s="449">
        <v>0</v>
      </c>
      <c r="R107" s="449">
        <f>($H107-SUM($L107:Q107))/R$694</f>
        <v>0</v>
      </c>
      <c r="S107" s="449">
        <f>($H107-SUM($L107:R107))/S$694</f>
        <v>0</v>
      </c>
      <c r="T107" s="449">
        <f>($H107-SUM($L107:S107))/T$694</f>
        <v>0</v>
      </c>
      <c r="U107" s="449">
        <f>($H107-SUM($L107:T107))/U$694</f>
        <v>0</v>
      </c>
      <c r="V107" s="449">
        <f>($H107-SUM($L107:U107))/V$694</f>
        <v>0</v>
      </c>
      <c r="W107" s="449">
        <f>($H107-SUM($L107:V107))/W$694</f>
        <v>0</v>
      </c>
      <c r="X107" s="449"/>
      <c r="Y107" s="449">
        <f t="shared" si="136"/>
        <v>0</v>
      </c>
      <c r="Z107" s="531"/>
      <c r="AA107" s="449">
        <f t="shared" si="137"/>
        <v>0</v>
      </c>
      <c r="AB107" s="449">
        <f t="shared" si="137"/>
        <v>0</v>
      </c>
      <c r="AC107" s="449">
        <f t="shared" si="137"/>
        <v>0</v>
      </c>
      <c r="AD107" s="449">
        <f t="shared" si="137"/>
        <v>0</v>
      </c>
      <c r="AE107" s="449">
        <f t="shared" si="137"/>
        <v>0</v>
      </c>
      <c r="AF107" s="449">
        <f t="shared" si="137"/>
        <v>0</v>
      </c>
      <c r="AG107" s="449">
        <f t="shared" si="137"/>
        <v>0</v>
      </c>
      <c r="AH107" s="449">
        <f t="shared" si="137"/>
        <v>0</v>
      </c>
      <c r="AI107" s="449">
        <f t="shared" si="137"/>
        <v>0</v>
      </c>
      <c r="AJ107" s="449">
        <f t="shared" si="137"/>
        <v>0</v>
      </c>
      <c r="AK107" s="449">
        <f t="shared" si="137"/>
        <v>0</v>
      </c>
      <c r="AL107" s="449">
        <f t="shared" si="137"/>
        <v>0</v>
      </c>
      <c r="AN107" s="500">
        <f t="shared" si="138"/>
        <v>0</v>
      </c>
      <c r="AO107" s="449">
        <f t="shared" si="139"/>
        <v>0</v>
      </c>
      <c r="AP107" s="449">
        <f t="shared" si="140"/>
        <v>0</v>
      </c>
      <c r="AQ107" s="453" t="str">
        <f t="shared" si="141"/>
        <v>-</v>
      </c>
      <c r="AR107" s="449">
        <f t="shared" si="142"/>
        <v>0</v>
      </c>
      <c r="AS107" s="449">
        <f t="shared" si="143"/>
        <v>0</v>
      </c>
      <c r="AT107" s="426">
        <f t="shared" si="144"/>
        <v>0</v>
      </c>
      <c r="AU107" s="421"/>
      <c r="AV107" s="449">
        <f t="shared" si="145"/>
        <v>0</v>
      </c>
      <c r="AW107" s="449">
        <f t="shared" si="145"/>
        <v>0</v>
      </c>
      <c r="AX107" s="449">
        <f t="shared" si="145"/>
        <v>0</v>
      </c>
      <c r="AY107" s="449">
        <f t="shared" si="145"/>
        <v>0</v>
      </c>
      <c r="AZ107" s="449">
        <f t="shared" si="145"/>
        <v>0</v>
      </c>
      <c r="BA107" s="449">
        <f t="shared" si="145"/>
        <v>0</v>
      </c>
      <c r="BB107" s="449">
        <f t="shared" si="145"/>
        <v>0</v>
      </c>
      <c r="BC107" s="449">
        <f t="shared" si="145"/>
        <v>0</v>
      </c>
      <c r="BD107" s="449">
        <f t="shared" si="145"/>
        <v>0</v>
      </c>
      <c r="BE107" s="449">
        <f t="shared" si="145"/>
        <v>0</v>
      </c>
      <c r="BF107" s="449">
        <f t="shared" si="145"/>
        <v>0</v>
      </c>
      <c r="BG107" s="449">
        <f t="shared" si="145"/>
        <v>0</v>
      </c>
      <c r="BH107" s="400"/>
      <c r="BI107" s="449">
        <v>0</v>
      </c>
      <c r="BJ107" s="449">
        <v>0</v>
      </c>
      <c r="BK107" s="449">
        <v>0</v>
      </c>
      <c r="BL107" s="449">
        <v>0</v>
      </c>
      <c r="BM107" s="449">
        <v>0</v>
      </c>
      <c r="BN107" s="449">
        <v>0</v>
      </c>
      <c r="BO107" s="449">
        <v>0</v>
      </c>
      <c r="BP107" s="449">
        <v>0</v>
      </c>
      <c r="BQ107" s="449">
        <v>0</v>
      </c>
      <c r="BR107" s="449">
        <v>0</v>
      </c>
      <c r="BS107" s="449">
        <v>0</v>
      </c>
      <c r="BT107" s="449">
        <v>0</v>
      </c>
    </row>
    <row r="108" spans="1:72" ht="15" hidden="1" x14ac:dyDescent="0.25">
      <c r="A108" s="502" t="s">
        <v>169</v>
      </c>
      <c r="B108" s="502" t="s">
        <v>170</v>
      </c>
      <c r="C108" s="541"/>
      <c r="D108" s="500">
        <f t="shared" si="131"/>
        <v>0</v>
      </c>
      <c r="E108" s="449">
        <v>0</v>
      </c>
      <c r="F108" s="449">
        <f t="shared" si="132"/>
        <v>0</v>
      </c>
      <c r="G108" s="421">
        <f t="shared" si="133"/>
        <v>0</v>
      </c>
      <c r="H108" s="449">
        <v>0</v>
      </c>
      <c r="I108" s="449">
        <f t="shared" si="134"/>
        <v>0</v>
      </c>
      <c r="J108" s="426">
        <f t="shared" si="135"/>
        <v>0</v>
      </c>
      <c r="K108" s="421"/>
      <c r="L108" s="449">
        <v>0</v>
      </c>
      <c r="M108" s="449">
        <v>0</v>
      </c>
      <c r="N108" s="449">
        <v>0</v>
      </c>
      <c r="O108" s="449">
        <v>0</v>
      </c>
      <c r="P108" s="449">
        <v>0</v>
      </c>
      <c r="Q108" s="449">
        <v>0</v>
      </c>
      <c r="R108" s="449">
        <f>($H108-SUM($L108:Q108))/R$694</f>
        <v>0</v>
      </c>
      <c r="S108" s="449">
        <f>($H108-SUM($L108:R108))/S$694</f>
        <v>0</v>
      </c>
      <c r="T108" s="449">
        <f>($H108-SUM($L108:S108))/T$694</f>
        <v>0</v>
      </c>
      <c r="U108" s="449">
        <f>($H108-SUM($L108:T108))/U$694</f>
        <v>0</v>
      </c>
      <c r="V108" s="449">
        <f>($H108-SUM($L108:U108))/V$694</f>
        <v>0</v>
      </c>
      <c r="W108" s="449">
        <f>($H108-SUM($L108:V108))/W$694</f>
        <v>0</v>
      </c>
      <c r="X108" s="449"/>
      <c r="Y108" s="449">
        <f t="shared" si="136"/>
        <v>0</v>
      </c>
      <c r="Z108" s="531"/>
      <c r="AA108" s="449">
        <f t="shared" si="137"/>
        <v>0</v>
      </c>
      <c r="AB108" s="449">
        <f t="shared" si="137"/>
        <v>0</v>
      </c>
      <c r="AC108" s="449">
        <f t="shared" si="137"/>
        <v>0</v>
      </c>
      <c r="AD108" s="449">
        <f t="shared" si="137"/>
        <v>0</v>
      </c>
      <c r="AE108" s="449">
        <f t="shared" si="137"/>
        <v>0</v>
      </c>
      <c r="AF108" s="449">
        <f t="shared" si="137"/>
        <v>0</v>
      </c>
      <c r="AG108" s="449">
        <f t="shared" si="137"/>
        <v>0</v>
      </c>
      <c r="AH108" s="449">
        <f t="shared" si="137"/>
        <v>0</v>
      </c>
      <c r="AI108" s="449">
        <f t="shared" si="137"/>
        <v>0</v>
      </c>
      <c r="AJ108" s="449">
        <f t="shared" si="137"/>
        <v>0</v>
      </c>
      <c r="AK108" s="449">
        <f t="shared" si="137"/>
        <v>0</v>
      </c>
      <c r="AL108" s="449">
        <f t="shared" si="137"/>
        <v>0</v>
      </c>
      <c r="AN108" s="500">
        <f t="shared" si="138"/>
        <v>0</v>
      </c>
      <c r="AO108" s="449">
        <f t="shared" si="139"/>
        <v>0</v>
      </c>
      <c r="AP108" s="449">
        <f t="shared" si="140"/>
        <v>0</v>
      </c>
      <c r="AQ108" s="453" t="str">
        <f t="shared" si="141"/>
        <v>-</v>
      </c>
      <c r="AR108" s="449">
        <f t="shared" si="142"/>
        <v>0</v>
      </c>
      <c r="AS108" s="449">
        <f t="shared" si="143"/>
        <v>0</v>
      </c>
      <c r="AT108" s="426">
        <f t="shared" si="144"/>
        <v>0</v>
      </c>
      <c r="AU108" s="421"/>
      <c r="AV108" s="449">
        <f t="shared" si="145"/>
        <v>0</v>
      </c>
      <c r="AW108" s="449">
        <f t="shared" si="145"/>
        <v>0</v>
      </c>
      <c r="AX108" s="449">
        <f t="shared" si="145"/>
        <v>0</v>
      </c>
      <c r="AY108" s="449">
        <f t="shared" si="145"/>
        <v>0</v>
      </c>
      <c r="AZ108" s="449">
        <f t="shared" si="145"/>
        <v>0</v>
      </c>
      <c r="BA108" s="449">
        <f t="shared" si="145"/>
        <v>0</v>
      </c>
      <c r="BB108" s="449">
        <f t="shared" si="145"/>
        <v>0</v>
      </c>
      <c r="BC108" s="449">
        <f t="shared" si="145"/>
        <v>0</v>
      </c>
      <c r="BD108" s="449">
        <f t="shared" si="145"/>
        <v>0</v>
      </c>
      <c r="BE108" s="449">
        <f t="shared" si="145"/>
        <v>0</v>
      </c>
      <c r="BF108" s="449">
        <f t="shared" si="145"/>
        <v>0</v>
      </c>
      <c r="BG108" s="449">
        <f t="shared" si="145"/>
        <v>0</v>
      </c>
      <c r="BH108" s="400"/>
      <c r="BI108" s="449">
        <v>0</v>
      </c>
      <c r="BJ108" s="449">
        <v>0</v>
      </c>
      <c r="BK108" s="449">
        <v>0</v>
      </c>
      <c r="BL108" s="449">
        <v>0</v>
      </c>
      <c r="BM108" s="449">
        <v>0</v>
      </c>
      <c r="BN108" s="449">
        <v>0</v>
      </c>
      <c r="BO108" s="449">
        <v>0</v>
      </c>
      <c r="BP108" s="449">
        <v>0</v>
      </c>
      <c r="BQ108" s="449">
        <v>0</v>
      </c>
      <c r="BR108" s="449">
        <v>0</v>
      </c>
      <c r="BS108" s="449">
        <v>0</v>
      </c>
      <c r="BT108" s="449">
        <v>0</v>
      </c>
    </row>
    <row r="109" spans="1:72" ht="15" hidden="1" x14ac:dyDescent="0.25">
      <c r="A109" s="502" t="s">
        <v>171</v>
      </c>
      <c r="B109" s="502" t="s">
        <v>172</v>
      </c>
      <c r="C109" s="541"/>
      <c r="D109" s="500">
        <f t="shared" si="131"/>
        <v>0</v>
      </c>
      <c r="E109" s="449">
        <v>0</v>
      </c>
      <c r="F109" s="449">
        <f t="shared" si="132"/>
        <v>0</v>
      </c>
      <c r="G109" s="421">
        <f t="shared" si="133"/>
        <v>0</v>
      </c>
      <c r="H109" s="449">
        <v>0</v>
      </c>
      <c r="I109" s="449">
        <f t="shared" si="134"/>
        <v>0</v>
      </c>
      <c r="J109" s="426">
        <f t="shared" si="135"/>
        <v>0</v>
      </c>
      <c r="K109" s="421"/>
      <c r="L109" s="449">
        <v>0</v>
      </c>
      <c r="M109" s="449">
        <v>0</v>
      </c>
      <c r="N109" s="449">
        <v>0</v>
      </c>
      <c r="O109" s="449">
        <v>0</v>
      </c>
      <c r="P109" s="449">
        <v>0</v>
      </c>
      <c r="Q109" s="449">
        <v>0</v>
      </c>
      <c r="R109" s="449">
        <f>($H109-SUM($L109:Q109))/R$694</f>
        <v>0</v>
      </c>
      <c r="S109" s="449">
        <f>($H109-SUM($L109:R109))/S$694</f>
        <v>0</v>
      </c>
      <c r="T109" s="449">
        <f>($H109-SUM($L109:S109))/T$694</f>
        <v>0</v>
      </c>
      <c r="U109" s="449">
        <f>($H109-SUM($L109:T109))/U$694</f>
        <v>0</v>
      </c>
      <c r="V109" s="449">
        <f>($H109-SUM($L109:U109))/V$694</f>
        <v>0</v>
      </c>
      <c r="W109" s="449">
        <f>($H109-SUM($L109:V109))/W$694</f>
        <v>0</v>
      </c>
      <c r="X109" s="449"/>
      <c r="Y109" s="449">
        <f t="shared" si="136"/>
        <v>0</v>
      </c>
      <c r="Z109" s="531"/>
      <c r="AA109" s="449">
        <f t="shared" si="137"/>
        <v>0</v>
      </c>
      <c r="AB109" s="449">
        <f t="shared" si="137"/>
        <v>0</v>
      </c>
      <c r="AC109" s="449">
        <f t="shared" si="137"/>
        <v>0</v>
      </c>
      <c r="AD109" s="449">
        <f t="shared" si="137"/>
        <v>0</v>
      </c>
      <c r="AE109" s="449">
        <f t="shared" si="137"/>
        <v>0</v>
      </c>
      <c r="AF109" s="449">
        <f t="shared" si="137"/>
        <v>0</v>
      </c>
      <c r="AG109" s="449">
        <f t="shared" si="137"/>
        <v>0</v>
      </c>
      <c r="AH109" s="449">
        <f t="shared" si="137"/>
        <v>0</v>
      </c>
      <c r="AI109" s="449">
        <f t="shared" si="137"/>
        <v>0</v>
      </c>
      <c r="AJ109" s="449">
        <f t="shared" si="137"/>
        <v>0</v>
      </c>
      <c r="AK109" s="449">
        <f t="shared" si="137"/>
        <v>0</v>
      </c>
      <c r="AL109" s="449">
        <f t="shared" si="137"/>
        <v>0</v>
      </c>
      <c r="AN109" s="500">
        <f t="shared" si="138"/>
        <v>0</v>
      </c>
      <c r="AO109" s="449">
        <f t="shared" si="139"/>
        <v>0</v>
      </c>
      <c r="AP109" s="449">
        <f t="shared" si="140"/>
        <v>0</v>
      </c>
      <c r="AQ109" s="453" t="str">
        <f t="shared" si="141"/>
        <v>-</v>
      </c>
      <c r="AR109" s="449">
        <f t="shared" si="142"/>
        <v>0</v>
      </c>
      <c r="AS109" s="449">
        <f t="shared" si="143"/>
        <v>0</v>
      </c>
      <c r="AT109" s="426">
        <f t="shared" si="144"/>
        <v>0</v>
      </c>
      <c r="AU109" s="421"/>
      <c r="AV109" s="449">
        <f t="shared" si="145"/>
        <v>0</v>
      </c>
      <c r="AW109" s="449">
        <f t="shared" si="145"/>
        <v>0</v>
      </c>
      <c r="AX109" s="449">
        <f t="shared" si="145"/>
        <v>0</v>
      </c>
      <c r="AY109" s="449">
        <f t="shared" si="145"/>
        <v>0</v>
      </c>
      <c r="AZ109" s="449">
        <f t="shared" si="145"/>
        <v>0</v>
      </c>
      <c r="BA109" s="449">
        <f t="shared" si="145"/>
        <v>0</v>
      </c>
      <c r="BB109" s="449">
        <f t="shared" si="145"/>
        <v>0</v>
      </c>
      <c r="BC109" s="449">
        <f t="shared" si="145"/>
        <v>0</v>
      </c>
      <c r="BD109" s="449">
        <f t="shared" si="145"/>
        <v>0</v>
      </c>
      <c r="BE109" s="449">
        <f t="shared" si="145"/>
        <v>0</v>
      </c>
      <c r="BF109" s="449">
        <f t="shared" si="145"/>
        <v>0</v>
      </c>
      <c r="BG109" s="449">
        <f t="shared" si="145"/>
        <v>0</v>
      </c>
      <c r="BH109" s="400"/>
      <c r="BI109" s="449">
        <v>0</v>
      </c>
      <c r="BJ109" s="449">
        <v>0</v>
      </c>
      <c r="BK109" s="449">
        <v>0</v>
      </c>
      <c r="BL109" s="449">
        <v>0</v>
      </c>
      <c r="BM109" s="449">
        <v>0</v>
      </c>
      <c r="BN109" s="449">
        <v>0</v>
      </c>
      <c r="BO109" s="449">
        <v>0</v>
      </c>
      <c r="BP109" s="449">
        <v>0</v>
      </c>
      <c r="BQ109" s="449">
        <v>0</v>
      </c>
      <c r="BR109" s="449">
        <v>0</v>
      </c>
      <c r="BS109" s="449">
        <v>0</v>
      </c>
      <c r="BT109" s="449">
        <v>0</v>
      </c>
    </row>
    <row r="110" spans="1:72" ht="15" x14ac:dyDescent="0.25">
      <c r="A110" s="502" t="s">
        <v>173</v>
      </c>
      <c r="B110" s="502" t="s">
        <v>174</v>
      </c>
      <c r="C110" s="541"/>
      <c r="D110" s="500">
        <f t="shared" si="131"/>
        <v>20874</v>
      </c>
      <c r="E110" s="449">
        <v>19934</v>
      </c>
      <c r="F110" s="449">
        <f t="shared" si="132"/>
        <v>940</v>
      </c>
      <c r="G110" s="421">
        <f t="shared" si="133"/>
        <v>4.7155613524631282E-2</v>
      </c>
      <c r="H110" s="449">
        <v>20874</v>
      </c>
      <c r="I110" s="449">
        <f t="shared" si="134"/>
        <v>0</v>
      </c>
      <c r="J110" s="426">
        <f t="shared" si="135"/>
        <v>0</v>
      </c>
      <c r="K110" s="421"/>
      <c r="L110" s="449">
        <v>-0.01</v>
      </c>
      <c r="M110" s="449">
        <v>621.39</v>
      </c>
      <c r="N110" s="449">
        <v>776.68999999999994</v>
      </c>
      <c r="O110" s="449">
        <v>1185.5600000000002</v>
      </c>
      <c r="P110" s="449">
        <v>705.56</v>
      </c>
      <c r="Q110" s="449">
        <v>881.95000000000027</v>
      </c>
      <c r="R110" s="449">
        <f>($H110-SUM($L110:Q110))/R$694</f>
        <v>2783.81</v>
      </c>
      <c r="S110" s="449">
        <f>($H110-SUM($L110:R110))/S$694</f>
        <v>2783.81</v>
      </c>
      <c r="T110" s="449">
        <f>($H110-SUM($L110:S110))/T$694</f>
        <v>2783.81</v>
      </c>
      <c r="U110" s="449">
        <f>($H110-SUM($L110:T110))/U$694</f>
        <v>2783.81</v>
      </c>
      <c r="V110" s="449">
        <f>($H110-SUM($L110:U110))/V$694</f>
        <v>2783.8100000000004</v>
      </c>
      <c r="W110" s="449">
        <f>($H110-SUM($L110:V110))/W$694</f>
        <v>2783.8100000000013</v>
      </c>
      <c r="X110" s="449"/>
      <c r="Y110" s="449">
        <f t="shared" si="136"/>
        <v>20874</v>
      </c>
      <c r="Z110" s="531"/>
      <c r="AA110" s="449">
        <f t="shared" ref="AA110:AL118" si="147">IFERROR($H110/12,0)</f>
        <v>1739.5</v>
      </c>
      <c r="AB110" s="449">
        <f t="shared" si="147"/>
        <v>1739.5</v>
      </c>
      <c r="AC110" s="449">
        <f t="shared" si="147"/>
        <v>1739.5</v>
      </c>
      <c r="AD110" s="449">
        <f t="shared" si="147"/>
        <v>1739.5</v>
      </c>
      <c r="AE110" s="449">
        <f t="shared" si="147"/>
        <v>1739.5</v>
      </c>
      <c r="AF110" s="449">
        <f t="shared" si="147"/>
        <v>1739.5</v>
      </c>
      <c r="AG110" s="449">
        <f t="shared" si="147"/>
        <v>1739.5</v>
      </c>
      <c r="AH110" s="449">
        <f t="shared" si="147"/>
        <v>1739.5</v>
      </c>
      <c r="AI110" s="449">
        <f t="shared" si="147"/>
        <v>1739.5</v>
      </c>
      <c r="AJ110" s="449">
        <f t="shared" si="147"/>
        <v>1739.5</v>
      </c>
      <c r="AK110" s="449">
        <f t="shared" si="147"/>
        <v>1739.5</v>
      </c>
      <c r="AL110" s="449">
        <f t="shared" si="147"/>
        <v>1739.5</v>
      </c>
      <c r="AN110" s="500">
        <f t="shared" si="138"/>
        <v>20874</v>
      </c>
      <c r="AO110" s="449">
        <f t="shared" si="139"/>
        <v>19316.12</v>
      </c>
      <c r="AP110" s="449">
        <f t="shared" si="140"/>
        <v>-1557.880000000001</v>
      </c>
      <c r="AQ110" s="453">
        <f t="shared" si="141"/>
        <v>-7.4632557248251463E-2</v>
      </c>
      <c r="AR110" s="449">
        <f t="shared" si="142"/>
        <v>19316.12</v>
      </c>
      <c r="AS110" s="449">
        <f t="shared" si="143"/>
        <v>0</v>
      </c>
      <c r="AT110" s="426">
        <f t="shared" si="144"/>
        <v>0</v>
      </c>
      <c r="AU110" s="421"/>
      <c r="AV110" s="449">
        <f t="shared" si="145"/>
        <v>0</v>
      </c>
      <c r="AW110" s="449">
        <f t="shared" si="145"/>
        <v>1609.6766666666665</v>
      </c>
      <c r="AX110" s="449">
        <f t="shared" si="145"/>
        <v>1609.6766666666665</v>
      </c>
      <c r="AY110" s="449">
        <f t="shared" si="145"/>
        <v>1609.6766666666665</v>
      </c>
      <c r="AZ110" s="449">
        <f t="shared" si="145"/>
        <v>1609.6766666666665</v>
      </c>
      <c r="BA110" s="449">
        <f t="shared" si="145"/>
        <v>1609.6766666666665</v>
      </c>
      <c r="BB110" s="449">
        <f t="shared" si="145"/>
        <v>1609.6766666666665</v>
      </c>
      <c r="BC110" s="449">
        <f t="shared" si="145"/>
        <v>1609.6766666666665</v>
      </c>
      <c r="BD110" s="449">
        <f t="shared" si="145"/>
        <v>1609.6766666666665</v>
      </c>
      <c r="BE110" s="449">
        <f t="shared" si="145"/>
        <v>1609.6766666666665</v>
      </c>
      <c r="BF110" s="449">
        <f t="shared" si="145"/>
        <v>1609.6766666666665</v>
      </c>
      <c r="BG110" s="449">
        <f t="shared" si="145"/>
        <v>3219.353333333333</v>
      </c>
      <c r="BH110" s="400"/>
      <c r="BI110" s="449">
        <v>0</v>
      </c>
      <c r="BJ110" s="449">
        <f>SUM('FY19 Staffing V1-1 (3)'!$S$48:$S$61)/12</f>
        <v>1609.6766666666665</v>
      </c>
      <c r="BK110" s="449">
        <f>SUM('FY19 Staffing V1-1 (3)'!$S$48:$S$61)/12</f>
        <v>1609.6766666666665</v>
      </c>
      <c r="BL110" s="449">
        <f>SUM('FY19 Staffing V1-1 (3)'!$S$48:$S$61)/12</f>
        <v>1609.6766666666665</v>
      </c>
      <c r="BM110" s="449">
        <f>SUM('FY19 Staffing V1-1 (3)'!$S$48:$S$61)/12</f>
        <v>1609.6766666666665</v>
      </c>
      <c r="BN110" s="449">
        <f>SUM('FY19 Staffing V1-1 (3)'!$S$48:$S$61)/12</f>
        <v>1609.6766666666665</v>
      </c>
      <c r="BO110" s="449">
        <f>SUM('FY19 Staffing V1-1 (3)'!$S$48:$S$61)/12</f>
        <v>1609.6766666666665</v>
      </c>
      <c r="BP110" s="449">
        <f>SUM('FY19 Staffing V1-1 (3)'!$S$48:$S$61)/12</f>
        <v>1609.6766666666665</v>
      </c>
      <c r="BQ110" s="449">
        <f>SUM('FY19 Staffing V1-1 (3)'!$S$48:$S$61)/12</f>
        <v>1609.6766666666665</v>
      </c>
      <c r="BR110" s="449">
        <f>SUM('FY19 Staffing V1-1 (3)'!$S$48:$S$61)/12</f>
        <v>1609.6766666666665</v>
      </c>
      <c r="BS110" s="449">
        <f>SUM('FY19 Staffing V1-1 (3)'!$S$48:$S$61)/12</f>
        <v>1609.6766666666665</v>
      </c>
      <c r="BT110" s="449">
        <f>SUM('FY19 Staffing V1-1 (3)'!$S$48:$S$61)/12*2</f>
        <v>3219.353333333333</v>
      </c>
    </row>
    <row r="111" spans="1:72" ht="15" x14ac:dyDescent="0.25">
      <c r="A111" s="502" t="s">
        <v>175</v>
      </c>
      <c r="B111" s="502" t="s">
        <v>176</v>
      </c>
      <c r="C111" s="541"/>
      <c r="D111" s="500">
        <f t="shared" si="131"/>
        <v>743</v>
      </c>
      <c r="E111" s="449">
        <v>0</v>
      </c>
      <c r="F111" s="449">
        <f t="shared" si="132"/>
        <v>743</v>
      </c>
      <c r="G111" s="421">
        <f t="shared" si="133"/>
        <v>0</v>
      </c>
      <c r="H111" s="449">
        <v>743</v>
      </c>
      <c r="I111" s="449">
        <f t="shared" si="134"/>
        <v>0</v>
      </c>
      <c r="J111" s="426">
        <f t="shared" si="135"/>
        <v>0</v>
      </c>
      <c r="K111" s="421"/>
      <c r="L111" s="449">
        <v>0</v>
      </c>
      <c r="M111" s="449">
        <v>0</v>
      </c>
      <c r="N111" s="449">
        <v>0</v>
      </c>
      <c r="O111" s="449">
        <v>0</v>
      </c>
      <c r="P111" s="449">
        <v>0</v>
      </c>
      <c r="Q111" s="449">
        <v>0</v>
      </c>
      <c r="R111" s="449">
        <f>($H111-SUM($L111:Q111))/R$694</f>
        <v>123.83333333333333</v>
      </c>
      <c r="S111" s="449">
        <f>($H111-SUM($L111:R111))/S$694</f>
        <v>123.83333333333333</v>
      </c>
      <c r="T111" s="449">
        <f>($H111-SUM($L111:S111))/T$694</f>
        <v>123.83333333333334</v>
      </c>
      <c r="U111" s="449">
        <f>($H111-SUM($L111:T111))/U$694</f>
        <v>123.83333333333333</v>
      </c>
      <c r="V111" s="449">
        <f>($H111-SUM($L111:U111))/V$694</f>
        <v>123.83333333333334</v>
      </c>
      <c r="W111" s="449">
        <f>($H111-SUM($L111:V111))/W$694</f>
        <v>123.83333333333337</v>
      </c>
      <c r="X111" s="449"/>
      <c r="Y111" s="449">
        <f t="shared" si="136"/>
        <v>743</v>
      </c>
      <c r="Z111" s="531"/>
      <c r="AA111" s="449">
        <f t="shared" si="147"/>
        <v>61.916666666666664</v>
      </c>
      <c r="AB111" s="449">
        <f t="shared" si="147"/>
        <v>61.916666666666664</v>
      </c>
      <c r="AC111" s="449">
        <f t="shared" si="147"/>
        <v>61.916666666666664</v>
      </c>
      <c r="AD111" s="449">
        <f t="shared" si="147"/>
        <v>61.916666666666664</v>
      </c>
      <c r="AE111" s="449">
        <f t="shared" si="147"/>
        <v>61.916666666666664</v>
      </c>
      <c r="AF111" s="449">
        <f t="shared" si="147"/>
        <v>61.916666666666664</v>
      </c>
      <c r="AG111" s="449">
        <f t="shared" si="147"/>
        <v>61.916666666666664</v>
      </c>
      <c r="AH111" s="449">
        <f t="shared" si="147"/>
        <v>61.916666666666664</v>
      </c>
      <c r="AI111" s="449">
        <f t="shared" si="147"/>
        <v>61.916666666666664</v>
      </c>
      <c r="AJ111" s="449">
        <f t="shared" si="147"/>
        <v>61.916666666666664</v>
      </c>
      <c r="AK111" s="449">
        <f t="shared" si="147"/>
        <v>61.916666666666664</v>
      </c>
      <c r="AL111" s="449">
        <f t="shared" si="147"/>
        <v>61.916666666666664</v>
      </c>
      <c r="AN111" s="500">
        <f t="shared" si="138"/>
        <v>743</v>
      </c>
      <c r="AO111" s="449">
        <f>SUM(BI111:BT111)</f>
        <v>867.5100000000001</v>
      </c>
      <c r="AP111" s="449">
        <f t="shared" si="140"/>
        <v>124.5100000000001</v>
      </c>
      <c r="AQ111" s="453">
        <f t="shared" si="141"/>
        <v>0.16757738896366098</v>
      </c>
      <c r="AR111" s="449">
        <f t="shared" si="142"/>
        <v>867.5100000000001</v>
      </c>
      <c r="AS111" s="449">
        <f t="shared" si="143"/>
        <v>0</v>
      </c>
      <c r="AT111" s="426">
        <f t="shared" si="144"/>
        <v>0</v>
      </c>
      <c r="AU111" s="421"/>
      <c r="AV111" s="449">
        <f t="shared" si="145"/>
        <v>0</v>
      </c>
      <c r="AW111" s="449">
        <f t="shared" si="145"/>
        <v>72.292500000000004</v>
      </c>
      <c r="AX111" s="449">
        <f t="shared" si="145"/>
        <v>72.292500000000004</v>
      </c>
      <c r="AY111" s="449">
        <f t="shared" si="145"/>
        <v>72.292500000000004</v>
      </c>
      <c r="AZ111" s="449">
        <f t="shared" si="145"/>
        <v>72.292500000000004</v>
      </c>
      <c r="BA111" s="449">
        <f t="shared" si="145"/>
        <v>72.292500000000004</v>
      </c>
      <c r="BB111" s="449">
        <f t="shared" si="145"/>
        <v>72.292500000000004</v>
      </c>
      <c r="BC111" s="449">
        <f t="shared" si="145"/>
        <v>72.292500000000004</v>
      </c>
      <c r="BD111" s="449">
        <f t="shared" si="145"/>
        <v>72.292500000000004</v>
      </c>
      <c r="BE111" s="449">
        <f t="shared" si="145"/>
        <v>72.292500000000004</v>
      </c>
      <c r="BF111" s="449">
        <f t="shared" si="145"/>
        <v>72.292500000000004</v>
      </c>
      <c r="BG111" s="449">
        <f t="shared" si="145"/>
        <v>144.58500000000001</v>
      </c>
      <c r="BH111" s="400"/>
      <c r="BI111" s="449">
        <v>0</v>
      </c>
      <c r="BJ111" s="449">
        <f>('FY19 Staffing V1-1 (3)'!$S$175)/12</f>
        <v>72.292500000000004</v>
      </c>
      <c r="BK111" s="449">
        <f>('FY19 Staffing V1-1 (3)'!$S$175)/12</f>
        <v>72.292500000000004</v>
      </c>
      <c r="BL111" s="449">
        <f>('FY19 Staffing V1-1 (3)'!$S$175)/12</f>
        <v>72.292500000000004</v>
      </c>
      <c r="BM111" s="449">
        <f>('FY19 Staffing V1-1 (3)'!$S$175)/12</f>
        <v>72.292500000000004</v>
      </c>
      <c r="BN111" s="449">
        <f>('FY19 Staffing V1-1 (3)'!$S$175)/12</f>
        <v>72.292500000000004</v>
      </c>
      <c r="BO111" s="449">
        <f>('FY19 Staffing V1-1 (3)'!$S$175)/12</f>
        <v>72.292500000000004</v>
      </c>
      <c r="BP111" s="449">
        <f>('FY19 Staffing V1-1 (3)'!$S$175)/12</f>
        <v>72.292500000000004</v>
      </c>
      <c r="BQ111" s="449">
        <f>('FY19 Staffing V1-1 (3)'!$S$175)/12</f>
        <v>72.292500000000004</v>
      </c>
      <c r="BR111" s="449">
        <f>('FY19 Staffing V1-1 (3)'!$S$175)/12</f>
        <v>72.292500000000004</v>
      </c>
      <c r="BS111" s="449">
        <f>('FY19 Staffing V1-1 (3)'!$S$175)/12</f>
        <v>72.292500000000004</v>
      </c>
      <c r="BT111" s="449">
        <f>('FY19 Staffing V1-1 (3)'!$S$175)/12*2</f>
        <v>144.58500000000001</v>
      </c>
    </row>
    <row r="112" spans="1:72" ht="15" x14ac:dyDescent="0.25">
      <c r="A112" s="502" t="s">
        <v>177</v>
      </c>
      <c r="B112" s="502" t="s">
        <v>178</v>
      </c>
      <c r="C112" s="596"/>
      <c r="D112" s="500">
        <f t="shared" si="131"/>
        <v>55285.68</v>
      </c>
      <c r="E112" s="449">
        <v>32150</v>
      </c>
      <c r="F112" s="449">
        <f t="shared" si="132"/>
        <v>23135.68</v>
      </c>
      <c r="G112" s="421">
        <f t="shared" si="133"/>
        <v>0.71961679626749608</v>
      </c>
      <c r="H112" s="449">
        <v>52000</v>
      </c>
      <c r="I112" s="449">
        <f t="shared" si="134"/>
        <v>3285.6800000000003</v>
      </c>
      <c r="J112" s="426">
        <f t="shared" si="135"/>
        <v>6.318615384615385E-2</v>
      </c>
      <c r="K112" s="421"/>
      <c r="L112" s="449">
        <v>50133.1</v>
      </c>
      <c r="M112" s="449">
        <v>1215.989999999998</v>
      </c>
      <c r="N112" s="449">
        <v>689.01000000000204</v>
      </c>
      <c r="O112" s="449">
        <v>2355.4800000000032</v>
      </c>
      <c r="P112" s="449">
        <v>892.09999999999854</v>
      </c>
      <c r="Q112" s="449">
        <v>0</v>
      </c>
      <c r="R112" s="449">
        <v>0</v>
      </c>
      <c r="S112" s="449">
        <v>0</v>
      </c>
      <c r="T112" s="449">
        <v>0</v>
      </c>
      <c r="U112" s="449">
        <v>0</v>
      </c>
      <c r="V112" s="449">
        <v>0</v>
      </c>
      <c r="W112" s="449">
        <v>0</v>
      </c>
      <c r="X112" s="449"/>
      <c r="Y112" s="449">
        <f t="shared" si="136"/>
        <v>55285.68</v>
      </c>
      <c r="Z112" s="531"/>
      <c r="AA112" s="449">
        <f t="shared" si="147"/>
        <v>4333.333333333333</v>
      </c>
      <c r="AB112" s="449">
        <f t="shared" si="147"/>
        <v>4333.333333333333</v>
      </c>
      <c r="AC112" s="449">
        <f t="shared" si="147"/>
        <v>4333.333333333333</v>
      </c>
      <c r="AD112" s="449">
        <f t="shared" si="147"/>
        <v>4333.333333333333</v>
      </c>
      <c r="AE112" s="449">
        <f t="shared" si="147"/>
        <v>4333.333333333333</v>
      </c>
      <c r="AF112" s="449">
        <f t="shared" si="147"/>
        <v>4333.333333333333</v>
      </c>
      <c r="AG112" s="449">
        <f t="shared" si="147"/>
        <v>4333.333333333333</v>
      </c>
      <c r="AH112" s="449">
        <f t="shared" si="147"/>
        <v>4333.333333333333</v>
      </c>
      <c r="AI112" s="449">
        <f t="shared" si="147"/>
        <v>4333.333333333333</v>
      </c>
      <c r="AJ112" s="449">
        <f t="shared" si="147"/>
        <v>4333.333333333333</v>
      </c>
      <c r="AK112" s="449">
        <f t="shared" si="147"/>
        <v>4333.333333333333</v>
      </c>
      <c r="AL112" s="449">
        <f t="shared" si="147"/>
        <v>4333.333333333333</v>
      </c>
      <c r="AN112" s="500">
        <f t="shared" si="138"/>
        <v>55285.68</v>
      </c>
      <c r="AO112" s="449">
        <f t="shared" si="139"/>
        <v>44228.544000000002</v>
      </c>
      <c r="AP112" s="449">
        <f t="shared" si="140"/>
        <v>-11057.135999999999</v>
      </c>
      <c r="AQ112" s="453">
        <f t="shared" si="141"/>
        <v>-0.19999999999999998</v>
      </c>
      <c r="AR112" s="449">
        <f t="shared" si="142"/>
        <v>44228.544000000002</v>
      </c>
      <c r="AS112" s="449">
        <f t="shared" si="143"/>
        <v>0</v>
      </c>
      <c r="AT112" s="426">
        <f t="shared" si="144"/>
        <v>0</v>
      </c>
      <c r="AU112" s="421"/>
      <c r="AV112" s="449">
        <f t="shared" si="145"/>
        <v>8845.7088000000003</v>
      </c>
      <c r="AW112" s="449">
        <f t="shared" si="145"/>
        <v>8845.7088000000003</v>
      </c>
      <c r="AX112" s="449">
        <f t="shared" si="145"/>
        <v>5897.1392000000005</v>
      </c>
      <c r="AY112" s="449">
        <f t="shared" si="145"/>
        <v>5897.1392000000005</v>
      </c>
      <c r="AZ112" s="449">
        <f t="shared" si="145"/>
        <v>5897.1392000000005</v>
      </c>
      <c r="BA112" s="449">
        <f t="shared" si="145"/>
        <v>1263.6726857142858</v>
      </c>
      <c r="BB112" s="449">
        <f t="shared" si="145"/>
        <v>1263.6726857142858</v>
      </c>
      <c r="BC112" s="449">
        <f t="shared" si="145"/>
        <v>1263.6726857142858</v>
      </c>
      <c r="BD112" s="449">
        <f t="shared" si="145"/>
        <v>1263.6726857142858</v>
      </c>
      <c r="BE112" s="449">
        <f t="shared" si="145"/>
        <v>1263.6726857142858</v>
      </c>
      <c r="BF112" s="449">
        <f t="shared" si="145"/>
        <v>1263.6726857142858</v>
      </c>
      <c r="BG112" s="449">
        <f t="shared" si="145"/>
        <v>1263.6726857142858</v>
      </c>
      <c r="BH112" s="400"/>
      <c r="BI112" s="449">
        <f>(IFERROR(($D112*0.8),0))*BI$696</f>
        <v>8845.7088000000003</v>
      </c>
      <c r="BJ112" s="449">
        <f t="shared" ref="BJ112:BT112" si="148">(IFERROR(($D112*0.8),0))*BJ$696</f>
        <v>8845.7088000000003</v>
      </c>
      <c r="BK112" s="449">
        <f t="shared" si="148"/>
        <v>5897.1392000000005</v>
      </c>
      <c r="BL112" s="449">
        <f t="shared" si="148"/>
        <v>5897.1392000000005</v>
      </c>
      <c r="BM112" s="449">
        <f t="shared" si="148"/>
        <v>5897.1392000000005</v>
      </c>
      <c r="BN112" s="449">
        <f t="shared" si="148"/>
        <v>1263.6726857142858</v>
      </c>
      <c r="BO112" s="449">
        <f t="shared" si="148"/>
        <v>1263.6726857142858</v>
      </c>
      <c r="BP112" s="449">
        <f t="shared" si="148"/>
        <v>1263.6726857142858</v>
      </c>
      <c r="BQ112" s="449">
        <f t="shared" si="148"/>
        <v>1263.6726857142858</v>
      </c>
      <c r="BR112" s="449">
        <f t="shared" si="148"/>
        <v>1263.6726857142858</v>
      </c>
      <c r="BS112" s="449">
        <f t="shared" si="148"/>
        <v>1263.6726857142858</v>
      </c>
      <c r="BT112" s="449">
        <f t="shared" si="148"/>
        <v>1263.6726857142858</v>
      </c>
    </row>
    <row r="113" spans="1:74" ht="15" x14ac:dyDescent="0.25">
      <c r="A113" s="502" t="s">
        <v>179</v>
      </c>
      <c r="B113" s="502" t="s">
        <v>180</v>
      </c>
      <c r="C113" s="596"/>
      <c r="D113" s="500">
        <f t="shared" si="131"/>
        <v>0</v>
      </c>
      <c r="E113" s="449">
        <v>0</v>
      </c>
      <c r="F113" s="449">
        <f t="shared" si="132"/>
        <v>0</v>
      </c>
      <c r="G113" s="421">
        <f t="shared" si="133"/>
        <v>0</v>
      </c>
      <c r="H113" s="449">
        <v>0</v>
      </c>
      <c r="I113" s="449">
        <f t="shared" si="134"/>
        <v>0</v>
      </c>
      <c r="J113" s="426">
        <f t="shared" si="135"/>
        <v>0</v>
      </c>
      <c r="K113" s="421"/>
      <c r="L113" s="449">
        <v>1183.2</v>
      </c>
      <c r="M113" s="449">
        <v>-1183.2</v>
      </c>
      <c r="N113" s="449">
        <v>0</v>
      </c>
      <c r="O113" s="449">
        <v>0</v>
      </c>
      <c r="P113" s="449">
        <v>0</v>
      </c>
      <c r="Q113" s="449">
        <v>0</v>
      </c>
      <c r="R113" s="449">
        <f>($H113-SUM($L113:Q113))/R$694</f>
        <v>0</v>
      </c>
      <c r="S113" s="449">
        <f>($H113-SUM($L113:R113))/S$694</f>
        <v>0</v>
      </c>
      <c r="T113" s="449">
        <f>($H113-SUM($L113:S113))/T$694</f>
        <v>0</v>
      </c>
      <c r="U113" s="449">
        <f>($H113-SUM($L113:T113))/U$694</f>
        <v>0</v>
      </c>
      <c r="V113" s="449">
        <f>($H113-SUM($L113:U113))/V$694</f>
        <v>0</v>
      </c>
      <c r="W113" s="449">
        <f>($H113-SUM($L113:V113))/W$694</f>
        <v>0</v>
      </c>
      <c r="X113" s="449"/>
      <c r="Y113" s="449">
        <f t="shared" si="136"/>
        <v>0</v>
      </c>
      <c r="Z113" s="531"/>
      <c r="AA113" s="449">
        <f t="shared" si="147"/>
        <v>0</v>
      </c>
      <c r="AB113" s="449">
        <f t="shared" si="147"/>
        <v>0</v>
      </c>
      <c r="AC113" s="449">
        <f t="shared" si="147"/>
        <v>0</v>
      </c>
      <c r="AD113" s="449">
        <f t="shared" si="147"/>
        <v>0</v>
      </c>
      <c r="AE113" s="449">
        <f t="shared" si="147"/>
        <v>0</v>
      </c>
      <c r="AF113" s="449">
        <f t="shared" si="147"/>
        <v>0</v>
      </c>
      <c r="AG113" s="449">
        <f t="shared" si="147"/>
        <v>0</v>
      </c>
      <c r="AH113" s="449">
        <f t="shared" si="147"/>
        <v>0</v>
      </c>
      <c r="AI113" s="449">
        <f t="shared" si="147"/>
        <v>0</v>
      </c>
      <c r="AJ113" s="449">
        <f t="shared" si="147"/>
        <v>0</v>
      </c>
      <c r="AK113" s="449">
        <f t="shared" si="147"/>
        <v>0</v>
      </c>
      <c r="AL113" s="449">
        <f t="shared" si="147"/>
        <v>0</v>
      </c>
      <c r="AN113" s="500">
        <f t="shared" si="138"/>
        <v>0</v>
      </c>
      <c r="AO113" s="449">
        <f t="shared" si="139"/>
        <v>0</v>
      </c>
      <c r="AP113" s="449">
        <f t="shared" si="140"/>
        <v>0</v>
      </c>
      <c r="AQ113" s="453" t="str">
        <f t="shared" si="141"/>
        <v>-</v>
      </c>
      <c r="AR113" s="449">
        <f t="shared" si="142"/>
        <v>0</v>
      </c>
      <c r="AS113" s="449">
        <f t="shared" si="143"/>
        <v>0</v>
      </c>
      <c r="AT113" s="426">
        <f t="shared" si="144"/>
        <v>0</v>
      </c>
      <c r="AU113" s="421"/>
      <c r="AV113" s="449">
        <f t="shared" si="145"/>
        <v>0</v>
      </c>
      <c r="AW113" s="449">
        <f t="shared" si="145"/>
        <v>0</v>
      </c>
      <c r="AX113" s="449">
        <f t="shared" si="145"/>
        <v>0</v>
      </c>
      <c r="AY113" s="449">
        <f t="shared" si="145"/>
        <v>0</v>
      </c>
      <c r="AZ113" s="449">
        <f t="shared" si="145"/>
        <v>0</v>
      </c>
      <c r="BA113" s="449">
        <f t="shared" si="145"/>
        <v>0</v>
      </c>
      <c r="BB113" s="449">
        <f t="shared" si="145"/>
        <v>0</v>
      </c>
      <c r="BC113" s="449">
        <f t="shared" si="145"/>
        <v>0</v>
      </c>
      <c r="BD113" s="449">
        <f t="shared" si="145"/>
        <v>0</v>
      </c>
      <c r="BE113" s="449">
        <f t="shared" si="145"/>
        <v>0</v>
      </c>
      <c r="BF113" s="449">
        <f t="shared" si="145"/>
        <v>0</v>
      </c>
      <c r="BG113" s="449">
        <f t="shared" si="145"/>
        <v>0</v>
      </c>
      <c r="BH113" s="400"/>
      <c r="BI113" s="449">
        <f>(IFERROR((($H113/$H$5)*BI$5),0))*BI$696*0</f>
        <v>0</v>
      </c>
      <c r="BJ113" s="449">
        <f t="shared" ref="BJ113:BT113" si="149">(IFERROR((($H113/$H$5)*BJ$5),0))*BJ$696*0</f>
        <v>0</v>
      </c>
      <c r="BK113" s="449">
        <f t="shared" si="149"/>
        <v>0</v>
      </c>
      <c r="BL113" s="449">
        <f t="shared" si="149"/>
        <v>0</v>
      </c>
      <c r="BM113" s="449">
        <f t="shared" si="149"/>
        <v>0</v>
      </c>
      <c r="BN113" s="449">
        <f t="shared" si="149"/>
        <v>0</v>
      </c>
      <c r="BO113" s="449">
        <f t="shared" si="149"/>
        <v>0</v>
      </c>
      <c r="BP113" s="449">
        <f t="shared" si="149"/>
        <v>0</v>
      </c>
      <c r="BQ113" s="449">
        <f t="shared" si="149"/>
        <v>0</v>
      </c>
      <c r="BR113" s="449">
        <f t="shared" si="149"/>
        <v>0</v>
      </c>
      <c r="BS113" s="449">
        <f t="shared" si="149"/>
        <v>0</v>
      </c>
      <c r="BT113" s="449">
        <f t="shared" si="149"/>
        <v>0</v>
      </c>
    </row>
    <row r="114" spans="1:74" ht="15" x14ac:dyDescent="0.25">
      <c r="A114" s="502" t="s">
        <v>181</v>
      </c>
      <c r="B114" s="502" t="s">
        <v>182</v>
      </c>
      <c r="C114" s="596"/>
      <c r="D114" s="500">
        <f t="shared" si="131"/>
        <v>24000</v>
      </c>
      <c r="E114" s="449">
        <v>54000</v>
      </c>
      <c r="F114" s="449">
        <f t="shared" si="132"/>
        <v>-30000</v>
      </c>
      <c r="G114" s="421">
        <f t="shared" si="133"/>
        <v>-0.55555555555555558</v>
      </c>
      <c r="H114" s="449">
        <v>24000</v>
      </c>
      <c r="I114" s="449">
        <f t="shared" si="134"/>
        <v>0</v>
      </c>
      <c r="J114" s="426">
        <f t="shared" si="135"/>
        <v>0</v>
      </c>
      <c r="K114" s="421"/>
      <c r="L114" s="449">
        <v>0</v>
      </c>
      <c r="M114" s="449">
        <v>0</v>
      </c>
      <c r="N114" s="449">
        <v>0</v>
      </c>
      <c r="O114" s="449">
        <v>0</v>
      </c>
      <c r="P114" s="449">
        <v>0</v>
      </c>
      <c r="Q114" s="449">
        <v>0</v>
      </c>
      <c r="R114" s="449">
        <f>($H114-SUM($L114:Q114))/R$694</f>
        <v>4000</v>
      </c>
      <c r="S114" s="449">
        <f>($H114-SUM($L114:R114))/S$694</f>
        <v>4000</v>
      </c>
      <c r="T114" s="449">
        <f>($H114-SUM($L114:S114))/T$694</f>
        <v>4000</v>
      </c>
      <c r="U114" s="449">
        <f>($H114-SUM($L114:T114))/U$694</f>
        <v>4000</v>
      </c>
      <c r="V114" s="449">
        <f>($H114-SUM($L114:U114))/V$694</f>
        <v>4000</v>
      </c>
      <c r="W114" s="449">
        <f>($H114-SUM($L114:V114))/W$694</f>
        <v>4000</v>
      </c>
      <c r="X114" s="449"/>
      <c r="Y114" s="449">
        <f t="shared" si="136"/>
        <v>24000</v>
      </c>
      <c r="Z114" s="531"/>
      <c r="AA114" s="449">
        <f t="shared" si="147"/>
        <v>2000</v>
      </c>
      <c r="AB114" s="449">
        <f t="shared" si="147"/>
        <v>2000</v>
      </c>
      <c r="AC114" s="449">
        <f t="shared" si="147"/>
        <v>2000</v>
      </c>
      <c r="AD114" s="449">
        <f t="shared" si="147"/>
        <v>2000</v>
      </c>
      <c r="AE114" s="449">
        <f t="shared" si="147"/>
        <v>2000</v>
      </c>
      <c r="AF114" s="449">
        <f t="shared" si="147"/>
        <v>2000</v>
      </c>
      <c r="AG114" s="449">
        <f t="shared" si="147"/>
        <v>2000</v>
      </c>
      <c r="AH114" s="449">
        <f t="shared" si="147"/>
        <v>2000</v>
      </c>
      <c r="AI114" s="449">
        <f t="shared" si="147"/>
        <v>2000</v>
      </c>
      <c r="AJ114" s="449">
        <f t="shared" si="147"/>
        <v>2000</v>
      </c>
      <c r="AK114" s="449">
        <f t="shared" si="147"/>
        <v>2000</v>
      </c>
      <c r="AL114" s="449">
        <f t="shared" si="147"/>
        <v>2000</v>
      </c>
      <c r="AN114" s="500">
        <f t="shared" si="138"/>
        <v>24000</v>
      </c>
      <c r="AO114" s="449">
        <f>SUM(BI114:BT114)</f>
        <v>15228.915662650606</v>
      </c>
      <c r="AP114" s="449">
        <f t="shared" si="140"/>
        <v>-8771.0843373493935</v>
      </c>
      <c r="AQ114" s="453">
        <f t="shared" si="141"/>
        <v>-0.36546184738955806</v>
      </c>
      <c r="AR114" s="449">
        <f t="shared" si="142"/>
        <v>15228.915662650606</v>
      </c>
      <c r="AS114" s="449">
        <f t="shared" si="143"/>
        <v>0</v>
      </c>
      <c r="AT114" s="426">
        <f t="shared" si="144"/>
        <v>0</v>
      </c>
      <c r="AU114" s="421"/>
      <c r="AV114" s="449">
        <f t="shared" si="145"/>
        <v>1269.0763052208836</v>
      </c>
      <c r="AW114" s="449">
        <f t="shared" si="145"/>
        <v>1269.0763052208836</v>
      </c>
      <c r="AX114" s="449">
        <f t="shared" si="145"/>
        <v>1269.0763052208836</v>
      </c>
      <c r="AY114" s="449">
        <f t="shared" si="145"/>
        <v>1269.0763052208836</v>
      </c>
      <c r="AZ114" s="449">
        <f t="shared" si="145"/>
        <v>1269.0763052208836</v>
      </c>
      <c r="BA114" s="449">
        <f t="shared" si="145"/>
        <v>1269.0763052208836</v>
      </c>
      <c r="BB114" s="449">
        <f t="shared" si="145"/>
        <v>1269.0763052208836</v>
      </c>
      <c r="BC114" s="449">
        <f t="shared" si="145"/>
        <v>1269.0763052208836</v>
      </c>
      <c r="BD114" s="449">
        <f t="shared" si="145"/>
        <v>1269.0763052208836</v>
      </c>
      <c r="BE114" s="449">
        <f t="shared" si="145"/>
        <v>1269.0763052208836</v>
      </c>
      <c r="BF114" s="449">
        <f t="shared" si="145"/>
        <v>1269.0763052208836</v>
      </c>
      <c r="BG114" s="449">
        <f t="shared" si="145"/>
        <v>1269.0763052208836</v>
      </c>
      <c r="BH114" s="400"/>
      <c r="BI114" s="449">
        <f>$AO$47/12*(790/BI$5)</f>
        <v>1269.0763052208836</v>
      </c>
      <c r="BJ114" s="449">
        <f t="shared" ref="BJ114:BT114" si="150">$AO$47/12*(790/BJ$5)</f>
        <v>1269.0763052208836</v>
      </c>
      <c r="BK114" s="449">
        <f t="shared" si="150"/>
        <v>1269.0763052208836</v>
      </c>
      <c r="BL114" s="449">
        <f t="shared" si="150"/>
        <v>1269.0763052208836</v>
      </c>
      <c r="BM114" s="449">
        <f t="shared" si="150"/>
        <v>1269.0763052208836</v>
      </c>
      <c r="BN114" s="449">
        <f t="shared" si="150"/>
        <v>1269.0763052208836</v>
      </c>
      <c r="BO114" s="449">
        <f t="shared" si="150"/>
        <v>1269.0763052208836</v>
      </c>
      <c r="BP114" s="449">
        <f t="shared" si="150"/>
        <v>1269.0763052208836</v>
      </c>
      <c r="BQ114" s="449">
        <f t="shared" si="150"/>
        <v>1269.0763052208836</v>
      </c>
      <c r="BR114" s="449">
        <f t="shared" si="150"/>
        <v>1269.0763052208836</v>
      </c>
      <c r="BS114" s="449">
        <f t="shared" si="150"/>
        <v>1269.0763052208836</v>
      </c>
      <c r="BT114" s="449">
        <f t="shared" si="150"/>
        <v>1269.0763052208836</v>
      </c>
    </row>
    <row r="115" spans="1:74" ht="15" x14ac:dyDescent="0.25">
      <c r="A115" s="502" t="s">
        <v>183</v>
      </c>
      <c r="B115" s="502" t="s">
        <v>134</v>
      </c>
      <c r="C115" s="596"/>
      <c r="D115" s="500">
        <f t="shared" si="131"/>
        <v>15000</v>
      </c>
      <c r="E115" s="449">
        <v>5000</v>
      </c>
      <c r="F115" s="449">
        <f t="shared" si="132"/>
        <v>10000</v>
      </c>
      <c r="G115" s="421">
        <f t="shared" si="133"/>
        <v>2</v>
      </c>
      <c r="H115" s="449">
        <v>15000</v>
      </c>
      <c r="I115" s="449">
        <f t="shared" si="134"/>
        <v>0</v>
      </c>
      <c r="J115" s="426">
        <f t="shared" si="135"/>
        <v>0</v>
      </c>
      <c r="K115" s="421"/>
      <c r="L115" s="449">
        <v>0</v>
      </c>
      <c r="M115" s="449">
        <v>0</v>
      </c>
      <c r="N115" s="449">
        <v>0</v>
      </c>
      <c r="O115" s="449">
        <v>0</v>
      </c>
      <c r="P115" s="449">
        <v>0</v>
      </c>
      <c r="Q115" s="449">
        <v>0</v>
      </c>
      <c r="R115" s="449">
        <f>($H115-SUM($L115:Q115))/R$694</f>
        <v>2500</v>
      </c>
      <c r="S115" s="449">
        <f>($H115-SUM($L115:R115))/S$694</f>
        <v>2500</v>
      </c>
      <c r="T115" s="449">
        <f>($H115-SUM($L115:S115))/T$694</f>
        <v>2500</v>
      </c>
      <c r="U115" s="449">
        <f>($H115-SUM($L115:T115))/U$694</f>
        <v>2500</v>
      </c>
      <c r="V115" s="449">
        <f>($H115-SUM($L115:U115))/V$694</f>
        <v>2500</v>
      </c>
      <c r="W115" s="449">
        <f>($H115-SUM($L115:V115))/W$694</f>
        <v>2500</v>
      </c>
      <c r="X115" s="449"/>
      <c r="Y115" s="449">
        <f t="shared" si="136"/>
        <v>15000</v>
      </c>
      <c r="Z115" s="531"/>
      <c r="AA115" s="449">
        <f t="shared" si="147"/>
        <v>1250</v>
      </c>
      <c r="AB115" s="449">
        <f t="shared" si="147"/>
        <v>1250</v>
      </c>
      <c r="AC115" s="449">
        <f t="shared" si="147"/>
        <v>1250</v>
      </c>
      <c r="AD115" s="449">
        <f t="shared" si="147"/>
        <v>1250</v>
      </c>
      <c r="AE115" s="449">
        <f t="shared" si="147"/>
        <v>1250</v>
      </c>
      <c r="AF115" s="449">
        <f t="shared" si="147"/>
        <v>1250</v>
      </c>
      <c r="AG115" s="449">
        <f t="shared" si="147"/>
        <v>1250</v>
      </c>
      <c r="AH115" s="449">
        <f t="shared" si="147"/>
        <v>1250</v>
      </c>
      <c r="AI115" s="449">
        <f t="shared" si="147"/>
        <v>1250</v>
      </c>
      <c r="AJ115" s="449">
        <f t="shared" si="147"/>
        <v>1250</v>
      </c>
      <c r="AK115" s="449">
        <f t="shared" si="147"/>
        <v>1250</v>
      </c>
      <c r="AL115" s="449">
        <f t="shared" si="147"/>
        <v>1250</v>
      </c>
      <c r="AN115" s="500">
        <f t="shared" si="138"/>
        <v>15000</v>
      </c>
      <c r="AO115" s="449">
        <f>SUM(BI115:BT115)</f>
        <v>12000.000000000002</v>
      </c>
      <c r="AP115" s="449">
        <f t="shared" si="140"/>
        <v>-2999.9999999999982</v>
      </c>
      <c r="AQ115" s="453">
        <f t="shared" si="141"/>
        <v>-0.19999999999999987</v>
      </c>
      <c r="AR115" s="449">
        <f t="shared" si="142"/>
        <v>12000.000000000002</v>
      </c>
      <c r="AS115" s="449">
        <f t="shared" si="143"/>
        <v>0</v>
      </c>
      <c r="AT115" s="426">
        <f t="shared" si="144"/>
        <v>0</v>
      </c>
      <c r="AU115" s="421"/>
      <c r="AV115" s="449">
        <f t="shared" si="145"/>
        <v>2400</v>
      </c>
      <c r="AW115" s="449">
        <f t="shared" si="145"/>
        <v>2400</v>
      </c>
      <c r="AX115" s="449">
        <f t="shared" si="145"/>
        <v>1600</v>
      </c>
      <c r="AY115" s="449">
        <f t="shared" ref="AY115:BG118" si="151">BL115</f>
        <v>1600</v>
      </c>
      <c r="AZ115" s="449">
        <f t="shared" si="151"/>
        <v>1600</v>
      </c>
      <c r="BA115" s="449">
        <f t="shared" si="151"/>
        <v>342.85714285714283</v>
      </c>
      <c r="BB115" s="449">
        <f t="shared" si="151"/>
        <v>342.85714285714283</v>
      </c>
      <c r="BC115" s="449">
        <f t="shared" si="151"/>
        <v>342.85714285714283</v>
      </c>
      <c r="BD115" s="449">
        <f t="shared" si="151"/>
        <v>342.85714285714283</v>
      </c>
      <c r="BE115" s="449">
        <f t="shared" si="151"/>
        <v>342.85714285714283</v>
      </c>
      <c r="BF115" s="449">
        <f t="shared" si="151"/>
        <v>342.85714285714283</v>
      </c>
      <c r="BG115" s="449">
        <f t="shared" si="151"/>
        <v>342.85714285714283</v>
      </c>
      <c r="BH115" s="400"/>
      <c r="BI115" s="449">
        <f>(IFERROR(($D115*0.8),0))*BI$696</f>
        <v>2400</v>
      </c>
      <c r="BJ115" s="449">
        <f t="shared" ref="BJ115:BT115" si="152">(IFERROR(($D115*0.8),0))*BJ$696</f>
        <v>2400</v>
      </c>
      <c r="BK115" s="449">
        <f t="shared" si="152"/>
        <v>1600</v>
      </c>
      <c r="BL115" s="449">
        <f t="shared" si="152"/>
        <v>1600</v>
      </c>
      <c r="BM115" s="449">
        <f t="shared" si="152"/>
        <v>1600</v>
      </c>
      <c r="BN115" s="449">
        <f t="shared" si="152"/>
        <v>342.85714285714283</v>
      </c>
      <c r="BO115" s="449">
        <f t="shared" si="152"/>
        <v>342.85714285714283</v>
      </c>
      <c r="BP115" s="449">
        <f t="shared" si="152"/>
        <v>342.85714285714283</v>
      </c>
      <c r="BQ115" s="449">
        <f t="shared" si="152"/>
        <v>342.85714285714283</v>
      </c>
      <c r="BR115" s="449">
        <f t="shared" si="152"/>
        <v>342.85714285714283</v>
      </c>
      <c r="BS115" s="449">
        <f t="shared" si="152"/>
        <v>342.85714285714283</v>
      </c>
      <c r="BT115" s="449">
        <f t="shared" si="152"/>
        <v>342.85714285714283</v>
      </c>
    </row>
    <row r="116" spans="1:74" ht="15" x14ac:dyDescent="0.25">
      <c r="A116" s="537" t="s">
        <v>184</v>
      </c>
      <c r="B116" s="537" t="s">
        <v>136</v>
      </c>
      <c r="C116" s="541"/>
      <c r="D116" s="500">
        <f t="shared" si="131"/>
        <v>0</v>
      </c>
      <c r="E116" s="449">
        <v>0</v>
      </c>
      <c r="F116" s="449">
        <f t="shared" si="132"/>
        <v>0</v>
      </c>
      <c r="G116" s="421">
        <f t="shared" si="133"/>
        <v>0</v>
      </c>
      <c r="H116" s="449">
        <v>0</v>
      </c>
      <c r="I116" s="449">
        <f t="shared" si="134"/>
        <v>0</v>
      </c>
      <c r="J116" s="426">
        <f t="shared" si="135"/>
        <v>0</v>
      </c>
      <c r="K116" s="421"/>
      <c r="L116" s="449">
        <v>0</v>
      </c>
      <c r="M116" s="449">
        <v>0</v>
      </c>
      <c r="N116" s="449">
        <v>0</v>
      </c>
      <c r="O116" s="449">
        <v>0</v>
      </c>
      <c r="P116" s="449">
        <v>0</v>
      </c>
      <c r="Q116" s="449">
        <v>0</v>
      </c>
      <c r="R116" s="449">
        <f>($H116-SUM($L116:Q116))/R$694</f>
        <v>0</v>
      </c>
      <c r="S116" s="449">
        <f>($H116-SUM($L116:R116))/S$694</f>
        <v>0</v>
      </c>
      <c r="T116" s="449">
        <f>($H116-SUM($L116:S116))/T$694</f>
        <v>0</v>
      </c>
      <c r="U116" s="449">
        <f>($H116-SUM($L116:T116))/U$694</f>
        <v>0</v>
      </c>
      <c r="V116" s="449">
        <f>($H116-SUM($L116:U116))/V$694</f>
        <v>0</v>
      </c>
      <c r="W116" s="449">
        <f>($H116-SUM($L116:V116))/W$694</f>
        <v>0</v>
      </c>
      <c r="X116" s="449"/>
      <c r="Y116" s="449">
        <f t="shared" si="136"/>
        <v>0</v>
      </c>
      <c r="Z116" s="531"/>
      <c r="AA116" s="449">
        <f t="shared" si="147"/>
        <v>0</v>
      </c>
      <c r="AB116" s="449">
        <f t="shared" si="147"/>
        <v>0</v>
      </c>
      <c r="AC116" s="449">
        <f t="shared" si="147"/>
        <v>0</v>
      </c>
      <c r="AD116" s="449">
        <f t="shared" si="147"/>
        <v>0</v>
      </c>
      <c r="AE116" s="449">
        <f t="shared" si="147"/>
        <v>0</v>
      </c>
      <c r="AF116" s="449">
        <f t="shared" si="147"/>
        <v>0</v>
      </c>
      <c r="AG116" s="449">
        <f t="shared" si="147"/>
        <v>0</v>
      </c>
      <c r="AH116" s="449">
        <f t="shared" si="147"/>
        <v>0</v>
      </c>
      <c r="AI116" s="449">
        <f t="shared" si="147"/>
        <v>0</v>
      </c>
      <c r="AJ116" s="449">
        <f t="shared" si="147"/>
        <v>0</v>
      </c>
      <c r="AK116" s="449">
        <f t="shared" si="147"/>
        <v>0</v>
      </c>
      <c r="AL116" s="449">
        <f t="shared" si="147"/>
        <v>0</v>
      </c>
      <c r="AN116" s="500">
        <f t="shared" si="138"/>
        <v>0</v>
      </c>
      <c r="AO116" s="449">
        <f t="shared" si="139"/>
        <v>0</v>
      </c>
      <c r="AP116" s="449">
        <f t="shared" si="140"/>
        <v>0</v>
      </c>
      <c r="AQ116" s="453" t="str">
        <f t="shared" si="141"/>
        <v>-</v>
      </c>
      <c r="AR116" s="449">
        <f t="shared" si="142"/>
        <v>0</v>
      </c>
      <c r="AS116" s="449">
        <f t="shared" si="143"/>
        <v>0</v>
      </c>
      <c r="AT116" s="426">
        <f t="shared" si="144"/>
        <v>0</v>
      </c>
      <c r="AU116" s="421"/>
      <c r="AV116" s="449">
        <f t="shared" ref="AV116:AX118" si="153">BI116</f>
        <v>0</v>
      </c>
      <c r="AW116" s="449">
        <f t="shared" si="153"/>
        <v>0</v>
      </c>
      <c r="AX116" s="449">
        <f t="shared" si="153"/>
        <v>0</v>
      </c>
      <c r="AY116" s="449">
        <f t="shared" si="151"/>
        <v>0</v>
      </c>
      <c r="AZ116" s="449">
        <f t="shared" si="151"/>
        <v>0</v>
      </c>
      <c r="BA116" s="449">
        <f t="shared" si="151"/>
        <v>0</v>
      </c>
      <c r="BB116" s="449">
        <f t="shared" si="151"/>
        <v>0</v>
      </c>
      <c r="BC116" s="449">
        <f t="shared" si="151"/>
        <v>0</v>
      </c>
      <c r="BD116" s="449">
        <f t="shared" si="151"/>
        <v>0</v>
      </c>
      <c r="BE116" s="449">
        <f t="shared" si="151"/>
        <v>0</v>
      </c>
      <c r="BF116" s="449">
        <f t="shared" si="151"/>
        <v>0</v>
      </c>
      <c r="BG116" s="449">
        <f t="shared" si="151"/>
        <v>0</v>
      </c>
      <c r="BH116" s="400"/>
      <c r="BI116" s="449">
        <f t="shared" ref="BI116:BT117" si="154">IFERROR((($H116/$H$5)*BI$5)/12,0)</f>
        <v>0</v>
      </c>
      <c r="BJ116" s="449">
        <f t="shared" si="154"/>
        <v>0</v>
      </c>
      <c r="BK116" s="449">
        <f t="shared" si="154"/>
        <v>0</v>
      </c>
      <c r="BL116" s="449">
        <f t="shared" si="154"/>
        <v>0</v>
      </c>
      <c r="BM116" s="449">
        <f t="shared" si="154"/>
        <v>0</v>
      </c>
      <c r="BN116" s="449">
        <f t="shared" si="154"/>
        <v>0</v>
      </c>
      <c r="BO116" s="449">
        <f t="shared" si="154"/>
        <v>0</v>
      </c>
      <c r="BP116" s="449">
        <f t="shared" si="154"/>
        <v>0</v>
      </c>
      <c r="BQ116" s="449">
        <f t="shared" si="154"/>
        <v>0</v>
      </c>
      <c r="BR116" s="449">
        <f t="shared" si="154"/>
        <v>0</v>
      </c>
      <c r="BS116" s="449">
        <f t="shared" si="154"/>
        <v>0</v>
      </c>
      <c r="BT116" s="449">
        <f t="shared" si="154"/>
        <v>0</v>
      </c>
    </row>
    <row r="117" spans="1:74" ht="15" x14ac:dyDescent="0.25">
      <c r="A117" s="537" t="s">
        <v>185</v>
      </c>
      <c r="B117" s="537" t="s">
        <v>138</v>
      </c>
      <c r="C117" s="541"/>
      <c r="D117" s="500">
        <f>SUM(L117:W117)</f>
        <v>0</v>
      </c>
      <c r="E117" s="449">
        <v>0</v>
      </c>
      <c r="F117" s="449">
        <f t="shared" si="132"/>
        <v>0</v>
      </c>
      <c r="G117" s="421">
        <f t="shared" si="133"/>
        <v>0</v>
      </c>
      <c r="H117" s="449">
        <v>0</v>
      </c>
      <c r="I117" s="449">
        <f t="shared" si="134"/>
        <v>0</v>
      </c>
      <c r="J117" s="426">
        <f t="shared" si="135"/>
        <v>0</v>
      </c>
      <c r="K117" s="421"/>
      <c r="L117" s="449">
        <v>0</v>
      </c>
      <c r="M117" s="449">
        <v>525</v>
      </c>
      <c r="N117" s="449">
        <v>0</v>
      </c>
      <c r="O117" s="449">
        <v>0</v>
      </c>
      <c r="P117" s="449">
        <v>0</v>
      </c>
      <c r="Q117" s="449">
        <v>4548.7700000000004</v>
      </c>
      <c r="R117" s="449">
        <f>($H117-SUM($L117:Q117))/R$694</f>
        <v>-845.62833333333344</v>
      </c>
      <c r="S117" s="449">
        <f>($H117-SUM($L117:R117))/S$694</f>
        <v>-845.62833333333344</v>
      </c>
      <c r="T117" s="449">
        <f>($H117-SUM($L117:S117))/T$694</f>
        <v>-845.62833333333344</v>
      </c>
      <c r="U117" s="449">
        <f>($H117-SUM($L117:T117))/U$694</f>
        <v>-845.62833333333344</v>
      </c>
      <c r="V117" s="449">
        <f>($H117-SUM($L117:U117))/V$694</f>
        <v>-845.62833333333333</v>
      </c>
      <c r="W117" s="449">
        <f>($H117-SUM($L117:V117))/W$694</f>
        <v>-845.62833333333333</v>
      </c>
      <c r="X117" s="449"/>
      <c r="Y117" s="449">
        <f t="shared" si="136"/>
        <v>0</v>
      </c>
      <c r="Z117" s="531"/>
      <c r="AA117" s="449">
        <f t="shared" si="147"/>
        <v>0</v>
      </c>
      <c r="AB117" s="449">
        <f t="shared" si="147"/>
        <v>0</v>
      </c>
      <c r="AC117" s="449">
        <f t="shared" si="147"/>
        <v>0</v>
      </c>
      <c r="AD117" s="449">
        <f t="shared" si="147"/>
        <v>0</v>
      </c>
      <c r="AE117" s="449">
        <f t="shared" si="147"/>
        <v>0</v>
      </c>
      <c r="AF117" s="449">
        <f t="shared" si="147"/>
        <v>0</v>
      </c>
      <c r="AG117" s="449">
        <f t="shared" si="147"/>
        <v>0</v>
      </c>
      <c r="AH117" s="449">
        <f t="shared" si="147"/>
        <v>0</v>
      </c>
      <c r="AI117" s="449">
        <f t="shared" si="147"/>
        <v>0</v>
      </c>
      <c r="AJ117" s="449">
        <f t="shared" si="147"/>
        <v>0</v>
      </c>
      <c r="AK117" s="449">
        <f t="shared" si="147"/>
        <v>0</v>
      </c>
      <c r="AL117" s="449">
        <f t="shared" si="147"/>
        <v>0</v>
      </c>
      <c r="AN117" s="500">
        <f>SUM(L117:W117)</f>
        <v>0</v>
      </c>
      <c r="AO117" s="449">
        <f>SUM(BI117:BT117)</f>
        <v>0</v>
      </c>
      <c r="AP117" s="449">
        <f t="shared" si="140"/>
        <v>0</v>
      </c>
      <c r="AQ117" s="453" t="str">
        <f t="shared" si="141"/>
        <v>-</v>
      </c>
      <c r="AR117" s="449">
        <f t="shared" si="142"/>
        <v>0</v>
      </c>
      <c r="AS117" s="449">
        <f t="shared" si="143"/>
        <v>0</v>
      </c>
      <c r="AT117" s="426">
        <f t="shared" si="144"/>
        <v>0</v>
      </c>
      <c r="AU117" s="421"/>
      <c r="AV117" s="449">
        <f t="shared" si="153"/>
        <v>0</v>
      </c>
      <c r="AW117" s="449">
        <f t="shared" si="153"/>
        <v>0</v>
      </c>
      <c r="AX117" s="449">
        <f t="shared" si="153"/>
        <v>0</v>
      </c>
      <c r="AY117" s="449">
        <f t="shared" si="151"/>
        <v>0</v>
      </c>
      <c r="AZ117" s="449">
        <f t="shared" si="151"/>
        <v>0</v>
      </c>
      <c r="BA117" s="449">
        <f t="shared" si="151"/>
        <v>0</v>
      </c>
      <c r="BB117" s="449">
        <f t="shared" si="151"/>
        <v>0</v>
      </c>
      <c r="BC117" s="449">
        <f t="shared" si="151"/>
        <v>0</v>
      </c>
      <c r="BD117" s="449">
        <f t="shared" si="151"/>
        <v>0</v>
      </c>
      <c r="BE117" s="449">
        <f t="shared" si="151"/>
        <v>0</v>
      </c>
      <c r="BF117" s="449">
        <f t="shared" si="151"/>
        <v>0</v>
      </c>
      <c r="BG117" s="449">
        <f t="shared" si="151"/>
        <v>0</v>
      </c>
      <c r="BH117" s="400"/>
      <c r="BI117" s="449">
        <f t="shared" si="154"/>
        <v>0</v>
      </c>
      <c r="BJ117" s="449">
        <f t="shared" si="154"/>
        <v>0</v>
      </c>
      <c r="BK117" s="449">
        <f t="shared" si="154"/>
        <v>0</v>
      </c>
      <c r="BL117" s="449">
        <f t="shared" si="154"/>
        <v>0</v>
      </c>
      <c r="BM117" s="449">
        <f t="shared" si="154"/>
        <v>0</v>
      </c>
      <c r="BN117" s="449">
        <f t="shared" si="154"/>
        <v>0</v>
      </c>
      <c r="BO117" s="449">
        <f t="shared" si="154"/>
        <v>0</v>
      </c>
      <c r="BP117" s="449">
        <f t="shared" si="154"/>
        <v>0</v>
      </c>
      <c r="BQ117" s="449">
        <f t="shared" si="154"/>
        <v>0</v>
      </c>
      <c r="BR117" s="449">
        <f t="shared" si="154"/>
        <v>0</v>
      </c>
      <c r="BS117" s="449">
        <f t="shared" si="154"/>
        <v>0</v>
      </c>
      <c r="BT117" s="449">
        <f t="shared" si="154"/>
        <v>0</v>
      </c>
    </row>
    <row r="118" spans="1:74" ht="15" x14ac:dyDescent="0.25">
      <c r="A118" s="502" t="s">
        <v>185</v>
      </c>
      <c r="B118" s="502" t="s">
        <v>186</v>
      </c>
      <c r="C118" s="596"/>
      <c r="D118" s="500">
        <f t="shared" si="131"/>
        <v>5073.7700000000004</v>
      </c>
      <c r="E118" s="449">
        <v>0</v>
      </c>
      <c r="F118" s="449">
        <f t="shared" si="132"/>
        <v>5073.7700000000004</v>
      </c>
      <c r="G118" s="421">
        <f t="shared" si="133"/>
        <v>0</v>
      </c>
      <c r="H118" s="449">
        <v>0</v>
      </c>
      <c r="I118" s="449">
        <f t="shared" si="134"/>
        <v>5073.7700000000004</v>
      </c>
      <c r="J118" s="426">
        <f t="shared" si="135"/>
        <v>0</v>
      </c>
      <c r="K118" s="421"/>
      <c r="L118" s="449">
        <v>0</v>
      </c>
      <c r="M118" s="449">
        <v>525</v>
      </c>
      <c r="N118" s="449">
        <v>0</v>
      </c>
      <c r="O118" s="449">
        <v>0</v>
      </c>
      <c r="P118" s="449">
        <v>0</v>
      </c>
      <c r="Q118" s="449">
        <v>4548.7700000000004</v>
      </c>
      <c r="R118" s="449">
        <v>0</v>
      </c>
      <c r="S118" s="449">
        <v>0</v>
      </c>
      <c r="T118" s="449">
        <v>0</v>
      </c>
      <c r="U118" s="449">
        <v>0</v>
      </c>
      <c r="V118" s="449">
        <v>0</v>
      </c>
      <c r="W118" s="449">
        <v>0</v>
      </c>
      <c r="X118" s="449"/>
      <c r="Y118" s="449">
        <f t="shared" si="136"/>
        <v>5073.7700000000004</v>
      </c>
      <c r="Z118" s="531"/>
      <c r="AA118" s="449">
        <f t="shared" si="147"/>
        <v>0</v>
      </c>
      <c r="AB118" s="449">
        <f t="shared" si="147"/>
        <v>0</v>
      </c>
      <c r="AC118" s="449">
        <f t="shared" si="147"/>
        <v>0</v>
      </c>
      <c r="AD118" s="449">
        <f t="shared" si="147"/>
        <v>0</v>
      </c>
      <c r="AE118" s="449">
        <f t="shared" si="147"/>
        <v>0</v>
      </c>
      <c r="AF118" s="449">
        <f t="shared" si="147"/>
        <v>0</v>
      </c>
      <c r="AG118" s="449">
        <f t="shared" si="147"/>
        <v>0</v>
      </c>
      <c r="AH118" s="449">
        <f t="shared" si="147"/>
        <v>0</v>
      </c>
      <c r="AI118" s="449">
        <f t="shared" si="147"/>
        <v>0</v>
      </c>
      <c r="AJ118" s="449">
        <f t="shared" si="147"/>
        <v>0</v>
      </c>
      <c r="AK118" s="449">
        <f t="shared" si="147"/>
        <v>0</v>
      </c>
      <c r="AL118" s="449">
        <f t="shared" si="147"/>
        <v>0</v>
      </c>
      <c r="AN118" s="500">
        <f t="shared" si="138"/>
        <v>5073.7700000000004</v>
      </c>
      <c r="AO118" s="449">
        <f t="shared" si="139"/>
        <v>5579.1093413654626</v>
      </c>
      <c r="AP118" s="449">
        <f t="shared" si="140"/>
        <v>505.33934136546213</v>
      </c>
      <c r="AQ118" s="453">
        <f t="shared" si="141"/>
        <v>9.9598393574297242E-2</v>
      </c>
      <c r="AR118" s="449">
        <f t="shared" si="142"/>
        <v>5579.1093413654626</v>
      </c>
      <c r="AS118" s="449">
        <f t="shared" si="143"/>
        <v>0</v>
      </c>
      <c r="AT118" s="426">
        <f t="shared" si="144"/>
        <v>0</v>
      </c>
      <c r="AU118" s="421"/>
      <c r="AV118" s="449">
        <f t="shared" si="153"/>
        <v>464.92577844712179</v>
      </c>
      <c r="AW118" s="449">
        <f t="shared" si="153"/>
        <v>464.92577844712179</v>
      </c>
      <c r="AX118" s="449">
        <f t="shared" si="153"/>
        <v>464.92577844712179</v>
      </c>
      <c r="AY118" s="449">
        <f t="shared" si="151"/>
        <v>464.92577844712179</v>
      </c>
      <c r="AZ118" s="449">
        <f t="shared" si="151"/>
        <v>464.92577844712179</v>
      </c>
      <c r="BA118" s="449">
        <f t="shared" si="151"/>
        <v>464.92577844712179</v>
      </c>
      <c r="BB118" s="449">
        <f t="shared" si="151"/>
        <v>464.92577844712179</v>
      </c>
      <c r="BC118" s="449">
        <f t="shared" si="151"/>
        <v>464.92577844712179</v>
      </c>
      <c r="BD118" s="449">
        <f t="shared" si="151"/>
        <v>464.92577844712179</v>
      </c>
      <c r="BE118" s="449">
        <f t="shared" si="151"/>
        <v>464.92577844712179</v>
      </c>
      <c r="BF118" s="449">
        <f t="shared" si="151"/>
        <v>464.92577844712179</v>
      </c>
      <c r="BG118" s="449">
        <f t="shared" si="151"/>
        <v>464.92577844712179</v>
      </c>
      <c r="BH118" s="400"/>
      <c r="BI118" s="449">
        <f t="shared" ref="BI118:BT118" si="155">IFERROR((($D118/$H$5)*BI$5)/12,0)</f>
        <v>464.92577844712179</v>
      </c>
      <c r="BJ118" s="449">
        <f t="shared" si="155"/>
        <v>464.92577844712179</v>
      </c>
      <c r="BK118" s="449">
        <f t="shared" si="155"/>
        <v>464.92577844712179</v>
      </c>
      <c r="BL118" s="449">
        <f t="shared" si="155"/>
        <v>464.92577844712179</v>
      </c>
      <c r="BM118" s="449">
        <f t="shared" si="155"/>
        <v>464.92577844712179</v>
      </c>
      <c r="BN118" s="449">
        <f t="shared" si="155"/>
        <v>464.92577844712179</v>
      </c>
      <c r="BO118" s="449">
        <f t="shared" si="155"/>
        <v>464.92577844712179</v>
      </c>
      <c r="BP118" s="449">
        <f t="shared" si="155"/>
        <v>464.92577844712179</v>
      </c>
      <c r="BQ118" s="449">
        <f t="shared" si="155"/>
        <v>464.92577844712179</v>
      </c>
      <c r="BR118" s="449">
        <f t="shared" si="155"/>
        <v>464.92577844712179</v>
      </c>
      <c r="BS118" s="449">
        <f t="shared" si="155"/>
        <v>464.92577844712179</v>
      </c>
      <c r="BT118" s="449">
        <f t="shared" si="155"/>
        <v>464.92577844712179</v>
      </c>
    </row>
    <row r="119" spans="1:74" ht="15" x14ac:dyDescent="0.25">
      <c r="A119" s="587"/>
      <c r="B119" s="502"/>
      <c r="C119" s="596"/>
      <c r="D119" s="500"/>
      <c r="E119" s="449"/>
      <c r="F119" s="449"/>
      <c r="G119" s="421"/>
      <c r="H119" s="449"/>
      <c r="I119" s="449"/>
      <c r="J119" s="426"/>
      <c r="K119" s="421"/>
      <c r="L119" s="449"/>
      <c r="M119" s="449"/>
      <c r="N119" s="449"/>
      <c r="O119" s="449"/>
      <c r="P119" s="449"/>
      <c r="Q119" s="449"/>
      <c r="R119" s="449"/>
      <c r="S119" s="449"/>
      <c r="T119" s="449"/>
      <c r="U119" s="449"/>
      <c r="V119" s="449"/>
      <c r="W119" s="449"/>
      <c r="X119" s="449"/>
      <c r="Y119" s="449"/>
      <c r="Z119" s="531"/>
      <c r="AA119" s="449"/>
      <c r="AB119" s="449"/>
      <c r="AC119" s="449"/>
      <c r="AD119" s="449"/>
      <c r="AE119" s="449"/>
      <c r="AF119" s="449"/>
      <c r="AG119" s="449"/>
      <c r="AH119" s="449"/>
      <c r="AI119" s="449"/>
      <c r="AJ119" s="449"/>
      <c r="AK119" s="449"/>
      <c r="AL119" s="449"/>
      <c r="AN119" s="500"/>
      <c r="AO119" s="449"/>
      <c r="AP119" s="449"/>
      <c r="AQ119" s="453"/>
      <c r="AR119" s="449"/>
      <c r="AS119" s="449"/>
      <c r="AT119" s="426"/>
      <c r="AU119" s="421"/>
      <c r="AV119" s="449"/>
      <c r="AW119" s="449"/>
      <c r="AX119" s="449"/>
      <c r="AY119" s="449"/>
      <c r="AZ119" s="449"/>
      <c r="BA119" s="449"/>
      <c r="BB119" s="449"/>
      <c r="BC119" s="449"/>
      <c r="BD119" s="449"/>
      <c r="BE119" s="449"/>
      <c r="BF119" s="449"/>
      <c r="BG119" s="449"/>
      <c r="BH119" s="531"/>
      <c r="BI119" s="449"/>
      <c r="BJ119" s="449"/>
      <c r="BK119" s="449"/>
      <c r="BL119" s="449"/>
      <c r="BM119" s="449"/>
      <c r="BN119" s="449"/>
      <c r="BO119" s="449"/>
      <c r="BP119" s="449"/>
      <c r="BQ119" s="449"/>
      <c r="BR119" s="449"/>
      <c r="BS119" s="449"/>
      <c r="BT119" s="449"/>
    </row>
    <row r="120" spans="1:74" s="536" customFormat="1" ht="15.75" thickBot="1" x14ac:dyDescent="0.3">
      <c r="A120" s="526"/>
      <c r="B120" s="524" t="s">
        <v>187</v>
      </c>
      <c r="C120" s="598"/>
      <c r="D120" s="532">
        <f>SUM(D94:D119)</f>
        <v>794491.45000000007</v>
      </c>
      <c r="E120" s="533">
        <f>SUM(E94:E119)</f>
        <v>738935</v>
      </c>
      <c r="F120" s="533">
        <f>IFERROR(D120-E120,0)</f>
        <v>55556.45000000007</v>
      </c>
      <c r="G120" s="520">
        <f>IFERROR(F120/ABS(E120),0)</f>
        <v>7.5184488486808809E-2</v>
      </c>
      <c r="H120" s="533">
        <f>SUM(H94:H119)</f>
        <v>786132</v>
      </c>
      <c r="I120" s="533">
        <f>IFERROR(D120-H120,0)</f>
        <v>8359.4500000000698</v>
      </c>
      <c r="J120" s="521">
        <f>IFERROR(I120/ABS(H120),0)</f>
        <v>1.0633646766700847E-2</v>
      </c>
      <c r="K120" s="507"/>
      <c r="L120" s="533">
        <f>SUM(L94:L119)</f>
        <v>51630.409999999996</v>
      </c>
      <c r="M120" s="533">
        <f t="shared" ref="M120:W120" si="156">SUM(M94:M119)</f>
        <v>75633.599999999991</v>
      </c>
      <c r="N120" s="533">
        <f t="shared" si="156"/>
        <v>68028.84</v>
      </c>
      <c r="O120" s="533">
        <f t="shared" si="156"/>
        <v>100118.63</v>
      </c>
      <c r="P120" s="533">
        <f t="shared" si="156"/>
        <v>64039.199999999975</v>
      </c>
      <c r="Q120" s="533">
        <f t="shared" si="156"/>
        <v>86744.34000000004</v>
      </c>
      <c r="R120" s="533">
        <f t="shared" si="156"/>
        <v>58049.404999999992</v>
      </c>
      <c r="S120" s="533">
        <f t="shared" si="156"/>
        <v>58049.404999999992</v>
      </c>
      <c r="T120" s="533">
        <f t="shared" si="156"/>
        <v>58049.404999999992</v>
      </c>
      <c r="U120" s="533">
        <f t="shared" si="156"/>
        <v>58049.404999999992</v>
      </c>
      <c r="V120" s="533">
        <f t="shared" si="156"/>
        <v>58049.404999999999</v>
      </c>
      <c r="W120" s="533">
        <f t="shared" si="156"/>
        <v>58049.404999999999</v>
      </c>
      <c r="X120" s="533"/>
      <c r="Y120" s="533">
        <f>SUM(L120:W120)</f>
        <v>794491.45000000007</v>
      </c>
      <c r="Z120" s="508"/>
      <c r="AA120" s="533">
        <f t="shared" ref="AA120:AL120" si="157">SUM(AA94:AA119)</f>
        <v>65511</v>
      </c>
      <c r="AB120" s="533">
        <f t="shared" si="157"/>
        <v>65511</v>
      </c>
      <c r="AC120" s="533">
        <f t="shared" si="157"/>
        <v>65511</v>
      </c>
      <c r="AD120" s="533">
        <f t="shared" si="157"/>
        <v>65511</v>
      </c>
      <c r="AE120" s="533">
        <f t="shared" si="157"/>
        <v>65511</v>
      </c>
      <c r="AF120" s="533">
        <f t="shared" si="157"/>
        <v>65511</v>
      </c>
      <c r="AG120" s="533">
        <f t="shared" si="157"/>
        <v>65511</v>
      </c>
      <c r="AH120" s="533">
        <f t="shared" si="157"/>
        <v>65511</v>
      </c>
      <c r="AI120" s="533">
        <f t="shared" si="157"/>
        <v>65511</v>
      </c>
      <c r="AJ120" s="533">
        <f t="shared" si="157"/>
        <v>65511</v>
      </c>
      <c r="AK120" s="533">
        <f t="shared" si="157"/>
        <v>65511</v>
      </c>
      <c r="AL120" s="533">
        <f t="shared" si="157"/>
        <v>65511</v>
      </c>
      <c r="AN120" s="532">
        <f>SUM(AN94:AN119)</f>
        <v>794491.45000000007</v>
      </c>
      <c r="AO120" s="533">
        <f>SUM(AO94:AO119)</f>
        <v>836724.2560986582</v>
      </c>
      <c r="AP120" s="533">
        <f>IFERROR(AO120-AN120,0)</f>
        <v>42232.806098658126</v>
      </c>
      <c r="AQ120" s="523">
        <f>IFERROR(AP120/ABS(AN120),"-")</f>
        <v>5.3157030322551771E-2</v>
      </c>
      <c r="AR120" s="533">
        <f>SUM(AR94:AR119)</f>
        <v>836724.2560986582</v>
      </c>
      <c r="AS120" s="533">
        <f>IFERROR(AO120-AR120,0)</f>
        <v>0</v>
      </c>
      <c r="AT120" s="521">
        <f>IFERROR(AS120/ABS(AR120),0)</f>
        <v>0</v>
      </c>
      <c r="AU120" s="507"/>
      <c r="AV120" s="533">
        <f>SUM(AV94:AV119)</f>
        <v>12979.710883668005</v>
      </c>
      <c r="AW120" s="533">
        <f t="shared" ref="AW120:BG120" si="158">SUM(AW94:AW119)</f>
        <v>68990.851634624676</v>
      </c>
      <c r="AX120" s="533">
        <f t="shared" si="158"/>
        <v>69656.281860366667</v>
      </c>
      <c r="AY120" s="533">
        <f t="shared" si="158"/>
        <v>108656.28186036667</v>
      </c>
      <c r="AZ120" s="533">
        <f t="shared" si="158"/>
        <v>69656.281860366667</v>
      </c>
      <c r="BA120" s="533">
        <f t="shared" si="158"/>
        <v>63765.672488938093</v>
      </c>
      <c r="BB120" s="533">
        <f t="shared" si="158"/>
        <v>63765.672488938093</v>
      </c>
      <c r="BC120" s="533">
        <f t="shared" si="158"/>
        <v>63765.672488938093</v>
      </c>
      <c r="BD120" s="533">
        <f t="shared" si="158"/>
        <v>63765.672488938093</v>
      </c>
      <c r="BE120" s="533">
        <f t="shared" si="158"/>
        <v>63765.672488938093</v>
      </c>
      <c r="BF120" s="533">
        <f t="shared" si="158"/>
        <v>63765.672488938093</v>
      </c>
      <c r="BG120" s="533">
        <f t="shared" si="158"/>
        <v>124190.81306563676</v>
      </c>
      <c r="BH120" s="508"/>
      <c r="BI120" s="533">
        <f t="shared" ref="BI120:BT120" si="159">SUM(BI94:BI119)</f>
        <v>12979.710883668005</v>
      </c>
      <c r="BJ120" s="533">
        <f t="shared" si="159"/>
        <v>68990.851634624676</v>
      </c>
      <c r="BK120" s="533">
        <f t="shared" si="159"/>
        <v>69656.281860366667</v>
      </c>
      <c r="BL120" s="533">
        <f t="shared" si="159"/>
        <v>108656.28186036667</v>
      </c>
      <c r="BM120" s="533">
        <f t="shared" si="159"/>
        <v>69656.281860366667</v>
      </c>
      <c r="BN120" s="533">
        <f t="shared" si="159"/>
        <v>63765.672488938093</v>
      </c>
      <c r="BO120" s="533">
        <f t="shared" si="159"/>
        <v>63765.672488938093</v>
      </c>
      <c r="BP120" s="533">
        <f t="shared" si="159"/>
        <v>63765.672488938093</v>
      </c>
      <c r="BQ120" s="533">
        <f t="shared" si="159"/>
        <v>63765.672488938093</v>
      </c>
      <c r="BR120" s="533">
        <f t="shared" si="159"/>
        <v>63765.672488938093</v>
      </c>
      <c r="BS120" s="533">
        <f t="shared" si="159"/>
        <v>63765.672488938093</v>
      </c>
      <c r="BT120" s="533">
        <f t="shared" si="159"/>
        <v>124190.81306563676</v>
      </c>
      <c r="BV120" s="400"/>
    </row>
    <row r="121" spans="1:74" ht="15.75" thickTop="1" x14ac:dyDescent="0.25">
      <c r="A121" s="587"/>
      <c r="B121" s="502"/>
      <c r="C121" s="596"/>
      <c r="D121" s="500"/>
      <c r="E121" s="449"/>
      <c r="F121" s="449"/>
      <c r="G121" s="421"/>
      <c r="H121" s="449"/>
      <c r="I121" s="449"/>
      <c r="J121" s="426"/>
      <c r="K121" s="421"/>
      <c r="L121" s="449"/>
      <c r="M121" s="449"/>
      <c r="N121" s="449"/>
      <c r="O121" s="449"/>
      <c r="P121" s="449"/>
      <c r="Q121" s="449"/>
      <c r="R121" s="449"/>
      <c r="S121" s="449"/>
      <c r="T121" s="449"/>
      <c r="U121" s="449"/>
      <c r="V121" s="449"/>
      <c r="W121" s="449"/>
      <c r="X121" s="449"/>
      <c r="Y121" s="449"/>
      <c r="Z121" s="531"/>
      <c r="AA121" s="449"/>
      <c r="AB121" s="449"/>
      <c r="AC121" s="449"/>
      <c r="AD121" s="449"/>
      <c r="AE121" s="449"/>
      <c r="AF121" s="449"/>
      <c r="AG121" s="449"/>
      <c r="AH121" s="449"/>
      <c r="AI121" s="449"/>
      <c r="AJ121" s="449"/>
      <c r="AK121" s="449"/>
      <c r="AL121" s="449"/>
      <c r="AN121" s="500"/>
      <c r="AO121" s="449"/>
      <c r="AP121" s="449"/>
      <c r="AQ121" s="453"/>
      <c r="AR121" s="449"/>
      <c r="AS121" s="449"/>
      <c r="AT121" s="426"/>
      <c r="AU121" s="421"/>
      <c r="AV121" s="449"/>
      <c r="AW121" s="449"/>
      <c r="AX121" s="449"/>
      <c r="AY121" s="449"/>
      <c r="AZ121" s="449"/>
      <c r="BA121" s="449"/>
      <c r="BB121" s="449"/>
      <c r="BC121" s="449"/>
      <c r="BD121" s="449"/>
      <c r="BE121" s="449"/>
      <c r="BF121" s="449"/>
      <c r="BG121" s="449"/>
      <c r="BH121" s="531"/>
      <c r="BI121" s="449"/>
      <c r="BJ121" s="449"/>
      <c r="BK121" s="449"/>
      <c r="BL121" s="449"/>
      <c r="BM121" s="449"/>
      <c r="BN121" s="449"/>
      <c r="BO121" s="449"/>
      <c r="BP121" s="449"/>
      <c r="BQ121" s="449"/>
      <c r="BR121" s="449"/>
      <c r="BS121" s="449"/>
      <c r="BT121" s="449"/>
    </row>
    <row r="122" spans="1:74" ht="15.75" x14ac:dyDescent="0.25">
      <c r="A122" s="587"/>
      <c r="B122" s="525" t="s">
        <v>188</v>
      </c>
      <c r="C122" s="596"/>
      <c r="D122" s="500"/>
      <c r="E122" s="449"/>
      <c r="F122" s="449"/>
      <c r="G122" s="421"/>
      <c r="H122" s="449"/>
      <c r="I122" s="449"/>
      <c r="J122" s="426"/>
      <c r="K122" s="421"/>
      <c r="L122" s="449"/>
      <c r="M122" s="449"/>
      <c r="N122" s="449"/>
      <c r="O122" s="449"/>
      <c r="P122" s="449"/>
      <c r="Q122" s="449"/>
      <c r="R122" s="449"/>
      <c r="S122" s="449"/>
      <c r="T122" s="449"/>
      <c r="U122" s="449"/>
      <c r="V122" s="449"/>
      <c r="W122" s="449"/>
      <c r="X122" s="449"/>
      <c r="Y122" s="449"/>
      <c r="Z122" s="531"/>
      <c r="AA122" s="449"/>
      <c r="AB122" s="449"/>
      <c r="AC122" s="449"/>
      <c r="AD122" s="449"/>
      <c r="AE122" s="449"/>
      <c r="AF122" s="449"/>
      <c r="AG122" s="449"/>
      <c r="AH122" s="449"/>
      <c r="AI122" s="449"/>
      <c r="AJ122" s="449"/>
      <c r="AK122" s="449"/>
      <c r="AL122" s="449"/>
      <c r="AN122" s="500"/>
      <c r="AO122" s="449"/>
      <c r="AP122" s="449"/>
      <c r="AQ122" s="453"/>
      <c r="AR122" s="449"/>
      <c r="AS122" s="449"/>
      <c r="AT122" s="426"/>
      <c r="AU122" s="421"/>
      <c r="AV122" s="449"/>
      <c r="AW122" s="449"/>
      <c r="AX122" s="449"/>
      <c r="AY122" s="449"/>
      <c r="AZ122" s="449"/>
      <c r="BA122" s="449"/>
      <c r="BB122" s="449"/>
      <c r="BC122" s="449"/>
      <c r="BD122" s="449"/>
      <c r="BE122" s="449"/>
      <c r="BF122" s="449"/>
      <c r="BG122" s="449"/>
      <c r="BH122" s="531"/>
      <c r="BI122" s="449"/>
      <c r="BJ122" s="449"/>
      <c r="BK122" s="449"/>
      <c r="BL122" s="449"/>
      <c r="BM122" s="449"/>
      <c r="BN122" s="449"/>
      <c r="BO122" s="449"/>
      <c r="BP122" s="449"/>
      <c r="BQ122" s="449"/>
      <c r="BR122" s="449"/>
      <c r="BS122" s="449"/>
      <c r="BT122" s="449"/>
    </row>
    <row r="123" spans="1:74" ht="15" x14ac:dyDescent="0.25">
      <c r="A123" s="587"/>
      <c r="B123" s="502"/>
      <c r="C123" s="596"/>
      <c r="D123" s="500"/>
      <c r="E123" s="449"/>
      <c r="F123" s="449"/>
      <c r="G123" s="421"/>
      <c r="H123" s="449"/>
      <c r="I123" s="449"/>
      <c r="J123" s="426"/>
      <c r="K123" s="421"/>
      <c r="L123" s="449"/>
      <c r="M123" s="449"/>
      <c r="N123" s="449"/>
      <c r="O123" s="449"/>
      <c r="P123" s="449"/>
      <c r="Q123" s="449"/>
      <c r="R123" s="449"/>
      <c r="S123" s="449"/>
      <c r="T123" s="449"/>
      <c r="U123" s="449"/>
      <c r="V123" s="449"/>
      <c r="W123" s="449"/>
      <c r="X123" s="449"/>
      <c r="Y123" s="449"/>
      <c r="Z123" s="531"/>
      <c r="AA123" s="449"/>
      <c r="AB123" s="449"/>
      <c r="AC123" s="449"/>
      <c r="AD123" s="449"/>
      <c r="AE123" s="449"/>
      <c r="AF123" s="449"/>
      <c r="AG123" s="449"/>
      <c r="AH123" s="449"/>
      <c r="AI123" s="449"/>
      <c r="AJ123" s="449"/>
      <c r="AK123" s="449"/>
      <c r="AL123" s="449"/>
      <c r="AN123" s="500"/>
      <c r="AO123" s="449"/>
      <c r="AP123" s="449"/>
      <c r="AQ123" s="453"/>
      <c r="AR123" s="449"/>
      <c r="AS123" s="449"/>
      <c r="AT123" s="426"/>
      <c r="AU123" s="421"/>
      <c r="AV123" s="449"/>
      <c r="AW123" s="449"/>
      <c r="AX123" s="449"/>
      <c r="AY123" s="449"/>
      <c r="AZ123" s="449"/>
      <c r="BA123" s="449"/>
      <c r="BB123" s="449"/>
      <c r="BC123" s="449"/>
      <c r="BD123" s="449"/>
      <c r="BE123" s="449"/>
      <c r="BF123" s="449"/>
      <c r="BG123" s="449"/>
      <c r="BH123" s="531"/>
      <c r="BI123" s="449"/>
      <c r="BJ123" s="449"/>
      <c r="BK123" s="449"/>
      <c r="BL123" s="449"/>
      <c r="BM123" s="449"/>
      <c r="BN123" s="449"/>
      <c r="BO123" s="449"/>
      <c r="BP123" s="449"/>
      <c r="BQ123" s="449"/>
      <c r="BR123" s="449"/>
      <c r="BS123" s="449"/>
      <c r="BT123" s="449"/>
    </row>
    <row r="124" spans="1:74" ht="15" x14ac:dyDescent="0.25">
      <c r="A124" s="502" t="s">
        <v>189</v>
      </c>
      <c r="B124" s="502" t="s">
        <v>190</v>
      </c>
      <c r="C124" s="596"/>
      <c r="D124" s="500">
        <f t="shared" ref="D124:D136" si="160">SUM(L124:W124)</f>
        <v>151552</v>
      </c>
      <c r="E124" s="449">
        <v>159000</v>
      </c>
      <c r="F124" s="449">
        <f t="shared" ref="F124:F136" si="161">IFERROR(D124-E124,0)</f>
        <v>-7448</v>
      </c>
      <c r="G124" s="421">
        <f t="shared" ref="G124:G136" si="162">IFERROR(F124/ABS(E124),0)</f>
        <v>-4.6842767295597484E-2</v>
      </c>
      <c r="H124" s="449">
        <v>151552</v>
      </c>
      <c r="I124" s="449">
        <f t="shared" ref="I124:I136" si="163">IFERROR(D124-H124,0)</f>
        <v>0</v>
      </c>
      <c r="J124" s="426">
        <f t="shared" ref="J124:J136" si="164">IFERROR(I124/ABS(H124),0)</f>
        <v>0</v>
      </c>
      <c r="K124" s="421"/>
      <c r="L124" s="449">
        <v>0</v>
      </c>
      <c r="M124" s="449">
        <v>16180.72</v>
      </c>
      <c r="N124" s="449">
        <v>12889.860000000002</v>
      </c>
      <c r="O124" s="449">
        <v>12730.739999999998</v>
      </c>
      <c r="P124" s="449">
        <v>12412.669999999998</v>
      </c>
      <c r="Q124" s="449">
        <v>18963.080000000009</v>
      </c>
      <c r="R124" s="449">
        <f>($H124-SUM($L124:Q124))/R$694</f>
        <v>13062.488333333333</v>
      </c>
      <c r="S124" s="449">
        <f>($H124-SUM($L124:R124))/S$694</f>
        <v>13062.488333333333</v>
      </c>
      <c r="T124" s="449">
        <f>($H124-SUM($L124:S124))/T$694</f>
        <v>13062.488333333335</v>
      </c>
      <c r="U124" s="449">
        <f>($H124-SUM($L124:T124))/U$694</f>
        <v>13062.488333333333</v>
      </c>
      <c r="V124" s="449">
        <f>($H124-SUM($L124:U124))/V$694</f>
        <v>13062.488333333335</v>
      </c>
      <c r="W124" s="449">
        <f>($H124-SUM($L124:V124))/W$694</f>
        <v>13062.488333333342</v>
      </c>
      <c r="X124" s="449"/>
      <c r="Y124" s="449">
        <f t="shared" ref="Y124:Y136" si="165">SUM(L124:W124)</f>
        <v>151552</v>
      </c>
      <c r="Z124" s="531"/>
      <c r="AA124" s="449">
        <f t="shared" ref="AA124:AL141" si="166">IFERROR($H124/12,0)</f>
        <v>12629.333333333334</v>
      </c>
      <c r="AB124" s="449">
        <f t="shared" si="166"/>
        <v>12629.333333333334</v>
      </c>
      <c r="AC124" s="449">
        <f t="shared" si="166"/>
        <v>12629.333333333334</v>
      </c>
      <c r="AD124" s="449">
        <f t="shared" si="166"/>
        <v>12629.333333333334</v>
      </c>
      <c r="AE124" s="449">
        <f t="shared" si="166"/>
        <v>12629.333333333334</v>
      </c>
      <c r="AF124" s="449">
        <f t="shared" si="166"/>
        <v>12629.333333333334</v>
      </c>
      <c r="AG124" s="449">
        <f t="shared" si="166"/>
        <v>12629.333333333334</v>
      </c>
      <c r="AH124" s="449">
        <f t="shared" si="166"/>
        <v>12629.333333333334</v>
      </c>
      <c r="AI124" s="449">
        <f t="shared" si="166"/>
        <v>12629.333333333334</v>
      </c>
      <c r="AJ124" s="449">
        <f t="shared" si="166"/>
        <v>12629.333333333334</v>
      </c>
      <c r="AK124" s="449">
        <f t="shared" si="166"/>
        <v>12629.333333333334</v>
      </c>
      <c r="AL124" s="449">
        <f t="shared" si="166"/>
        <v>12629.333333333334</v>
      </c>
      <c r="AN124" s="500">
        <f t="shared" ref="AN124:AN136" si="167">SUM(L124:W124)</f>
        <v>151552</v>
      </c>
      <c r="AO124" s="449">
        <f t="shared" ref="AO124:AO138" si="168">SUM(BI124:BT124)</f>
        <v>312197.90279999998</v>
      </c>
      <c r="AP124" s="449">
        <f t="shared" ref="AP124:AP136" si="169">IFERROR(AO124-AN124,0)</f>
        <v>160645.90279999998</v>
      </c>
      <c r="AQ124" s="453">
        <f t="shared" ref="AQ124:AQ141" si="170">IFERROR(AP124/ABS(AN124),"-")</f>
        <v>1.0600051652238174</v>
      </c>
      <c r="AR124" s="449">
        <f t="shared" ref="AR124:AR136" si="171">SUM(BI124:BT124)</f>
        <v>312197.90279999998</v>
      </c>
      <c r="AS124" s="449">
        <f t="shared" ref="AS124:AS136" si="172">IFERROR(AO124-AR124,0)</f>
        <v>0</v>
      </c>
      <c r="AT124" s="426">
        <f t="shared" ref="AT124:AT136" si="173">IFERROR(AS124/ABS(AR124),0)</f>
        <v>0</v>
      </c>
      <c r="AU124" s="421"/>
      <c r="AV124" s="449">
        <f t="shared" ref="AV124:BG139" si="174">BI124</f>
        <v>0</v>
      </c>
      <c r="AW124" s="449">
        <f t="shared" si="174"/>
        <v>26016.491899999997</v>
      </c>
      <c r="AX124" s="449">
        <f t="shared" si="174"/>
        <v>26016.491899999997</v>
      </c>
      <c r="AY124" s="449">
        <f t="shared" si="174"/>
        <v>26016.491899999997</v>
      </c>
      <c r="AZ124" s="449">
        <f t="shared" si="174"/>
        <v>26016.491899999997</v>
      </c>
      <c r="BA124" s="449">
        <f t="shared" si="174"/>
        <v>26016.491899999997</v>
      </c>
      <c r="BB124" s="449">
        <f t="shared" si="174"/>
        <v>26016.491899999997</v>
      </c>
      <c r="BC124" s="449">
        <f t="shared" si="174"/>
        <v>26016.491899999997</v>
      </c>
      <c r="BD124" s="449">
        <f t="shared" si="174"/>
        <v>26016.491899999997</v>
      </c>
      <c r="BE124" s="449">
        <f t="shared" si="174"/>
        <v>26016.491899999997</v>
      </c>
      <c r="BF124" s="449">
        <f t="shared" si="174"/>
        <v>26016.491899999997</v>
      </c>
      <c r="BG124" s="449">
        <f t="shared" si="174"/>
        <v>52032.983799999995</v>
      </c>
      <c r="BH124" s="400"/>
      <c r="BI124" s="449">
        <v>0</v>
      </c>
      <c r="BJ124" s="449">
        <f>SUM('FY19 Staffing V1-1 (3)'!$P$71:$P$78)/12</f>
        <v>26016.491899999997</v>
      </c>
      <c r="BK124" s="449">
        <f>SUM('FY19 Staffing V1-1 (3)'!$P$71:$P$78)/12</f>
        <v>26016.491899999997</v>
      </c>
      <c r="BL124" s="449">
        <f>SUM('FY19 Staffing V1-1 (3)'!$P$71:$P$78)/12</f>
        <v>26016.491899999997</v>
      </c>
      <c r="BM124" s="449">
        <f>SUM('FY19 Staffing V1-1 (3)'!$P$71:$P$78)/12</f>
        <v>26016.491899999997</v>
      </c>
      <c r="BN124" s="449">
        <f>SUM('FY19 Staffing V1-1 (3)'!$P$71:$P$78)/12</f>
        <v>26016.491899999997</v>
      </c>
      <c r="BO124" s="449">
        <f>SUM('FY19 Staffing V1-1 (3)'!$P$71:$P$78)/12</f>
        <v>26016.491899999997</v>
      </c>
      <c r="BP124" s="449">
        <f>SUM('FY19 Staffing V1-1 (3)'!$P$71:$P$78)/12</f>
        <v>26016.491899999997</v>
      </c>
      <c r="BQ124" s="449">
        <f>SUM('FY19 Staffing V1-1 (3)'!$P$71:$P$78)/12</f>
        <v>26016.491899999997</v>
      </c>
      <c r="BR124" s="449">
        <f>SUM('FY19 Staffing V1-1 (3)'!$P$71:$P$78)/12</f>
        <v>26016.491899999997</v>
      </c>
      <c r="BS124" s="449">
        <f>SUM('FY19 Staffing V1-1 (3)'!$P$71:$P$78)/12</f>
        <v>26016.491899999997</v>
      </c>
      <c r="BT124" s="449">
        <f>SUM('FY19 Staffing V1-1 (3)'!$P$71:$P$78)/12*2</f>
        <v>52032.983799999995</v>
      </c>
    </row>
    <row r="125" spans="1:74" ht="15" x14ac:dyDescent="0.25">
      <c r="A125" s="537" t="s">
        <v>191</v>
      </c>
      <c r="B125" s="537" t="s">
        <v>90</v>
      </c>
      <c r="C125" s="596"/>
      <c r="D125" s="500">
        <f>SUM(L125:W125)</f>
        <v>0</v>
      </c>
      <c r="E125" s="449">
        <v>0</v>
      </c>
      <c r="F125" s="449">
        <f t="shared" si="161"/>
        <v>0</v>
      </c>
      <c r="G125" s="421">
        <f t="shared" si="162"/>
        <v>0</v>
      </c>
      <c r="H125" s="449">
        <v>0</v>
      </c>
      <c r="I125" s="449">
        <f t="shared" si="163"/>
        <v>0</v>
      </c>
      <c r="J125" s="426">
        <f t="shared" si="164"/>
        <v>0</v>
      </c>
      <c r="K125" s="421"/>
      <c r="L125" s="449">
        <v>0</v>
      </c>
      <c r="M125" s="449">
        <v>0</v>
      </c>
      <c r="N125" s="449">
        <v>0</v>
      </c>
      <c r="O125" s="449">
        <v>0</v>
      </c>
      <c r="P125" s="449">
        <v>0</v>
      </c>
      <c r="Q125" s="449">
        <v>0</v>
      </c>
      <c r="R125" s="449">
        <f>($H125-SUM($L125:Q125))/R$694</f>
        <v>0</v>
      </c>
      <c r="S125" s="449">
        <f>($H125-SUM($L125:R125))/S$694</f>
        <v>0</v>
      </c>
      <c r="T125" s="449">
        <f>($H125-SUM($L125:S125))/T$694</f>
        <v>0</v>
      </c>
      <c r="U125" s="449">
        <f>($H125-SUM($L125:T125))/U$694</f>
        <v>0</v>
      </c>
      <c r="V125" s="449">
        <f>($H125-SUM($L125:U125))/V$694</f>
        <v>0</v>
      </c>
      <c r="W125" s="449">
        <f>($H125-SUM($L125:V125))/W$694</f>
        <v>0</v>
      </c>
      <c r="X125" s="449"/>
      <c r="Y125" s="449">
        <f t="shared" si="165"/>
        <v>0</v>
      </c>
      <c r="Z125" s="531"/>
      <c r="AA125" s="449">
        <f t="shared" si="166"/>
        <v>0</v>
      </c>
      <c r="AB125" s="449">
        <f t="shared" si="166"/>
        <v>0</v>
      </c>
      <c r="AC125" s="449">
        <f t="shared" si="166"/>
        <v>0</v>
      </c>
      <c r="AD125" s="449">
        <f t="shared" si="166"/>
        <v>0</v>
      </c>
      <c r="AE125" s="449">
        <f t="shared" si="166"/>
        <v>0</v>
      </c>
      <c r="AF125" s="449">
        <f t="shared" si="166"/>
        <v>0</v>
      </c>
      <c r="AG125" s="449">
        <f t="shared" si="166"/>
        <v>0</v>
      </c>
      <c r="AH125" s="449">
        <f t="shared" si="166"/>
        <v>0</v>
      </c>
      <c r="AI125" s="449">
        <f t="shared" si="166"/>
        <v>0</v>
      </c>
      <c r="AJ125" s="449">
        <f t="shared" si="166"/>
        <v>0</v>
      </c>
      <c r="AK125" s="449">
        <f t="shared" si="166"/>
        <v>0</v>
      </c>
      <c r="AL125" s="449">
        <f t="shared" si="166"/>
        <v>0</v>
      </c>
      <c r="AN125" s="500">
        <f>SUM(L125:W125)</f>
        <v>0</v>
      </c>
      <c r="AO125" s="449">
        <f>SUM(BI125:BT125)</f>
        <v>24877.743167793127</v>
      </c>
      <c r="AP125" s="449">
        <f t="shared" si="169"/>
        <v>24877.743167793127</v>
      </c>
      <c r="AQ125" s="453" t="str">
        <f t="shared" si="170"/>
        <v>-</v>
      </c>
      <c r="AR125" s="449">
        <f t="shared" si="171"/>
        <v>24877.743167793127</v>
      </c>
      <c r="AS125" s="449">
        <f t="shared" si="172"/>
        <v>0</v>
      </c>
      <c r="AT125" s="426">
        <f t="shared" si="173"/>
        <v>0</v>
      </c>
      <c r="AU125" s="421"/>
      <c r="AV125" s="449">
        <f t="shared" si="174"/>
        <v>0</v>
      </c>
      <c r="AW125" s="449">
        <f t="shared" si="174"/>
        <v>0</v>
      </c>
      <c r="AX125" s="449">
        <f t="shared" si="174"/>
        <v>2487.7743167793128</v>
      </c>
      <c r="AY125" s="449">
        <f t="shared" si="174"/>
        <v>2487.7743167793128</v>
      </c>
      <c r="AZ125" s="449">
        <f t="shared" si="174"/>
        <v>2487.7743167793128</v>
      </c>
      <c r="BA125" s="449">
        <f t="shared" si="174"/>
        <v>2487.7743167793128</v>
      </c>
      <c r="BB125" s="449">
        <f t="shared" si="174"/>
        <v>2487.7743167793128</v>
      </c>
      <c r="BC125" s="449">
        <f t="shared" si="174"/>
        <v>2487.7743167793128</v>
      </c>
      <c r="BD125" s="449">
        <f t="shared" si="174"/>
        <v>2487.7743167793128</v>
      </c>
      <c r="BE125" s="449">
        <f t="shared" si="174"/>
        <v>2487.7743167793128</v>
      </c>
      <c r="BF125" s="449">
        <f t="shared" si="174"/>
        <v>2487.7743167793128</v>
      </c>
      <c r="BG125" s="449">
        <f t="shared" si="174"/>
        <v>2487.7743167793128</v>
      </c>
      <c r="BH125" s="400"/>
      <c r="BI125" s="449">
        <v>0</v>
      </c>
      <c r="BJ125" s="449">
        <v>0</v>
      </c>
      <c r="BK125" s="449">
        <f>(SUM('FY19 Staffing V1-1 (3)'!$P$144)/10)*(8/41)</f>
        <v>2487.7743167793128</v>
      </c>
      <c r="BL125" s="449">
        <f>(SUM('FY19 Staffing V1-1 (3)'!$P$144)/10)*(8/41)</f>
        <v>2487.7743167793128</v>
      </c>
      <c r="BM125" s="449">
        <f>(SUM('FY19 Staffing V1-1 (3)'!$P$144)/10)*(8/41)</f>
        <v>2487.7743167793128</v>
      </c>
      <c r="BN125" s="449">
        <f>(SUM('FY19 Staffing V1-1 (3)'!$P$144)/10)*(8/41)</f>
        <v>2487.7743167793128</v>
      </c>
      <c r="BO125" s="449">
        <f>(SUM('FY19 Staffing V1-1 (3)'!$P$144)/10)*(8/41)</f>
        <v>2487.7743167793128</v>
      </c>
      <c r="BP125" s="449">
        <f>(SUM('FY19 Staffing V1-1 (3)'!$P$144)/10)*(8/41)</f>
        <v>2487.7743167793128</v>
      </c>
      <c r="BQ125" s="449">
        <f>(SUM('FY19 Staffing V1-1 (3)'!$P$144)/10)*(8/41)</f>
        <v>2487.7743167793128</v>
      </c>
      <c r="BR125" s="449">
        <f>(SUM('FY19 Staffing V1-1 (3)'!$P$144)/10)*(8/41)</f>
        <v>2487.7743167793128</v>
      </c>
      <c r="BS125" s="449">
        <f>(SUM('FY19 Staffing V1-1 (3)'!$P$144)/10)*(8/41)</f>
        <v>2487.7743167793128</v>
      </c>
      <c r="BT125" s="449">
        <f>(SUM('FY19 Staffing V1-1 (3)'!$P$144)/10)*(8/41)</f>
        <v>2487.7743167793128</v>
      </c>
    </row>
    <row r="126" spans="1:74" ht="15" x14ac:dyDescent="0.25">
      <c r="A126" s="537" t="s">
        <v>192</v>
      </c>
      <c r="B126" s="537" t="s">
        <v>149</v>
      </c>
      <c r="C126" s="596"/>
      <c r="D126" s="500">
        <f>SUM(L126:W126)</f>
        <v>0</v>
      </c>
      <c r="E126" s="449">
        <v>0</v>
      </c>
      <c r="F126" s="449">
        <f t="shared" si="161"/>
        <v>0</v>
      </c>
      <c r="G126" s="421">
        <f t="shared" si="162"/>
        <v>0</v>
      </c>
      <c r="H126" s="449">
        <v>0</v>
      </c>
      <c r="I126" s="449">
        <f t="shared" si="163"/>
        <v>0</v>
      </c>
      <c r="J126" s="426">
        <f t="shared" si="164"/>
        <v>0</v>
      </c>
      <c r="K126" s="421"/>
      <c r="L126" s="449">
        <v>0</v>
      </c>
      <c r="M126" s="449">
        <v>0</v>
      </c>
      <c r="N126" s="449">
        <v>0</v>
      </c>
      <c r="O126" s="449">
        <v>0</v>
      </c>
      <c r="P126" s="449">
        <v>0</v>
      </c>
      <c r="Q126" s="449">
        <v>0</v>
      </c>
      <c r="R126" s="449">
        <f>($H126-SUM($L126:Q126))/R$694</f>
        <v>0</v>
      </c>
      <c r="S126" s="449">
        <f>($H126-SUM($L126:R126))/S$694</f>
        <v>0</v>
      </c>
      <c r="T126" s="449">
        <f>($H126-SUM($L126:S126))/T$694</f>
        <v>0</v>
      </c>
      <c r="U126" s="449">
        <f>($H126-SUM($L126:T126))/U$694</f>
        <v>0</v>
      </c>
      <c r="V126" s="449">
        <f>($H126-SUM($L126:U126))/V$694</f>
        <v>0</v>
      </c>
      <c r="W126" s="449">
        <f>($H126-SUM($L126:V126))/W$694</f>
        <v>0</v>
      </c>
      <c r="X126" s="449"/>
      <c r="Y126" s="449">
        <f t="shared" si="165"/>
        <v>0</v>
      </c>
      <c r="Z126" s="531"/>
      <c r="AA126" s="449">
        <f t="shared" si="166"/>
        <v>0</v>
      </c>
      <c r="AB126" s="449">
        <f t="shared" si="166"/>
        <v>0</v>
      </c>
      <c r="AC126" s="449">
        <f t="shared" si="166"/>
        <v>0</v>
      </c>
      <c r="AD126" s="449">
        <f t="shared" si="166"/>
        <v>0</v>
      </c>
      <c r="AE126" s="449">
        <f t="shared" si="166"/>
        <v>0</v>
      </c>
      <c r="AF126" s="449">
        <f t="shared" si="166"/>
        <v>0</v>
      </c>
      <c r="AG126" s="449">
        <f t="shared" si="166"/>
        <v>0</v>
      </c>
      <c r="AH126" s="449">
        <f t="shared" si="166"/>
        <v>0</v>
      </c>
      <c r="AI126" s="449">
        <f t="shared" si="166"/>
        <v>0</v>
      </c>
      <c r="AJ126" s="449">
        <f t="shared" si="166"/>
        <v>0</v>
      </c>
      <c r="AK126" s="449">
        <f t="shared" si="166"/>
        <v>0</v>
      </c>
      <c r="AL126" s="449">
        <f t="shared" si="166"/>
        <v>0</v>
      </c>
      <c r="AN126" s="500">
        <f>SUM(L126:W126)</f>
        <v>0</v>
      </c>
      <c r="AO126" s="449">
        <f>SUM(BI126:BT126)</f>
        <v>7123.2839999999997</v>
      </c>
      <c r="AP126" s="449">
        <f t="shared" si="169"/>
        <v>7123.2839999999997</v>
      </c>
      <c r="AQ126" s="453" t="str">
        <f t="shared" si="170"/>
        <v>-</v>
      </c>
      <c r="AR126" s="449">
        <f t="shared" si="171"/>
        <v>7123.2839999999997</v>
      </c>
      <c r="AS126" s="449">
        <f t="shared" si="172"/>
        <v>0</v>
      </c>
      <c r="AT126" s="426">
        <f t="shared" si="173"/>
        <v>0</v>
      </c>
      <c r="AU126" s="421"/>
      <c r="AV126" s="449">
        <f t="shared" si="174"/>
        <v>0</v>
      </c>
      <c r="AW126" s="449">
        <f t="shared" si="174"/>
        <v>593.60699999999997</v>
      </c>
      <c r="AX126" s="449">
        <f t="shared" si="174"/>
        <v>593.60699999999997</v>
      </c>
      <c r="AY126" s="449">
        <f t="shared" si="174"/>
        <v>593.60699999999997</v>
      </c>
      <c r="AZ126" s="449">
        <f t="shared" si="174"/>
        <v>593.60699999999997</v>
      </c>
      <c r="BA126" s="449">
        <f t="shared" si="174"/>
        <v>593.60699999999997</v>
      </c>
      <c r="BB126" s="449">
        <f t="shared" si="174"/>
        <v>593.60699999999997</v>
      </c>
      <c r="BC126" s="449">
        <f t="shared" si="174"/>
        <v>593.60699999999997</v>
      </c>
      <c r="BD126" s="449">
        <f t="shared" si="174"/>
        <v>593.60699999999997</v>
      </c>
      <c r="BE126" s="449">
        <f t="shared" si="174"/>
        <v>593.60699999999997</v>
      </c>
      <c r="BF126" s="449">
        <f t="shared" si="174"/>
        <v>593.60699999999997</v>
      </c>
      <c r="BG126" s="449">
        <f t="shared" si="174"/>
        <v>1187.2139999999999</v>
      </c>
      <c r="BH126" s="400"/>
      <c r="BI126" s="449">
        <v>0</v>
      </c>
      <c r="BJ126" s="449">
        <f>(17808.21/12)*0.4</f>
        <v>593.60699999999997</v>
      </c>
      <c r="BK126" s="449">
        <f t="shared" ref="BK126:BS126" si="175">(17808.21/12)*0.4</f>
        <v>593.60699999999997</v>
      </c>
      <c r="BL126" s="449">
        <f t="shared" si="175"/>
        <v>593.60699999999997</v>
      </c>
      <c r="BM126" s="449">
        <f t="shared" si="175"/>
        <v>593.60699999999997</v>
      </c>
      <c r="BN126" s="449">
        <f t="shared" si="175"/>
        <v>593.60699999999997</v>
      </c>
      <c r="BO126" s="449">
        <f t="shared" si="175"/>
        <v>593.60699999999997</v>
      </c>
      <c r="BP126" s="449">
        <f t="shared" si="175"/>
        <v>593.60699999999997</v>
      </c>
      <c r="BQ126" s="449">
        <f t="shared" si="175"/>
        <v>593.60699999999997</v>
      </c>
      <c r="BR126" s="449">
        <f t="shared" si="175"/>
        <v>593.60699999999997</v>
      </c>
      <c r="BS126" s="449">
        <f t="shared" si="175"/>
        <v>593.60699999999997</v>
      </c>
      <c r="BT126" s="449">
        <f>(17808.21/12)*0.4*2</f>
        <v>1187.2139999999999</v>
      </c>
    </row>
    <row r="127" spans="1:74" ht="15" x14ac:dyDescent="0.25">
      <c r="A127" s="537" t="s">
        <v>193</v>
      </c>
      <c r="B127" s="537" t="s">
        <v>194</v>
      </c>
      <c r="C127" s="596"/>
      <c r="D127" s="500">
        <f>SUM(L127:W127)</f>
        <v>0</v>
      </c>
      <c r="E127" s="449">
        <v>0</v>
      </c>
      <c r="F127" s="449">
        <f t="shared" si="161"/>
        <v>0</v>
      </c>
      <c r="G127" s="421">
        <f t="shared" si="162"/>
        <v>0</v>
      </c>
      <c r="H127" s="449">
        <v>0</v>
      </c>
      <c r="I127" s="449">
        <f t="shared" si="163"/>
        <v>0</v>
      </c>
      <c r="J127" s="426">
        <f t="shared" si="164"/>
        <v>0</v>
      </c>
      <c r="K127" s="421"/>
      <c r="L127" s="449">
        <v>0</v>
      </c>
      <c r="M127" s="449">
        <v>0</v>
      </c>
      <c r="N127" s="449">
        <v>0</v>
      </c>
      <c r="O127" s="449">
        <v>0</v>
      </c>
      <c r="P127" s="449">
        <v>0</v>
      </c>
      <c r="Q127" s="449">
        <v>0</v>
      </c>
      <c r="R127" s="449">
        <f>($H127-SUM($L127:Q127))/R$694</f>
        <v>0</v>
      </c>
      <c r="S127" s="449">
        <f>($H127-SUM($L127:R127))/S$694</f>
        <v>0</v>
      </c>
      <c r="T127" s="449">
        <f>($H127-SUM($L127:S127))/T$694</f>
        <v>0</v>
      </c>
      <c r="U127" s="449">
        <f>($H127-SUM($L127:T127))/U$694</f>
        <v>0</v>
      </c>
      <c r="V127" s="449">
        <f>($H127-SUM($L127:U127))/V$694</f>
        <v>0</v>
      </c>
      <c r="W127" s="449">
        <f>($H127-SUM($L127:V127))/W$694</f>
        <v>0</v>
      </c>
      <c r="X127" s="449"/>
      <c r="Y127" s="449">
        <f t="shared" si="165"/>
        <v>0</v>
      </c>
      <c r="Z127" s="531"/>
      <c r="AA127" s="449">
        <f t="shared" si="166"/>
        <v>0</v>
      </c>
      <c r="AB127" s="449">
        <f t="shared" si="166"/>
        <v>0</v>
      </c>
      <c r="AC127" s="449">
        <f t="shared" si="166"/>
        <v>0</v>
      </c>
      <c r="AD127" s="449">
        <f t="shared" si="166"/>
        <v>0</v>
      </c>
      <c r="AE127" s="449">
        <f t="shared" si="166"/>
        <v>0</v>
      </c>
      <c r="AF127" s="449">
        <f t="shared" si="166"/>
        <v>0</v>
      </c>
      <c r="AG127" s="449">
        <f t="shared" si="166"/>
        <v>0</v>
      </c>
      <c r="AH127" s="449">
        <f t="shared" si="166"/>
        <v>0</v>
      </c>
      <c r="AI127" s="449">
        <f t="shared" si="166"/>
        <v>0</v>
      </c>
      <c r="AJ127" s="449">
        <f t="shared" si="166"/>
        <v>0</v>
      </c>
      <c r="AK127" s="449">
        <f t="shared" si="166"/>
        <v>0</v>
      </c>
      <c r="AL127" s="449">
        <f t="shared" si="166"/>
        <v>0</v>
      </c>
      <c r="AN127" s="500">
        <f>SUM(L127:W127)</f>
        <v>0</v>
      </c>
      <c r="AO127" s="449">
        <f>SUM(BI127:BT127)</f>
        <v>6000</v>
      </c>
      <c r="AP127" s="449">
        <f t="shared" si="169"/>
        <v>6000</v>
      </c>
      <c r="AQ127" s="453" t="str">
        <f t="shared" si="170"/>
        <v>-</v>
      </c>
      <c r="AR127" s="449">
        <f t="shared" si="171"/>
        <v>6000</v>
      </c>
      <c r="AS127" s="449">
        <f t="shared" si="172"/>
        <v>0</v>
      </c>
      <c r="AT127" s="426">
        <f t="shared" si="173"/>
        <v>0</v>
      </c>
      <c r="AU127" s="421"/>
      <c r="AV127" s="449">
        <f t="shared" si="174"/>
        <v>0</v>
      </c>
      <c r="AW127" s="449">
        <f t="shared" si="174"/>
        <v>0</v>
      </c>
      <c r="AX127" s="449">
        <f t="shared" si="174"/>
        <v>0</v>
      </c>
      <c r="AY127" s="449">
        <f t="shared" si="174"/>
        <v>6000</v>
      </c>
      <c r="AZ127" s="449">
        <f t="shared" si="174"/>
        <v>0</v>
      </c>
      <c r="BA127" s="449">
        <f t="shared" si="174"/>
        <v>0</v>
      </c>
      <c r="BB127" s="449">
        <f t="shared" si="174"/>
        <v>0</v>
      </c>
      <c r="BC127" s="449">
        <f t="shared" si="174"/>
        <v>0</v>
      </c>
      <c r="BD127" s="449">
        <f t="shared" si="174"/>
        <v>0</v>
      </c>
      <c r="BE127" s="449">
        <f t="shared" si="174"/>
        <v>0</v>
      </c>
      <c r="BF127" s="449">
        <f t="shared" si="174"/>
        <v>0</v>
      </c>
      <c r="BG127" s="449">
        <f t="shared" si="174"/>
        <v>0</v>
      </c>
      <c r="BH127" s="400"/>
      <c r="BI127" s="449">
        <v>0</v>
      </c>
      <c r="BJ127" s="449">
        <v>0</v>
      </c>
      <c r="BK127" s="449">
        <v>0</v>
      </c>
      <c r="BL127" s="449">
        <f>SUM('FY19 Staffing V1-1 (3)'!$J$71:$J$78)</f>
        <v>6000</v>
      </c>
      <c r="BM127" s="449">
        <v>0</v>
      </c>
      <c r="BN127" s="449">
        <v>0</v>
      </c>
      <c r="BO127" s="449">
        <v>0</v>
      </c>
      <c r="BP127" s="449">
        <v>0</v>
      </c>
      <c r="BQ127" s="449">
        <v>0</v>
      </c>
      <c r="BR127" s="449">
        <v>0</v>
      </c>
      <c r="BS127" s="449">
        <v>0</v>
      </c>
      <c r="BT127" s="449">
        <v>0</v>
      </c>
    </row>
    <row r="128" spans="1:74" ht="15" x14ac:dyDescent="0.25">
      <c r="A128" s="537" t="s">
        <v>195</v>
      </c>
      <c r="B128" s="537" t="s">
        <v>196</v>
      </c>
      <c r="C128" s="596"/>
      <c r="D128" s="500">
        <f>SUM(L128:W128)</f>
        <v>0</v>
      </c>
      <c r="E128" s="449">
        <v>0</v>
      </c>
      <c r="F128" s="449">
        <f t="shared" si="161"/>
        <v>0</v>
      </c>
      <c r="G128" s="421">
        <f t="shared" si="162"/>
        <v>0</v>
      </c>
      <c r="H128" s="449">
        <v>0</v>
      </c>
      <c r="I128" s="449">
        <f t="shared" si="163"/>
        <v>0</v>
      </c>
      <c r="J128" s="426">
        <f t="shared" si="164"/>
        <v>0</v>
      </c>
      <c r="K128" s="421"/>
      <c r="L128" s="449">
        <v>0</v>
      </c>
      <c r="M128" s="449">
        <v>0</v>
      </c>
      <c r="N128" s="449">
        <v>0</v>
      </c>
      <c r="O128" s="449">
        <v>0</v>
      </c>
      <c r="P128" s="449">
        <v>0</v>
      </c>
      <c r="Q128" s="449">
        <v>0</v>
      </c>
      <c r="R128" s="449">
        <f>($H128-SUM($L128:Q128))/R$694</f>
        <v>0</v>
      </c>
      <c r="S128" s="449">
        <f>($H128-SUM($L128:R128))/S$694</f>
        <v>0</v>
      </c>
      <c r="T128" s="449">
        <f>($H128-SUM($L128:S128))/T$694</f>
        <v>0</v>
      </c>
      <c r="U128" s="449">
        <f>($H128-SUM($L128:T128))/U$694</f>
        <v>0</v>
      </c>
      <c r="V128" s="449">
        <f>($H128-SUM($L128:U128))/V$694</f>
        <v>0</v>
      </c>
      <c r="W128" s="449">
        <f>($H128-SUM($L128:V128))/W$694</f>
        <v>0</v>
      </c>
      <c r="X128" s="449"/>
      <c r="Y128" s="449">
        <f t="shared" si="165"/>
        <v>0</v>
      </c>
      <c r="Z128" s="531"/>
      <c r="AA128" s="449">
        <f t="shared" si="166"/>
        <v>0</v>
      </c>
      <c r="AB128" s="449">
        <f t="shared" si="166"/>
        <v>0</v>
      </c>
      <c r="AC128" s="449">
        <f t="shared" si="166"/>
        <v>0</v>
      </c>
      <c r="AD128" s="449">
        <f t="shared" si="166"/>
        <v>0</v>
      </c>
      <c r="AE128" s="449">
        <f t="shared" si="166"/>
        <v>0</v>
      </c>
      <c r="AF128" s="449">
        <f t="shared" si="166"/>
        <v>0</v>
      </c>
      <c r="AG128" s="449">
        <f t="shared" si="166"/>
        <v>0</v>
      </c>
      <c r="AH128" s="449">
        <f t="shared" si="166"/>
        <v>0</v>
      </c>
      <c r="AI128" s="449">
        <f t="shared" si="166"/>
        <v>0</v>
      </c>
      <c r="AJ128" s="449">
        <f t="shared" si="166"/>
        <v>0</v>
      </c>
      <c r="AK128" s="449">
        <f t="shared" si="166"/>
        <v>0</v>
      </c>
      <c r="AL128" s="449">
        <f t="shared" si="166"/>
        <v>0</v>
      </c>
      <c r="AN128" s="500">
        <f>SUM(L128:W128)</f>
        <v>0</v>
      </c>
      <c r="AO128" s="449">
        <f>SUM(BI128:BT128)</f>
        <v>0</v>
      </c>
      <c r="AP128" s="449">
        <f t="shared" si="169"/>
        <v>0</v>
      </c>
      <c r="AQ128" s="453" t="str">
        <f t="shared" si="170"/>
        <v>-</v>
      </c>
      <c r="AR128" s="449">
        <f t="shared" si="171"/>
        <v>0</v>
      </c>
      <c r="AS128" s="449">
        <f t="shared" si="172"/>
        <v>0</v>
      </c>
      <c r="AT128" s="426">
        <f t="shared" si="173"/>
        <v>0</v>
      </c>
      <c r="AU128" s="421"/>
      <c r="AV128" s="449">
        <f t="shared" si="174"/>
        <v>0</v>
      </c>
      <c r="AW128" s="449">
        <f t="shared" si="174"/>
        <v>0</v>
      </c>
      <c r="AX128" s="449">
        <f t="shared" si="174"/>
        <v>0</v>
      </c>
      <c r="AY128" s="449">
        <f t="shared" si="174"/>
        <v>0</v>
      </c>
      <c r="AZ128" s="449">
        <f t="shared" si="174"/>
        <v>0</v>
      </c>
      <c r="BA128" s="449">
        <f t="shared" si="174"/>
        <v>0</v>
      </c>
      <c r="BB128" s="449">
        <f t="shared" si="174"/>
        <v>0</v>
      </c>
      <c r="BC128" s="449">
        <f t="shared" si="174"/>
        <v>0</v>
      </c>
      <c r="BD128" s="449">
        <f t="shared" si="174"/>
        <v>0</v>
      </c>
      <c r="BE128" s="449">
        <f t="shared" si="174"/>
        <v>0</v>
      </c>
      <c r="BF128" s="449">
        <f t="shared" si="174"/>
        <v>0</v>
      </c>
      <c r="BG128" s="449">
        <f t="shared" si="174"/>
        <v>0</v>
      </c>
      <c r="BH128" s="400"/>
      <c r="BI128" s="449">
        <v>0</v>
      </c>
      <c r="BJ128" s="449">
        <v>0</v>
      </c>
      <c r="BK128" s="449">
        <v>0</v>
      </c>
      <c r="BL128" s="449">
        <v>0</v>
      </c>
      <c r="BM128" s="449">
        <v>0</v>
      </c>
      <c r="BN128" s="449">
        <v>0</v>
      </c>
      <c r="BO128" s="449">
        <v>0</v>
      </c>
      <c r="BP128" s="449">
        <v>0</v>
      </c>
      <c r="BQ128" s="449">
        <v>0</v>
      </c>
      <c r="BR128" s="449">
        <v>0</v>
      </c>
      <c r="BS128" s="449">
        <v>0</v>
      </c>
      <c r="BT128" s="449">
        <v>0</v>
      </c>
    </row>
    <row r="129" spans="1:72" ht="15" x14ac:dyDescent="0.25">
      <c r="A129" s="502" t="s">
        <v>197</v>
      </c>
      <c r="B129" s="502" t="s">
        <v>198</v>
      </c>
      <c r="C129" s="596"/>
      <c r="D129" s="500">
        <f t="shared" si="160"/>
        <v>22762</v>
      </c>
      <c r="E129" s="449">
        <v>23332</v>
      </c>
      <c r="F129" s="449">
        <f t="shared" si="161"/>
        <v>-570</v>
      </c>
      <c r="G129" s="421">
        <f t="shared" si="162"/>
        <v>-2.4429967426710098E-2</v>
      </c>
      <c r="H129" s="449">
        <v>22762</v>
      </c>
      <c r="I129" s="449">
        <f t="shared" si="163"/>
        <v>0</v>
      </c>
      <c r="J129" s="426">
        <f t="shared" si="164"/>
        <v>0</v>
      </c>
      <c r="K129" s="421"/>
      <c r="L129" s="449">
        <v>0</v>
      </c>
      <c r="M129" s="449">
        <v>2623.03</v>
      </c>
      <c r="N129" s="449">
        <v>1545.9599999999996</v>
      </c>
      <c r="O129" s="449">
        <v>1652.75</v>
      </c>
      <c r="P129" s="449">
        <v>1366.37</v>
      </c>
      <c r="Q129" s="449">
        <v>1541.7400000000007</v>
      </c>
      <c r="R129" s="449">
        <f>($H129-SUM($L129:Q129))/R$694</f>
        <v>2338.6916666666666</v>
      </c>
      <c r="S129" s="449">
        <f>($H129-SUM($L129:R129))/S$694</f>
        <v>2338.6916666666666</v>
      </c>
      <c r="T129" s="449">
        <f>($H129-SUM($L129:S129))/T$694</f>
        <v>2338.6916666666666</v>
      </c>
      <c r="U129" s="449">
        <f>($H129-SUM($L129:T129))/U$694</f>
        <v>2338.6916666666671</v>
      </c>
      <c r="V129" s="449">
        <f>($H129-SUM($L129:U129))/V$694</f>
        <v>2338.6916666666675</v>
      </c>
      <c r="W129" s="449">
        <f>($H129-SUM($L129:V129))/W$694</f>
        <v>2338.6916666666657</v>
      </c>
      <c r="X129" s="449"/>
      <c r="Y129" s="449">
        <f t="shared" si="165"/>
        <v>22762</v>
      </c>
      <c r="Z129" s="531"/>
      <c r="AA129" s="449">
        <f t="shared" si="166"/>
        <v>1896.8333333333333</v>
      </c>
      <c r="AB129" s="449">
        <f t="shared" si="166"/>
        <v>1896.8333333333333</v>
      </c>
      <c r="AC129" s="449">
        <f t="shared" si="166"/>
        <v>1896.8333333333333</v>
      </c>
      <c r="AD129" s="449">
        <f t="shared" si="166"/>
        <v>1896.8333333333333</v>
      </c>
      <c r="AE129" s="449">
        <f t="shared" si="166"/>
        <v>1896.8333333333333</v>
      </c>
      <c r="AF129" s="449">
        <f t="shared" si="166"/>
        <v>1896.8333333333333</v>
      </c>
      <c r="AG129" s="449">
        <f t="shared" si="166"/>
        <v>1896.8333333333333</v>
      </c>
      <c r="AH129" s="449">
        <f t="shared" si="166"/>
        <v>1896.8333333333333</v>
      </c>
      <c r="AI129" s="449">
        <f t="shared" si="166"/>
        <v>1896.8333333333333</v>
      </c>
      <c r="AJ129" s="449">
        <f t="shared" si="166"/>
        <v>1896.8333333333333</v>
      </c>
      <c r="AK129" s="449">
        <f t="shared" si="166"/>
        <v>1896.8333333333333</v>
      </c>
      <c r="AL129" s="449">
        <f t="shared" si="166"/>
        <v>1896.8333333333333</v>
      </c>
      <c r="AN129" s="500">
        <f t="shared" si="167"/>
        <v>22762</v>
      </c>
      <c r="AO129" s="449">
        <f t="shared" si="168"/>
        <v>44956.130000000005</v>
      </c>
      <c r="AP129" s="449">
        <f t="shared" si="169"/>
        <v>22194.130000000005</v>
      </c>
      <c r="AQ129" s="453">
        <f t="shared" si="170"/>
        <v>0.97505184078727725</v>
      </c>
      <c r="AR129" s="449">
        <f t="shared" si="171"/>
        <v>44956.130000000005</v>
      </c>
      <c r="AS129" s="449">
        <f t="shared" si="172"/>
        <v>0</v>
      </c>
      <c r="AT129" s="426">
        <f t="shared" si="173"/>
        <v>0</v>
      </c>
      <c r="AU129" s="421"/>
      <c r="AV129" s="449">
        <f t="shared" si="174"/>
        <v>0</v>
      </c>
      <c r="AW129" s="449">
        <f t="shared" si="174"/>
        <v>3746.3441666666672</v>
      </c>
      <c r="AX129" s="449">
        <f t="shared" si="174"/>
        <v>3746.3441666666672</v>
      </c>
      <c r="AY129" s="449">
        <f t="shared" si="174"/>
        <v>3746.3441666666672</v>
      </c>
      <c r="AZ129" s="449">
        <f t="shared" si="174"/>
        <v>3746.3441666666672</v>
      </c>
      <c r="BA129" s="449">
        <f t="shared" si="174"/>
        <v>3746.3441666666672</v>
      </c>
      <c r="BB129" s="449">
        <f t="shared" si="174"/>
        <v>3746.3441666666672</v>
      </c>
      <c r="BC129" s="449">
        <f t="shared" si="174"/>
        <v>3746.3441666666672</v>
      </c>
      <c r="BD129" s="449">
        <f t="shared" si="174"/>
        <v>3746.3441666666672</v>
      </c>
      <c r="BE129" s="449">
        <f t="shared" si="174"/>
        <v>3746.3441666666672</v>
      </c>
      <c r="BF129" s="449">
        <f t="shared" si="174"/>
        <v>3746.3441666666672</v>
      </c>
      <c r="BG129" s="449">
        <f t="shared" si="174"/>
        <v>7492.6883333333344</v>
      </c>
      <c r="BH129" s="400"/>
      <c r="BI129" s="449">
        <v>0</v>
      </c>
      <c r="BJ129" s="449">
        <f>SUM('FY19 Staffing V1-1 (3)'!$Q$71:$R$78,'FY19 Staffing V1-1 (3)'!$T$71:$U$78)/12</f>
        <v>3746.3441666666672</v>
      </c>
      <c r="BK129" s="449">
        <f>SUM('FY19 Staffing V1-1 (3)'!$Q$71:$R$78,'FY19 Staffing V1-1 (3)'!$T$71:$U$78)/12</f>
        <v>3746.3441666666672</v>
      </c>
      <c r="BL129" s="449">
        <f>SUM('FY19 Staffing V1-1 (3)'!$Q$71:$R$78,'FY19 Staffing V1-1 (3)'!$T$71:$U$78)/12</f>
        <v>3746.3441666666672</v>
      </c>
      <c r="BM129" s="449">
        <f>SUM('FY19 Staffing V1-1 (3)'!$Q$71:$R$78,'FY19 Staffing V1-1 (3)'!$T$71:$U$78)/12</f>
        <v>3746.3441666666672</v>
      </c>
      <c r="BN129" s="449">
        <f>SUM('FY19 Staffing V1-1 (3)'!$Q$71:$R$78,'FY19 Staffing V1-1 (3)'!$T$71:$U$78)/12</f>
        <v>3746.3441666666672</v>
      </c>
      <c r="BO129" s="449">
        <f>SUM('FY19 Staffing V1-1 (3)'!$Q$71:$R$78,'FY19 Staffing V1-1 (3)'!$T$71:$U$78)/12</f>
        <v>3746.3441666666672</v>
      </c>
      <c r="BP129" s="449">
        <f>SUM('FY19 Staffing V1-1 (3)'!$Q$71:$R$78,'FY19 Staffing V1-1 (3)'!$T$71:$U$78)/12</f>
        <v>3746.3441666666672</v>
      </c>
      <c r="BQ129" s="449">
        <f>SUM('FY19 Staffing V1-1 (3)'!$Q$71:$R$78,'FY19 Staffing V1-1 (3)'!$T$71:$U$78)/12</f>
        <v>3746.3441666666672</v>
      </c>
      <c r="BR129" s="449">
        <f>SUM('FY19 Staffing V1-1 (3)'!$Q$71:$R$78,'FY19 Staffing V1-1 (3)'!$T$71:$U$78)/12</f>
        <v>3746.3441666666672</v>
      </c>
      <c r="BS129" s="449">
        <f>SUM('FY19 Staffing V1-1 (3)'!$Q$71:$R$78,'FY19 Staffing V1-1 (3)'!$T$71:$U$78)/12</f>
        <v>3746.3441666666672</v>
      </c>
      <c r="BT129" s="449">
        <f>SUM('FY19 Staffing V1-1 (3)'!$Q$71:$R$78,'FY19 Staffing V1-1 (3)'!$T$71:$U$78)/12*2</f>
        <v>7492.6883333333344</v>
      </c>
    </row>
    <row r="130" spans="1:72" ht="15" x14ac:dyDescent="0.25">
      <c r="A130" s="537" t="s">
        <v>199</v>
      </c>
      <c r="B130" s="537" t="s">
        <v>106</v>
      </c>
      <c r="C130" s="596"/>
      <c r="D130" s="500">
        <f>SUM(L130:W130)</f>
        <v>0</v>
      </c>
      <c r="E130" s="449">
        <v>0</v>
      </c>
      <c r="F130" s="449">
        <f t="shared" si="161"/>
        <v>0</v>
      </c>
      <c r="G130" s="421">
        <f t="shared" si="162"/>
        <v>0</v>
      </c>
      <c r="H130" s="449">
        <v>0</v>
      </c>
      <c r="I130" s="449">
        <f t="shared" si="163"/>
        <v>0</v>
      </c>
      <c r="J130" s="426">
        <f t="shared" si="164"/>
        <v>0</v>
      </c>
      <c r="K130" s="421"/>
      <c r="L130" s="449">
        <v>0</v>
      </c>
      <c r="M130" s="449">
        <v>0</v>
      </c>
      <c r="N130" s="449">
        <v>0</v>
      </c>
      <c r="O130" s="449">
        <v>0</v>
      </c>
      <c r="P130" s="449">
        <v>0</v>
      </c>
      <c r="Q130" s="449">
        <v>0</v>
      </c>
      <c r="R130" s="449">
        <f>($H130-SUM($L130:Q130))/R$694</f>
        <v>0</v>
      </c>
      <c r="S130" s="449">
        <f>($H130-SUM($L130:R130))/S$694</f>
        <v>0</v>
      </c>
      <c r="T130" s="449">
        <f>($H130-SUM($L130:S130))/T$694</f>
        <v>0</v>
      </c>
      <c r="U130" s="449">
        <f>($H130-SUM($L130:T130))/U$694</f>
        <v>0</v>
      </c>
      <c r="V130" s="449">
        <f>($H130-SUM($L130:U130))/V$694</f>
        <v>0</v>
      </c>
      <c r="W130" s="449">
        <f>($H130-SUM($L130:V130))/W$694</f>
        <v>0</v>
      </c>
      <c r="X130" s="449"/>
      <c r="Y130" s="449">
        <f t="shared" si="165"/>
        <v>0</v>
      </c>
      <c r="Z130" s="531"/>
      <c r="AA130" s="449">
        <f t="shared" si="166"/>
        <v>0</v>
      </c>
      <c r="AB130" s="449">
        <f t="shared" si="166"/>
        <v>0</v>
      </c>
      <c r="AC130" s="449">
        <f t="shared" si="166"/>
        <v>0</v>
      </c>
      <c r="AD130" s="449">
        <f t="shared" si="166"/>
        <v>0</v>
      </c>
      <c r="AE130" s="449">
        <f t="shared" si="166"/>
        <v>0</v>
      </c>
      <c r="AF130" s="449">
        <f t="shared" si="166"/>
        <v>0</v>
      </c>
      <c r="AG130" s="449">
        <f t="shared" si="166"/>
        <v>0</v>
      </c>
      <c r="AH130" s="449">
        <f t="shared" si="166"/>
        <v>0</v>
      </c>
      <c r="AI130" s="449">
        <f t="shared" si="166"/>
        <v>0</v>
      </c>
      <c r="AJ130" s="449">
        <f t="shared" si="166"/>
        <v>0</v>
      </c>
      <c r="AK130" s="449">
        <f t="shared" si="166"/>
        <v>0</v>
      </c>
      <c r="AL130" s="449">
        <f t="shared" si="166"/>
        <v>0</v>
      </c>
      <c r="AN130" s="500">
        <f>SUM(L130:W130)</f>
        <v>0</v>
      </c>
      <c r="AO130" s="449">
        <f>SUM(BI130:BT130)</f>
        <v>2513.8659512195118</v>
      </c>
      <c r="AP130" s="449">
        <f t="shared" si="169"/>
        <v>2513.8659512195118</v>
      </c>
      <c r="AQ130" s="453" t="str">
        <f t="shared" si="170"/>
        <v>-</v>
      </c>
      <c r="AR130" s="449">
        <f t="shared" si="171"/>
        <v>2513.8659512195118</v>
      </c>
      <c r="AS130" s="449">
        <f t="shared" si="172"/>
        <v>0</v>
      </c>
      <c r="AT130" s="426">
        <f t="shared" si="173"/>
        <v>0</v>
      </c>
      <c r="AU130" s="421"/>
      <c r="AV130" s="449">
        <f t="shared" si="174"/>
        <v>0</v>
      </c>
      <c r="AW130" s="449">
        <f t="shared" si="174"/>
        <v>0</v>
      </c>
      <c r="AX130" s="449">
        <f t="shared" si="174"/>
        <v>228.53326829268292</v>
      </c>
      <c r="AY130" s="449">
        <f t="shared" si="174"/>
        <v>228.53326829268292</v>
      </c>
      <c r="AZ130" s="449">
        <f t="shared" si="174"/>
        <v>228.53326829268292</v>
      </c>
      <c r="BA130" s="449">
        <f t="shared" si="174"/>
        <v>228.53326829268292</v>
      </c>
      <c r="BB130" s="449">
        <f t="shared" si="174"/>
        <v>228.53326829268292</v>
      </c>
      <c r="BC130" s="449">
        <f t="shared" si="174"/>
        <v>228.53326829268292</v>
      </c>
      <c r="BD130" s="449">
        <f t="shared" si="174"/>
        <v>228.53326829268292</v>
      </c>
      <c r="BE130" s="449">
        <f t="shared" si="174"/>
        <v>228.53326829268292</v>
      </c>
      <c r="BF130" s="449">
        <f t="shared" si="174"/>
        <v>228.53326829268292</v>
      </c>
      <c r="BG130" s="449">
        <f t="shared" si="174"/>
        <v>457.06653658536584</v>
      </c>
      <c r="BH130" s="400"/>
      <c r="BI130" s="449">
        <v>0</v>
      </c>
      <c r="BJ130" s="449">
        <v>0</v>
      </c>
      <c r="BK130" s="449">
        <f>(SUM('FY19 Staffing V1-1 (3)'!$Q$144:$R$144,'FY19 Staffing V1-1 (3)'!$T$144:$U$144)/10)*(8/41)</f>
        <v>228.53326829268292</v>
      </c>
      <c r="BL130" s="449">
        <f>(SUM('FY19 Staffing V1-1 (3)'!$Q$144:$R$144,'FY19 Staffing V1-1 (3)'!$T$144:$U$144)/10)*(8/41)</f>
        <v>228.53326829268292</v>
      </c>
      <c r="BM130" s="449">
        <f>(SUM('FY19 Staffing V1-1 (3)'!$Q$144:$R$144,'FY19 Staffing V1-1 (3)'!$T$144:$U$144)/10)*(8/41)</f>
        <v>228.53326829268292</v>
      </c>
      <c r="BN130" s="449">
        <f>(SUM('FY19 Staffing V1-1 (3)'!$Q$144:$R$144,'FY19 Staffing V1-1 (3)'!$T$144:$U$144)/10)*(8/41)</f>
        <v>228.53326829268292</v>
      </c>
      <c r="BO130" s="449">
        <f>(SUM('FY19 Staffing V1-1 (3)'!$Q$144:$R$144,'FY19 Staffing V1-1 (3)'!$T$144:$U$144)/10)*(8/41)</f>
        <v>228.53326829268292</v>
      </c>
      <c r="BP130" s="449">
        <f>(SUM('FY19 Staffing V1-1 (3)'!$Q$144:$R$144,'FY19 Staffing V1-1 (3)'!$T$144:$U$144)/10)*(8/41)</f>
        <v>228.53326829268292</v>
      </c>
      <c r="BQ130" s="449">
        <f>(SUM('FY19 Staffing V1-1 (3)'!$Q$144:$R$144,'FY19 Staffing V1-1 (3)'!$T$144:$U$144)/10)*(8/41)</f>
        <v>228.53326829268292</v>
      </c>
      <c r="BR130" s="449">
        <f>(SUM('FY19 Staffing V1-1 (3)'!$Q$144:$R$144,'FY19 Staffing V1-1 (3)'!$T$144:$U$144)/10)*(8/41)</f>
        <v>228.53326829268292</v>
      </c>
      <c r="BS130" s="449">
        <f>(SUM('FY19 Staffing V1-1 (3)'!$Q$144:$R$144,'FY19 Staffing V1-1 (3)'!$T$144:$U$144)/10)*(8/41)</f>
        <v>228.53326829268292</v>
      </c>
      <c r="BT130" s="449">
        <f>(SUM('FY19 Staffing V1-1 (3)'!$Q$144:$R$144,'FY19 Staffing V1-1 (3)'!$T$144:$U$144)/10)*(8/41)*2</f>
        <v>457.06653658536584</v>
      </c>
    </row>
    <row r="131" spans="1:72" ht="15" x14ac:dyDescent="0.25">
      <c r="A131" s="502" t="s">
        <v>200</v>
      </c>
      <c r="B131" s="502" t="s">
        <v>201</v>
      </c>
      <c r="C131" s="596"/>
      <c r="D131" s="500">
        <f t="shared" si="160"/>
        <v>25720</v>
      </c>
      <c r="E131" s="449">
        <v>26819</v>
      </c>
      <c r="F131" s="449">
        <f t="shared" si="161"/>
        <v>-1099</v>
      </c>
      <c r="G131" s="421">
        <f t="shared" si="162"/>
        <v>-4.0978410828144227E-2</v>
      </c>
      <c r="H131" s="449">
        <v>25720</v>
      </c>
      <c r="I131" s="449">
        <f t="shared" si="163"/>
        <v>0</v>
      </c>
      <c r="J131" s="426">
        <f t="shared" si="164"/>
        <v>0</v>
      </c>
      <c r="K131" s="421"/>
      <c r="L131" s="449">
        <v>0</v>
      </c>
      <c r="M131" s="449">
        <v>0</v>
      </c>
      <c r="N131" s="449">
        <v>0</v>
      </c>
      <c r="O131" s="449">
        <v>6262.99</v>
      </c>
      <c r="P131" s="449">
        <v>3128.8500000000004</v>
      </c>
      <c r="Q131" s="449">
        <v>2098.2600000000002</v>
      </c>
      <c r="R131" s="449">
        <f>($H131-SUM($L131:Q131))/R$694</f>
        <v>2371.65</v>
      </c>
      <c r="S131" s="449">
        <f>($H131-SUM($L131:R131))/S$694</f>
        <v>2371.65</v>
      </c>
      <c r="T131" s="449">
        <f>($H131-SUM($L131:S131))/T$694</f>
        <v>2371.65</v>
      </c>
      <c r="U131" s="449">
        <f>($H131-SUM($L131:T131))/U$694</f>
        <v>2371.65</v>
      </c>
      <c r="V131" s="449">
        <f>($H131-SUM($L131:U131))/V$694</f>
        <v>2371.6499999999996</v>
      </c>
      <c r="W131" s="449">
        <f>($H131-SUM($L131:V131))/W$694</f>
        <v>2371.6500000000015</v>
      </c>
      <c r="X131" s="449"/>
      <c r="Y131" s="449">
        <f t="shared" si="165"/>
        <v>25720</v>
      </c>
      <c r="Z131" s="531"/>
      <c r="AA131" s="449">
        <f t="shared" si="166"/>
        <v>2143.3333333333335</v>
      </c>
      <c r="AB131" s="449">
        <f t="shared" si="166"/>
        <v>2143.3333333333335</v>
      </c>
      <c r="AC131" s="449">
        <f t="shared" si="166"/>
        <v>2143.3333333333335</v>
      </c>
      <c r="AD131" s="449">
        <f t="shared" si="166"/>
        <v>2143.3333333333335</v>
      </c>
      <c r="AE131" s="449">
        <f t="shared" si="166"/>
        <v>2143.3333333333335</v>
      </c>
      <c r="AF131" s="449">
        <f t="shared" si="166"/>
        <v>2143.3333333333335</v>
      </c>
      <c r="AG131" s="449">
        <f t="shared" si="166"/>
        <v>2143.3333333333335</v>
      </c>
      <c r="AH131" s="449">
        <f t="shared" si="166"/>
        <v>2143.3333333333335</v>
      </c>
      <c r="AI131" s="449">
        <f t="shared" si="166"/>
        <v>2143.3333333333335</v>
      </c>
      <c r="AJ131" s="449">
        <f t="shared" si="166"/>
        <v>2143.3333333333335</v>
      </c>
      <c r="AK131" s="449">
        <f t="shared" si="166"/>
        <v>2143.3333333333335</v>
      </c>
      <c r="AL131" s="449">
        <f t="shared" si="166"/>
        <v>2143.3333333333335</v>
      </c>
      <c r="AN131" s="500">
        <f t="shared" si="167"/>
        <v>25720</v>
      </c>
      <c r="AO131" s="449">
        <f t="shared" si="168"/>
        <v>47641.399967279991</v>
      </c>
      <c r="AP131" s="449">
        <f t="shared" si="169"/>
        <v>21921.399967279991</v>
      </c>
      <c r="AQ131" s="453">
        <f t="shared" si="170"/>
        <v>0.85230948550855334</v>
      </c>
      <c r="AR131" s="449">
        <f t="shared" si="171"/>
        <v>47641.399967279991</v>
      </c>
      <c r="AS131" s="449">
        <f t="shared" si="172"/>
        <v>0</v>
      </c>
      <c r="AT131" s="426">
        <f t="shared" si="173"/>
        <v>0</v>
      </c>
      <c r="AU131" s="421"/>
      <c r="AV131" s="449">
        <f t="shared" si="174"/>
        <v>0</v>
      </c>
      <c r="AW131" s="449">
        <f t="shared" si="174"/>
        <v>3970.1166639399994</v>
      </c>
      <c r="AX131" s="449">
        <f t="shared" si="174"/>
        <v>3970.1166639399994</v>
      </c>
      <c r="AY131" s="449">
        <f t="shared" si="174"/>
        <v>3970.1166639399994</v>
      </c>
      <c r="AZ131" s="449">
        <f t="shared" si="174"/>
        <v>3970.1166639399994</v>
      </c>
      <c r="BA131" s="449">
        <f t="shared" si="174"/>
        <v>3970.1166639399994</v>
      </c>
      <c r="BB131" s="449">
        <f t="shared" si="174"/>
        <v>3970.1166639399994</v>
      </c>
      <c r="BC131" s="449">
        <f t="shared" si="174"/>
        <v>3970.1166639399994</v>
      </c>
      <c r="BD131" s="449">
        <f t="shared" si="174"/>
        <v>3970.1166639399994</v>
      </c>
      <c r="BE131" s="449">
        <f t="shared" si="174"/>
        <v>3970.1166639399994</v>
      </c>
      <c r="BF131" s="449">
        <f t="shared" si="174"/>
        <v>3970.1166639399994</v>
      </c>
      <c r="BG131" s="449">
        <f t="shared" si="174"/>
        <v>7940.2333278799988</v>
      </c>
      <c r="BH131" s="400"/>
      <c r="BI131" s="449">
        <v>0</v>
      </c>
      <c r="BJ131" s="449">
        <f>SUM('FY19 Staffing V1-1 (3)'!$W$71:$W$78)/12</f>
        <v>3970.1166639399994</v>
      </c>
      <c r="BK131" s="449">
        <f>SUM('FY19 Staffing V1-1 (3)'!$W$71:$W$78)/12</f>
        <v>3970.1166639399994</v>
      </c>
      <c r="BL131" s="449">
        <f>SUM('FY19 Staffing V1-1 (3)'!$W$71:$W$78)/12</f>
        <v>3970.1166639399994</v>
      </c>
      <c r="BM131" s="449">
        <f>SUM('FY19 Staffing V1-1 (3)'!$W$71:$W$78)/12</f>
        <v>3970.1166639399994</v>
      </c>
      <c r="BN131" s="449">
        <f>SUM('FY19 Staffing V1-1 (3)'!$W$71:$W$78)/12</f>
        <v>3970.1166639399994</v>
      </c>
      <c r="BO131" s="449">
        <f>SUM('FY19 Staffing V1-1 (3)'!$W$71:$W$78)/12</f>
        <v>3970.1166639399994</v>
      </c>
      <c r="BP131" s="449">
        <f>SUM('FY19 Staffing V1-1 (3)'!$W$71:$W$78)/12</f>
        <v>3970.1166639399994</v>
      </c>
      <c r="BQ131" s="449">
        <f>SUM('FY19 Staffing V1-1 (3)'!$W$71:$W$78)/12</f>
        <v>3970.1166639399994</v>
      </c>
      <c r="BR131" s="449">
        <f>SUM('FY19 Staffing V1-1 (3)'!$W$71:$W$78)/12</f>
        <v>3970.1166639399994</v>
      </c>
      <c r="BS131" s="449">
        <f>SUM('FY19 Staffing V1-1 (3)'!$W$71:$W$78)/12</f>
        <v>3970.1166639399994</v>
      </c>
      <c r="BT131" s="449">
        <f>SUM('FY19 Staffing V1-1 (3)'!$W$71:$W$78)/12*2</f>
        <v>7940.2333278799988</v>
      </c>
    </row>
    <row r="132" spans="1:72" ht="15" hidden="1" x14ac:dyDescent="0.25">
      <c r="A132" s="502" t="s">
        <v>202</v>
      </c>
      <c r="B132" s="502" t="s">
        <v>203</v>
      </c>
      <c r="C132" s="596"/>
      <c r="D132" s="500">
        <f t="shared" si="160"/>
        <v>0</v>
      </c>
      <c r="E132" s="449">
        <v>0</v>
      </c>
      <c r="F132" s="449">
        <f t="shared" si="161"/>
        <v>0</v>
      </c>
      <c r="G132" s="421">
        <f t="shared" si="162"/>
        <v>0</v>
      </c>
      <c r="H132" s="449">
        <v>0</v>
      </c>
      <c r="I132" s="449">
        <f t="shared" si="163"/>
        <v>0</v>
      </c>
      <c r="J132" s="426">
        <f t="shared" si="164"/>
        <v>0</v>
      </c>
      <c r="K132" s="421"/>
      <c r="L132" s="449">
        <v>0</v>
      </c>
      <c r="M132" s="449">
        <v>0</v>
      </c>
      <c r="N132" s="449">
        <v>0</v>
      </c>
      <c r="O132" s="449">
        <v>0</v>
      </c>
      <c r="P132" s="449">
        <v>0</v>
      </c>
      <c r="Q132" s="449">
        <v>0</v>
      </c>
      <c r="R132" s="449">
        <f>($H132-SUM($L132:Q132))/R$694</f>
        <v>0</v>
      </c>
      <c r="S132" s="449">
        <f>($H132-SUM($L132:R132))/S$694</f>
        <v>0</v>
      </c>
      <c r="T132" s="449">
        <f>($H132-SUM($L132:S132))/T$694</f>
        <v>0</v>
      </c>
      <c r="U132" s="449">
        <f>($H132-SUM($L132:T132))/U$694</f>
        <v>0</v>
      </c>
      <c r="V132" s="449">
        <f>($H132-SUM($L132:U132))/V$694</f>
        <v>0</v>
      </c>
      <c r="W132" s="449">
        <f>($H132-SUM($L132:V132))/W$694</f>
        <v>0</v>
      </c>
      <c r="X132" s="449"/>
      <c r="Y132" s="449">
        <f t="shared" si="165"/>
        <v>0</v>
      </c>
      <c r="Z132" s="531"/>
      <c r="AA132" s="449">
        <f t="shared" si="166"/>
        <v>0</v>
      </c>
      <c r="AB132" s="449">
        <f t="shared" si="166"/>
        <v>0</v>
      </c>
      <c r="AC132" s="449">
        <f t="shared" si="166"/>
        <v>0</v>
      </c>
      <c r="AD132" s="449">
        <f t="shared" si="166"/>
        <v>0</v>
      </c>
      <c r="AE132" s="449">
        <f t="shared" si="166"/>
        <v>0</v>
      </c>
      <c r="AF132" s="449">
        <f t="shared" si="166"/>
        <v>0</v>
      </c>
      <c r="AG132" s="449">
        <f t="shared" si="166"/>
        <v>0</v>
      </c>
      <c r="AH132" s="449">
        <f t="shared" si="166"/>
        <v>0</v>
      </c>
      <c r="AI132" s="449">
        <f t="shared" si="166"/>
        <v>0</v>
      </c>
      <c r="AJ132" s="449">
        <f t="shared" si="166"/>
        <v>0</v>
      </c>
      <c r="AK132" s="449">
        <f t="shared" si="166"/>
        <v>0</v>
      </c>
      <c r="AL132" s="449">
        <f t="shared" si="166"/>
        <v>0</v>
      </c>
      <c r="AN132" s="500">
        <f t="shared" si="167"/>
        <v>0</v>
      </c>
      <c r="AO132" s="449">
        <f t="shared" si="168"/>
        <v>0</v>
      </c>
      <c r="AP132" s="449">
        <f t="shared" si="169"/>
        <v>0</v>
      </c>
      <c r="AQ132" s="453" t="str">
        <f t="shared" si="170"/>
        <v>-</v>
      </c>
      <c r="AR132" s="449">
        <f t="shared" si="171"/>
        <v>0</v>
      </c>
      <c r="AS132" s="449">
        <f t="shared" si="172"/>
        <v>0</v>
      </c>
      <c r="AT132" s="426">
        <f t="shared" si="173"/>
        <v>0</v>
      </c>
      <c r="AU132" s="421"/>
      <c r="AV132" s="449">
        <f t="shared" si="174"/>
        <v>0</v>
      </c>
      <c r="AW132" s="449">
        <f t="shared" si="174"/>
        <v>0</v>
      </c>
      <c r="AX132" s="449">
        <f t="shared" si="174"/>
        <v>0</v>
      </c>
      <c r="AY132" s="449">
        <f t="shared" si="174"/>
        <v>0</v>
      </c>
      <c r="AZ132" s="449">
        <f t="shared" si="174"/>
        <v>0</v>
      </c>
      <c r="BA132" s="449">
        <f t="shared" si="174"/>
        <v>0</v>
      </c>
      <c r="BB132" s="449">
        <f t="shared" si="174"/>
        <v>0</v>
      </c>
      <c r="BC132" s="449">
        <f t="shared" si="174"/>
        <v>0</v>
      </c>
      <c r="BD132" s="449">
        <f t="shared" si="174"/>
        <v>0</v>
      </c>
      <c r="BE132" s="449">
        <f t="shared" si="174"/>
        <v>0</v>
      </c>
      <c r="BF132" s="449">
        <f t="shared" si="174"/>
        <v>0</v>
      </c>
      <c r="BG132" s="449">
        <f t="shared" si="174"/>
        <v>0</v>
      </c>
      <c r="BH132" s="400"/>
      <c r="BI132" s="449">
        <v>0</v>
      </c>
      <c r="BJ132" s="449">
        <v>0</v>
      </c>
      <c r="BK132" s="449">
        <v>0</v>
      </c>
      <c r="BL132" s="449">
        <v>0</v>
      </c>
      <c r="BM132" s="449">
        <v>0</v>
      </c>
      <c r="BN132" s="449">
        <v>0</v>
      </c>
      <c r="BO132" s="449">
        <v>0</v>
      </c>
      <c r="BP132" s="449">
        <v>0</v>
      </c>
      <c r="BQ132" s="449">
        <v>0</v>
      </c>
      <c r="BR132" s="449">
        <v>0</v>
      </c>
      <c r="BS132" s="449">
        <v>0</v>
      </c>
      <c r="BT132" s="449">
        <v>0</v>
      </c>
    </row>
    <row r="133" spans="1:72" ht="15" hidden="1" x14ac:dyDescent="0.25">
      <c r="A133" s="502" t="s">
        <v>204</v>
      </c>
      <c r="B133" s="502" t="s">
        <v>205</v>
      </c>
      <c r="C133" s="596"/>
      <c r="D133" s="500">
        <f t="shared" si="160"/>
        <v>0</v>
      </c>
      <c r="E133" s="449">
        <v>0</v>
      </c>
      <c r="F133" s="449">
        <f t="shared" si="161"/>
        <v>0</v>
      </c>
      <c r="G133" s="421">
        <f t="shared" si="162"/>
        <v>0</v>
      </c>
      <c r="H133" s="449">
        <v>0</v>
      </c>
      <c r="I133" s="449">
        <f t="shared" si="163"/>
        <v>0</v>
      </c>
      <c r="J133" s="426">
        <f t="shared" si="164"/>
        <v>0</v>
      </c>
      <c r="K133" s="421"/>
      <c r="L133" s="449">
        <v>0</v>
      </c>
      <c r="M133" s="449">
        <v>0</v>
      </c>
      <c r="N133" s="449">
        <v>0</v>
      </c>
      <c r="O133" s="449">
        <v>0</v>
      </c>
      <c r="P133" s="449">
        <v>0</v>
      </c>
      <c r="Q133" s="449">
        <v>0</v>
      </c>
      <c r="R133" s="449">
        <f>($H133-SUM($L133:Q133))/R$694</f>
        <v>0</v>
      </c>
      <c r="S133" s="449">
        <f>($H133-SUM($L133:R133))/S$694</f>
        <v>0</v>
      </c>
      <c r="T133" s="449">
        <f>($H133-SUM($L133:S133))/T$694</f>
        <v>0</v>
      </c>
      <c r="U133" s="449">
        <f>($H133-SUM($L133:T133))/U$694</f>
        <v>0</v>
      </c>
      <c r="V133" s="449">
        <f>($H133-SUM($L133:U133))/V$694</f>
        <v>0</v>
      </c>
      <c r="W133" s="449">
        <f>($H133-SUM($L133:V133))/W$694</f>
        <v>0</v>
      </c>
      <c r="X133" s="449"/>
      <c r="Y133" s="449">
        <f t="shared" si="165"/>
        <v>0</v>
      </c>
      <c r="Z133" s="531"/>
      <c r="AA133" s="449">
        <f t="shared" si="166"/>
        <v>0</v>
      </c>
      <c r="AB133" s="449">
        <f t="shared" si="166"/>
        <v>0</v>
      </c>
      <c r="AC133" s="449">
        <f t="shared" si="166"/>
        <v>0</v>
      </c>
      <c r="AD133" s="449">
        <f t="shared" si="166"/>
        <v>0</v>
      </c>
      <c r="AE133" s="449">
        <f t="shared" si="166"/>
        <v>0</v>
      </c>
      <c r="AF133" s="449">
        <f t="shared" si="166"/>
        <v>0</v>
      </c>
      <c r="AG133" s="449">
        <f t="shared" si="166"/>
        <v>0</v>
      </c>
      <c r="AH133" s="449">
        <f t="shared" si="166"/>
        <v>0</v>
      </c>
      <c r="AI133" s="449">
        <f t="shared" si="166"/>
        <v>0</v>
      </c>
      <c r="AJ133" s="449">
        <f t="shared" si="166"/>
        <v>0</v>
      </c>
      <c r="AK133" s="449">
        <f t="shared" si="166"/>
        <v>0</v>
      </c>
      <c r="AL133" s="449">
        <f t="shared" si="166"/>
        <v>0</v>
      </c>
      <c r="AN133" s="500">
        <f t="shared" si="167"/>
        <v>0</v>
      </c>
      <c r="AO133" s="449">
        <f t="shared" si="168"/>
        <v>0</v>
      </c>
      <c r="AP133" s="449">
        <f t="shared" si="169"/>
        <v>0</v>
      </c>
      <c r="AQ133" s="453" t="str">
        <f t="shared" si="170"/>
        <v>-</v>
      </c>
      <c r="AR133" s="449">
        <f t="shared" si="171"/>
        <v>0</v>
      </c>
      <c r="AS133" s="449">
        <f t="shared" si="172"/>
        <v>0</v>
      </c>
      <c r="AT133" s="426">
        <f t="shared" si="173"/>
        <v>0</v>
      </c>
      <c r="AU133" s="421"/>
      <c r="AV133" s="449">
        <f t="shared" si="174"/>
        <v>0</v>
      </c>
      <c r="AW133" s="449">
        <f t="shared" si="174"/>
        <v>0</v>
      </c>
      <c r="AX133" s="449">
        <f t="shared" si="174"/>
        <v>0</v>
      </c>
      <c r="AY133" s="449">
        <f t="shared" si="174"/>
        <v>0</v>
      </c>
      <c r="AZ133" s="449">
        <f t="shared" si="174"/>
        <v>0</v>
      </c>
      <c r="BA133" s="449">
        <f t="shared" si="174"/>
        <v>0</v>
      </c>
      <c r="BB133" s="449">
        <f t="shared" si="174"/>
        <v>0</v>
      </c>
      <c r="BC133" s="449">
        <f t="shared" si="174"/>
        <v>0</v>
      </c>
      <c r="BD133" s="449">
        <f t="shared" si="174"/>
        <v>0</v>
      </c>
      <c r="BE133" s="449">
        <f t="shared" si="174"/>
        <v>0</v>
      </c>
      <c r="BF133" s="449">
        <f t="shared" si="174"/>
        <v>0</v>
      </c>
      <c r="BG133" s="449">
        <f t="shared" si="174"/>
        <v>0</v>
      </c>
      <c r="BH133" s="400"/>
      <c r="BI133" s="449">
        <v>0</v>
      </c>
      <c r="BJ133" s="449">
        <v>0</v>
      </c>
      <c r="BK133" s="449">
        <v>0</v>
      </c>
      <c r="BL133" s="449">
        <v>0</v>
      </c>
      <c r="BM133" s="449">
        <v>0</v>
      </c>
      <c r="BN133" s="449">
        <v>0</v>
      </c>
      <c r="BO133" s="449">
        <v>0</v>
      </c>
      <c r="BP133" s="449">
        <v>0</v>
      </c>
      <c r="BQ133" s="449">
        <v>0</v>
      </c>
      <c r="BR133" s="449">
        <v>0</v>
      </c>
      <c r="BS133" s="449">
        <v>0</v>
      </c>
      <c r="BT133" s="449">
        <v>0</v>
      </c>
    </row>
    <row r="134" spans="1:72" ht="15" hidden="1" x14ac:dyDescent="0.25">
      <c r="A134" s="502" t="s">
        <v>206</v>
      </c>
      <c r="B134" s="502" t="s">
        <v>207</v>
      </c>
      <c r="C134" s="596"/>
      <c r="D134" s="500">
        <f t="shared" si="160"/>
        <v>0</v>
      </c>
      <c r="E134" s="449">
        <v>0</v>
      </c>
      <c r="F134" s="449">
        <f t="shared" si="161"/>
        <v>0</v>
      </c>
      <c r="G134" s="421">
        <f t="shared" si="162"/>
        <v>0</v>
      </c>
      <c r="H134" s="449">
        <v>0</v>
      </c>
      <c r="I134" s="449">
        <f t="shared" si="163"/>
        <v>0</v>
      </c>
      <c r="J134" s="426">
        <f t="shared" si="164"/>
        <v>0</v>
      </c>
      <c r="K134" s="421"/>
      <c r="L134" s="449">
        <v>0</v>
      </c>
      <c r="M134" s="449">
        <v>0</v>
      </c>
      <c r="N134" s="449">
        <v>0</v>
      </c>
      <c r="O134" s="449">
        <v>0</v>
      </c>
      <c r="P134" s="449">
        <v>0</v>
      </c>
      <c r="Q134" s="449">
        <v>0</v>
      </c>
      <c r="R134" s="449">
        <f>($H134-SUM($L134:Q134))/R$694</f>
        <v>0</v>
      </c>
      <c r="S134" s="449">
        <f>($H134-SUM($L134:R134))/S$694</f>
        <v>0</v>
      </c>
      <c r="T134" s="449">
        <f>($H134-SUM($L134:S134))/T$694</f>
        <v>0</v>
      </c>
      <c r="U134" s="449">
        <f>($H134-SUM($L134:T134))/U$694</f>
        <v>0</v>
      </c>
      <c r="V134" s="449">
        <f>($H134-SUM($L134:U134))/V$694</f>
        <v>0</v>
      </c>
      <c r="W134" s="449">
        <f>($H134-SUM($L134:V134))/W$694</f>
        <v>0</v>
      </c>
      <c r="X134" s="449"/>
      <c r="Y134" s="449">
        <f t="shared" si="165"/>
        <v>0</v>
      </c>
      <c r="Z134" s="531"/>
      <c r="AA134" s="449">
        <f t="shared" si="166"/>
        <v>0</v>
      </c>
      <c r="AB134" s="449">
        <f t="shared" si="166"/>
        <v>0</v>
      </c>
      <c r="AC134" s="449">
        <f t="shared" si="166"/>
        <v>0</v>
      </c>
      <c r="AD134" s="449">
        <f t="shared" si="166"/>
        <v>0</v>
      </c>
      <c r="AE134" s="449">
        <f t="shared" si="166"/>
        <v>0</v>
      </c>
      <c r="AF134" s="449">
        <f t="shared" si="166"/>
        <v>0</v>
      </c>
      <c r="AG134" s="449">
        <f t="shared" si="166"/>
        <v>0</v>
      </c>
      <c r="AH134" s="449">
        <f t="shared" si="166"/>
        <v>0</v>
      </c>
      <c r="AI134" s="449">
        <f t="shared" si="166"/>
        <v>0</v>
      </c>
      <c r="AJ134" s="449">
        <f t="shared" si="166"/>
        <v>0</v>
      </c>
      <c r="AK134" s="449">
        <f t="shared" si="166"/>
        <v>0</v>
      </c>
      <c r="AL134" s="449">
        <f t="shared" si="166"/>
        <v>0</v>
      </c>
      <c r="AN134" s="500">
        <f t="shared" si="167"/>
        <v>0</v>
      </c>
      <c r="AO134" s="449">
        <f t="shared" si="168"/>
        <v>0</v>
      </c>
      <c r="AP134" s="449">
        <f t="shared" si="169"/>
        <v>0</v>
      </c>
      <c r="AQ134" s="453" t="str">
        <f t="shared" si="170"/>
        <v>-</v>
      </c>
      <c r="AR134" s="449">
        <f t="shared" si="171"/>
        <v>0</v>
      </c>
      <c r="AS134" s="449">
        <f t="shared" si="172"/>
        <v>0</v>
      </c>
      <c r="AT134" s="426">
        <f t="shared" si="173"/>
        <v>0</v>
      </c>
      <c r="AU134" s="421"/>
      <c r="AV134" s="449">
        <f t="shared" si="174"/>
        <v>0</v>
      </c>
      <c r="AW134" s="449">
        <f t="shared" si="174"/>
        <v>0</v>
      </c>
      <c r="AX134" s="449">
        <f t="shared" si="174"/>
        <v>0</v>
      </c>
      <c r="AY134" s="449">
        <f t="shared" si="174"/>
        <v>0</v>
      </c>
      <c r="AZ134" s="449">
        <f t="shared" si="174"/>
        <v>0</v>
      </c>
      <c r="BA134" s="449">
        <f t="shared" si="174"/>
        <v>0</v>
      </c>
      <c r="BB134" s="449">
        <f t="shared" si="174"/>
        <v>0</v>
      </c>
      <c r="BC134" s="449">
        <f t="shared" si="174"/>
        <v>0</v>
      </c>
      <c r="BD134" s="449">
        <f t="shared" si="174"/>
        <v>0</v>
      </c>
      <c r="BE134" s="449">
        <f t="shared" si="174"/>
        <v>0</v>
      </c>
      <c r="BF134" s="449">
        <f t="shared" si="174"/>
        <v>0</v>
      </c>
      <c r="BG134" s="449">
        <f t="shared" si="174"/>
        <v>0</v>
      </c>
      <c r="BH134" s="400"/>
      <c r="BI134" s="449">
        <v>0</v>
      </c>
      <c r="BJ134" s="449">
        <v>0</v>
      </c>
      <c r="BK134" s="449">
        <v>0</v>
      </c>
      <c r="BL134" s="449">
        <v>0</v>
      </c>
      <c r="BM134" s="449">
        <v>0</v>
      </c>
      <c r="BN134" s="449">
        <v>0</v>
      </c>
      <c r="BO134" s="449">
        <v>0</v>
      </c>
      <c r="BP134" s="449">
        <v>0</v>
      </c>
      <c r="BQ134" s="449">
        <v>0</v>
      </c>
      <c r="BR134" s="449">
        <v>0</v>
      </c>
      <c r="BS134" s="449">
        <v>0</v>
      </c>
      <c r="BT134" s="449">
        <v>0</v>
      </c>
    </row>
    <row r="135" spans="1:72" ht="15" hidden="1" x14ac:dyDescent="0.25">
      <c r="A135" s="502" t="s">
        <v>208</v>
      </c>
      <c r="B135" s="502" t="s">
        <v>209</v>
      </c>
      <c r="C135" s="596"/>
      <c r="D135" s="500">
        <f t="shared" si="160"/>
        <v>0</v>
      </c>
      <c r="E135" s="449">
        <v>0</v>
      </c>
      <c r="F135" s="449">
        <f t="shared" si="161"/>
        <v>0</v>
      </c>
      <c r="G135" s="421">
        <f t="shared" si="162"/>
        <v>0</v>
      </c>
      <c r="H135" s="449">
        <v>0</v>
      </c>
      <c r="I135" s="449">
        <f t="shared" si="163"/>
        <v>0</v>
      </c>
      <c r="J135" s="426">
        <f t="shared" si="164"/>
        <v>0</v>
      </c>
      <c r="K135" s="421"/>
      <c r="L135" s="449">
        <v>0</v>
      </c>
      <c r="M135" s="449">
        <v>0</v>
      </c>
      <c r="N135" s="449">
        <v>0</v>
      </c>
      <c r="O135" s="449">
        <v>0</v>
      </c>
      <c r="P135" s="449">
        <v>0</v>
      </c>
      <c r="Q135" s="449">
        <v>0</v>
      </c>
      <c r="R135" s="449">
        <f>($H135-SUM($L135:Q135))/R$694</f>
        <v>0</v>
      </c>
      <c r="S135" s="449">
        <f>($H135-SUM($L135:R135))/S$694</f>
        <v>0</v>
      </c>
      <c r="T135" s="449">
        <f>($H135-SUM($L135:S135))/T$694</f>
        <v>0</v>
      </c>
      <c r="U135" s="449">
        <f>($H135-SUM($L135:T135))/U$694</f>
        <v>0</v>
      </c>
      <c r="V135" s="449">
        <f>($H135-SUM($L135:U135))/V$694</f>
        <v>0</v>
      </c>
      <c r="W135" s="449">
        <f>($H135-SUM($L135:V135))/W$694</f>
        <v>0</v>
      </c>
      <c r="X135" s="449"/>
      <c r="Y135" s="449">
        <f t="shared" si="165"/>
        <v>0</v>
      </c>
      <c r="Z135" s="531"/>
      <c r="AA135" s="449">
        <f t="shared" si="166"/>
        <v>0</v>
      </c>
      <c r="AB135" s="449">
        <f t="shared" si="166"/>
        <v>0</v>
      </c>
      <c r="AC135" s="449">
        <f t="shared" si="166"/>
        <v>0</v>
      </c>
      <c r="AD135" s="449">
        <f t="shared" si="166"/>
        <v>0</v>
      </c>
      <c r="AE135" s="449">
        <f t="shared" si="166"/>
        <v>0</v>
      </c>
      <c r="AF135" s="449">
        <f t="shared" si="166"/>
        <v>0</v>
      </c>
      <c r="AG135" s="449">
        <f t="shared" si="166"/>
        <v>0</v>
      </c>
      <c r="AH135" s="449">
        <f t="shared" si="166"/>
        <v>0</v>
      </c>
      <c r="AI135" s="449">
        <f t="shared" si="166"/>
        <v>0</v>
      </c>
      <c r="AJ135" s="449">
        <f t="shared" si="166"/>
        <v>0</v>
      </c>
      <c r="AK135" s="449">
        <f t="shared" si="166"/>
        <v>0</v>
      </c>
      <c r="AL135" s="449">
        <f t="shared" si="166"/>
        <v>0</v>
      </c>
      <c r="AN135" s="500">
        <f t="shared" si="167"/>
        <v>0</v>
      </c>
      <c r="AO135" s="449">
        <f t="shared" si="168"/>
        <v>0</v>
      </c>
      <c r="AP135" s="449">
        <f t="shared" si="169"/>
        <v>0</v>
      </c>
      <c r="AQ135" s="453" t="str">
        <f t="shared" si="170"/>
        <v>-</v>
      </c>
      <c r="AR135" s="449">
        <f t="shared" si="171"/>
        <v>0</v>
      </c>
      <c r="AS135" s="449">
        <f t="shared" si="172"/>
        <v>0</v>
      </c>
      <c r="AT135" s="426">
        <f t="shared" si="173"/>
        <v>0</v>
      </c>
      <c r="AU135" s="421"/>
      <c r="AV135" s="449">
        <f t="shared" si="174"/>
        <v>0</v>
      </c>
      <c r="AW135" s="449">
        <f t="shared" si="174"/>
        <v>0</v>
      </c>
      <c r="AX135" s="449">
        <f t="shared" si="174"/>
        <v>0</v>
      </c>
      <c r="AY135" s="449">
        <f t="shared" si="174"/>
        <v>0</v>
      </c>
      <c r="AZ135" s="449">
        <f t="shared" si="174"/>
        <v>0</v>
      </c>
      <c r="BA135" s="449">
        <f t="shared" si="174"/>
        <v>0</v>
      </c>
      <c r="BB135" s="449">
        <f t="shared" si="174"/>
        <v>0</v>
      </c>
      <c r="BC135" s="449">
        <f t="shared" si="174"/>
        <v>0</v>
      </c>
      <c r="BD135" s="449">
        <f t="shared" si="174"/>
        <v>0</v>
      </c>
      <c r="BE135" s="449">
        <f t="shared" si="174"/>
        <v>0</v>
      </c>
      <c r="BF135" s="449">
        <f t="shared" si="174"/>
        <v>0</v>
      </c>
      <c r="BG135" s="449">
        <f t="shared" si="174"/>
        <v>0</v>
      </c>
      <c r="BH135" s="400"/>
      <c r="BI135" s="449">
        <v>0</v>
      </c>
      <c r="BJ135" s="449">
        <v>0</v>
      </c>
      <c r="BK135" s="449">
        <v>0</v>
      </c>
      <c r="BL135" s="449">
        <v>0</v>
      </c>
      <c r="BM135" s="449">
        <v>0</v>
      </c>
      <c r="BN135" s="449">
        <v>0</v>
      </c>
      <c r="BO135" s="449">
        <v>0</v>
      </c>
      <c r="BP135" s="449">
        <v>0</v>
      </c>
      <c r="BQ135" s="449">
        <v>0</v>
      </c>
      <c r="BR135" s="449">
        <v>0</v>
      </c>
      <c r="BS135" s="449">
        <v>0</v>
      </c>
      <c r="BT135" s="449">
        <v>0</v>
      </c>
    </row>
    <row r="136" spans="1:72" ht="15" x14ac:dyDescent="0.25">
      <c r="A136" s="502" t="s">
        <v>210</v>
      </c>
      <c r="B136" s="502" t="s">
        <v>211</v>
      </c>
      <c r="C136" s="596"/>
      <c r="D136" s="500">
        <f t="shared" si="160"/>
        <v>6062</v>
      </c>
      <c r="E136" s="449">
        <v>6360</v>
      </c>
      <c r="F136" s="449">
        <f t="shared" si="161"/>
        <v>-298</v>
      </c>
      <c r="G136" s="421">
        <f t="shared" si="162"/>
        <v>-4.6855345911949682E-2</v>
      </c>
      <c r="H136" s="449">
        <v>6062</v>
      </c>
      <c r="I136" s="449">
        <f t="shared" si="163"/>
        <v>0</v>
      </c>
      <c r="J136" s="426">
        <f t="shared" si="164"/>
        <v>0</v>
      </c>
      <c r="K136" s="421"/>
      <c r="L136" s="449">
        <v>0</v>
      </c>
      <c r="M136" s="449">
        <v>278.98</v>
      </c>
      <c r="N136" s="449">
        <v>244.10000000000002</v>
      </c>
      <c r="O136" s="449">
        <v>232.4799999999999</v>
      </c>
      <c r="P136" s="449">
        <v>232.48000000000002</v>
      </c>
      <c r="Q136" s="449">
        <v>290.60000000000014</v>
      </c>
      <c r="R136" s="449">
        <f>($H136-SUM($L136:Q136))/R$694</f>
        <v>797.22666666666657</v>
      </c>
      <c r="S136" s="449">
        <f>($H136-SUM($L136:R136))/S$694</f>
        <v>797.22666666666669</v>
      </c>
      <c r="T136" s="449">
        <f>($H136-SUM($L136:S136))/T$694</f>
        <v>797.22666666666669</v>
      </c>
      <c r="U136" s="449">
        <f>($H136-SUM($L136:T136))/U$694</f>
        <v>797.2266666666668</v>
      </c>
      <c r="V136" s="449">
        <f>($H136-SUM($L136:U136))/V$694</f>
        <v>797.22666666666692</v>
      </c>
      <c r="W136" s="449">
        <f>($H136-SUM($L136:V136))/W$694</f>
        <v>797.22666666666737</v>
      </c>
      <c r="X136" s="449"/>
      <c r="Y136" s="449">
        <f t="shared" si="165"/>
        <v>6062</v>
      </c>
      <c r="Z136" s="531"/>
      <c r="AA136" s="449">
        <f t="shared" si="166"/>
        <v>505.16666666666669</v>
      </c>
      <c r="AB136" s="449">
        <f t="shared" si="166"/>
        <v>505.16666666666669</v>
      </c>
      <c r="AC136" s="449">
        <f t="shared" si="166"/>
        <v>505.16666666666669</v>
      </c>
      <c r="AD136" s="449">
        <f t="shared" si="166"/>
        <v>505.16666666666669</v>
      </c>
      <c r="AE136" s="449">
        <f t="shared" si="166"/>
        <v>505.16666666666669</v>
      </c>
      <c r="AF136" s="449">
        <f t="shared" si="166"/>
        <v>505.16666666666669</v>
      </c>
      <c r="AG136" s="449">
        <f t="shared" si="166"/>
        <v>505.16666666666669</v>
      </c>
      <c r="AH136" s="449">
        <f t="shared" si="166"/>
        <v>505.16666666666669</v>
      </c>
      <c r="AI136" s="449">
        <f t="shared" si="166"/>
        <v>505.16666666666669</v>
      </c>
      <c r="AJ136" s="449">
        <f t="shared" si="166"/>
        <v>505.16666666666669</v>
      </c>
      <c r="AK136" s="449">
        <f t="shared" si="166"/>
        <v>505.16666666666669</v>
      </c>
      <c r="AL136" s="449">
        <f t="shared" si="166"/>
        <v>505.16666666666669</v>
      </c>
      <c r="AN136" s="500">
        <f t="shared" si="167"/>
        <v>6062</v>
      </c>
      <c r="AO136" s="449">
        <f t="shared" si="168"/>
        <v>12487.919999999998</v>
      </c>
      <c r="AP136" s="449">
        <f t="shared" si="169"/>
        <v>6425.9199999999983</v>
      </c>
      <c r="AQ136" s="453">
        <f t="shared" si="170"/>
        <v>1.0600329924117451</v>
      </c>
      <c r="AR136" s="449">
        <f t="shared" si="171"/>
        <v>12487.919999999998</v>
      </c>
      <c r="AS136" s="449">
        <f t="shared" si="172"/>
        <v>0</v>
      </c>
      <c r="AT136" s="426">
        <f t="shared" si="173"/>
        <v>0</v>
      </c>
      <c r="AU136" s="421"/>
      <c r="AV136" s="449">
        <f t="shared" si="174"/>
        <v>0</v>
      </c>
      <c r="AW136" s="449">
        <f t="shared" si="174"/>
        <v>1040.6599999999999</v>
      </c>
      <c r="AX136" s="449">
        <f t="shared" si="174"/>
        <v>1040.6599999999999</v>
      </c>
      <c r="AY136" s="449">
        <f t="shared" si="174"/>
        <v>1040.6599999999999</v>
      </c>
      <c r="AZ136" s="449">
        <f t="shared" si="174"/>
        <v>1040.6599999999999</v>
      </c>
      <c r="BA136" s="449">
        <f t="shared" si="174"/>
        <v>1040.6599999999999</v>
      </c>
      <c r="BB136" s="449">
        <f t="shared" si="174"/>
        <v>1040.6599999999999</v>
      </c>
      <c r="BC136" s="449">
        <f t="shared" si="174"/>
        <v>1040.6599999999999</v>
      </c>
      <c r="BD136" s="449">
        <f t="shared" si="174"/>
        <v>1040.6599999999999</v>
      </c>
      <c r="BE136" s="449">
        <f t="shared" si="174"/>
        <v>1040.6599999999999</v>
      </c>
      <c r="BF136" s="449">
        <f t="shared" si="174"/>
        <v>1040.6599999999999</v>
      </c>
      <c r="BG136" s="449">
        <f t="shared" si="174"/>
        <v>2081.3199999999997</v>
      </c>
      <c r="BH136" s="400"/>
      <c r="BI136" s="449">
        <v>0</v>
      </c>
      <c r="BJ136" s="449">
        <f>SUM('FY19 Staffing V1-1 (3)'!$S$71:$S$78)/12</f>
        <v>1040.6599999999999</v>
      </c>
      <c r="BK136" s="449">
        <f>SUM('FY19 Staffing V1-1 (3)'!$S$71:$S$78)/12</f>
        <v>1040.6599999999999</v>
      </c>
      <c r="BL136" s="449">
        <f>SUM('FY19 Staffing V1-1 (3)'!$S$71:$S$78)/12</f>
        <v>1040.6599999999999</v>
      </c>
      <c r="BM136" s="449">
        <f>SUM('FY19 Staffing V1-1 (3)'!$S$71:$S$78)/12</f>
        <v>1040.6599999999999</v>
      </c>
      <c r="BN136" s="449">
        <f>SUM('FY19 Staffing V1-1 (3)'!$S$71:$S$78)/12</f>
        <v>1040.6599999999999</v>
      </c>
      <c r="BO136" s="449">
        <f>SUM('FY19 Staffing V1-1 (3)'!$S$71:$S$78)/12</f>
        <v>1040.6599999999999</v>
      </c>
      <c r="BP136" s="449">
        <f>SUM('FY19 Staffing V1-1 (3)'!$S$71:$S$78)/12</f>
        <v>1040.6599999999999</v>
      </c>
      <c r="BQ136" s="449">
        <f>SUM('FY19 Staffing V1-1 (3)'!$S$71:$S$78)/12</f>
        <v>1040.6599999999999</v>
      </c>
      <c r="BR136" s="449">
        <f>SUM('FY19 Staffing V1-1 (3)'!$S$71:$S$78)/12</f>
        <v>1040.6599999999999</v>
      </c>
      <c r="BS136" s="449">
        <f>SUM('FY19 Staffing V1-1 (3)'!$S$71:$S$78)/12</f>
        <v>1040.6599999999999</v>
      </c>
      <c r="BT136" s="449">
        <f>SUM('FY19 Staffing V1-1 (3)'!$S$71:$S$78)/12*2</f>
        <v>2081.3199999999997</v>
      </c>
    </row>
    <row r="137" spans="1:72" ht="15" x14ac:dyDescent="0.25">
      <c r="A137" s="502" t="s">
        <v>212</v>
      </c>
      <c r="B137" s="502" t="s">
        <v>213</v>
      </c>
      <c r="C137" s="596"/>
      <c r="D137" s="500">
        <f>SUM(L137:W137)</f>
        <v>77000</v>
      </c>
      <c r="E137" s="449">
        <v>32150</v>
      </c>
      <c r="F137" s="449">
        <f>IFERROR(D137-E137,0)</f>
        <v>44850</v>
      </c>
      <c r="G137" s="421">
        <f>IFERROR(F137/ABS(E137),0)</f>
        <v>1.3950233281493001</v>
      </c>
      <c r="H137" s="449">
        <v>77000</v>
      </c>
      <c r="I137" s="449">
        <f>IFERROR(D137-H137,0)</f>
        <v>0</v>
      </c>
      <c r="J137" s="426">
        <f>IFERROR(I137/ABS(H137),0)</f>
        <v>0</v>
      </c>
      <c r="K137" s="421"/>
      <c r="L137" s="449">
        <v>21976.44</v>
      </c>
      <c r="M137" s="449">
        <v>214.9800000000032</v>
      </c>
      <c r="N137" s="449">
        <v>0</v>
      </c>
      <c r="O137" s="449">
        <v>0</v>
      </c>
      <c r="P137" s="449">
        <v>615</v>
      </c>
      <c r="Q137" s="449">
        <v>1516.25</v>
      </c>
      <c r="R137" s="449">
        <f>($H137-SUM($L137:Q137))/R$694</f>
        <v>8779.5550000000003</v>
      </c>
      <c r="S137" s="449">
        <f>($H137-SUM($L137:R137))/S$694</f>
        <v>8779.5549999999985</v>
      </c>
      <c r="T137" s="449">
        <f>($H137-SUM($L137:S137))/T$694</f>
        <v>8779.5549999999985</v>
      </c>
      <c r="U137" s="449">
        <f>($H137-SUM($L137:T137))/U$694</f>
        <v>8779.5549999999985</v>
      </c>
      <c r="V137" s="449">
        <f>($H137-SUM($L137:U137))/V$694</f>
        <v>8779.5549999999967</v>
      </c>
      <c r="W137" s="449">
        <f>($H137-SUM($L137:V137))/W$694</f>
        <v>8779.554999999993</v>
      </c>
      <c r="X137" s="449"/>
      <c r="Y137" s="449">
        <f>SUM(L137:W137)</f>
        <v>77000</v>
      </c>
      <c r="Z137" s="531"/>
      <c r="AA137" s="449">
        <f t="shared" si="166"/>
        <v>6416.666666666667</v>
      </c>
      <c r="AB137" s="449">
        <f t="shared" si="166"/>
        <v>6416.666666666667</v>
      </c>
      <c r="AC137" s="449">
        <f t="shared" si="166"/>
        <v>6416.666666666667</v>
      </c>
      <c r="AD137" s="449">
        <f t="shared" si="166"/>
        <v>6416.666666666667</v>
      </c>
      <c r="AE137" s="449">
        <f t="shared" si="166"/>
        <v>6416.666666666667</v>
      </c>
      <c r="AF137" s="449">
        <f t="shared" si="166"/>
        <v>6416.666666666667</v>
      </c>
      <c r="AG137" s="449">
        <f t="shared" si="166"/>
        <v>6416.666666666667</v>
      </c>
      <c r="AH137" s="449">
        <f t="shared" si="166"/>
        <v>6416.666666666667</v>
      </c>
      <c r="AI137" s="449">
        <f t="shared" si="166"/>
        <v>6416.666666666667</v>
      </c>
      <c r="AJ137" s="449">
        <f t="shared" si="166"/>
        <v>6416.666666666667</v>
      </c>
      <c r="AK137" s="449">
        <f t="shared" si="166"/>
        <v>6416.666666666667</v>
      </c>
      <c r="AL137" s="449">
        <f t="shared" si="166"/>
        <v>6416.666666666667</v>
      </c>
      <c r="AN137" s="500">
        <f>SUM(L137:W137)</f>
        <v>77000</v>
      </c>
      <c r="AO137" s="449">
        <f t="shared" si="168"/>
        <v>46240</v>
      </c>
      <c r="AP137" s="449">
        <f>IFERROR(AO137-AN137,0)</f>
        <v>-30760</v>
      </c>
      <c r="AQ137" s="453">
        <f t="shared" si="170"/>
        <v>-0.39948051948051949</v>
      </c>
      <c r="AR137" s="449">
        <f>SUM(BI137:BT137)</f>
        <v>46240</v>
      </c>
      <c r="AS137" s="449">
        <f>IFERROR(AO137-AR137,0)</f>
        <v>0</v>
      </c>
      <c r="AT137" s="426">
        <f>IFERROR(AS137/ABS(AR137),0)</f>
        <v>0</v>
      </c>
      <c r="AU137" s="421"/>
      <c r="AV137" s="449">
        <f t="shared" si="174"/>
        <v>9248.0000000000036</v>
      </c>
      <c r="AW137" s="449">
        <f t="shared" si="174"/>
        <v>9248.0000000000036</v>
      </c>
      <c r="AX137" s="449">
        <f t="shared" si="174"/>
        <v>6165.3333333333348</v>
      </c>
      <c r="AY137" s="449">
        <f t="shared" si="174"/>
        <v>6165.3333333333348</v>
      </c>
      <c r="AZ137" s="449">
        <f t="shared" si="174"/>
        <v>6165.3333333333348</v>
      </c>
      <c r="BA137" s="449">
        <f t="shared" si="174"/>
        <v>1321.1428571428576</v>
      </c>
      <c r="BB137" s="449">
        <f t="shared" si="174"/>
        <v>1321.1428571428576</v>
      </c>
      <c r="BC137" s="449">
        <f t="shared" si="174"/>
        <v>1321.1428571428576</v>
      </c>
      <c r="BD137" s="449">
        <f t="shared" si="174"/>
        <v>1321.1428571428576</v>
      </c>
      <c r="BE137" s="449">
        <f t="shared" si="174"/>
        <v>1321.1428571428576</v>
      </c>
      <c r="BF137" s="449">
        <f t="shared" si="174"/>
        <v>1321.1428571428576</v>
      </c>
      <c r="BG137" s="449">
        <f t="shared" si="174"/>
        <v>1321.1428571428576</v>
      </c>
      <c r="BH137" s="400"/>
      <c r="BI137" s="449">
        <f>(IFERROR(($D137*1.12),0))*BI$696-BI140</f>
        <v>9248.0000000000036</v>
      </c>
      <c r="BJ137" s="449">
        <f t="shared" ref="BJ137:BT137" si="176">(IFERROR(($D137*1.12),0))*BJ$696-BJ140</f>
        <v>9248.0000000000036</v>
      </c>
      <c r="BK137" s="449">
        <f t="shared" si="176"/>
        <v>6165.3333333333348</v>
      </c>
      <c r="BL137" s="449">
        <f t="shared" si="176"/>
        <v>6165.3333333333348</v>
      </c>
      <c r="BM137" s="449">
        <f t="shared" si="176"/>
        <v>6165.3333333333348</v>
      </c>
      <c r="BN137" s="449">
        <f t="shared" si="176"/>
        <v>1321.1428571428576</v>
      </c>
      <c r="BO137" s="449">
        <f t="shared" si="176"/>
        <v>1321.1428571428576</v>
      </c>
      <c r="BP137" s="449">
        <f t="shared" si="176"/>
        <v>1321.1428571428576</v>
      </c>
      <c r="BQ137" s="449">
        <f t="shared" si="176"/>
        <v>1321.1428571428576</v>
      </c>
      <c r="BR137" s="449">
        <f t="shared" si="176"/>
        <v>1321.1428571428576</v>
      </c>
      <c r="BS137" s="449">
        <f t="shared" si="176"/>
        <v>1321.1428571428576</v>
      </c>
      <c r="BT137" s="449">
        <f t="shared" si="176"/>
        <v>1321.1428571428576</v>
      </c>
    </row>
    <row r="138" spans="1:72" ht="15" x14ac:dyDescent="0.25">
      <c r="A138" s="537" t="s">
        <v>214</v>
      </c>
      <c r="B138" s="537" t="s">
        <v>215</v>
      </c>
      <c r="C138" s="596"/>
      <c r="D138" s="500">
        <f>SUM(L138:W138)</f>
        <v>0</v>
      </c>
      <c r="E138" s="449">
        <v>0</v>
      </c>
      <c r="F138" s="449">
        <f>IFERROR(D138-E138,0)</f>
        <v>0</v>
      </c>
      <c r="G138" s="421">
        <f>IFERROR(F138/ABS(E138),0)</f>
        <v>0</v>
      </c>
      <c r="H138" s="449">
        <v>0</v>
      </c>
      <c r="I138" s="449">
        <f>IFERROR(D138-H138,0)</f>
        <v>0</v>
      </c>
      <c r="J138" s="426">
        <f>IFERROR(I138/ABS(H138),0)</f>
        <v>0</v>
      </c>
      <c r="K138" s="421"/>
      <c r="L138" s="449">
        <v>0</v>
      </c>
      <c r="M138" s="449">
        <v>0</v>
      </c>
      <c r="N138" s="449">
        <v>0</v>
      </c>
      <c r="O138" s="449">
        <v>0</v>
      </c>
      <c r="P138" s="449">
        <v>0</v>
      </c>
      <c r="Q138" s="449">
        <v>0</v>
      </c>
      <c r="R138" s="449">
        <f>($H138-SUM($L138:Q138))/R$694</f>
        <v>0</v>
      </c>
      <c r="S138" s="449">
        <f>($H138-SUM($L138:R138))/S$694</f>
        <v>0</v>
      </c>
      <c r="T138" s="449">
        <f>($H138-SUM($L138:S138))/T$694</f>
        <v>0</v>
      </c>
      <c r="U138" s="449">
        <f>($H138-SUM($L138:T138))/U$694</f>
        <v>0</v>
      </c>
      <c r="V138" s="449">
        <f>($H138-SUM($L138:U138))/V$694</f>
        <v>0</v>
      </c>
      <c r="W138" s="449">
        <f>($H138-SUM($L138:V138))/W$694</f>
        <v>0</v>
      </c>
      <c r="X138" s="449"/>
      <c r="Y138" s="449">
        <f>SUM(L138:W138)</f>
        <v>0</v>
      </c>
      <c r="Z138" s="531"/>
      <c r="AA138" s="449">
        <f t="shared" si="166"/>
        <v>0</v>
      </c>
      <c r="AB138" s="449">
        <f t="shared" si="166"/>
        <v>0</v>
      </c>
      <c r="AC138" s="449">
        <f t="shared" si="166"/>
        <v>0</v>
      </c>
      <c r="AD138" s="449">
        <f t="shared" si="166"/>
        <v>0</v>
      </c>
      <c r="AE138" s="449">
        <f t="shared" si="166"/>
        <v>0</v>
      </c>
      <c r="AF138" s="449">
        <f t="shared" si="166"/>
        <v>0</v>
      </c>
      <c r="AG138" s="449">
        <f t="shared" si="166"/>
        <v>0</v>
      </c>
      <c r="AH138" s="449">
        <f t="shared" si="166"/>
        <v>0</v>
      </c>
      <c r="AI138" s="449">
        <f t="shared" si="166"/>
        <v>0</v>
      </c>
      <c r="AJ138" s="449">
        <f t="shared" si="166"/>
        <v>0</v>
      </c>
      <c r="AK138" s="449">
        <f t="shared" si="166"/>
        <v>0</v>
      </c>
      <c r="AL138" s="449">
        <f t="shared" si="166"/>
        <v>0</v>
      </c>
      <c r="AN138" s="500">
        <f>SUM(L138:W138)</f>
        <v>0</v>
      </c>
      <c r="AO138" s="449">
        <f t="shared" si="168"/>
        <v>0</v>
      </c>
      <c r="AP138" s="449">
        <f>IFERROR(AO138-AN138,0)</f>
        <v>0</v>
      </c>
      <c r="AQ138" s="453" t="str">
        <f t="shared" si="170"/>
        <v>-</v>
      </c>
      <c r="AR138" s="449">
        <f>SUM(BI138:BT138)</f>
        <v>0</v>
      </c>
      <c r="AS138" s="449">
        <f>IFERROR(AO138-AR138,0)</f>
        <v>0</v>
      </c>
      <c r="AT138" s="426">
        <f>IFERROR(AS138/ABS(AR138),0)</f>
        <v>0</v>
      </c>
      <c r="AU138" s="421"/>
      <c r="AV138" s="449">
        <f t="shared" si="174"/>
        <v>0</v>
      </c>
      <c r="AW138" s="449">
        <f t="shared" si="174"/>
        <v>0</v>
      </c>
      <c r="AX138" s="449">
        <f t="shared" si="174"/>
        <v>0</v>
      </c>
      <c r="AY138" s="449">
        <f t="shared" si="174"/>
        <v>0</v>
      </c>
      <c r="AZ138" s="449">
        <f t="shared" si="174"/>
        <v>0</v>
      </c>
      <c r="BA138" s="449">
        <f t="shared" si="174"/>
        <v>0</v>
      </c>
      <c r="BB138" s="449">
        <f t="shared" si="174"/>
        <v>0</v>
      </c>
      <c r="BC138" s="449">
        <f t="shared" si="174"/>
        <v>0</v>
      </c>
      <c r="BD138" s="449">
        <f t="shared" si="174"/>
        <v>0</v>
      </c>
      <c r="BE138" s="449">
        <f t="shared" si="174"/>
        <v>0</v>
      </c>
      <c r="BF138" s="449">
        <f t="shared" si="174"/>
        <v>0</v>
      </c>
      <c r="BG138" s="449">
        <f t="shared" si="174"/>
        <v>0</v>
      </c>
      <c r="BH138" s="400"/>
      <c r="BI138" s="449">
        <f>(IFERROR((($H138/$H$5)*BI$5),0))*BI$696*0</f>
        <v>0</v>
      </c>
      <c r="BJ138" s="449">
        <f t="shared" ref="BJ138:BT138" si="177">(IFERROR((($H138/$H$5)*BJ$5),0))*BJ$696*0</f>
        <v>0</v>
      </c>
      <c r="BK138" s="449">
        <f t="shared" si="177"/>
        <v>0</v>
      </c>
      <c r="BL138" s="449">
        <f t="shared" si="177"/>
        <v>0</v>
      </c>
      <c r="BM138" s="449">
        <f t="shared" si="177"/>
        <v>0</v>
      </c>
      <c r="BN138" s="449">
        <f t="shared" si="177"/>
        <v>0</v>
      </c>
      <c r="BO138" s="449">
        <f t="shared" si="177"/>
        <v>0</v>
      </c>
      <c r="BP138" s="449">
        <f t="shared" si="177"/>
        <v>0</v>
      </c>
      <c r="BQ138" s="449">
        <f t="shared" si="177"/>
        <v>0</v>
      </c>
      <c r="BR138" s="449">
        <f t="shared" si="177"/>
        <v>0</v>
      </c>
      <c r="BS138" s="449">
        <f t="shared" si="177"/>
        <v>0</v>
      </c>
      <c r="BT138" s="449">
        <f t="shared" si="177"/>
        <v>0</v>
      </c>
    </row>
    <row r="139" spans="1:72" ht="15" x14ac:dyDescent="0.25">
      <c r="A139" s="537" t="s">
        <v>216</v>
      </c>
      <c r="B139" s="537" t="s">
        <v>217</v>
      </c>
      <c r="C139" s="596"/>
      <c r="D139" s="500">
        <f>SUM(L139:W139)</f>
        <v>0</v>
      </c>
      <c r="E139" s="449">
        <v>0</v>
      </c>
      <c r="F139" s="449">
        <f>IFERROR(D139-E139,0)</f>
        <v>0</v>
      </c>
      <c r="G139" s="421">
        <f>IFERROR(F139/ABS(E139),0)</f>
        <v>0</v>
      </c>
      <c r="H139" s="449">
        <v>0</v>
      </c>
      <c r="I139" s="449">
        <f>IFERROR(D139-H139,0)</f>
        <v>0</v>
      </c>
      <c r="J139" s="426">
        <f>IFERROR(I139/ABS(H139),0)</f>
        <v>0</v>
      </c>
      <c r="K139" s="421"/>
      <c r="L139" s="449">
        <v>0</v>
      </c>
      <c r="M139" s="449">
        <v>0</v>
      </c>
      <c r="N139" s="449">
        <v>0</v>
      </c>
      <c r="O139" s="449">
        <v>0</v>
      </c>
      <c r="P139" s="449">
        <v>0</v>
      </c>
      <c r="Q139" s="449">
        <v>0</v>
      </c>
      <c r="R139" s="449">
        <f>($H139-SUM($L139:Q139))/R$694</f>
        <v>0</v>
      </c>
      <c r="S139" s="449">
        <f>($H139-SUM($L139:R139))/S$694</f>
        <v>0</v>
      </c>
      <c r="T139" s="449">
        <f>($H139-SUM($L139:S139))/T$694</f>
        <v>0</v>
      </c>
      <c r="U139" s="449">
        <f>($H139-SUM($L139:T139))/U$694</f>
        <v>0</v>
      </c>
      <c r="V139" s="449">
        <f>($H139-SUM($L139:U139))/V$694</f>
        <v>0</v>
      </c>
      <c r="W139" s="449">
        <f>($H139-SUM($L139:V139))/W$694</f>
        <v>0</v>
      </c>
      <c r="X139" s="449"/>
      <c r="Y139" s="449">
        <f>SUM(L139:W139)</f>
        <v>0</v>
      </c>
      <c r="Z139" s="531"/>
      <c r="AA139" s="449">
        <f t="shared" si="166"/>
        <v>0</v>
      </c>
      <c r="AB139" s="449">
        <f t="shared" si="166"/>
        <v>0</v>
      </c>
      <c r="AC139" s="449">
        <f t="shared" si="166"/>
        <v>0</v>
      </c>
      <c r="AD139" s="449">
        <f t="shared" si="166"/>
        <v>0</v>
      </c>
      <c r="AE139" s="449">
        <f t="shared" si="166"/>
        <v>0</v>
      </c>
      <c r="AF139" s="449">
        <f t="shared" si="166"/>
        <v>0</v>
      </c>
      <c r="AG139" s="449">
        <f t="shared" si="166"/>
        <v>0</v>
      </c>
      <c r="AH139" s="449">
        <f t="shared" si="166"/>
        <v>0</v>
      </c>
      <c r="AI139" s="449">
        <f t="shared" si="166"/>
        <v>0</v>
      </c>
      <c r="AJ139" s="449">
        <f t="shared" si="166"/>
        <v>0</v>
      </c>
      <c r="AK139" s="449">
        <f t="shared" si="166"/>
        <v>0</v>
      </c>
      <c r="AL139" s="449">
        <f t="shared" si="166"/>
        <v>0</v>
      </c>
      <c r="AN139" s="500">
        <f>SUM(L139:W139)</f>
        <v>0</v>
      </c>
      <c r="AO139" s="449">
        <f>SUM(BI139:BT139)</f>
        <v>15228.915662650606</v>
      </c>
      <c r="AP139" s="449">
        <f>IFERROR(AO139-AN139,0)</f>
        <v>15228.915662650606</v>
      </c>
      <c r="AQ139" s="453" t="str">
        <f t="shared" si="170"/>
        <v>-</v>
      </c>
      <c r="AR139" s="449">
        <f>SUM(BI139:BT139)</f>
        <v>15228.915662650606</v>
      </c>
      <c r="AS139" s="449">
        <f>IFERROR(AO139-AR139,0)</f>
        <v>0</v>
      </c>
      <c r="AT139" s="426">
        <f>IFERROR(AS139/ABS(AR139),0)</f>
        <v>0</v>
      </c>
      <c r="AU139" s="421"/>
      <c r="AV139" s="449">
        <f t="shared" si="174"/>
        <v>1269.0763052208836</v>
      </c>
      <c r="AW139" s="449">
        <f t="shared" si="174"/>
        <v>1269.0763052208836</v>
      </c>
      <c r="AX139" s="449">
        <f t="shared" si="174"/>
        <v>1269.0763052208836</v>
      </c>
      <c r="AY139" s="449">
        <f t="shared" si="174"/>
        <v>1269.0763052208836</v>
      </c>
      <c r="AZ139" s="449">
        <f t="shared" si="174"/>
        <v>1269.0763052208836</v>
      </c>
      <c r="BA139" s="449">
        <f t="shared" si="174"/>
        <v>1269.0763052208836</v>
      </c>
      <c r="BB139" s="449">
        <f t="shared" si="174"/>
        <v>1269.0763052208836</v>
      </c>
      <c r="BC139" s="449">
        <f t="shared" si="174"/>
        <v>1269.0763052208836</v>
      </c>
      <c r="BD139" s="449">
        <f t="shared" si="174"/>
        <v>1269.0763052208836</v>
      </c>
      <c r="BE139" s="449">
        <f t="shared" si="174"/>
        <v>1269.0763052208836</v>
      </c>
      <c r="BF139" s="449">
        <f t="shared" si="174"/>
        <v>1269.0763052208836</v>
      </c>
      <c r="BG139" s="449">
        <f t="shared" si="174"/>
        <v>1269.0763052208836</v>
      </c>
      <c r="BH139" s="400"/>
      <c r="BI139" s="449">
        <f>$AO$47/12*(790/BI$5)</f>
        <v>1269.0763052208836</v>
      </c>
      <c r="BJ139" s="449">
        <f t="shared" ref="BJ139:BT139" si="178">$AO$47/12*(790/BJ$5)</f>
        <v>1269.0763052208836</v>
      </c>
      <c r="BK139" s="449">
        <f t="shared" si="178"/>
        <v>1269.0763052208836</v>
      </c>
      <c r="BL139" s="449">
        <f t="shared" si="178"/>
        <v>1269.0763052208836</v>
      </c>
      <c r="BM139" s="449">
        <f t="shared" si="178"/>
        <v>1269.0763052208836</v>
      </c>
      <c r="BN139" s="449">
        <f t="shared" si="178"/>
        <v>1269.0763052208836</v>
      </c>
      <c r="BO139" s="449">
        <f t="shared" si="178"/>
        <v>1269.0763052208836</v>
      </c>
      <c r="BP139" s="449">
        <f t="shared" si="178"/>
        <v>1269.0763052208836</v>
      </c>
      <c r="BQ139" s="449">
        <f t="shared" si="178"/>
        <v>1269.0763052208836</v>
      </c>
      <c r="BR139" s="449">
        <f t="shared" si="178"/>
        <v>1269.0763052208836</v>
      </c>
      <c r="BS139" s="449">
        <f t="shared" si="178"/>
        <v>1269.0763052208836</v>
      </c>
      <c r="BT139" s="449">
        <f t="shared" si="178"/>
        <v>1269.0763052208836</v>
      </c>
    </row>
    <row r="140" spans="1:72" ht="15" x14ac:dyDescent="0.25">
      <c r="A140" s="537" t="s">
        <v>218</v>
      </c>
      <c r="B140" s="537" t="s">
        <v>134</v>
      </c>
      <c r="C140" s="596"/>
      <c r="D140" s="500">
        <f>SUM(L140:W140)</f>
        <v>0</v>
      </c>
      <c r="E140" s="449">
        <v>0</v>
      </c>
      <c r="F140" s="449">
        <f>IFERROR(D140-E140,0)</f>
        <v>0</v>
      </c>
      <c r="G140" s="421">
        <f>IFERROR(F140/ABS(E140),0)</f>
        <v>0</v>
      </c>
      <c r="H140" s="449">
        <v>0</v>
      </c>
      <c r="I140" s="449">
        <f>IFERROR(D140-H140,0)</f>
        <v>0</v>
      </c>
      <c r="J140" s="426">
        <f>IFERROR(I140/ABS(H140),0)</f>
        <v>0</v>
      </c>
      <c r="K140" s="421"/>
      <c r="L140" s="449">
        <v>0</v>
      </c>
      <c r="M140" s="449">
        <v>0</v>
      </c>
      <c r="N140" s="449">
        <v>0</v>
      </c>
      <c r="O140" s="449">
        <v>0</v>
      </c>
      <c r="P140" s="449">
        <v>0</v>
      </c>
      <c r="Q140" s="449">
        <v>0</v>
      </c>
      <c r="R140" s="449">
        <f>($H140-SUM($L140:Q140))/R$694</f>
        <v>0</v>
      </c>
      <c r="S140" s="449">
        <f>($H140-SUM($L140:R140))/S$694</f>
        <v>0</v>
      </c>
      <c r="T140" s="449">
        <f>($H140-SUM($L140:S140))/T$694</f>
        <v>0</v>
      </c>
      <c r="U140" s="449">
        <f>($H140-SUM($L140:T140))/U$694</f>
        <v>0</v>
      </c>
      <c r="V140" s="449">
        <f>($H140-SUM($L140:U140))/V$694</f>
        <v>0</v>
      </c>
      <c r="W140" s="449">
        <f>($H140-SUM($L140:V140))/W$694</f>
        <v>0</v>
      </c>
      <c r="X140" s="449"/>
      <c r="Y140" s="449">
        <f>SUM(L140:W140)</f>
        <v>0</v>
      </c>
      <c r="Z140" s="531"/>
      <c r="AA140" s="449">
        <f t="shared" si="166"/>
        <v>0</v>
      </c>
      <c r="AB140" s="449">
        <f t="shared" si="166"/>
        <v>0</v>
      </c>
      <c r="AC140" s="449">
        <f t="shared" si="166"/>
        <v>0</v>
      </c>
      <c r="AD140" s="449">
        <f t="shared" si="166"/>
        <v>0</v>
      </c>
      <c r="AE140" s="449">
        <f t="shared" si="166"/>
        <v>0</v>
      </c>
      <c r="AF140" s="449">
        <f t="shared" si="166"/>
        <v>0</v>
      </c>
      <c r="AG140" s="449">
        <f t="shared" si="166"/>
        <v>0</v>
      </c>
      <c r="AH140" s="449">
        <f t="shared" si="166"/>
        <v>0</v>
      </c>
      <c r="AI140" s="449">
        <f t="shared" si="166"/>
        <v>0</v>
      </c>
      <c r="AJ140" s="449">
        <f t="shared" si="166"/>
        <v>0</v>
      </c>
      <c r="AK140" s="449">
        <f t="shared" si="166"/>
        <v>0</v>
      </c>
      <c r="AL140" s="449">
        <f t="shared" si="166"/>
        <v>0</v>
      </c>
      <c r="AN140" s="500">
        <f>SUM(L140:W140)</f>
        <v>0</v>
      </c>
      <c r="AO140" s="449">
        <f>SUM(BI140:BT140)</f>
        <v>40000.000000000007</v>
      </c>
      <c r="AP140" s="449">
        <f>IFERROR(AO140-AN140,0)</f>
        <v>40000.000000000007</v>
      </c>
      <c r="AQ140" s="453" t="str">
        <f t="shared" si="170"/>
        <v>-</v>
      </c>
      <c r="AR140" s="449">
        <f>SUM(BI140:BT140)</f>
        <v>40000.000000000007</v>
      </c>
      <c r="AS140" s="449">
        <f>IFERROR(AO140-AR140,0)</f>
        <v>0</v>
      </c>
      <c r="AT140" s="426">
        <f>IFERROR(AS140/ABS(AR140),0)</f>
        <v>0</v>
      </c>
      <c r="AU140" s="421"/>
      <c r="AV140" s="449">
        <f t="shared" ref="AV140:BG141" si="179">BI140</f>
        <v>8000</v>
      </c>
      <c r="AW140" s="449">
        <f t="shared" si="179"/>
        <v>8000</v>
      </c>
      <c r="AX140" s="449">
        <f t="shared" si="179"/>
        <v>5333.333333333333</v>
      </c>
      <c r="AY140" s="449">
        <f t="shared" si="179"/>
        <v>5333.333333333333</v>
      </c>
      <c r="AZ140" s="449">
        <f t="shared" si="179"/>
        <v>5333.333333333333</v>
      </c>
      <c r="BA140" s="449">
        <f t="shared" si="179"/>
        <v>1142.8571428571429</v>
      </c>
      <c r="BB140" s="449">
        <f t="shared" si="179"/>
        <v>1142.8571428571429</v>
      </c>
      <c r="BC140" s="449">
        <f t="shared" si="179"/>
        <v>1142.8571428571429</v>
      </c>
      <c r="BD140" s="449">
        <f t="shared" si="179"/>
        <v>1142.8571428571429</v>
      </c>
      <c r="BE140" s="449">
        <f t="shared" si="179"/>
        <v>1142.8571428571429</v>
      </c>
      <c r="BF140" s="449">
        <f t="shared" si="179"/>
        <v>1142.8571428571429</v>
      </c>
      <c r="BG140" s="449">
        <f t="shared" si="179"/>
        <v>1142.8571428571429</v>
      </c>
      <c r="BH140" s="400"/>
      <c r="BI140" s="449">
        <f>40000*BI696</f>
        <v>8000</v>
      </c>
      <c r="BJ140" s="449">
        <f t="shared" ref="BJ140:BT140" si="180">40000*BJ696</f>
        <v>8000</v>
      </c>
      <c r="BK140" s="449">
        <f t="shared" si="180"/>
        <v>5333.333333333333</v>
      </c>
      <c r="BL140" s="449">
        <f t="shared" si="180"/>
        <v>5333.333333333333</v>
      </c>
      <c r="BM140" s="449">
        <f t="shared" si="180"/>
        <v>5333.333333333333</v>
      </c>
      <c r="BN140" s="449">
        <f t="shared" si="180"/>
        <v>1142.8571428571429</v>
      </c>
      <c r="BO140" s="449">
        <f t="shared" si="180"/>
        <v>1142.8571428571429</v>
      </c>
      <c r="BP140" s="449">
        <f t="shared" si="180"/>
        <v>1142.8571428571429</v>
      </c>
      <c r="BQ140" s="449">
        <f t="shared" si="180"/>
        <v>1142.8571428571429</v>
      </c>
      <c r="BR140" s="449">
        <f t="shared" si="180"/>
        <v>1142.8571428571429</v>
      </c>
      <c r="BS140" s="449">
        <f t="shared" si="180"/>
        <v>1142.8571428571429</v>
      </c>
      <c r="BT140" s="449">
        <f t="shared" si="180"/>
        <v>1142.8571428571429</v>
      </c>
    </row>
    <row r="141" spans="1:72" ht="15" x14ac:dyDescent="0.25">
      <c r="A141" s="537" t="s">
        <v>219</v>
      </c>
      <c r="B141" s="537" t="s">
        <v>136</v>
      </c>
      <c r="C141" s="596"/>
      <c r="D141" s="500">
        <f>SUM(L141:W141)</f>
        <v>0</v>
      </c>
      <c r="E141" s="449">
        <v>0</v>
      </c>
      <c r="F141" s="449">
        <f>IFERROR(D141-E141,0)</f>
        <v>0</v>
      </c>
      <c r="G141" s="421">
        <f>IFERROR(F141/ABS(E141),0)</f>
        <v>0</v>
      </c>
      <c r="H141" s="449">
        <v>0</v>
      </c>
      <c r="I141" s="449">
        <f>IFERROR(D141-H141,0)</f>
        <v>0</v>
      </c>
      <c r="J141" s="426">
        <f>IFERROR(I141/ABS(H141),0)</f>
        <v>0</v>
      </c>
      <c r="K141" s="421"/>
      <c r="L141" s="449">
        <v>0</v>
      </c>
      <c r="M141" s="449">
        <v>0</v>
      </c>
      <c r="N141" s="449">
        <v>0</v>
      </c>
      <c r="O141" s="449">
        <v>0</v>
      </c>
      <c r="P141" s="449">
        <v>0</v>
      </c>
      <c r="Q141" s="449">
        <v>0</v>
      </c>
      <c r="R141" s="449">
        <f>($H141-SUM($L141:Q141))/R$694</f>
        <v>0</v>
      </c>
      <c r="S141" s="449">
        <f>($H141-SUM($L141:R141))/S$694</f>
        <v>0</v>
      </c>
      <c r="T141" s="449">
        <f>($H141-SUM($L141:S141))/T$694</f>
        <v>0</v>
      </c>
      <c r="U141" s="449">
        <f>($H141-SUM($L141:T141))/U$694</f>
        <v>0</v>
      </c>
      <c r="V141" s="449">
        <f>($H141-SUM($L141:U141))/V$694</f>
        <v>0</v>
      </c>
      <c r="W141" s="449">
        <f>($H141-SUM($L141:V141))/W$694</f>
        <v>0</v>
      </c>
      <c r="X141" s="449"/>
      <c r="Y141" s="449">
        <f>SUM(L141:W141)</f>
        <v>0</v>
      </c>
      <c r="Z141" s="531"/>
      <c r="AA141" s="449">
        <f t="shared" si="166"/>
        <v>0</v>
      </c>
      <c r="AB141" s="449">
        <f t="shared" si="166"/>
        <v>0</v>
      </c>
      <c r="AC141" s="449">
        <f t="shared" si="166"/>
        <v>0</v>
      </c>
      <c r="AD141" s="449">
        <f t="shared" si="166"/>
        <v>0</v>
      </c>
      <c r="AE141" s="449">
        <f t="shared" si="166"/>
        <v>0</v>
      </c>
      <c r="AF141" s="449">
        <f t="shared" si="166"/>
        <v>0</v>
      </c>
      <c r="AG141" s="449">
        <f t="shared" si="166"/>
        <v>0</v>
      </c>
      <c r="AH141" s="449">
        <f t="shared" si="166"/>
        <v>0</v>
      </c>
      <c r="AI141" s="449">
        <f t="shared" si="166"/>
        <v>0</v>
      </c>
      <c r="AJ141" s="449">
        <f t="shared" si="166"/>
        <v>0</v>
      </c>
      <c r="AK141" s="449">
        <f t="shared" si="166"/>
        <v>0</v>
      </c>
      <c r="AL141" s="449">
        <f t="shared" si="166"/>
        <v>0</v>
      </c>
      <c r="AN141" s="500">
        <f>SUM(L141:W141)</f>
        <v>0</v>
      </c>
      <c r="AO141" s="449">
        <f>SUM(BI141:BT141)</f>
        <v>20000</v>
      </c>
      <c r="AP141" s="449">
        <f>IFERROR(AO141-AN141,0)</f>
        <v>20000</v>
      </c>
      <c r="AQ141" s="453" t="str">
        <f t="shared" si="170"/>
        <v>-</v>
      </c>
      <c r="AR141" s="449">
        <f>SUM(BI141:BT141)</f>
        <v>20000</v>
      </c>
      <c r="AS141" s="449">
        <f>IFERROR(AO141-AR141,0)</f>
        <v>0</v>
      </c>
      <c r="AT141" s="426">
        <f>IFERROR(AS141/ABS(AR141),0)</f>
        <v>0</v>
      </c>
      <c r="AU141" s="421"/>
      <c r="AV141" s="449">
        <f t="shared" si="179"/>
        <v>20000</v>
      </c>
      <c r="AW141" s="449">
        <f t="shared" si="179"/>
        <v>0</v>
      </c>
      <c r="AX141" s="449">
        <f t="shared" si="179"/>
        <v>0</v>
      </c>
      <c r="AY141" s="449">
        <f t="shared" si="179"/>
        <v>0</v>
      </c>
      <c r="AZ141" s="449">
        <f t="shared" si="179"/>
        <v>0</v>
      </c>
      <c r="BA141" s="449">
        <f t="shared" si="179"/>
        <v>0</v>
      </c>
      <c r="BB141" s="449">
        <f t="shared" si="179"/>
        <v>0</v>
      </c>
      <c r="BC141" s="449">
        <f t="shared" si="179"/>
        <v>0</v>
      </c>
      <c r="BD141" s="449">
        <f t="shared" si="179"/>
        <v>0</v>
      </c>
      <c r="BE141" s="449">
        <f t="shared" si="179"/>
        <v>0</v>
      </c>
      <c r="BF141" s="449">
        <f t="shared" si="179"/>
        <v>0</v>
      </c>
      <c r="BG141" s="449">
        <f t="shared" si="179"/>
        <v>0</v>
      </c>
      <c r="BH141" s="400"/>
      <c r="BI141" s="449">
        <v>20000</v>
      </c>
      <c r="BJ141" s="449">
        <f t="shared" ref="BJ141:BT141" si="181">IFERROR((($H141/$H$5)*BJ$5)/12,0)</f>
        <v>0</v>
      </c>
      <c r="BK141" s="449">
        <f t="shared" si="181"/>
        <v>0</v>
      </c>
      <c r="BL141" s="449">
        <f t="shared" si="181"/>
        <v>0</v>
      </c>
      <c r="BM141" s="449">
        <f t="shared" si="181"/>
        <v>0</v>
      </c>
      <c r="BN141" s="449">
        <f t="shared" si="181"/>
        <v>0</v>
      </c>
      <c r="BO141" s="449">
        <f t="shared" si="181"/>
        <v>0</v>
      </c>
      <c r="BP141" s="449">
        <f t="shared" si="181"/>
        <v>0</v>
      </c>
      <c r="BQ141" s="449">
        <f t="shared" si="181"/>
        <v>0</v>
      </c>
      <c r="BR141" s="449">
        <f t="shared" si="181"/>
        <v>0</v>
      </c>
      <c r="BS141" s="449">
        <f t="shared" si="181"/>
        <v>0</v>
      </c>
      <c r="BT141" s="449">
        <f t="shared" si="181"/>
        <v>0</v>
      </c>
    </row>
    <row r="142" spans="1:72" ht="15" x14ac:dyDescent="0.25">
      <c r="A142" s="587"/>
      <c r="B142" s="502"/>
      <c r="C142" s="596"/>
      <c r="D142" s="500"/>
      <c r="E142" s="449"/>
      <c r="F142" s="449"/>
      <c r="G142" s="421"/>
      <c r="H142" s="449"/>
      <c r="I142" s="449"/>
      <c r="J142" s="426"/>
      <c r="K142" s="421"/>
      <c r="L142" s="449"/>
      <c r="M142" s="449"/>
      <c r="N142" s="449"/>
      <c r="O142" s="449"/>
      <c r="P142" s="449"/>
      <c r="Q142" s="449"/>
      <c r="R142" s="449"/>
      <c r="S142" s="449"/>
      <c r="T142" s="449"/>
      <c r="U142" s="449"/>
      <c r="V142" s="449"/>
      <c r="W142" s="449"/>
      <c r="X142" s="449"/>
      <c r="Y142" s="449"/>
      <c r="Z142" s="531"/>
      <c r="AA142" s="449"/>
      <c r="AB142" s="449"/>
      <c r="AC142" s="449"/>
      <c r="AD142" s="449"/>
      <c r="AE142" s="449"/>
      <c r="AF142" s="449"/>
      <c r="AG142" s="449"/>
      <c r="AH142" s="449"/>
      <c r="AI142" s="449"/>
      <c r="AJ142" s="449"/>
      <c r="AK142" s="449"/>
      <c r="AL142" s="449"/>
      <c r="AN142" s="500"/>
      <c r="AO142" s="449"/>
      <c r="AP142" s="449"/>
      <c r="AQ142" s="453"/>
      <c r="AR142" s="449"/>
      <c r="AS142" s="449"/>
      <c r="AT142" s="426"/>
      <c r="AU142" s="421"/>
      <c r="AV142" s="449"/>
      <c r="AW142" s="449"/>
      <c r="AX142" s="449"/>
      <c r="AY142" s="449"/>
      <c r="AZ142" s="449"/>
      <c r="BA142" s="449"/>
      <c r="BB142" s="449"/>
      <c r="BC142" s="449"/>
      <c r="BD142" s="449"/>
      <c r="BE142" s="449"/>
      <c r="BF142" s="449"/>
      <c r="BG142" s="449"/>
      <c r="BH142" s="531"/>
      <c r="BI142" s="449"/>
      <c r="BJ142" s="449"/>
      <c r="BK142" s="449"/>
      <c r="BL142" s="449"/>
      <c r="BM142" s="449"/>
      <c r="BN142" s="449"/>
      <c r="BO142" s="449"/>
      <c r="BP142" s="449"/>
      <c r="BQ142" s="449"/>
      <c r="BR142" s="449"/>
      <c r="BS142" s="449"/>
      <c r="BT142" s="449"/>
    </row>
    <row r="143" spans="1:72" ht="15.75" thickBot="1" x14ac:dyDescent="0.3">
      <c r="A143" s="526"/>
      <c r="B143" s="524" t="s">
        <v>220</v>
      </c>
      <c r="C143" s="596"/>
      <c r="D143" s="532">
        <f>SUM(D124:D142)</f>
        <v>283096</v>
      </c>
      <c r="E143" s="533">
        <f>SUM(E124:E142)</f>
        <v>247661</v>
      </c>
      <c r="F143" s="533">
        <f>IFERROR(D143-E143,0)</f>
        <v>35435</v>
      </c>
      <c r="G143" s="520">
        <f>IFERROR(F143/ABS(E143),0)</f>
        <v>0.14307864379131152</v>
      </c>
      <c r="H143" s="533">
        <f>SUM(H124:H142)</f>
        <v>283096</v>
      </c>
      <c r="I143" s="533">
        <f>IFERROR(D143-H143,0)</f>
        <v>0</v>
      </c>
      <c r="J143" s="521">
        <f>IFERROR(I143/ABS(H143),0)</f>
        <v>0</v>
      </c>
      <c r="K143" s="507"/>
      <c r="L143" s="533">
        <f t="shared" ref="L143:W143" si="182">SUM(L124:L142)</f>
        <v>21976.44</v>
      </c>
      <c r="M143" s="533">
        <f t="shared" si="182"/>
        <v>19297.710000000003</v>
      </c>
      <c r="N143" s="533">
        <f t="shared" si="182"/>
        <v>14679.920000000002</v>
      </c>
      <c r="O143" s="533">
        <f t="shared" si="182"/>
        <v>20878.959999999995</v>
      </c>
      <c r="P143" s="533">
        <f t="shared" si="182"/>
        <v>17755.37</v>
      </c>
      <c r="Q143" s="533">
        <f t="shared" si="182"/>
        <v>24409.930000000008</v>
      </c>
      <c r="R143" s="533">
        <f t="shared" si="182"/>
        <v>27349.611666666668</v>
      </c>
      <c r="S143" s="533">
        <f t="shared" si="182"/>
        <v>27349.611666666664</v>
      </c>
      <c r="T143" s="533">
        <f t="shared" si="182"/>
        <v>27349.611666666664</v>
      </c>
      <c r="U143" s="533">
        <f t="shared" si="182"/>
        <v>27349.611666666664</v>
      </c>
      <c r="V143" s="533">
        <f t="shared" si="182"/>
        <v>27349.611666666664</v>
      </c>
      <c r="W143" s="533">
        <f t="shared" si="182"/>
        <v>27349.611666666671</v>
      </c>
      <c r="X143" s="533"/>
      <c r="Y143" s="533">
        <f>SUM(L143:W143)</f>
        <v>283096</v>
      </c>
      <c r="Z143" s="534"/>
      <c r="AA143" s="533">
        <f t="shared" ref="AA143:AL143" si="183">SUM(AA124:AA142)</f>
        <v>23591.333333333336</v>
      </c>
      <c r="AB143" s="533">
        <f t="shared" si="183"/>
        <v>23591.333333333336</v>
      </c>
      <c r="AC143" s="533">
        <f t="shared" si="183"/>
        <v>23591.333333333336</v>
      </c>
      <c r="AD143" s="533">
        <f t="shared" si="183"/>
        <v>23591.333333333336</v>
      </c>
      <c r="AE143" s="533">
        <f t="shared" si="183"/>
        <v>23591.333333333336</v>
      </c>
      <c r="AF143" s="533">
        <f t="shared" si="183"/>
        <v>23591.333333333336</v>
      </c>
      <c r="AG143" s="533">
        <f t="shared" si="183"/>
        <v>23591.333333333336</v>
      </c>
      <c r="AH143" s="533">
        <f t="shared" si="183"/>
        <v>23591.333333333336</v>
      </c>
      <c r="AI143" s="533">
        <f t="shared" si="183"/>
        <v>23591.333333333336</v>
      </c>
      <c r="AJ143" s="533">
        <f t="shared" si="183"/>
        <v>23591.333333333336</v>
      </c>
      <c r="AK143" s="533">
        <f t="shared" si="183"/>
        <v>23591.333333333336</v>
      </c>
      <c r="AL143" s="533">
        <f t="shared" si="183"/>
        <v>23591.333333333336</v>
      </c>
      <c r="AN143" s="532">
        <f>SUM(AN124:AN142)</f>
        <v>283096</v>
      </c>
      <c r="AO143" s="533">
        <f>SUM(AO124:AO142)</f>
        <v>579267.16154894326</v>
      </c>
      <c r="AP143" s="533">
        <f>IFERROR(AO143-AN143,0)</f>
        <v>296171.16154894326</v>
      </c>
      <c r="AQ143" s="523">
        <f>IFERROR(AP143/ABS(AN143),"-")</f>
        <v>1.0461863168287198</v>
      </c>
      <c r="AR143" s="533">
        <f>SUM(AR124:AR142)</f>
        <v>579267.16154894326</v>
      </c>
      <c r="AS143" s="533">
        <f>IFERROR(AO143-AR143,0)</f>
        <v>0</v>
      </c>
      <c r="AT143" s="521">
        <f>IFERROR(AS143/ABS(AR143),0)</f>
        <v>0</v>
      </c>
      <c r="AU143" s="507"/>
      <c r="AV143" s="533">
        <f t="shared" ref="AV143:BG143" si="184">SUM(AV124:AV142)</f>
        <v>38517.076305220886</v>
      </c>
      <c r="AW143" s="533">
        <f t="shared" si="184"/>
        <v>53884.296035827552</v>
      </c>
      <c r="AX143" s="533">
        <f t="shared" si="184"/>
        <v>50851.270287566214</v>
      </c>
      <c r="AY143" s="533">
        <f t="shared" si="184"/>
        <v>56851.270287566214</v>
      </c>
      <c r="AZ143" s="533">
        <f t="shared" si="184"/>
        <v>50851.270287566214</v>
      </c>
      <c r="BA143" s="533">
        <f t="shared" si="184"/>
        <v>41816.603620899543</v>
      </c>
      <c r="BB143" s="533">
        <f t="shared" si="184"/>
        <v>41816.603620899543</v>
      </c>
      <c r="BC143" s="533">
        <f t="shared" si="184"/>
        <v>41816.603620899543</v>
      </c>
      <c r="BD143" s="533">
        <f t="shared" si="184"/>
        <v>41816.603620899543</v>
      </c>
      <c r="BE143" s="533">
        <f t="shared" si="184"/>
        <v>41816.603620899543</v>
      </c>
      <c r="BF143" s="533">
        <f t="shared" si="184"/>
        <v>41816.603620899543</v>
      </c>
      <c r="BG143" s="533">
        <f t="shared" si="184"/>
        <v>77412.356619798884</v>
      </c>
      <c r="BH143" s="534"/>
      <c r="BI143" s="533">
        <f t="shared" ref="BI143:BT143" si="185">SUM(BI124:BI142)</f>
        <v>38517.076305220886</v>
      </c>
      <c r="BJ143" s="533">
        <f t="shared" si="185"/>
        <v>53884.296035827552</v>
      </c>
      <c r="BK143" s="533">
        <f t="shared" si="185"/>
        <v>50851.270287566214</v>
      </c>
      <c r="BL143" s="533">
        <f t="shared" si="185"/>
        <v>56851.270287566214</v>
      </c>
      <c r="BM143" s="533">
        <f t="shared" si="185"/>
        <v>50851.270287566214</v>
      </c>
      <c r="BN143" s="533">
        <f t="shared" si="185"/>
        <v>41816.603620899543</v>
      </c>
      <c r="BO143" s="533">
        <f t="shared" si="185"/>
        <v>41816.603620899543</v>
      </c>
      <c r="BP143" s="533">
        <f t="shared" si="185"/>
        <v>41816.603620899543</v>
      </c>
      <c r="BQ143" s="533">
        <f t="shared" si="185"/>
        <v>41816.603620899543</v>
      </c>
      <c r="BR143" s="533">
        <f t="shared" si="185"/>
        <v>41816.603620899543</v>
      </c>
      <c r="BS143" s="533">
        <f t="shared" si="185"/>
        <v>41816.603620899543</v>
      </c>
      <c r="BT143" s="533">
        <f t="shared" si="185"/>
        <v>77412.356619798884</v>
      </c>
    </row>
    <row r="144" spans="1:72" ht="15.75" thickTop="1" x14ac:dyDescent="0.25">
      <c r="A144" s="587"/>
      <c r="B144" s="502"/>
      <c r="C144" s="596"/>
      <c r="D144" s="500"/>
      <c r="E144" s="449"/>
      <c r="F144" s="449"/>
      <c r="G144" s="421"/>
      <c r="H144" s="449"/>
      <c r="I144" s="449"/>
      <c r="J144" s="426"/>
      <c r="K144" s="421"/>
      <c r="L144" s="449"/>
      <c r="M144" s="449"/>
      <c r="N144" s="449"/>
      <c r="O144" s="449"/>
      <c r="P144" s="449"/>
      <c r="Q144" s="449"/>
      <c r="R144" s="449"/>
      <c r="S144" s="449"/>
      <c r="T144" s="449"/>
      <c r="U144" s="449"/>
      <c r="V144" s="449"/>
      <c r="W144" s="449"/>
      <c r="X144" s="449"/>
      <c r="Y144" s="449"/>
      <c r="Z144" s="531"/>
      <c r="AA144" s="449"/>
      <c r="AB144" s="449"/>
      <c r="AC144" s="449"/>
      <c r="AD144" s="449"/>
      <c r="AE144" s="449"/>
      <c r="AF144" s="449"/>
      <c r="AG144" s="449"/>
      <c r="AH144" s="449"/>
      <c r="AI144" s="449"/>
      <c r="AJ144" s="449"/>
      <c r="AK144" s="449"/>
      <c r="AL144" s="449"/>
      <c r="AN144" s="500"/>
      <c r="AO144" s="449"/>
      <c r="AP144" s="449"/>
      <c r="AQ144" s="453"/>
      <c r="AR144" s="449"/>
      <c r="AS144" s="449"/>
      <c r="AT144" s="426"/>
      <c r="AU144" s="421"/>
      <c r="AV144" s="449"/>
      <c r="AW144" s="449"/>
      <c r="AX144" s="449"/>
      <c r="AY144" s="449"/>
      <c r="AZ144" s="449"/>
      <c r="BA144" s="449"/>
      <c r="BB144" s="449"/>
      <c r="BC144" s="449"/>
      <c r="BD144" s="449"/>
      <c r="BE144" s="449"/>
      <c r="BF144" s="449"/>
      <c r="BG144" s="449"/>
      <c r="BH144" s="531"/>
      <c r="BI144" s="449"/>
      <c r="BJ144" s="449"/>
      <c r="BK144" s="449"/>
      <c r="BL144" s="449"/>
      <c r="BM144" s="449"/>
      <c r="BN144" s="449"/>
      <c r="BO144" s="449"/>
      <c r="BP144" s="449"/>
      <c r="BQ144" s="449"/>
      <c r="BR144" s="449"/>
      <c r="BS144" s="449"/>
      <c r="BT144" s="449"/>
    </row>
    <row r="145" spans="1:72" ht="15.75" x14ac:dyDescent="0.25">
      <c r="A145" s="587"/>
      <c r="B145" s="525" t="s">
        <v>221</v>
      </c>
      <c r="C145" s="596"/>
      <c r="D145" s="500"/>
      <c r="E145" s="449"/>
      <c r="F145" s="449"/>
      <c r="G145" s="421"/>
      <c r="H145" s="449"/>
      <c r="I145" s="449"/>
      <c r="J145" s="426"/>
      <c r="K145" s="421"/>
      <c r="L145" s="449"/>
      <c r="M145" s="449"/>
      <c r="N145" s="449"/>
      <c r="O145" s="449"/>
      <c r="P145" s="449"/>
      <c r="Q145" s="449"/>
      <c r="R145" s="449"/>
      <c r="S145" s="449"/>
      <c r="T145" s="449"/>
      <c r="U145" s="449"/>
      <c r="V145" s="449"/>
      <c r="W145" s="449"/>
      <c r="X145" s="449"/>
      <c r="Y145" s="449"/>
      <c r="Z145" s="531"/>
      <c r="AA145" s="449"/>
      <c r="AB145" s="449"/>
      <c r="AC145" s="449"/>
      <c r="AD145" s="449"/>
      <c r="AE145" s="449"/>
      <c r="AF145" s="449"/>
      <c r="AG145" s="449"/>
      <c r="AH145" s="449"/>
      <c r="AI145" s="449"/>
      <c r="AJ145" s="449"/>
      <c r="AK145" s="449"/>
      <c r="AL145" s="449"/>
      <c r="AN145" s="500"/>
      <c r="AO145" s="449"/>
      <c r="AP145" s="449"/>
      <c r="AQ145" s="453"/>
      <c r="AR145" s="449"/>
      <c r="AS145" s="449"/>
      <c r="AT145" s="426"/>
      <c r="AU145" s="421"/>
      <c r="AV145" s="449"/>
      <c r="AW145" s="449"/>
      <c r="AX145" s="449"/>
      <c r="AY145" s="449"/>
      <c r="AZ145" s="449"/>
      <c r="BA145" s="449"/>
      <c r="BB145" s="449"/>
      <c r="BC145" s="449"/>
      <c r="BD145" s="449"/>
      <c r="BE145" s="449"/>
      <c r="BF145" s="449"/>
      <c r="BG145" s="449"/>
      <c r="BH145" s="531"/>
      <c r="BI145" s="449"/>
      <c r="BJ145" s="449"/>
      <c r="BK145" s="449"/>
      <c r="BL145" s="449"/>
      <c r="BM145" s="449"/>
      <c r="BN145" s="449"/>
      <c r="BO145" s="449"/>
      <c r="BP145" s="449"/>
      <c r="BQ145" s="449"/>
      <c r="BR145" s="449"/>
      <c r="BS145" s="449"/>
      <c r="BT145" s="449"/>
    </row>
    <row r="146" spans="1:72" ht="6" customHeight="1" x14ac:dyDescent="0.25">
      <c r="A146" s="587"/>
      <c r="B146" s="502"/>
      <c r="C146" s="596"/>
      <c r="D146" s="500"/>
      <c r="E146" s="449"/>
      <c r="F146" s="449"/>
      <c r="G146" s="421"/>
      <c r="H146" s="449"/>
      <c r="I146" s="449"/>
      <c r="J146" s="426"/>
      <c r="K146" s="421"/>
      <c r="L146" s="449"/>
      <c r="M146" s="449"/>
      <c r="N146" s="449"/>
      <c r="O146" s="449"/>
      <c r="P146" s="449"/>
      <c r="Q146" s="449"/>
      <c r="R146" s="449"/>
      <c r="S146" s="449"/>
      <c r="T146" s="449"/>
      <c r="U146" s="449"/>
      <c r="V146" s="449"/>
      <c r="W146" s="449"/>
      <c r="X146" s="449"/>
      <c r="Y146" s="449"/>
      <c r="Z146" s="531"/>
      <c r="AA146" s="449"/>
      <c r="AB146" s="449"/>
      <c r="AC146" s="449"/>
      <c r="AD146" s="449"/>
      <c r="AE146" s="449"/>
      <c r="AF146" s="449"/>
      <c r="AG146" s="449"/>
      <c r="AH146" s="449"/>
      <c r="AI146" s="449"/>
      <c r="AJ146" s="449"/>
      <c r="AK146" s="449"/>
      <c r="AL146" s="449"/>
      <c r="AN146" s="500"/>
      <c r="AO146" s="449"/>
      <c r="AP146" s="449"/>
      <c r="AQ146" s="453"/>
      <c r="AR146" s="449"/>
      <c r="AS146" s="449"/>
      <c r="AT146" s="426"/>
      <c r="AU146" s="421"/>
      <c r="AV146" s="449"/>
      <c r="AW146" s="449"/>
      <c r="AX146" s="449"/>
      <c r="AY146" s="449"/>
      <c r="AZ146" s="449"/>
      <c r="BA146" s="449"/>
      <c r="BB146" s="449"/>
      <c r="BC146" s="449"/>
      <c r="BD146" s="449"/>
      <c r="BE146" s="449"/>
      <c r="BF146" s="449"/>
      <c r="BG146" s="449"/>
      <c r="BH146" s="531"/>
      <c r="BI146" s="449"/>
      <c r="BJ146" s="449"/>
      <c r="BK146" s="449"/>
      <c r="BL146" s="449"/>
      <c r="BM146" s="449"/>
      <c r="BN146" s="449"/>
      <c r="BO146" s="449"/>
      <c r="BP146" s="449"/>
      <c r="BQ146" s="449"/>
      <c r="BR146" s="449"/>
      <c r="BS146" s="449"/>
      <c r="BT146" s="449"/>
    </row>
    <row r="147" spans="1:72" ht="15" x14ac:dyDescent="0.25">
      <c r="A147" s="615" t="s">
        <v>222</v>
      </c>
      <c r="B147" s="502" t="s">
        <v>223</v>
      </c>
      <c r="C147" s="630"/>
      <c r="D147" s="500">
        <f t="shared" ref="D147:D225" si="186">SUM(L147:W147)</f>
        <v>73807</v>
      </c>
      <c r="E147" s="449">
        <v>34807</v>
      </c>
      <c r="F147" s="449">
        <f t="shared" ref="F147:F210" si="187">IFERROR(D147-E147,0)</f>
        <v>39000</v>
      </c>
      <c r="G147" s="421">
        <f t="shared" ref="G147:G225" si="188">IFERROR(F147/ABS(E147),0)</f>
        <v>1.1204642744275577</v>
      </c>
      <c r="H147" s="449">
        <v>73807</v>
      </c>
      <c r="I147" s="449">
        <f t="shared" ref="I147:I225" si="189">IFERROR(D147-H147,0)</f>
        <v>0</v>
      </c>
      <c r="J147" s="426">
        <f t="shared" ref="J147:J225" si="190">IFERROR(I147/ABS(H147),0)</f>
        <v>0</v>
      </c>
      <c r="K147" s="421"/>
      <c r="L147" s="449">
        <v>0.01</v>
      </c>
      <c r="M147" s="449">
        <v>6812.96</v>
      </c>
      <c r="N147" s="449">
        <v>5961.329999999999</v>
      </c>
      <c r="O147" s="449">
        <v>5677.4599999999991</v>
      </c>
      <c r="P147" s="449">
        <v>5677.4600000000028</v>
      </c>
      <c r="Q147" s="449">
        <v>7096.8299999999981</v>
      </c>
      <c r="R147" s="449">
        <f>($H147-SUM($L147:Q147))/R$694</f>
        <v>7096.8249999999998</v>
      </c>
      <c r="S147" s="449">
        <f>($H147-SUM($L147:R147))/S$694</f>
        <v>7096.8249999999998</v>
      </c>
      <c r="T147" s="449">
        <f>($H147-SUM($L147:S147))/T$694</f>
        <v>7096.8250000000007</v>
      </c>
      <c r="U147" s="449">
        <f>($H147-SUM($L147:T147))/U$694</f>
        <v>7096.8250000000016</v>
      </c>
      <c r="V147" s="449">
        <f>($H147-SUM($L147:U147))/V$694</f>
        <v>7096.8250000000007</v>
      </c>
      <c r="W147" s="449">
        <f>($H147-SUM($L147:V147))/W$694</f>
        <v>7096.8249999999971</v>
      </c>
      <c r="X147" s="449"/>
      <c r="Y147" s="449">
        <f t="shared" ref="Y147:Y225" si="191">SUM(L147:W147)</f>
        <v>73807</v>
      </c>
      <c r="Z147" s="531"/>
      <c r="AA147" s="449">
        <f t="shared" ref="AA147:AL162" si="192">IFERROR($H147/12,0)</f>
        <v>6150.583333333333</v>
      </c>
      <c r="AB147" s="449">
        <f t="shared" si="192"/>
        <v>6150.583333333333</v>
      </c>
      <c r="AC147" s="449">
        <f t="shared" si="192"/>
        <v>6150.583333333333</v>
      </c>
      <c r="AD147" s="449">
        <f t="shared" si="192"/>
        <v>6150.583333333333</v>
      </c>
      <c r="AE147" s="449">
        <f t="shared" si="192"/>
        <v>6150.583333333333</v>
      </c>
      <c r="AF147" s="449">
        <f t="shared" si="192"/>
        <v>6150.583333333333</v>
      </c>
      <c r="AG147" s="449">
        <f t="shared" si="192"/>
        <v>6150.583333333333</v>
      </c>
      <c r="AH147" s="449">
        <f t="shared" si="192"/>
        <v>6150.583333333333</v>
      </c>
      <c r="AI147" s="449">
        <f t="shared" si="192"/>
        <v>6150.583333333333</v>
      </c>
      <c r="AJ147" s="449">
        <f t="shared" si="192"/>
        <v>6150.583333333333</v>
      </c>
      <c r="AK147" s="449">
        <f t="shared" si="192"/>
        <v>6150.583333333333</v>
      </c>
      <c r="AL147" s="449">
        <f t="shared" si="192"/>
        <v>6150.583333333333</v>
      </c>
      <c r="AN147" s="500">
        <f t="shared" ref="AN147:AN190" si="193">SUM(L147:W147)</f>
        <v>73807</v>
      </c>
      <c r="AO147" s="449">
        <f t="shared" ref="AO147:AO225" si="194">SUM(BI147:BT147)</f>
        <v>117478.49369999999</v>
      </c>
      <c r="AP147" s="449">
        <f t="shared" ref="AP147:AP210" si="195">IFERROR(AO147-AN147,0)</f>
        <v>43671.493699999992</v>
      </c>
      <c r="AQ147" s="453">
        <f t="shared" ref="AQ147:AQ210" si="196">IFERROR(AP147/ABS(AN147),"-")</f>
        <v>0.59169853401438877</v>
      </c>
      <c r="AR147" s="449">
        <f t="shared" ref="AR147:AR176" si="197">SUM(BI147:BT147)</f>
        <v>117478.49369999999</v>
      </c>
      <c r="AS147" s="449">
        <f t="shared" ref="AS147:AS210" si="198">IFERROR(AO147-AR147,0)</f>
        <v>0</v>
      </c>
      <c r="AT147" s="426">
        <f t="shared" ref="AT147:AT225" si="199">IFERROR(AS147/ABS(AR147),0)</f>
        <v>0</v>
      </c>
      <c r="AU147" s="421"/>
      <c r="AV147" s="449">
        <f t="shared" ref="AV147:BG168" si="200">BI147</f>
        <v>0</v>
      </c>
      <c r="AW147" s="449">
        <f t="shared" si="200"/>
        <v>9789.8744749999987</v>
      </c>
      <c r="AX147" s="449">
        <f t="shared" si="200"/>
        <v>9789.8744749999987</v>
      </c>
      <c r="AY147" s="449">
        <f t="shared" si="200"/>
        <v>9789.8744749999987</v>
      </c>
      <c r="AZ147" s="449">
        <f t="shared" si="200"/>
        <v>9789.8744749999987</v>
      </c>
      <c r="BA147" s="449">
        <f t="shared" si="200"/>
        <v>9789.8744749999987</v>
      </c>
      <c r="BB147" s="449">
        <f t="shared" si="200"/>
        <v>9789.8744749999987</v>
      </c>
      <c r="BC147" s="449">
        <f t="shared" si="200"/>
        <v>9789.8744749999987</v>
      </c>
      <c r="BD147" s="449">
        <f t="shared" si="200"/>
        <v>9789.8744749999987</v>
      </c>
      <c r="BE147" s="449">
        <f t="shared" si="200"/>
        <v>9789.8744749999987</v>
      </c>
      <c r="BF147" s="449">
        <f t="shared" si="200"/>
        <v>9789.8744749999987</v>
      </c>
      <c r="BG147" s="449">
        <f t="shared" si="200"/>
        <v>19579.748949999997</v>
      </c>
      <c r="BH147" s="400"/>
      <c r="BI147" s="449">
        <v>0</v>
      </c>
      <c r="BJ147" s="449">
        <f>SUM('FY19 Staffing V1-1 (3)'!$P$89,'FY19 Staffing V1-1 (3)'!$P$95,'FY19 Staffing V1-1 (3)'!$P$255)/12</f>
        <v>9789.8744749999987</v>
      </c>
      <c r="BK147" s="449">
        <f>SUM('FY19 Staffing V1-1 (3)'!$P$89,'FY19 Staffing V1-1 (3)'!$P$95,'FY19 Staffing V1-1 (3)'!$P$255)/12</f>
        <v>9789.8744749999987</v>
      </c>
      <c r="BL147" s="449">
        <f>SUM('FY19 Staffing V1-1 (3)'!$P$89,'FY19 Staffing V1-1 (3)'!$P$95,'FY19 Staffing V1-1 (3)'!$P$255)/12</f>
        <v>9789.8744749999987</v>
      </c>
      <c r="BM147" s="449">
        <f>SUM('FY19 Staffing V1-1 (3)'!$P$89,'FY19 Staffing V1-1 (3)'!$P$95,'FY19 Staffing V1-1 (3)'!$P$255)/12</f>
        <v>9789.8744749999987</v>
      </c>
      <c r="BN147" s="449">
        <f>SUM('FY19 Staffing V1-1 (3)'!$P$89,'FY19 Staffing V1-1 (3)'!$P$95,'FY19 Staffing V1-1 (3)'!$P$255)/12</f>
        <v>9789.8744749999987</v>
      </c>
      <c r="BO147" s="449">
        <f>SUM('FY19 Staffing V1-1 (3)'!$P$89,'FY19 Staffing V1-1 (3)'!$P$95,'FY19 Staffing V1-1 (3)'!$P$255)/12</f>
        <v>9789.8744749999987</v>
      </c>
      <c r="BP147" s="449">
        <f>SUM('FY19 Staffing V1-1 (3)'!$P$89,'FY19 Staffing V1-1 (3)'!$P$95,'FY19 Staffing V1-1 (3)'!$P$255)/12</f>
        <v>9789.8744749999987</v>
      </c>
      <c r="BQ147" s="449">
        <f>SUM('FY19 Staffing V1-1 (3)'!$P$89,'FY19 Staffing V1-1 (3)'!$P$95,'FY19 Staffing V1-1 (3)'!$P$255)/12</f>
        <v>9789.8744749999987</v>
      </c>
      <c r="BR147" s="449">
        <f>SUM('FY19 Staffing V1-1 (3)'!$P$89,'FY19 Staffing V1-1 (3)'!$P$95,'FY19 Staffing V1-1 (3)'!$P$255)/12</f>
        <v>9789.8744749999987</v>
      </c>
      <c r="BS147" s="449">
        <f>SUM('FY19 Staffing V1-1 (3)'!$P$89,'FY19 Staffing V1-1 (3)'!$P$95,'FY19 Staffing V1-1 (3)'!$P$255)/12</f>
        <v>9789.8744749999987</v>
      </c>
      <c r="BT147" s="449">
        <f>SUM('FY19 Staffing V1-1 (3)'!$P$89,'FY19 Staffing V1-1 (3)'!$P$95,'FY19 Staffing V1-1 (3)'!$P$255)/12*2</f>
        <v>19579.748949999997</v>
      </c>
    </row>
    <row r="148" spans="1:72" ht="15" x14ac:dyDescent="0.25">
      <c r="A148" s="615" t="s">
        <v>224</v>
      </c>
      <c r="B148" s="502" t="s">
        <v>225</v>
      </c>
      <c r="C148" s="630"/>
      <c r="D148" s="500">
        <f t="shared" si="186"/>
        <v>225200</v>
      </c>
      <c r="E148" s="449">
        <v>192029</v>
      </c>
      <c r="F148" s="449">
        <f t="shared" si="187"/>
        <v>33171</v>
      </c>
      <c r="G148" s="421">
        <f t="shared" si="188"/>
        <v>0.17273953413286536</v>
      </c>
      <c r="H148" s="449">
        <v>225200</v>
      </c>
      <c r="I148" s="449">
        <f t="shared" si="189"/>
        <v>0</v>
      </c>
      <c r="J148" s="426">
        <f t="shared" si="190"/>
        <v>0</v>
      </c>
      <c r="K148" s="421"/>
      <c r="L148" s="449">
        <v>0</v>
      </c>
      <c r="M148" s="449">
        <v>10680</v>
      </c>
      <c r="N148" s="449">
        <v>9345</v>
      </c>
      <c r="O148" s="449">
        <v>8775.36</v>
      </c>
      <c r="P148" s="449">
        <v>8900</v>
      </c>
      <c r="Q148" s="449">
        <v>11125</v>
      </c>
      <c r="R148" s="449">
        <f>($H148-SUM($L148:Q148))/R$694</f>
        <v>29395.773333333334</v>
      </c>
      <c r="S148" s="449">
        <f>($H148-SUM($L148:R148))/S$694</f>
        <v>29395.773333333334</v>
      </c>
      <c r="T148" s="449">
        <f>($H148-SUM($L148:S148))/T$694</f>
        <v>29395.773333333334</v>
      </c>
      <c r="U148" s="449">
        <f>($H148-SUM($L148:T148))/U$694</f>
        <v>29395.773333333334</v>
      </c>
      <c r="V148" s="449">
        <f>($H148-SUM($L148:U148))/V$694</f>
        <v>29395.773333333331</v>
      </c>
      <c r="W148" s="449">
        <f>($H148-SUM($L148:V148))/W$694</f>
        <v>29395.773333333316</v>
      </c>
      <c r="X148" s="449"/>
      <c r="Y148" s="449">
        <f t="shared" si="191"/>
        <v>225200</v>
      </c>
      <c r="Z148" s="531"/>
      <c r="AA148" s="449">
        <f t="shared" si="192"/>
        <v>18766.666666666668</v>
      </c>
      <c r="AB148" s="449">
        <f t="shared" si="192"/>
        <v>18766.666666666668</v>
      </c>
      <c r="AC148" s="449">
        <f t="shared" si="192"/>
        <v>18766.666666666668</v>
      </c>
      <c r="AD148" s="449">
        <f t="shared" si="192"/>
        <v>18766.666666666668</v>
      </c>
      <c r="AE148" s="449">
        <f t="shared" si="192"/>
        <v>18766.666666666668</v>
      </c>
      <c r="AF148" s="449">
        <f t="shared" si="192"/>
        <v>18766.666666666668</v>
      </c>
      <c r="AG148" s="449">
        <f t="shared" si="192"/>
        <v>18766.666666666668</v>
      </c>
      <c r="AH148" s="449">
        <f t="shared" si="192"/>
        <v>18766.666666666668</v>
      </c>
      <c r="AI148" s="449">
        <f t="shared" si="192"/>
        <v>18766.666666666668</v>
      </c>
      <c r="AJ148" s="449">
        <f t="shared" si="192"/>
        <v>18766.666666666668</v>
      </c>
      <c r="AK148" s="449">
        <f t="shared" si="192"/>
        <v>18766.666666666668</v>
      </c>
      <c r="AL148" s="449">
        <f t="shared" si="192"/>
        <v>18766.666666666668</v>
      </c>
      <c r="AN148" s="500">
        <f t="shared" si="193"/>
        <v>225200</v>
      </c>
      <c r="AO148" s="449">
        <f t="shared" si="194"/>
        <v>300258.7492125</v>
      </c>
      <c r="AP148" s="449">
        <f t="shared" si="195"/>
        <v>75058.749212499999</v>
      </c>
      <c r="AQ148" s="453">
        <f t="shared" si="196"/>
        <v>0.33329817589920069</v>
      </c>
      <c r="AR148" s="449">
        <f t="shared" si="197"/>
        <v>300258.7492125</v>
      </c>
      <c r="AS148" s="449">
        <f t="shared" si="198"/>
        <v>0</v>
      </c>
      <c r="AT148" s="426">
        <f t="shared" si="199"/>
        <v>0</v>
      </c>
      <c r="AU148" s="421"/>
      <c r="AV148" s="449">
        <f t="shared" si="200"/>
        <v>0</v>
      </c>
      <c r="AW148" s="449">
        <f t="shared" si="200"/>
        <v>25021.562434374999</v>
      </c>
      <c r="AX148" s="449">
        <f t="shared" si="200"/>
        <v>25021.562434374999</v>
      </c>
      <c r="AY148" s="449">
        <f t="shared" si="200"/>
        <v>25021.562434374999</v>
      </c>
      <c r="AZ148" s="449">
        <f t="shared" si="200"/>
        <v>25021.562434374999</v>
      </c>
      <c r="BA148" s="449">
        <f t="shared" si="200"/>
        <v>25021.562434374999</v>
      </c>
      <c r="BB148" s="449">
        <f t="shared" si="200"/>
        <v>25021.562434374999</v>
      </c>
      <c r="BC148" s="449">
        <f t="shared" si="200"/>
        <v>25021.562434374999</v>
      </c>
      <c r="BD148" s="449">
        <f t="shared" si="200"/>
        <v>25021.562434374999</v>
      </c>
      <c r="BE148" s="449">
        <f t="shared" si="200"/>
        <v>25021.562434374999</v>
      </c>
      <c r="BF148" s="449">
        <f t="shared" si="200"/>
        <v>25021.562434374999</v>
      </c>
      <c r="BG148" s="449">
        <f t="shared" si="200"/>
        <v>50043.124868749997</v>
      </c>
      <c r="BH148" s="400"/>
      <c r="BI148" s="449">
        <v>0</v>
      </c>
      <c r="BJ148" s="449">
        <f>SUM('FY19 Staffing V1-1 (3)'!$P$90:$P$94,'FY19 Staffing V1-1 (3)'!$P$96:$P$97,'FY19 Staffing V1-1 (3)'!$P$256)/12</f>
        <v>25021.562434374999</v>
      </c>
      <c r="BK148" s="449">
        <f>SUM('FY19 Staffing V1-1 (3)'!$P$90:$P$94,'FY19 Staffing V1-1 (3)'!$P$96:$P$97,'FY19 Staffing V1-1 (3)'!$P$256)/12</f>
        <v>25021.562434374999</v>
      </c>
      <c r="BL148" s="449">
        <f>SUM('FY19 Staffing V1-1 (3)'!$P$90:$P$94,'FY19 Staffing V1-1 (3)'!$P$96:$P$97,'FY19 Staffing V1-1 (3)'!$P$256)/12</f>
        <v>25021.562434374999</v>
      </c>
      <c r="BM148" s="449">
        <f>SUM('FY19 Staffing V1-1 (3)'!$P$90:$P$94,'FY19 Staffing V1-1 (3)'!$P$96:$P$97,'FY19 Staffing V1-1 (3)'!$P$256)/12</f>
        <v>25021.562434374999</v>
      </c>
      <c r="BN148" s="449">
        <f>SUM('FY19 Staffing V1-1 (3)'!$P$90:$P$94,'FY19 Staffing V1-1 (3)'!$P$96:$P$97,'FY19 Staffing V1-1 (3)'!$P$256)/12</f>
        <v>25021.562434374999</v>
      </c>
      <c r="BO148" s="449">
        <f>SUM('FY19 Staffing V1-1 (3)'!$P$90:$P$94,'FY19 Staffing V1-1 (3)'!$P$96:$P$97,'FY19 Staffing V1-1 (3)'!$P$256)/12</f>
        <v>25021.562434374999</v>
      </c>
      <c r="BP148" s="449">
        <f>SUM('FY19 Staffing V1-1 (3)'!$P$90:$P$94,'FY19 Staffing V1-1 (3)'!$P$96:$P$97,'FY19 Staffing V1-1 (3)'!$P$256)/12</f>
        <v>25021.562434374999</v>
      </c>
      <c r="BQ148" s="449">
        <f>SUM('FY19 Staffing V1-1 (3)'!$P$90:$P$94,'FY19 Staffing V1-1 (3)'!$P$96:$P$97,'FY19 Staffing V1-1 (3)'!$P$256)/12</f>
        <v>25021.562434374999</v>
      </c>
      <c r="BR148" s="449">
        <f>SUM('FY19 Staffing V1-1 (3)'!$P$90:$P$94,'FY19 Staffing V1-1 (3)'!$P$96:$P$97,'FY19 Staffing V1-1 (3)'!$P$256)/12</f>
        <v>25021.562434374999</v>
      </c>
      <c r="BS148" s="449">
        <f>SUM('FY19 Staffing V1-1 (3)'!$P$90:$P$94,'FY19 Staffing V1-1 (3)'!$P$96:$P$97,'FY19 Staffing V1-1 (3)'!$P$256)/12</f>
        <v>25021.562434374999</v>
      </c>
      <c r="BT148" s="449">
        <f>SUM('FY19 Staffing V1-1 (3)'!$P$90:$P$94,'FY19 Staffing V1-1 (3)'!$P$96:$P$97,'FY19 Staffing V1-1 (3)'!$P$256)/12*2</f>
        <v>50043.124868749997</v>
      </c>
    </row>
    <row r="149" spans="1:72" ht="15" hidden="1" x14ac:dyDescent="0.25">
      <c r="A149" s="631" t="s">
        <v>226</v>
      </c>
      <c r="B149" s="632" t="s">
        <v>227</v>
      </c>
      <c r="C149" s="630"/>
      <c r="D149" s="500">
        <f t="shared" si="186"/>
        <v>5000</v>
      </c>
      <c r="E149" s="449">
        <v>5000</v>
      </c>
      <c r="F149" s="449">
        <f t="shared" si="187"/>
        <v>0</v>
      </c>
      <c r="G149" s="421">
        <f t="shared" si="188"/>
        <v>0</v>
      </c>
      <c r="H149" s="449">
        <v>5000</v>
      </c>
      <c r="I149" s="449">
        <f t="shared" si="189"/>
        <v>0</v>
      </c>
      <c r="J149" s="426">
        <f t="shared" si="190"/>
        <v>0</v>
      </c>
      <c r="K149" s="421"/>
      <c r="L149" s="449">
        <v>0</v>
      </c>
      <c r="M149" s="449">
        <v>0</v>
      </c>
      <c r="N149" s="449">
        <v>0</v>
      </c>
      <c r="O149" s="449">
        <v>0</v>
      </c>
      <c r="P149" s="449">
        <v>0</v>
      </c>
      <c r="Q149" s="449">
        <v>0</v>
      </c>
      <c r="R149" s="449">
        <f>($H149-SUM($L149:Q149))/R$694</f>
        <v>833.33333333333337</v>
      </c>
      <c r="S149" s="449">
        <f>($H149-SUM($L149:R149))/S$694</f>
        <v>833.33333333333337</v>
      </c>
      <c r="T149" s="449">
        <f>($H149-SUM($L149:S149))/T$694</f>
        <v>833.33333333333326</v>
      </c>
      <c r="U149" s="449">
        <f>($H149-SUM($L149:T149))/U$694</f>
        <v>833.33333333333337</v>
      </c>
      <c r="V149" s="449">
        <f>($H149-SUM($L149:U149))/V$694</f>
        <v>833.33333333333326</v>
      </c>
      <c r="W149" s="449">
        <f>($H149-SUM($L149:V149))/W$694</f>
        <v>833.33333333333303</v>
      </c>
      <c r="X149" s="449"/>
      <c r="Y149" s="449">
        <f t="shared" si="191"/>
        <v>5000</v>
      </c>
      <c r="Z149" s="531"/>
      <c r="AA149" s="449">
        <f t="shared" si="192"/>
        <v>416.66666666666669</v>
      </c>
      <c r="AB149" s="449">
        <f t="shared" si="192"/>
        <v>416.66666666666669</v>
      </c>
      <c r="AC149" s="449">
        <f t="shared" si="192"/>
        <v>416.66666666666669</v>
      </c>
      <c r="AD149" s="449">
        <f t="shared" si="192"/>
        <v>416.66666666666669</v>
      </c>
      <c r="AE149" s="449">
        <f t="shared" si="192"/>
        <v>416.66666666666669</v>
      </c>
      <c r="AF149" s="449">
        <f t="shared" si="192"/>
        <v>416.66666666666669</v>
      </c>
      <c r="AG149" s="449">
        <f t="shared" si="192"/>
        <v>416.66666666666669</v>
      </c>
      <c r="AH149" s="449">
        <f t="shared" si="192"/>
        <v>416.66666666666669</v>
      </c>
      <c r="AI149" s="449">
        <f t="shared" si="192"/>
        <v>416.66666666666669</v>
      </c>
      <c r="AJ149" s="449">
        <f t="shared" si="192"/>
        <v>416.66666666666669</v>
      </c>
      <c r="AK149" s="449">
        <f t="shared" si="192"/>
        <v>416.66666666666669</v>
      </c>
      <c r="AL149" s="449">
        <f t="shared" si="192"/>
        <v>416.66666666666669</v>
      </c>
      <c r="AN149" s="500">
        <f t="shared" si="193"/>
        <v>5000</v>
      </c>
      <c r="AO149" s="449">
        <f t="shared" si="194"/>
        <v>0</v>
      </c>
      <c r="AP149" s="449">
        <f t="shared" si="195"/>
        <v>-5000</v>
      </c>
      <c r="AQ149" s="453">
        <f t="shared" si="196"/>
        <v>-1</v>
      </c>
      <c r="AR149" s="449">
        <f t="shared" si="197"/>
        <v>0</v>
      </c>
      <c r="AS149" s="449">
        <f t="shared" si="198"/>
        <v>0</v>
      </c>
      <c r="AT149" s="426">
        <f t="shared" si="199"/>
        <v>0</v>
      </c>
      <c r="AU149" s="421"/>
      <c r="AV149" s="449">
        <f t="shared" si="200"/>
        <v>0</v>
      </c>
      <c r="AW149" s="449">
        <f t="shared" si="200"/>
        <v>0</v>
      </c>
      <c r="AX149" s="449">
        <f t="shared" si="200"/>
        <v>0</v>
      </c>
      <c r="AY149" s="449">
        <f t="shared" si="200"/>
        <v>0</v>
      </c>
      <c r="AZ149" s="449">
        <f t="shared" si="200"/>
        <v>0</v>
      </c>
      <c r="BA149" s="449">
        <f t="shared" si="200"/>
        <v>0</v>
      </c>
      <c r="BB149" s="449">
        <f t="shared" si="200"/>
        <v>0</v>
      </c>
      <c r="BC149" s="449">
        <f t="shared" si="200"/>
        <v>0</v>
      </c>
      <c r="BD149" s="449">
        <f t="shared" si="200"/>
        <v>0</v>
      </c>
      <c r="BE149" s="449">
        <f t="shared" si="200"/>
        <v>0</v>
      </c>
      <c r="BF149" s="449">
        <f t="shared" si="200"/>
        <v>0</v>
      </c>
      <c r="BG149" s="449">
        <f t="shared" si="200"/>
        <v>0</v>
      </c>
      <c r="BH149" s="400"/>
      <c r="BI149" s="449">
        <v>0</v>
      </c>
      <c r="BJ149" s="449">
        <v>0</v>
      </c>
      <c r="BK149" s="449">
        <v>0</v>
      </c>
      <c r="BL149" s="449">
        <v>0</v>
      </c>
      <c r="BM149" s="449">
        <v>0</v>
      </c>
      <c r="BN149" s="449">
        <v>0</v>
      </c>
      <c r="BO149" s="449">
        <v>0</v>
      </c>
      <c r="BP149" s="449">
        <v>0</v>
      </c>
      <c r="BQ149" s="449">
        <v>0</v>
      </c>
      <c r="BR149" s="449">
        <v>0</v>
      </c>
      <c r="BS149" s="449">
        <v>0</v>
      </c>
      <c r="BT149" s="449">
        <v>0</v>
      </c>
    </row>
    <row r="150" spans="1:72" ht="15" x14ac:dyDescent="0.25">
      <c r="A150" s="502" t="s">
        <v>228</v>
      </c>
      <c r="B150" s="502" t="s">
        <v>229</v>
      </c>
      <c r="C150" s="630"/>
      <c r="D150" s="500">
        <f t="shared" si="186"/>
        <v>84000</v>
      </c>
      <c r="E150" s="449">
        <v>24000</v>
      </c>
      <c r="F150" s="449">
        <f t="shared" si="187"/>
        <v>60000</v>
      </c>
      <c r="G150" s="421">
        <f t="shared" si="188"/>
        <v>2.5</v>
      </c>
      <c r="H150" s="449">
        <v>84000</v>
      </c>
      <c r="I150" s="449">
        <f t="shared" si="189"/>
        <v>0</v>
      </c>
      <c r="J150" s="426">
        <f t="shared" si="190"/>
        <v>0</v>
      </c>
      <c r="K150" s="421"/>
      <c r="L150" s="449">
        <v>0</v>
      </c>
      <c r="M150" s="449">
        <v>0</v>
      </c>
      <c r="N150" s="449">
        <v>0</v>
      </c>
      <c r="O150" s="449">
        <v>31500</v>
      </c>
      <c r="P150" s="449">
        <v>0</v>
      </c>
      <c r="Q150" s="449">
        <v>7500</v>
      </c>
      <c r="R150" s="449">
        <f>($H150-SUM($L150:Q150))/R$694</f>
        <v>7500</v>
      </c>
      <c r="S150" s="449">
        <f>($H150-SUM($L150:R150))/S$694</f>
        <v>7500</v>
      </c>
      <c r="T150" s="449">
        <f>($H150-SUM($L150:S150))/T$694</f>
        <v>7500</v>
      </c>
      <c r="U150" s="449">
        <f>($H150-SUM($L150:T150))/U$694</f>
        <v>7500</v>
      </c>
      <c r="V150" s="449">
        <f>($H150-SUM($L150:U150))/V$694</f>
        <v>7500</v>
      </c>
      <c r="W150" s="449">
        <f>($H150-SUM($L150:V150))/W$694</f>
        <v>7500</v>
      </c>
      <c r="X150" s="449"/>
      <c r="Y150" s="449">
        <f t="shared" si="191"/>
        <v>84000</v>
      </c>
      <c r="Z150" s="531"/>
      <c r="AA150" s="449">
        <f t="shared" si="192"/>
        <v>7000</v>
      </c>
      <c r="AB150" s="449">
        <f t="shared" si="192"/>
        <v>7000</v>
      </c>
      <c r="AC150" s="449">
        <f t="shared" si="192"/>
        <v>7000</v>
      </c>
      <c r="AD150" s="449">
        <f t="shared" si="192"/>
        <v>7000</v>
      </c>
      <c r="AE150" s="449">
        <f t="shared" si="192"/>
        <v>7000</v>
      </c>
      <c r="AF150" s="449">
        <f t="shared" si="192"/>
        <v>7000</v>
      </c>
      <c r="AG150" s="449">
        <f t="shared" si="192"/>
        <v>7000</v>
      </c>
      <c r="AH150" s="449">
        <f t="shared" si="192"/>
        <v>7000</v>
      </c>
      <c r="AI150" s="449">
        <f t="shared" si="192"/>
        <v>7000</v>
      </c>
      <c r="AJ150" s="449">
        <f t="shared" si="192"/>
        <v>7000</v>
      </c>
      <c r="AK150" s="449">
        <f t="shared" si="192"/>
        <v>7000</v>
      </c>
      <c r="AL150" s="449">
        <f t="shared" si="192"/>
        <v>7000</v>
      </c>
      <c r="AN150" s="500">
        <f t="shared" si="193"/>
        <v>84000</v>
      </c>
      <c r="AO150" s="449">
        <f t="shared" si="194"/>
        <v>0</v>
      </c>
      <c r="AP150" s="449">
        <f t="shared" si="195"/>
        <v>-84000</v>
      </c>
      <c r="AQ150" s="453">
        <f t="shared" si="196"/>
        <v>-1</v>
      </c>
      <c r="AR150" s="449">
        <f t="shared" si="197"/>
        <v>0</v>
      </c>
      <c r="AS150" s="449">
        <f t="shared" si="198"/>
        <v>0</v>
      </c>
      <c r="AT150" s="426">
        <f t="shared" si="199"/>
        <v>0</v>
      </c>
      <c r="AU150" s="421"/>
      <c r="AV150" s="449">
        <f t="shared" si="200"/>
        <v>0</v>
      </c>
      <c r="AW150" s="449">
        <f t="shared" si="200"/>
        <v>0</v>
      </c>
      <c r="AX150" s="449">
        <f t="shared" si="200"/>
        <v>0</v>
      </c>
      <c r="AY150" s="449">
        <f t="shared" si="200"/>
        <v>0</v>
      </c>
      <c r="AZ150" s="449">
        <f t="shared" si="200"/>
        <v>0</v>
      </c>
      <c r="BA150" s="449">
        <f t="shared" si="200"/>
        <v>0</v>
      </c>
      <c r="BB150" s="449">
        <f t="shared" si="200"/>
        <v>0</v>
      </c>
      <c r="BC150" s="449">
        <f t="shared" si="200"/>
        <v>0</v>
      </c>
      <c r="BD150" s="449">
        <f t="shared" si="200"/>
        <v>0</v>
      </c>
      <c r="BE150" s="449">
        <f t="shared" si="200"/>
        <v>0</v>
      </c>
      <c r="BF150" s="449">
        <f t="shared" si="200"/>
        <v>0</v>
      </c>
      <c r="BG150" s="449">
        <f t="shared" si="200"/>
        <v>0</v>
      </c>
      <c r="BH150" s="400"/>
      <c r="BI150" s="449">
        <v>0</v>
      </c>
      <c r="BJ150" s="449">
        <v>0</v>
      </c>
      <c r="BK150" s="449">
        <v>0</v>
      </c>
      <c r="BL150" s="449">
        <v>0</v>
      </c>
      <c r="BM150" s="449">
        <v>0</v>
      </c>
      <c r="BN150" s="449">
        <v>0</v>
      </c>
      <c r="BO150" s="449">
        <v>0</v>
      </c>
      <c r="BP150" s="449">
        <v>0</v>
      </c>
      <c r="BQ150" s="449">
        <v>0</v>
      </c>
      <c r="BR150" s="449">
        <v>0</v>
      </c>
      <c r="BS150" s="449">
        <v>0</v>
      </c>
      <c r="BT150" s="449">
        <v>0</v>
      </c>
    </row>
    <row r="151" spans="1:72" ht="15" x14ac:dyDescent="0.25">
      <c r="A151" s="502" t="s">
        <v>230</v>
      </c>
      <c r="B151" s="502" t="s">
        <v>231</v>
      </c>
      <c r="C151" s="630"/>
      <c r="D151" s="500">
        <f t="shared" si="186"/>
        <v>0</v>
      </c>
      <c r="E151" s="449">
        <v>60000</v>
      </c>
      <c r="F151" s="449">
        <f t="shared" si="187"/>
        <v>-60000</v>
      </c>
      <c r="G151" s="421">
        <f t="shared" si="188"/>
        <v>-1</v>
      </c>
      <c r="H151" s="449">
        <v>0</v>
      </c>
      <c r="I151" s="449">
        <f t="shared" si="189"/>
        <v>0</v>
      </c>
      <c r="J151" s="426">
        <f t="shared" si="190"/>
        <v>0</v>
      </c>
      <c r="K151" s="421"/>
      <c r="L151" s="449">
        <v>0</v>
      </c>
      <c r="M151" s="449">
        <v>0</v>
      </c>
      <c r="N151" s="449">
        <v>0</v>
      </c>
      <c r="O151" s="449">
        <v>0</v>
      </c>
      <c r="P151" s="449">
        <v>0</v>
      </c>
      <c r="Q151" s="449">
        <v>0</v>
      </c>
      <c r="R151" s="449">
        <f>($H151-SUM($L151:Q151))/R$694</f>
        <v>0</v>
      </c>
      <c r="S151" s="449">
        <f>($H151-SUM($L151:R151))/S$694</f>
        <v>0</v>
      </c>
      <c r="T151" s="449">
        <f>($H151-SUM($L151:S151))/T$694</f>
        <v>0</v>
      </c>
      <c r="U151" s="449">
        <f>($H151-SUM($L151:T151))/U$694</f>
        <v>0</v>
      </c>
      <c r="V151" s="449">
        <f>($H151-SUM($L151:U151))/V$694</f>
        <v>0</v>
      </c>
      <c r="W151" s="449">
        <f>($H151-SUM($L151:V151))/W$694</f>
        <v>0</v>
      </c>
      <c r="X151" s="449"/>
      <c r="Y151" s="449">
        <f t="shared" si="191"/>
        <v>0</v>
      </c>
      <c r="Z151" s="531"/>
      <c r="AA151" s="449">
        <f t="shared" si="192"/>
        <v>0</v>
      </c>
      <c r="AB151" s="449">
        <f t="shared" si="192"/>
        <v>0</v>
      </c>
      <c r="AC151" s="449">
        <f t="shared" si="192"/>
        <v>0</v>
      </c>
      <c r="AD151" s="449">
        <f t="shared" si="192"/>
        <v>0</v>
      </c>
      <c r="AE151" s="449">
        <f t="shared" si="192"/>
        <v>0</v>
      </c>
      <c r="AF151" s="449">
        <f t="shared" si="192"/>
        <v>0</v>
      </c>
      <c r="AG151" s="449">
        <f t="shared" si="192"/>
        <v>0</v>
      </c>
      <c r="AH151" s="449">
        <f t="shared" si="192"/>
        <v>0</v>
      </c>
      <c r="AI151" s="449">
        <f t="shared" si="192"/>
        <v>0</v>
      </c>
      <c r="AJ151" s="449">
        <f t="shared" si="192"/>
        <v>0</v>
      </c>
      <c r="AK151" s="449">
        <f t="shared" si="192"/>
        <v>0</v>
      </c>
      <c r="AL151" s="449">
        <f t="shared" si="192"/>
        <v>0</v>
      </c>
      <c r="AN151" s="500">
        <f t="shared" si="193"/>
        <v>0</v>
      </c>
      <c r="AO151" s="449">
        <f t="shared" si="194"/>
        <v>86000</v>
      </c>
      <c r="AP151" s="449">
        <f t="shared" si="195"/>
        <v>86000</v>
      </c>
      <c r="AQ151" s="453" t="str">
        <f t="shared" si="196"/>
        <v>-</v>
      </c>
      <c r="AR151" s="449">
        <f t="shared" si="197"/>
        <v>86000</v>
      </c>
      <c r="AS151" s="449">
        <f t="shared" si="198"/>
        <v>0</v>
      </c>
      <c r="AT151" s="426">
        <f t="shared" si="199"/>
        <v>0</v>
      </c>
      <c r="AU151" s="421"/>
      <c r="AV151" s="449">
        <f t="shared" si="200"/>
        <v>0</v>
      </c>
      <c r="AW151" s="449">
        <f t="shared" si="200"/>
        <v>0</v>
      </c>
      <c r="AX151" s="449">
        <f t="shared" si="200"/>
        <v>0</v>
      </c>
      <c r="AY151" s="449">
        <f t="shared" si="200"/>
        <v>43000</v>
      </c>
      <c r="AZ151" s="449">
        <f t="shared" si="200"/>
        <v>0</v>
      </c>
      <c r="BA151" s="449">
        <f t="shared" si="200"/>
        <v>0</v>
      </c>
      <c r="BB151" s="449">
        <f t="shared" si="200"/>
        <v>0</v>
      </c>
      <c r="BC151" s="449">
        <f t="shared" si="200"/>
        <v>0</v>
      </c>
      <c r="BD151" s="449">
        <f t="shared" si="200"/>
        <v>0</v>
      </c>
      <c r="BE151" s="449">
        <f t="shared" si="200"/>
        <v>43000</v>
      </c>
      <c r="BF151" s="449">
        <f t="shared" si="200"/>
        <v>0</v>
      </c>
      <c r="BG151" s="449">
        <f t="shared" si="200"/>
        <v>0</v>
      </c>
      <c r="BH151" s="400"/>
      <c r="BI151" s="449">
        <v>0</v>
      </c>
      <c r="BJ151" s="449">
        <v>0</v>
      </c>
      <c r="BK151" s="449">
        <v>0</v>
      </c>
      <c r="BL151" s="449">
        <f>SUM('FY19 Staffing V1-1 (3)'!$P$63,'FY19 Staffing V1-1 (3)'!$P$80)/2</f>
        <v>43000</v>
      </c>
      <c r="BM151" s="449">
        <v>0</v>
      </c>
      <c r="BN151" s="449">
        <v>0</v>
      </c>
      <c r="BO151" s="449">
        <v>0</v>
      </c>
      <c r="BP151" s="449">
        <v>0</v>
      </c>
      <c r="BQ151" s="449">
        <v>0</v>
      </c>
      <c r="BR151" s="449">
        <f>SUM('FY19 Staffing V1-1 (3)'!$P$63,'FY19 Staffing V1-1 (3)'!$P$80)/2</f>
        <v>43000</v>
      </c>
      <c r="BS151" s="449">
        <v>0</v>
      </c>
      <c r="BT151" s="449">
        <v>0</v>
      </c>
    </row>
    <row r="152" spans="1:72" ht="15" x14ac:dyDescent="0.25">
      <c r="A152" s="615" t="s">
        <v>232</v>
      </c>
      <c r="B152" s="502" t="s">
        <v>233</v>
      </c>
      <c r="C152" s="630"/>
      <c r="D152" s="500">
        <f t="shared" si="186"/>
        <v>6000</v>
      </c>
      <c r="E152" s="449">
        <v>6000</v>
      </c>
      <c r="F152" s="449">
        <f t="shared" si="187"/>
        <v>0</v>
      </c>
      <c r="G152" s="421">
        <f t="shared" si="188"/>
        <v>0</v>
      </c>
      <c r="H152" s="449">
        <v>6000</v>
      </c>
      <c r="I152" s="449">
        <f t="shared" si="189"/>
        <v>0</v>
      </c>
      <c r="J152" s="426">
        <f t="shared" si="190"/>
        <v>0</v>
      </c>
      <c r="K152" s="421"/>
      <c r="L152" s="449">
        <v>0</v>
      </c>
      <c r="M152" s="449">
        <v>0</v>
      </c>
      <c r="N152" s="449">
        <v>0</v>
      </c>
      <c r="O152" s="449">
        <v>6000</v>
      </c>
      <c r="P152" s="449">
        <v>0</v>
      </c>
      <c r="Q152" s="449">
        <v>0</v>
      </c>
      <c r="R152" s="449">
        <f>($H152-SUM($L152:Q152))/R$694</f>
        <v>0</v>
      </c>
      <c r="S152" s="449">
        <f>($H152-SUM($L152:R152))/S$694</f>
        <v>0</v>
      </c>
      <c r="T152" s="449">
        <f>($H152-SUM($L152:S152))/T$694</f>
        <v>0</v>
      </c>
      <c r="U152" s="449">
        <f>($H152-SUM($L152:T152))/U$694</f>
        <v>0</v>
      </c>
      <c r="V152" s="449">
        <f>($H152-SUM($L152:U152))/V$694</f>
        <v>0</v>
      </c>
      <c r="W152" s="449">
        <f>($H152-SUM($L152:V152))/W$694</f>
        <v>0</v>
      </c>
      <c r="X152" s="449"/>
      <c r="Y152" s="449">
        <f t="shared" si="191"/>
        <v>6000</v>
      </c>
      <c r="Z152" s="531"/>
      <c r="AA152" s="449">
        <f t="shared" si="192"/>
        <v>500</v>
      </c>
      <c r="AB152" s="449">
        <f t="shared" si="192"/>
        <v>500</v>
      </c>
      <c r="AC152" s="449">
        <f t="shared" si="192"/>
        <v>500</v>
      </c>
      <c r="AD152" s="449">
        <f t="shared" si="192"/>
        <v>500</v>
      </c>
      <c r="AE152" s="449">
        <f t="shared" si="192"/>
        <v>500</v>
      </c>
      <c r="AF152" s="449">
        <f t="shared" si="192"/>
        <v>500</v>
      </c>
      <c r="AG152" s="449">
        <f t="shared" si="192"/>
        <v>500</v>
      </c>
      <c r="AH152" s="449">
        <f t="shared" si="192"/>
        <v>500</v>
      </c>
      <c r="AI152" s="449">
        <f t="shared" si="192"/>
        <v>500</v>
      </c>
      <c r="AJ152" s="449">
        <f t="shared" si="192"/>
        <v>500</v>
      </c>
      <c r="AK152" s="449">
        <f t="shared" si="192"/>
        <v>500</v>
      </c>
      <c r="AL152" s="449">
        <f t="shared" si="192"/>
        <v>500</v>
      </c>
      <c r="AN152" s="500">
        <f t="shared" si="193"/>
        <v>6000</v>
      </c>
      <c r="AO152" s="449">
        <f t="shared" si="194"/>
        <v>9000</v>
      </c>
      <c r="AP152" s="449">
        <f t="shared" si="195"/>
        <v>3000</v>
      </c>
      <c r="AQ152" s="453">
        <f t="shared" si="196"/>
        <v>0.5</v>
      </c>
      <c r="AR152" s="449">
        <f t="shared" si="197"/>
        <v>9000</v>
      </c>
      <c r="AS152" s="449">
        <f t="shared" si="198"/>
        <v>0</v>
      </c>
      <c r="AT152" s="426">
        <f t="shared" si="199"/>
        <v>0</v>
      </c>
      <c r="AU152" s="421"/>
      <c r="AV152" s="449">
        <f t="shared" si="200"/>
        <v>0</v>
      </c>
      <c r="AW152" s="449">
        <f t="shared" si="200"/>
        <v>0</v>
      </c>
      <c r="AX152" s="449">
        <f t="shared" si="200"/>
        <v>0</v>
      </c>
      <c r="AY152" s="449">
        <f t="shared" si="200"/>
        <v>9000</v>
      </c>
      <c r="AZ152" s="449">
        <f t="shared" si="200"/>
        <v>0</v>
      </c>
      <c r="BA152" s="449">
        <f t="shared" si="200"/>
        <v>0</v>
      </c>
      <c r="BB152" s="449">
        <f t="shared" si="200"/>
        <v>0</v>
      </c>
      <c r="BC152" s="449">
        <f t="shared" si="200"/>
        <v>0</v>
      </c>
      <c r="BD152" s="449">
        <f t="shared" si="200"/>
        <v>0</v>
      </c>
      <c r="BE152" s="449">
        <f t="shared" si="200"/>
        <v>0</v>
      </c>
      <c r="BF152" s="449">
        <f t="shared" si="200"/>
        <v>0</v>
      </c>
      <c r="BG152" s="449">
        <f t="shared" si="200"/>
        <v>0</v>
      </c>
      <c r="BH152" s="400"/>
      <c r="BI152" s="449">
        <v>0</v>
      </c>
      <c r="BJ152" s="449">
        <v>0</v>
      </c>
      <c r="BK152" s="449">
        <v>0</v>
      </c>
      <c r="BL152" s="449">
        <f>SUM('FY19 Staffing V1-1 (3)'!$J$89,'FY19 Staffing V1-1 (3)'!$J$95,'FY19 Staffing V1-1 (3)'!$J$255)</f>
        <v>9000</v>
      </c>
      <c r="BM152" s="449">
        <v>0</v>
      </c>
      <c r="BN152" s="449">
        <v>0</v>
      </c>
      <c r="BO152" s="449">
        <v>0</v>
      </c>
      <c r="BP152" s="449">
        <v>0</v>
      </c>
      <c r="BQ152" s="449">
        <v>0</v>
      </c>
      <c r="BR152" s="449">
        <v>0</v>
      </c>
      <c r="BS152" s="449">
        <v>0</v>
      </c>
      <c r="BT152" s="449">
        <v>0</v>
      </c>
    </row>
    <row r="153" spans="1:72" ht="15" x14ac:dyDescent="0.25">
      <c r="A153" s="537" t="s">
        <v>234</v>
      </c>
      <c r="B153" s="537" t="s">
        <v>235</v>
      </c>
      <c r="C153" s="541"/>
      <c r="D153" s="500">
        <f>SUM(L153:W153)</f>
        <v>0</v>
      </c>
      <c r="E153" s="449">
        <v>0</v>
      </c>
      <c r="F153" s="449">
        <f t="shared" si="187"/>
        <v>0</v>
      </c>
      <c r="G153" s="421">
        <f t="shared" si="188"/>
        <v>0</v>
      </c>
      <c r="H153" s="449">
        <v>0</v>
      </c>
      <c r="I153" s="449">
        <f t="shared" si="189"/>
        <v>0</v>
      </c>
      <c r="J153" s="426">
        <f t="shared" si="190"/>
        <v>0</v>
      </c>
      <c r="K153" s="421"/>
      <c r="L153" s="449">
        <v>0</v>
      </c>
      <c r="M153" s="449">
        <v>0</v>
      </c>
      <c r="N153" s="449">
        <v>0</v>
      </c>
      <c r="O153" s="449">
        <v>0</v>
      </c>
      <c r="P153" s="449">
        <v>0</v>
      </c>
      <c r="Q153" s="449">
        <v>0</v>
      </c>
      <c r="R153" s="449">
        <f>($H153-SUM($L153:Q153))/R$694</f>
        <v>0</v>
      </c>
      <c r="S153" s="449">
        <f>($H153-SUM($L153:R153))/S$694</f>
        <v>0</v>
      </c>
      <c r="T153" s="449">
        <f>($H153-SUM($L153:S153))/T$694</f>
        <v>0</v>
      </c>
      <c r="U153" s="449">
        <f>($H153-SUM($L153:T153))/U$694</f>
        <v>0</v>
      </c>
      <c r="V153" s="449">
        <f>($H153-SUM($L153:U153))/V$694</f>
        <v>0</v>
      </c>
      <c r="W153" s="449">
        <f>($H153-SUM($L153:V153))/W$694</f>
        <v>0</v>
      </c>
      <c r="X153" s="449"/>
      <c r="Y153" s="449">
        <f t="shared" si="191"/>
        <v>0</v>
      </c>
      <c r="Z153" s="531"/>
      <c r="AA153" s="449">
        <f t="shared" si="192"/>
        <v>0</v>
      </c>
      <c r="AB153" s="449">
        <f t="shared" si="192"/>
        <v>0</v>
      </c>
      <c r="AC153" s="449">
        <f t="shared" si="192"/>
        <v>0</v>
      </c>
      <c r="AD153" s="449">
        <f t="shared" si="192"/>
        <v>0</v>
      </c>
      <c r="AE153" s="449">
        <f t="shared" si="192"/>
        <v>0</v>
      </c>
      <c r="AF153" s="449">
        <f t="shared" si="192"/>
        <v>0</v>
      </c>
      <c r="AG153" s="449">
        <f t="shared" si="192"/>
        <v>0</v>
      </c>
      <c r="AH153" s="449">
        <f t="shared" si="192"/>
        <v>0</v>
      </c>
      <c r="AI153" s="449">
        <f t="shared" si="192"/>
        <v>0</v>
      </c>
      <c r="AJ153" s="449">
        <f t="shared" si="192"/>
        <v>0</v>
      </c>
      <c r="AK153" s="449">
        <f t="shared" si="192"/>
        <v>0</v>
      </c>
      <c r="AL153" s="449">
        <f t="shared" si="192"/>
        <v>0</v>
      </c>
      <c r="AN153" s="500">
        <f>SUM(L153:W153)</f>
        <v>0</v>
      </c>
      <c r="AO153" s="449">
        <f>SUM(BI153:BT153)</f>
        <v>15000</v>
      </c>
      <c r="AP153" s="449">
        <f t="shared" si="195"/>
        <v>15000</v>
      </c>
      <c r="AQ153" s="453" t="str">
        <f t="shared" si="196"/>
        <v>-</v>
      </c>
      <c r="AR153" s="449">
        <f t="shared" si="197"/>
        <v>15000</v>
      </c>
      <c r="AS153" s="449">
        <f t="shared" si="198"/>
        <v>0</v>
      </c>
      <c r="AT153" s="426">
        <f t="shared" si="199"/>
        <v>0</v>
      </c>
      <c r="AU153" s="421"/>
      <c r="AV153" s="449">
        <f t="shared" si="200"/>
        <v>0</v>
      </c>
      <c r="AW153" s="449">
        <f t="shared" si="200"/>
        <v>0</v>
      </c>
      <c r="AX153" s="449">
        <f t="shared" si="200"/>
        <v>0</v>
      </c>
      <c r="AY153" s="449">
        <f t="shared" si="200"/>
        <v>15000</v>
      </c>
      <c r="AZ153" s="449">
        <f t="shared" si="200"/>
        <v>0</v>
      </c>
      <c r="BA153" s="449">
        <f t="shared" si="200"/>
        <v>0</v>
      </c>
      <c r="BB153" s="449">
        <f t="shared" si="200"/>
        <v>0</v>
      </c>
      <c r="BC153" s="449">
        <f t="shared" si="200"/>
        <v>0</v>
      </c>
      <c r="BD153" s="449">
        <f t="shared" si="200"/>
        <v>0</v>
      </c>
      <c r="BE153" s="449">
        <f t="shared" si="200"/>
        <v>0</v>
      </c>
      <c r="BF153" s="449">
        <f t="shared" si="200"/>
        <v>0</v>
      </c>
      <c r="BG153" s="449">
        <f t="shared" si="200"/>
        <v>0</v>
      </c>
      <c r="BH153" s="400"/>
      <c r="BI153" s="449">
        <v>0</v>
      </c>
      <c r="BJ153" s="449">
        <v>0</v>
      </c>
      <c r="BK153" s="449">
        <v>0</v>
      </c>
      <c r="BL153" s="449">
        <f>SUM('FY19 Staffing V1-1 (3)'!$J$90:$J$94,'FY19 Staffing V1-1 (3)'!$J$96:$J$97,'FY19 Staffing V1-1 (3)'!$J$256)</f>
        <v>15000</v>
      </c>
      <c r="BM153" s="449">
        <v>0</v>
      </c>
      <c r="BN153" s="449">
        <v>0</v>
      </c>
      <c r="BO153" s="449">
        <v>0</v>
      </c>
      <c r="BP153" s="449">
        <v>0</v>
      </c>
      <c r="BQ153" s="449">
        <v>0</v>
      </c>
      <c r="BR153" s="449">
        <v>0</v>
      </c>
      <c r="BS153" s="449">
        <v>0</v>
      </c>
      <c r="BT153" s="449">
        <v>0</v>
      </c>
    </row>
    <row r="154" spans="1:72" ht="15" hidden="1" x14ac:dyDescent="0.25">
      <c r="A154" s="502" t="s">
        <v>236</v>
      </c>
      <c r="B154" s="502" t="s">
        <v>237</v>
      </c>
      <c r="C154" s="541"/>
      <c r="D154" s="500">
        <f t="shared" si="186"/>
        <v>0</v>
      </c>
      <c r="E154" s="449">
        <v>0</v>
      </c>
      <c r="F154" s="449">
        <f t="shared" si="187"/>
        <v>0</v>
      </c>
      <c r="G154" s="421">
        <f t="shared" si="188"/>
        <v>0</v>
      </c>
      <c r="H154" s="449">
        <v>0</v>
      </c>
      <c r="I154" s="449">
        <f t="shared" si="189"/>
        <v>0</v>
      </c>
      <c r="J154" s="426">
        <f t="shared" si="190"/>
        <v>0</v>
      </c>
      <c r="K154" s="421"/>
      <c r="L154" s="449">
        <v>0</v>
      </c>
      <c r="M154" s="449">
        <v>0</v>
      </c>
      <c r="N154" s="449">
        <v>0</v>
      </c>
      <c r="O154" s="449">
        <v>0</v>
      </c>
      <c r="P154" s="449">
        <v>0</v>
      </c>
      <c r="Q154" s="449">
        <v>0</v>
      </c>
      <c r="R154" s="449">
        <f>($H154-SUM($L154:Q154))/R$694</f>
        <v>0</v>
      </c>
      <c r="S154" s="449">
        <f>($H154-SUM($L154:R154))/S$694</f>
        <v>0</v>
      </c>
      <c r="T154" s="449">
        <f>($H154-SUM($L154:S154))/T$694</f>
        <v>0</v>
      </c>
      <c r="U154" s="449">
        <f>($H154-SUM($L154:T154))/U$694</f>
        <v>0</v>
      </c>
      <c r="V154" s="449">
        <f>($H154-SUM($L154:U154))/V$694</f>
        <v>0</v>
      </c>
      <c r="W154" s="449">
        <f>($H154-SUM($L154:V154))/W$694</f>
        <v>0</v>
      </c>
      <c r="X154" s="449"/>
      <c r="Y154" s="449">
        <f t="shared" si="191"/>
        <v>0</v>
      </c>
      <c r="Z154" s="531"/>
      <c r="AA154" s="449">
        <f t="shared" si="192"/>
        <v>0</v>
      </c>
      <c r="AB154" s="449">
        <f t="shared" si="192"/>
        <v>0</v>
      </c>
      <c r="AC154" s="449">
        <f t="shared" si="192"/>
        <v>0</v>
      </c>
      <c r="AD154" s="449">
        <f t="shared" si="192"/>
        <v>0</v>
      </c>
      <c r="AE154" s="449">
        <f t="shared" si="192"/>
        <v>0</v>
      </c>
      <c r="AF154" s="449">
        <f t="shared" si="192"/>
        <v>0</v>
      </c>
      <c r="AG154" s="449">
        <f t="shared" si="192"/>
        <v>0</v>
      </c>
      <c r="AH154" s="449">
        <f t="shared" si="192"/>
        <v>0</v>
      </c>
      <c r="AI154" s="449">
        <f t="shared" si="192"/>
        <v>0</v>
      </c>
      <c r="AJ154" s="449">
        <f t="shared" si="192"/>
        <v>0</v>
      </c>
      <c r="AK154" s="449">
        <f t="shared" si="192"/>
        <v>0</v>
      </c>
      <c r="AL154" s="449">
        <f t="shared" si="192"/>
        <v>0</v>
      </c>
      <c r="AN154" s="500">
        <f t="shared" si="193"/>
        <v>0</v>
      </c>
      <c r="AO154" s="449">
        <f t="shared" si="194"/>
        <v>0</v>
      </c>
      <c r="AP154" s="449">
        <f t="shared" si="195"/>
        <v>0</v>
      </c>
      <c r="AQ154" s="453" t="str">
        <f t="shared" si="196"/>
        <v>-</v>
      </c>
      <c r="AR154" s="449">
        <f t="shared" si="197"/>
        <v>0</v>
      </c>
      <c r="AS154" s="449">
        <f t="shared" si="198"/>
        <v>0</v>
      </c>
      <c r="AT154" s="426">
        <f t="shared" si="199"/>
        <v>0</v>
      </c>
      <c r="AU154" s="421"/>
      <c r="AV154" s="449">
        <f t="shared" si="200"/>
        <v>0</v>
      </c>
      <c r="AW154" s="449">
        <f t="shared" si="200"/>
        <v>0</v>
      </c>
      <c r="AX154" s="449">
        <f t="shared" si="200"/>
        <v>0</v>
      </c>
      <c r="AY154" s="449">
        <f t="shared" si="200"/>
        <v>0</v>
      </c>
      <c r="AZ154" s="449">
        <f t="shared" si="200"/>
        <v>0</v>
      </c>
      <c r="BA154" s="449">
        <f t="shared" si="200"/>
        <v>0</v>
      </c>
      <c r="BB154" s="449">
        <f t="shared" si="200"/>
        <v>0</v>
      </c>
      <c r="BC154" s="449">
        <f t="shared" si="200"/>
        <v>0</v>
      </c>
      <c r="BD154" s="449">
        <f t="shared" si="200"/>
        <v>0</v>
      </c>
      <c r="BE154" s="449">
        <f t="shared" si="200"/>
        <v>0</v>
      </c>
      <c r="BF154" s="449">
        <f t="shared" si="200"/>
        <v>0</v>
      </c>
      <c r="BG154" s="449">
        <f t="shared" si="200"/>
        <v>0</v>
      </c>
      <c r="BH154" s="400"/>
      <c r="BI154" s="449">
        <v>0</v>
      </c>
      <c r="BJ154" s="449">
        <v>0</v>
      </c>
      <c r="BK154" s="449">
        <v>0</v>
      </c>
      <c r="BL154" s="449">
        <v>0</v>
      </c>
      <c r="BM154" s="449">
        <v>0</v>
      </c>
      <c r="BN154" s="449">
        <v>0</v>
      </c>
      <c r="BO154" s="449">
        <v>0</v>
      </c>
      <c r="BP154" s="449">
        <v>0</v>
      </c>
      <c r="BQ154" s="449">
        <v>0</v>
      </c>
      <c r="BR154" s="449">
        <v>0</v>
      </c>
      <c r="BS154" s="449">
        <v>0</v>
      </c>
      <c r="BT154" s="449">
        <v>0</v>
      </c>
    </row>
    <row r="155" spans="1:72" ht="15" x14ac:dyDescent="0.25">
      <c r="A155" s="502" t="s">
        <v>238</v>
      </c>
      <c r="B155" s="502" t="s">
        <v>239</v>
      </c>
      <c r="C155" s="541"/>
      <c r="D155" s="500">
        <f t="shared" si="186"/>
        <v>16059</v>
      </c>
      <c r="E155" s="449">
        <v>4059</v>
      </c>
      <c r="F155" s="449">
        <f t="shared" si="187"/>
        <v>12000</v>
      </c>
      <c r="G155" s="421">
        <f t="shared" si="188"/>
        <v>2.9563932002956395</v>
      </c>
      <c r="H155" s="449">
        <f>4059+12000</f>
        <v>16059</v>
      </c>
      <c r="I155" s="449">
        <f t="shared" si="189"/>
        <v>0</v>
      </c>
      <c r="J155" s="426">
        <f t="shared" si="190"/>
        <v>0</v>
      </c>
      <c r="K155" s="421"/>
      <c r="L155" s="449">
        <v>11.69</v>
      </c>
      <c r="M155" s="449">
        <v>1100.8799999999999</v>
      </c>
      <c r="N155" s="449">
        <v>728.2</v>
      </c>
      <c r="O155" s="449">
        <v>1445.4</v>
      </c>
      <c r="P155" s="449">
        <v>577.31999999999971</v>
      </c>
      <c r="Q155" s="449">
        <v>542.90999999999985</v>
      </c>
      <c r="R155" s="449">
        <f>($H155-SUM($L155:Q155))/R$694</f>
        <v>1942.1000000000001</v>
      </c>
      <c r="S155" s="449">
        <f>($H155-SUM($L155:R155))/S$694</f>
        <v>1942.1</v>
      </c>
      <c r="T155" s="449">
        <f>($H155-SUM($L155:S155))/T$694</f>
        <v>1942.1</v>
      </c>
      <c r="U155" s="449">
        <f>($H155-SUM($L155:T155))/U$694</f>
        <v>1942.0999999999997</v>
      </c>
      <c r="V155" s="449">
        <f>($H155-SUM($L155:U155))/V$694</f>
        <v>1942.0999999999995</v>
      </c>
      <c r="W155" s="449">
        <f>($H155-SUM($L155:V155))/W$694</f>
        <v>1942.0999999999985</v>
      </c>
      <c r="X155" s="449"/>
      <c r="Y155" s="449">
        <f t="shared" si="191"/>
        <v>16059</v>
      </c>
      <c r="Z155" s="531"/>
      <c r="AA155" s="449">
        <f t="shared" si="192"/>
        <v>1338.25</v>
      </c>
      <c r="AB155" s="449">
        <f t="shared" si="192"/>
        <v>1338.25</v>
      </c>
      <c r="AC155" s="449">
        <f t="shared" si="192"/>
        <v>1338.25</v>
      </c>
      <c r="AD155" s="449">
        <f t="shared" si="192"/>
        <v>1338.25</v>
      </c>
      <c r="AE155" s="449">
        <f t="shared" si="192"/>
        <v>1338.25</v>
      </c>
      <c r="AF155" s="449">
        <f t="shared" si="192"/>
        <v>1338.25</v>
      </c>
      <c r="AG155" s="449">
        <f t="shared" si="192"/>
        <v>1338.25</v>
      </c>
      <c r="AH155" s="449">
        <f t="shared" si="192"/>
        <v>1338.25</v>
      </c>
      <c r="AI155" s="449">
        <f t="shared" si="192"/>
        <v>1338.25</v>
      </c>
      <c r="AJ155" s="449">
        <f t="shared" si="192"/>
        <v>1338.25</v>
      </c>
      <c r="AK155" s="449">
        <f t="shared" si="192"/>
        <v>1338.25</v>
      </c>
      <c r="AL155" s="449">
        <f t="shared" si="192"/>
        <v>1338.25</v>
      </c>
      <c r="AN155" s="500">
        <f t="shared" si="193"/>
        <v>16059</v>
      </c>
      <c r="AO155" s="449">
        <f t="shared" si="194"/>
        <v>13850.109999999997</v>
      </c>
      <c r="AP155" s="449">
        <f t="shared" si="195"/>
        <v>-2208.8900000000031</v>
      </c>
      <c r="AQ155" s="453">
        <f t="shared" si="196"/>
        <v>-0.13754841521888056</v>
      </c>
      <c r="AR155" s="449">
        <f t="shared" si="197"/>
        <v>13850.109999999997</v>
      </c>
      <c r="AS155" s="449">
        <f t="shared" si="198"/>
        <v>0</v>
      </c>
      <c r="AT155" s="426">
        <f t="shared" si="199"/>
        <v>0</v>
      </c>
      <c r="AU155" s="421"/>
      <c r="AV155" s="449">
        <f t="shared" si="200"/>
        <v>0</v>
      </c>
      <c r="AW155" s="449">
        <f t="shared" si="200"/>
        <v>1154.1758333333332</v>
      </c>
      <c r="AX155" s="449">
        <f t="shared" si="200"/>
        <v>1154.1758333333332</v>
      </c>
      <c r="AY155" s="449">
        <f t="shared" si="200"/>
        <v>1154.1758333333332</v>
      </c>
      <c r="AZ155" s="449">
        <f t="shared" si="200"/>
        <v>1154.1758333333332</v>
      </c>
      <c r="BA155" s="449">
        <f t="shared" si="200"/>
        <v>1154.1758333333332</v>
      </c>
      <c r="BB155" s="449">
        <f t="shared" si="200"/>
        <v>1154.1758333333332</v>
      </c>
      <c r="BC155" s="449">
        <f t="shared" si="200"/>
        <v>1154.1758333333332</v>
      </c>
      <c r="BD155" s="449">
        <f t="shared" si="200"/>
        <v>1154.1758333333332</v>
      </c>
      <c r="BE155" s="449">
        <f t="shared" si="200"/>
        <v>1154.1758333333332</v>
      </c>
      <c r="BF155" s="449">
        <f t="shared" si="200"/>
        <v>1154.1758333333332</v>
      </c>
      <c r="BG155" s="449">
        <f t="shared" si="200"/>
        <v>2308.3516666666665</v>
      </c>
      <c r="BH155" s="400"/>
      <c r="BI155" s="449">
        <v>0</v>
      </c>
      <c r="BJ155" s="449">
        <f>SUM('FY19 Staffing V1-1 (3)'!$Q$89:$R$89,'FY19 Staffing V1-1 (3)'!$Q$95:$R$95,'FY19 Staffing V1-1 (3)'!$T$89:$U$89,'FY19 Staffing V1-1 (3)'!$T$95:$U$95,'FY19 Staffing V1-1 (3)'!$Q$255:$R$255,'FY19 Staffing V1-1 (3)'!$T$255:$U$255)/12</f>
        <v>1154.1758333333332</v>
      </c>
      <c r="BK155" s="449">
        <f>SUM('FY19 Staffing V1-1 (3)'!$Q$89:$R$89,'FY19 Staffing V1-1 (3)'!$Q$95:$R$95,'FY19 Staffing V1-1 (3)'!$T$89:$U$89,'FY19 Staffing V1-1 (3)'!$T$95:$U$95,'FY19 Staffing V1-1 (3)'!$Q$255:$R$255,'FY19 Staffing V1-1 (3)'!$T$255:$U$255)/12</f>
        <v>1154.1758333333332</v>
      </c>
      <c r="BL155" s="449">
        <f>SUM('FY19 Staffing V1-1 (3)'!$Q$89:$R$89,'FY19 Staffing V1-1 (3)'!$Q$95:$R$95,'FY19 Staffing V1-1 (3)'!$T$89:$U$89,'FY19 Staffing V1-1 (3)'!$T$95:$U$95,'FY19 Staffing V1-1 (3)'!$Q$255:$R$255,'FY19 Staffing V1-1 (3)'!$T$255:$U$255)/12</f>
        <v>1154.1758333333332</v>
      </c>
      <c r="BM155" s="449">
        <f>SUM('FY19 Staffing V1-1 (3)'!$Q$89:$R$89,'FY19 Staffing V1-1 (3)'!$Q$95:$R$95,'FY19 Staffing V1-1 (3)'!$T$89:$U$89,'FY19 Staffing V1-1 (3)'!$T$95:$U$95,'FY19 Staffing V1-1 (3)'!$Q$255:$R$255,'FY19 Staffing V1-1 (3)'!$T$255:$U$255)/12</f>
        <v>1154.1758333333332</v>
      </c>
      <c r="BN155" s="449">
        <f>SUM('FY19 Staffing V1-1 (3)'!$Q$89:$R$89,'FY19 Staffing V1-1 (3)'!$Q$95:$R$95,'FY19 Staffing V1-1 (3)'!$T$89:$U$89,'FY19 Staffing V1-1 (3)'!$T$95:$U$95,'FY19 Staffing V1-1 (3)'!$Q$255:$R$255,'FY19 Staffing V1-1 (3)'!$T$255:$U$255)/12</f>
        <v>1154.1758333333332</v>
      </c>
      <c r="BO155" s="449">
        <f>SUM('FY19 Staffing V1-1 (3)'!$Q$89:$R$89,'FY19 Staffing V1-1 (3)'!$Q$95:$R$95,'FY19 Staffing V1-1 (3)'!$T$89:$U$89,'FY19 Staffing V1-1 (3)'!$T$95:$U$95,'FY19 Staffing V1-1 (3)'!$Q$255:$R$255,'FY19 Staffing V1-1 (3)'!$T$255:$U$255)/12</f>
        <v>1154.1758333333332</v>
      </c>
      <c r="BP155" s="449">
        <f>SUM('FY19 Staffing V1-1 (3)'!$Q$89:$R$89,'FY19 Staffing V1-1 (3)'!$Q$95:$R$95,'FY19 Staffing V1-1 (3)'!$T$89:$U$89,'FY19 Staffing V1-1 (3)'!$T$95:$U$95,'FY19 Staffing V1-1 (3)'!$Q$255:$R$255,'FY19 Staffing V1-1 (3)'!$T$255:$U$255)/12</f>
        <v>1154.1758333333332</v>
      </c>
      <c r="BQ155" s="449">
        <f>SUM('FY19 Staffing V1-1 (3)'!$Q$89:$R$89,'FY19 Staffing V1-1 (3)'!$Q$95:$R$95,'FY19 Staffing V1-1 (3)'!$T$89:$U$89,'FY19 Staffing V1-1 (3)'!$T$95:$U$95,'FY19 Staffing V1-1 (3)'!$Q$255:$R$255,'FY19 Staffing V1-1 (3)'!$T$255:$U$255)/12</f>
        <v>1154.1758333333332</v>
      </c>
      <c r="BR155" s="449">
        <f>SUM('FY19 Staffing V1-1 (3)'!$Q$89:$R$89,'FY19 Staffing V1-1 (3)'!$Q$95:$R$95,'FY19 Staffing V1-1 (3)'!$T$89:$U$89,'FY19 Staffing V1-1 (3)'!$T$95:$U$95,'FY19 Staffing V1-1 (3)'!$Q$255:$R$255,'FY19 Staffing V1-1 (3)'!$T$255:$U$255)/12</f>
        <v>1154.1758333333332</v>
      </c>
      <c r="BS155" s="449">
        <f>SUM('FY19 Staffing V1-1 (3)'!$Q$89:$R$89,'FY19 Staffing V1-1 (3)'!$Q$95:$R$95,'FY19 Staffing V1-1 (3)'!$T$89:$U$89,'FY19 Staffing V1-1 (3)'!$T$95:$U$95,'FY19 Staffing V1-1 (3)'!$Q$255:$R$255,'FY19 Staffing V1-1 (3)'!$T$255:$U$255)/12</f>
        <v>1154.1758333333332</v>
      </c>
      <c r="BT155" s="449">
        <f>SUM('FY19 Staffing V1-1 (3)'!$Q$89:$R$89,'FY19 Staffing V1-1 (3)'!$Q$95:$R$95,'FY19 Staffing V1-1 (3)'!$T$89:$U$89,'FY19 Staffing V1-1 (3)'!$T$95:$U$95,'FY19 Staffing V1-1 (3)'!$Q$255:$R$255,'FY19 Staffing V1-1 (3)'!$T$255:$U$255)/12*2</f>
        <v>2308.3516666666665</v>
      </c>
    </row>
    <row r="156" spans="1:72" ht="15" x14ac:dyDescent="0.25">
      <c r="A156" s="502" t="s">
        <v>240</v>
      </c>
      <c r="B156" s="502" t="s">
        <v>241</v>
      </c>
      <c r="C156" s="541"/>
      <c r="D156" s="500">
        <f t="shared" si="186"/>
        <v>12695</v>
      </c>
      <c r="E156" s="449">
        <v>17774</v>
      </c>
      <c r="F156" s="449">
        <f t="shared" si="187"/>
        <v>-5079</v>
      </c>
      <c r="G156" s="421">
        <f t="shared" si="188"/>
        <v>-0.28575447282547539</v>
      </c>
      <c r="H156" s="449">
        <f>24695-12000</f>
        <v>12695</v>
      </c>
      <c r="I156" s="449">
        <f t="shared" si="189"/>
        <v>0</v>
      </c>
      <c r="J156" s="426">
        <f t="shared" si="190"/>
        <v>0</v>
      </c>
      <c r="K156" s="421"/>
      <c r="L156" s="449">
        <v>0</v>
      </c>
      <c r="M156" s="449">
        <v>1713.26</v>
      </c>
      <c r="N156" s="449">
        <v>1144.1200000000001</v>
      </c>
      <c r="O156" s="449">
        <v>1052.73</v>
      </c>
      <c r="P156" s="449">
        <v>823.82000000000016</v>
      </c>
      <c r="Q156" s="449">
        <v>851.04999999999927</v>
      </c>
      <c r="R156" s="449">
        <f>($H156-SUM($L156:Q156))/R$694</f>
        <v>1185.0033333333333</v>
      </c>
      <c r="S156" s="449">
        <f>($H156-SUM($L156:R156))/S$694</f>
        <v>1185.0033333333336</v>
      </c>
      <c r="T156" s="449">
        <f>($H156-SUM($L156:S156))/T$694</f>
        <v>1185.0033333333336</v>
      </c>
      <c r="U156" s="449">
        <f>($H156-SUM($L156:T156))/U$694</f>
        <v>1185.0033333333333</v>
      </c>
      <c r="V156" s="449">
        <f>($H156-SUM($L156:U156))/V$694</f>
        <v>1185.0033333333331</v>
      </c>
      <c r="W156" s="449">
        <f>($H156-SUM($L156:V156))/W$694</f>
        <v>1185.003333333334</v>
      </c>
      <c r="X156" s="449"/>
      <c r="Y156" s="449">
        <f t="shared" si="191"/>
        <v>12695</v>
      </c>
      <c r="Z156" s="531"/>
      <c r="AA156" s="449">
        <f t="shared" si="192"/>
        <v>1057.9166666666667</v>
      </c>
      <c r="AB156" s="449">
        <f t="shared" si="192"/>
        <v>1057.9166666666667</v>
      </c>
      <c r="AC156" s="449">
        <f t="shared" si="192"/>
        <v>1057.9166666666667</v>
      </c>
      <c r="AD156" s="449">
        <f t="shared" si="192"/>
        <v>1057.9166666666667</v>
      </c>
      <c r="AE156" s="449">
        <f t="shared" si="192"/>
        <v>1057.9166666666667</v>
      </c>
      <c r="AF156" s="449">
        <f t="shared" si="192"/>
        <v>1057.9166666666667</v>
      </c>
      <c r="AG156" s="449">
        <f t="shared" si="192"/>
        <v>1057.9166666666667</v>
      </c>
      <c r="AH156" s="449">
        <f t="shared" si="192"/>
        <v>1057.9166666666667</v>
      </c>
      <c r="AI156" s="449">
        <f t="shared" si="192"/>
        <v>1057.9166666666667</v>
      </c>
      <c r="AJ156" s="449">
        <f t="shared" si="192"/>
        <v>1057.9166666666667</v>
      </c>
      <c r="AK156" s="449">
        <f t="shared" si="192"/>
        <v>1057.9166666666667</v>
      </c>
      <c r="AL156" s="449">
        <f t="shared" si="192"/>
        <v>1057.9166666666667</v>
      </c>
      <c r="AN156" s="500">
        <f t="shared" si="193"/>
        <v>12695</v>
      </c>
      <c r="AO156" s="449">
        <f t="shared" si="194"/>
        <v>40800.799999999996</v>
      </c>
      <c r="AP156" s="449">
        <f t="shared" si="195"/>
        <v>28105.799999999996</v>
      </c>
      <c r="AQ156" s="453">
        <f t="shared" si="196"/>
        <v>2.2139267428121303</v>
      </c>
      <c r="AR156" s="449">
        <f t="shared" si="197"/>
        <v>40800.799999999996</v>
      </c>
      <c r="AS156" s="449">
        <f t="shared" si="198"/>
        <v>0</v>
      </c>
      <c r="AT156" s="426">
        <f t="shared" si="199"/>
        <v>0</v>
      </c>
      <c r="AU156" s="421"/>
      <c r="AV156" s="449">
        <f t="shared" si="200"/>
        <v>0</v>
      </c>
      <c r="AW156" s="449">
        <f t="shared" si="200"/>
        <v>3400.0666666666671</v>
      </c>
      <c r="AX156" s="449">
        <f t="shared" si="200"/>
        <v>3400.0666666666671</v>
      </c>
      <c r="AY156" s="449">
        <f t="shared" si="200"/>
        <v>3400.0666666666671</v>
      </c>
      <c r="AZ156" s="449">
        <f t="shared" si="200"/>
        <v>3400.0666666666671</v>
      </c>
      <c r="BA156" s="449">
        <f t="shared" si="200"/>
        <v>3400.0666666666671</v>
      </c>
      <c r="BB156" s="449">
        <f t="shared" si="200"/>
        <v>3400.0666666666671</v>
      </c>
      <c r="BC156" s="449">
        <f t="shared" si="200"/>
        <v>3400.0666666666671</v>
      </c>
      <c r="BD156" s="449">
        <f t="shared" si="200"/>
        <v>3400.0666666666671</v>
      </c>
      <c r="BE156" s="449">
        <f t="shared" si="200"/>
        <v>3400.0666666666671</v>
      </c>
      <c r="BF156" s="449">
        <f t="shared" si="200"/>
        <v>3400.0666666666671</v>
      </c>
      <c r="BG156" s="449">
        <f t="shared" si="200"/>
        <v>6800.1333333333341</v>
      </c>
      <c r="BH156" s="400"/>
      <c r="BI156" s="449">
        <v>0</v>
      </c>
      <c r="BJ156" s="449">
        <f>SUM('FY19 Staffing V1-1 (3)'!$Q$90:$R$94,'FY19 Staffing V1-1 (3)'!$Q$96:$R$97,'FY19 Staffing V1-1 (3)'!$T$90:$U$94,'FY19 Staffing V1-1 (3)'!$T$96:$U$97,'FY19 Staffing V1-1 (3)'!$Q$256:$R$256,'FY19 Staffing V1-1 (3)'!$T$256:$U$256)/12</f>
        <v>3400.0666666666671</v>
      </c>
      <c r="BK156" s="449">
        <f>SUM('FY19 Staffing V1-1 (3)'!$Q$90:$R$94,'FY19 Staffing V1-1 (3)'!$Q$96:$R$97,'FY19 Staffing V1-1 (3)'!$T$90:$U$94,'FY19 Staffing V1-1 (3)'!$T$96:$U$97,'FY19 Staffing V1-1 (3)'!$Q$256:$R$256,'FY19 Staffing V1-1 (3)'!$T$256:$U$256)/12</f>
        <v>3400.0666666666671</v>
      </c>
      <c r="BL156" s="449">
        <f>SUM('FY19 Staffing V1-1 (3)'!$Q$90:$R$94,'FY19 Staffing V1-1 (3)'!$Q$96:$R$97,'FY19 Staffing V1-1 (3)'!$T$90:$U$94,'FY19 Staffing V1-1 (3)'!$T$96:$U$97,'FY19 Staffing V1-1 (3)'!$Q$256:$R$256,'FY19 Staffing V1-1 (3)'!$T$256:$U$256)/12</f>
        <v>3400.0666666666671</v>
      </c>
      <c r="BM156" s="449">
        <f>SUM('FY19 Staffing V1-1 (3)'!$Q$90:$R$94,'FY19 Staffing V1-1 (3)'!$Q$96:$R$97,'FY19 Staffing V1-1 (3)'!$T$90:$U$94,'FY19 Staffing V1-1 (3)'!$T$96:$U$97,'FY19 Staffing V1-1 (3)'!$Q$256:$R$256,'FY19 Staffing V1-1 (3)'!$T$256:$U$256)/12</f>
        <v>3400.0666666666671</v>
      </c>
      <c r="BN156" s="449">
        <f>SUM('FY19 Staffing V1-1 (3)'!$Q$90:$R$94,'FY19 Staffing V1-1 (3)'!$Q$96:$R$97,'FY19 Staffing V1-1 (3)'!$T$90:$U$94,'FY19 Staffing V1-1 (3)'!$T$96:$U$97,'FY19 Staffing V1-1 (3)'!$Q$256:$R$256,'FY19 Staffing V1-1 (3)'!$T$256:$U$256)/12</f>
        <v>3400.0666666666671</v>
      </c>
      <c r="BO156" s="449">
        <f>SUM('FY19 Staffing V1-1 (3)'!$Q$90:$R$94,'FY19 Staffing V1-1 (3)'!$Q$96:$R$97,'FY19 Staffing V1-1 (3)'!$T$90:$U$94,'FY19 Staffing V1-1 (3)'!$T$96:$U$97,'FY19 Staffing V1-1 (3)'!$Q$256:$R$256,'FY19 Staffing V1-1 (3)'!$T$256:$U$256)/12</f>
        <v>3400.0666666666671</v>
      </c>
      <c r="BP156" s="449">
        <f>SUM('FY19 Staffing V1-1 (3)'!$Q$90:$R$94,'FY19 Staffing V1-1 (3)'!$Q$96:$R$97,'FY19 Staffing V1-1 (3)'!$T$90:$U$94,'FY19 Staffing V1-1 (3)'!$T$96:$U$97,'FY19 Staffing V1-1 (3)'!$Q$256:$R$256,'FY19 Staffing V1-1 (3)'!$T$256:$U$256)/12</f>
        <v>3400.0666666666671</v>
      </c>
      <c r="BQ156" s="449">
        <f>SUM('FY19 Staffing V1-1 (3)'!$Q$90:$R$94,'FY19 Staffing V1-1 (3)'!$Q$96:$R$97,'FY19 Staffing V1-1 (3)'!$T$90:$U$94,'FY19 Staffing V1-1 (3)'!$T$96:$U$97,'FY19 Staffing V1-1 (3)'!$Q$256:$R$256,'FY19 Staffing V1-1 (3)'!$T$256:$U$256)/12</f>
        <v>3400.0666666666671</v>
      </c>
      <c r="BR156" s="449">
        <f>SUM('FY19 Staffing V1-1 (3)'!$Q$90:$R$94,'FY19 Staffing V1-1 (3)'!$Q$96:$R$97,'FY19 Staffing V1-1 (3)'!$T$90:$U$94,'FY19 Staffing V1-1 (3)'!$T$96:$U$97,'FY19 Staffing V1-1 (3)'!$Q$256:$R$256,'FY19 Staffing V1-1 (3)'!$T$256:$U$256)/12</f>
        <v>3400.0666666666671</v>
      </c>
      <c r="BS156" s="449">
        <f>SUM('FY19 Staffing V1-1 (3)'!$Q$90:$R$94,'FY19 Staffing V1-1 (3)'!$Q$96:$R$97,'FY19 Staffing V1-1 (3)'!$T$90:$U$94,'FY19 Staffing V1-1 (3)'!$T$96:$U$97,'FY19 Staffing V1-1 (3)'!$Q$256:$R$256,'FY19 Staffing V1-1 (3)'!$T$256:$U$256)/12</f>
        <v>3400.0666666666671</v>
      </c>
      <c r="BT156" s="449">
        <f>SUM('FY19 Staffing V1-1 (3)'!$Q$90:$R$94,'FY19 Staffing V1-1 (3)'!$Q$96:$R$97,'FY19 Staffing V1-1 (3)'!$T$90:$U$94,'FY19 Staffing V1-1 (3)'!$T$96:$U$97,'FY19 Staffing V1-1 (3)'!$Q$256:$R$256,'FY19 Staffing V1-1 (3)'!$T$256:$U$256)/12*2</f>
        <v>6800.1333333333341</v>
      </c>
    </row>
    <row r="157" spans="1:72" ht="15" x14ac:dyDescent="0.25">
      <c r="A157" s="502" t="s">
        <v>242</v>
      </c>
      <c r="B157" s="502" t="s">
        <v>243</v>
      </c>
      <c r="C157" s="541"/>
      <c r="D157" s="500">
        <f t="shared" si="186"/>
        <v>6044</v>
      </c>
      <c r="E157" s="449">
        <v>6044</v>
      </c>
      <c r="F157" s="449">
        <f t="shared" si="187"/>
        <v>0</v>
      </c>
      <c r="G157" s="421">
        <f t="shared" si="188"/>
        <v>0</v>
      </c>
      <c r="H157" s="449">
        <v>6044</v>
      </c>
      <c r="I157" s="449">
        <f t="shared" si="189"/>
        <v>0</v>
      </c>
      <c r="J157" s="426">
        <f t="shared" si="190"/>
        <v>0</v>
      </c>
      <c r="K157" s="421"/>
      <c r="L157" s="449">
        <v>0</v>
      </c>
      <c r="M157" s="449">
        <v>0</v>
      </c>
      <c r="N157" s="449">
        <v>0</v>
      </c>
      <c r="O157" s="449">
        <v>3938.79</v>
      </c>
      <c r="P157" s="449">
        <v>0</v>
      </c>
      <c r="Q157" s="449">
        <v>809.23999999999978</v>
      </c>
      <c r="R157" s="449">
        <f>($H157-SUM($L157:Q157))/R$694</f>
        <v>215.99500000000003</v>
      </c>
      <c r="S157" s="449">
        <f>($H157-SUM($L157:R157))/S$694</f>
        <v>215.99500000000006</v>
      </c>
      <c r="T157" s="449">
        <f>($H157-SUM($L157:S157))/T$694</f>
        <v>215.99500000000012</v>
      </c>
      <c r="U157" s="449">
        <f>($H157-SUM($L157:T157))/U$694</f>
        <v>215.9950000000002</v>
      </c>
      <c r="V157" s="449">
        <f>($H157-SUM($L157:U157))/V$694</f>
        <v>215.99500000000035</v>
      </c>
      <c r="W157" s="449">
        <f>($H157-SUM($L157:V157))/W$694</f>
        <v>215.9950000000008</v>
      </c>
      <c r="X157" s="449"/>
      <c r="Y157" s="449">
        <f t="shared" si="191"/>
        <v>6044</v>
      </c>
      <c r="Z157" s="531"/>
      <c r="AA157" s="449">
        <f t="shared" si="192"/>
        <v>503.66666666666669</v>
      </c>
      <c r="AB157" s="449">
        <f t="shared" si="192"/>
        <v>503.66666666666669</v>
      </c>
      <c r="AC157" s="449">
        <f t="shared" si="192"/>
        <v>503.66666666666669</v>
      </c>
      <c r="AD157" s="449">
        <f t="shared" si="192"/>
        <v>503.66666666666669</v>
      </c>
      <c r="AE157" s="449">
        <f t="shared" si="192"/>
        <v>503.66666666666669</v>
      </c>
      <c r="AF157" s="449">
        <f t="shared" si="192"/>
        <v>503.66666666666669</v>
      </c>
      <c r="AG157" s="449">
        <f t="shared" si="192"/>
        <v>503.66666666666669</v>
      </c>
      <c r="AH157" s="449">
        <f t="shared" si="192"/>
        <v>503.66666666666669</v>
      </c>
      <c r="AI157" s="449">
        <f t="shared" si="192"/>
        <v>503.66666666666669</v>
      </c>
      <c r="AJ157" s="449">
        <f t="shared" si="192"/>
        <v>503.66666666666669</v>
      </c>
      <c r="AK157" s="449">
        <f t="shared" si="192"/>
        <v>503.66666666666669</v>
      </c>
      <c r="AL157" s="449">
        <f t="shared" si="192"/>
        <v>503.66666666666669</v>
      </c>
      <c r="AN157" s="500">
        <f t="shared" si="193"/>
        <v>6044</v>
      </c>
      <c r="AO157" s="449">
        <f t="shared" si="194"/>
        <v>0</v>
      </c>
      <c r="AP157" s="449">
        <f t="shared" si="195"/>
        <v>-6044</v>
      </c>
      <c r="AQ157" s="453">
        <f t="shared" si="196"/>
        <v>-1</v>
      </c>
      <c r="AR157" s="449">
        <f t="shared" si="197"/>
        <v>0</v>
      </c>
      <c r="AS157" s="449">
        <f t="shared" si="198"/>
        <v>0</v>
      </c>
      <c r="AT157" s="426">
        <f t="shared" si="199"/>
        <v>0</v>
      </c>
      <c r="AU157" s="421"/>
      <c r="AV157" s="449">
        <f t="shared" si="200"/>
        <v>0</v>
      </c>
      <c r="AW157" s="449">
        <f t="shared" si="200"/>
        <v>0</v>
      </c>
      <c r="AX157" s="449">
        <f t="shared" si="200"/>
        <v>0</v>
      </c>
      <c r="AY157" s="449">
        <f t="shared" si="200"/>
        <v>0</v>
      </c>
      <c r="AZ157" s="449">
        <f t="shared" si="200"/>
        <v>0</v>
      </c>
      <c r="BA157" s="449">
        <f t="shared" si="200"/>
        <v>0</v>
      </c>
      <c r="BB157" s="449">
        <f t="shared" si="200"/>
        <v>0</v>
      </c>
      <c r="BC157" s="449">
        <f t="shared" si="200"/>
        <v>0</v>
      </c>
      <c r="BD157" s="449">
        <f t="shared" si="200"/>
        <v>0</v>
      </c>
      <c r="BE157" s="449">
        <f t="shared" si="200"/>
        <v>0</v>
      </c>
      <c r="BF157" s="449">
        <f t="shared" si="200"/>
        <v>0</v>
      </c>
      <c r="BG157" s="449">
        <f t="shared" si="200"/>
        <v>0</v>
      </c>
      <c r="BH157" s="400"/>
      <c r="BI157" s="449">
        <v>0</v>
      </c>
      <c r="BJ157" s="449">
        <v>0</v>
      </c>
      <c r="BK157" s="449">
        <v>0</v>
      </c>
      <c r="BL157" s="449">
        <v>0</v>
      </c>
      <c r="BM157" s="449">
        <v>0</v>
      </c>
      <c r="BN157" s="449">
        <v>0</v>
      </c>
      <c r="BO157" s="449">
        <v>0</v>
      </c>
      <c r="BP157" s="449">
        <v>0</v>
      </c>
      <c r="BQ157" s="449">
        <v>0</v>
      </c>
      <c r="BR157" s="449">
        <v>0</v>
      </c>
      <c r="BS157" s="449">
        <v>0</v>
      </c>
      <c r="BT157" s="449">
        <v>0</v>
      </c>
    </row>
    <row r="158" spans="1:72" ht="15" x14ac:dyDescent="0.25">
      <c r="A158" s="537" t="s">
        <v>244</v>
      </c>
      <c r="B158" s="537" t="s">
        <v>245</v>
      </c>
      <c r="C158" s="541"/>
      <c r="D158" s="500">
        <f>SUM(L158:W158)</f>
        <v>0</v>
      </c>
      <c r="E158" s="449">
        <v>0</v>
      </c>
      <c r="F158" s="449">
        <f t="shared" si="187"/>
        <v>0</v>
      </c>
      <c r="G158" s="421">
        <f t="shared" si="188"/>
        <v>0</v>
      </c>
      <c r="H158" s="449">
        <v>0</v>
      </c>
      <c r="I158" s="449">
        <f t="shared" si="189"/>
        <v>0</v>
      </c>
      <c r="J158" s="426">
        <f t="shared" si="190"/>
        <v>0</v>
      </c>
      <c r="K158" s="421"/>
      <c r="L158" s="449">
        <v>0</v>
      </c>
      <c r="M158" s="449">
        <v>0</v>
      </c>
      <c r="N158" s="449">
        <v>0</v>
      </c>
      <c r="O158" s="449">
        <v>0</v>
      </c>
      <c r="P158" s="449">
        <v>0</v>
      </c>
      <c r="Q158" s="449">
        <v>0</v>
      </c>
      <c r="R158" s="449">
        <f>($H158-SUM($L158:Q158))/R$694</f>
        <v>0</v>
      </c>
      <c r="S158" s="449">
        <f>($H158-SUM($L158:R158))/S$694</f>
        <v>0</v>
      </c>
      <c r="T158" s="449">
        <f>($H158-SUM($L158:S158))/T$694</f>
        <v>0</v>
      </c>
      <c r="U158" s="449">
        <f>($H158-SUM($L158:T158))/U$694</f>
        <v>0</v>
      </c>
      <c r="V158" s="449">
        <f>($H158-SUM($L158:U158))/V$694</f>
        <v>0</v>
      </c>
      <c r="W158" s="449">
        <f>($H158-SUM($L158:V158))/W$694</f>
        <v>0</v>
      </c>
      <c r="X158" s="449"/>
      <c r="Y158" s="449">
        <f t="shared" si="191"/>
        <v>0</v>
      </c>
      <c r="Z158" s="531"/>
      <c r="AA158" s="449">
        <f t="shared" si="192"/>
        <v>0</v>
      </c>
      <c r="AB158" s="449">
        <f t="shared" si="192"/>
        <v>0</v>
      </c>
      <c r="AC158" s="449">
        <f t="shared" si="192"/>
        <v>0</v>
      </c>
      <c r="AD158" s="449">
        <f t="shared" si="192"/>
        <v>0</v>
      </c>
      <c r="AE158" s="449">
        <f t="shared" si="192"/>
        <v>0</v>
      </c>
      <c r="AF158" s="449">
        <f t="shared" si="192"/>
        <v>0</v>
      </c>
      <c r="AG158" s="449">
        <f t="shared" si="192"/>
        <v>0</v>
      </c>
      <c r="AH158" s="449">
        <f t="shared" si="192"/>
        <v>0</v>
      </c>
      <c r="AI158" s="449">
        <f t="shared" si="192"/>
        <v>0</v>
      </c>
      <c r="AJ158" s="449">
        <f t="shared" si="192"/>
        <v>0</v>
      </c>
      <c r="AK158" s="449">
        <f t="shared" si="192"/>
        <v>0</v>
      </c>
      <c r="AL158" s="449">
        <f t="shared" si="192"/>
        <v>0</v>
      </c>
      <c r="AN158" s="500">
        <f t="shared" si="193"/>
        <v>0</v>
      </c>
      <c r="AO158" s="449">
        <f t="shared" si="194"/>
        <v>6579</v>
      </c>
      <c r="AP158" s="449">
        <f t="shared" si="195"/>
        <v>6579</v>
      </c>
      <c r="AQ158" s="453" t="str">
        <f t="shared" si="196"/>
        <v>-</v>
      </c>
      <c r="AR158" s="449">
        <f t="shared" si="197"/>
        <v>6579</v>
      </c>
      <c r="AS158" s="449">
        <f t="shared" si="198"/>
        <v>0</v>
      </c>
      <c r="AT158" s="426">
        <f t="shared" si="199"/>
        <v>0</v>
      </c>
      <c r="AU158" s="421"/>
      <c r="AV158" s="449">
        <f t="shared" si="200"/>
        <v>0</v>
      </c>
      <c r="AW158" s="449">
        <f t="shared" si="200"/>
        <v>0</v>
      </c>
      <c r="AX158" s="449">
        <f t="shared" si="200"/>
        <v>0</v>
      </c>
      <c r="AY158" s="449">
        <f t="shared" si="200"/>
        <v>3289.5</v>
      </c>
      <c r="AZ158" s="449">
        <f t="shared" si="200"/>
        <v>0</v>
      </c>
      <c r="BA158" s="449">
        <f t="shared" si="200"/>
        <v>0</v>
      </c>
      <c r="BB158" s="449">
        <f t="shared" si="200"/>
        <v>0</v>
      </c>
      <c r="BC158" s="449">
        <f t="shared" si="200"/>
        <v>0</v>
      </c>
      <c r="BD158" s="449">
        <f t="shared" si="200"/>
        <v>0</v>
      </c>
      <c r="BE158" s="449">
        <f t="shared" si="200"/>
        <v>3289.5</v>
      </c>
      <c r="BF158" s="449">
        <f t="shared" si="200"/>
        <v>0</v>
      </c>
      <c r="BG158" s="449">
        <f t="shared" si="200"/>
        <v>0</v>
      </c>
      <c r="BH158" s="400"/>
      <c r="BI158" s="449">
        <v>0</v>
      </c>
      <c r="BJ158" s="449">
        <v>0</v>
      </c>
      <c r="BK158" s="449">
        <v>0</v>
      </c>
      <c r="BL158" s="449">
        <f>SUM('FY19 Staffing V1-1 (3)'!$Q$63:$R$63,'FY19 Staffing V1-1 (3)'!$T$63:$U$63,'FY19 Staffing V1-1 (3)'!$Q$80:$R$80,'FY19 Staffing V1-1 (3)'!$T$80:$U$80)/2</f>
        <v>3289.5</v>
      </c>
      <c r="BM158" s="449">
        <v>0</v>
      </c>
      <c r="BN158" s="449">
        <v>0</v>
      </c>
      <c r="BO158" s="449">
        <v>0</v>
      </c>
      <c r="BP158" s="449">
        <v>0</v>
      </c>
      <c r="BQ158" s="449">
        <v>0</v>
      </c>
      <c r="BR158" s="449">
        <f>SUM('FY19 Staffing V1-1 (3)'!$Q$63:$R$63,'FY19 Staffing V1-1 (3)'!$T$63:$U$63,'FY19 Staffing V1-1 (3)'!$Q$80:$R$80,'FY19 Staffing V1-1 (3)'!$T$80:$U$80)/2</f>
        <v>3289.5</v>
      </c>
      <c r="BS158" s="449">
        <v>0</v>
      </c>
      <c r="BT158" s="449">
        <v>0</v>
      </c>
    </row>
    <row r="159" spans="1:72" ht="15" x14ac:dyDescent="0.25">
      <c r="A159" s="502" t="s">
        <v>246</v>
      </c>
      <c r="B159" s="502" t="s">
        <v>247</v>
      </c>
      <c r="C159" s="541"/>
      <c r="D159" s="500">
        <f t="shared" si="186"/>
        <v>20038</v>
      </c>
      <c r="E159" s="449">
        <v>5038</v>
      </c>
      <c r="F159" s="449">
        <f t="shared" si="187"/>
        <v>15000</v>
      </c>
      <c r="G159" s="421">
        <f t="shared" si="188"/>
        <v>2.9773719730051607</v>
      </c>
      <c r="H159" s="449">
        <f>5038+15000</f>
        <v>20038</v>
      </c>
      <c r="I159" s="449">
        <f t="shared" si="189"/>
        <v>0</v>
      </c>
      <c r="J159" s="426">
        <f t="shared" si="190"/>
        <v>0</v>
      </c>
      <c r="K159" s="421"/>
      <c r="L159" s="449">
        <v>54.8</v>
      </c>
      <c r="M159" s="449">
        <v>1043.6500000000001</v>
      </c>
      <c r="N159" s="449">
        <v>1708.8300000000002</v>
      </c>
      <c r="O159" s="449">
        <v>-621.0300000000002</v>
      </c>
      <c r="P159" s="449">
        <v>715.01000000000022</v>
      </c>
      <c r="Q159" s="449">
        <v>769.94999999999982</v>
      </c>
      <c r="R159" s="449">
        <f>($H159-SUM($L159:Q159))/R$694</f>
        <v>2727.7983333333336</v>
      </c>
      <c r="S159" s="449">
        <f>($H159-SUM($L159:R159))/S$694</f>
        <v>2727.7983333333332</v>
      </c>
      <c r="T159" s="449">
        <f>($H159-SUM($L159:S159))/T$694</f>
        <v>2727.7983333333332</v>
      </c>
      <c r="U159" s="449">
        <f>($H159-SUM($L159:T159))/U$694</f>
        <v>2727.7983333333336</v>
      </c>
      <c r="V159" s="449">
        <f>($H159-SUM($L159:U159))/V$694</f>
        <v>2727.7983333333332</v>
      </c>
      <c r="W159" s="449">
        <f>($H159-SUM($L159:V159))/W$694</f>
        <v>2727.7983333333323</v>
      </c>
      <c r="X159" s="449"/>
      <c r="Y159" s="449">
        <f t="shared" si="191"/>
        <v>20038</v>
      </c>
      <c r="Z159" s="531"/>
      <c r="AA159" s="449">
        <f t="shared" si="192"/>
        <v>1669.8333333333333</v>
      </c>
      <c r="AB159" s="449">
        <f t="shared" si="192"/>
        <v>1669.8333333333333</v>
      </c>
      <c r="AC159" s="449">
        <f t="shared" si="192"/>
        <v>1669.8333333333333</v>
      </c>
      <c r="AD159" s="449">
        <f t="shared" si="192"/>
        <v>1669.8333333333333</v>
      </c>
      <c r="AE159" s="449">
        <f t="shared" si="192"/>
        <v>1669.8333333333333</v>
      </c>
      <c r="AF159" s="449">
        <f t="shared" si="192"/>
        <v>1669.8333333333333</v>
      </c>
      <c r="AG159" s="449">
        <f t="shared" si="192"/>
        <v>1669.8333333333333</v>
      </c>
      <c r="AH159" s="449">
        <f t="shared" si="192"/>
        <v>1669.8333333333333</v>
      </c>
      <c r="AI159" s="449">
        <f t="shared" si="192"/>
        <v>1669.8333333333333</v>
      </c>
      <c r="AJ159" s="449">
        <f t="shared" si="192"/>
        <v>1669.8333333333333</v>
      </c>
      <c r="AK159" s="449">
        <f t="shared" si="192"/>
        <v>1669.8333333333333</v>
      </c>
      <c r="AL159" s="449">
        <f t="shared" si="192"/>
        <v>1669.8333333333333</v>
      </c>
      <c r="AN159" s="500">
        <f t="shared" si="193"/>
        <v>20038</v>
      </c>
      <c r="AO159" s="449">
        <f t="shared" si="194"/>
        <v>17927.218138619999</v>
      </c>
      <c r="AP159" s="449">
        <f t="shared" si="195"/>
        <v>-2110.7818613800009</v>
      </c>
      <c r="AQ159" s="453">
        <f t="shared" si="196"/>
        <v>-0.10533894906577507</v>
      </c>
      <c r="AR159" s="449">
        <f t="shared" si="197"/>
        <v>17927.218138619999</v>
      </c>
      <c r="AS159" s="449">
        <f t="shared" si="198"/>
        <v>0</v>
      </c>
      <c r="AT159" s="426">
        <f t="shared" si="199"/>
        <v>0</v>
      </c>
      <c r="AU159" s="421"/>
      <c r="AV159" s="449">
        <f t="shared" si="200"/>
        <v>0</v>
      </c>
      <c r="AW159" s="449">
        <f t="shared" si="200"/>
        <v>1493.9348448850003</v>
      </c>
      <c r="AX159" s="449">
        <f t="shared" si="200"/>
        <v>1493.9348448850003</v>
      </c>
      <c r="AY159" s="449">
        <f t="shared" si="200"/>
        <v>1493.9348448850003</v>
      </c>
      <c r="AZ159" s="449">
        <f t="shared" si="200"/>
        <v>1493.9348448850003</v>
      </c>
      <c r="BA159" s="449">
        <f t="shared" si="200"/>
        <v>1493.9348448850003</v>
      </c>
      <c r="BB159" s="449">
        <f t="shared" si="200"/>
        <v>1493.9348448850003</v>
      </c>
      <c r="BC159" s="449">
        <f t="shared" si="200"/>
        <v>1493.9348448850003</v>
      </c>
      <c r="BD159" s="449">
        <f t="shared" si="200"/>
        <v>1493.9348448850003</v>
      </c>
      <c r="BE159" s="449">
        <f t="shared" si="200"/>
        <v>1493.9348448850003</v>
      </c>
      <c r="BF159" s="449">
        <f t="shared" si="200"/>
        <v>1493.9348448850003</v>
      </c>
      <c r="BG159" s="449">
        <f t="shared" si="200"/>
        <v>2987.8696897700006</v>
      </c>
      <c r="BH159" s="400"/>
      <c r="BI159" s="449">
        <v>0</v>
      </c>
      <c r="BJ159" s="449">
        <f>SUM('FY19 Staffing V1-1 (3)'!$W$89,'FY19 Staffing V1-1 (3)'!$W$95,'FY19 Staffing V1-1 (3)'!$W$255)/12</f>
        <v>1493.9348448850003</v>
      </c>
      <c r="BK159" s="449">
        <f>SUM('FY19 Staffing V1-1 (3)'!$W$89,'FY19 Staffing V1-1 (3)'!$W$95,'FY19 Staffing V1-1 (3)'!$W$255)/12</f>
        <v>1493.9348448850003</v>
      </c>
      <c r="BL159" s="449">
        <f>SUM('FY19 Staffing V1-1 (3)'!$W$89,'FY19 Staffing V1-1 (3)'!$W$95,'FY19 Staffing V1-1 (3)'!$W$255)/12</f>
        <v>1493.9348448850003</v>
      </c>
      <c r="BM159" s="449">
        <f>SUM('FY19 Staffing V1-1 (3)'!$W$89,'FY19 Staffing V1-1 (3)'!$W$95,'FY19 Staffing V1-1 (3)'!$W$255)/12</f>
        <v>1493.9348448850003</v>
      </c>
      <c r="BN159" s="449">
        <f>SUM('FY19 Staffing V1-1 (3)'!$W$89,'FY19 Staffing V1-1 (3)'!$W$95,'FY19 Staffing V1-1 (3)'!$W$255)/12</f>
        <v>1493.9348448850003</v>
      </c>
      <c r="BO159" s="449">
        <f>SUM('FY19 Staffing V1-1 (3)'!$W$89,'FY19 Staffing V1-1 (3)'!$W$95,'FY19 Staffing V1-1 (3)'!$W$255)/12</f>
        <v>1493.9348448850003</v>
      </c>
      <c r="BP159" s="449">
        <f>SUM('FY19 Staffing V1-1 (3)'!$W$89,'FY19 Staffing V1-1 (3)'!$W$95,'FY19 Staffing V1-1 (3)'!$W$255)/12</f>
        <v>1493.9348448850003</v>
      </c>
      <c r="BQ159" s="449">
        <f>SUM('FY19 Staffing V1-1 (3)'!$W$89,'FY19 Staffing V1-1 (3)'!$W$95,'FY19 Staffing V1-1 (3)'!$W$255)/12</f>
        <v>1493.9348448850003</v>
      </c>
      <c r="BR159" s="449">
        <f>SUM('FY19 Staffing V1-1 (3)'!$W$89,'FY19 Staffing V1-1 (3)'!$W$95,'FY19 Staffing V1-1 (3)'!$W$255)/12</f>
        <v>1493.9348448850003</v>
      </c>
      <c r="BS159" s="449">
        <f>SUM('FY19 Staffing V1-1 (3)'!$W$89,'FY19 Staffing V1-1 (3)'!$W$95,'FY19 Staffing V1-1 (3)'!$W$255)/12</f>
        <v>1493.9348448850003</v>
      </c>
      <c r="BT159" s="449">
        <f>SUM('FY19 Staffing V1-1 (3)'!$W$89,'FY19 Staffing V1-1 (3)'!$W$95,'FY19 Staffing V1-1 (3)'!$W$255)/12*2</f>
        <v>2987.8696897700006</v>
      </c>
    </row>
    <row r="160" spans="1:72" ht="15" hidden="1" x14ac:dyDescent="0.25">
      <c r="A160" s="502" t="s">
        <v>248</v>
      </c>
      <c r="B160" s="502" t="s">
        <v>249</v>
      </c>
      <c r="C160" s="541"/>
      <c r="D160" s="500">
        <f t="shared" si="186"/>
        <v>0</v>
      </c>
      <c r="E160" s="449">
        <v>0</v>
      </c>
      <c r="F160" s="449">
        <f t="shared" si="187"/>
        <v>0</v>
      </c>
      <c r="G160" s="421">
        <f t="shared" si="188"/>
        <v>0</v>
      </c>
      <c r="H160" s="449">
        <v>0</v>
      </c>
      <c r="I160" s="449">
        <f t="shared" si="189"/>
        <v>0</v>
      </c>
      <c r="J160" s="426">
        <f t="shared" si="190"/>
        <v>0</v>
      </c>
      <c r="K160" s="421"/>
      <c r="L160" s="449">
        <v>0</v>
      </c>
      <c r="M160" s="449">
        <v>0</v>
      </c>
      <c r="N160" s="449">
        <v>0</v>
      </c>
      <c r="O160" s="449">
        <v>0</v>
      </c>
      <c r="P160" s="449">
        <v>0</v>
      </c>
      <c r="Q160" s="449">
        <v>0</v>
      </c>
      <c r="R160" s="449">
        <f>($H160-SUM($L160:Q160))/R$694</f>
        <v>0</v>
      </c>
      <c r="S160" s="449">
        <f>($H160-SUM($L160:R160))/S$694</f>
        <v>0</v>
      </c>
      <c r="T160" s="449">
        <f>($H160-SUM($L160:S160))/T$694</f>
        <v>0</v>
      </c>
      <c r="U160" s="449">
        <f>($H160-SUM($L160:T160))/U$694</f>
        <v>0</v>
      </c>
      <c r="V160" s="449">
        <f>($H160-SUM($L160:U160))/V$694</f>
        <v>0</v>
      </c>
      <c r="W160" s="449">
        <f>($H160-SUM($L160:V160))/W$694</f>
        <v>0</v>
      </c>
      <c r="X160" s="449"/>
      <c r="Y160" s="449">
        <f t="shared" si="191"/>
        <v>0</v>
      </c>
      <c r="Z160" s="531"/>
      <c r="AA160" s="449">
        <f t="shared" si="192"/>
        <v>0</v>
      </c>
      <c r="AB160" s="449">
        <f t="shared" si="192"/>
        <v>0</v>
      </c>
      <c r="AC160" s="449">
        <f t="shared" si="192"/>
        <v>0</v>
      </c>
      <c r="AD160" s="449">
        <f t="shared" si="192"/>
        <v>0</v>
      </c>
      <c r="AE160" s="449">
        <f t="shared" si="192"/>
        <v>0</v>
      </c>
      <c r="AF160" s="449">
        <f t="shared" si="192"/>
        <v>0</v>
      </c>
      <c r="AG160" s="449">
        <f t="shared" si="192"/>
        <v>0</v>
      </c>
      <c r="AH160" s="449">
        <f t="shared" si="192"/>
        <v>0</v>
      </c>
      <c r="AI160" s="449">
        <f t="shared" si="192"/>
        <v>0</v>
      </c>
      <c r="AJ160" s="449">
        <f t="shared" si="192"/>
        <v>0</v>
      </c>
      <c r="AK160" s="449">
        <f t="shared" si="192"/>
        <v>0</v>
      </c>
      <c r="AL160" s="449">
        <f t="shared" si="192"/>
        <v>0</v>
      </c>
      <c r="AN160" s="500">
        <f t="shared" si="193"/>
        <v>0</v>
      </c>
      <c r="AO160" s="449">
        <f t="shared" si="194"/>
        <v>0</v>
      </c>
      <c r="AP160" s="449">
        <f t="shared" si="195"/>
        <v>0</v>
      </c>
      <c r="AQ160" s="453" t="str">
        <f t="shared" si="196"/>
        <v>-</v>
      </c>
      <c r="AR160" s="449">
        <f t="shared" si="197"/>
        <v>0</v>
      </c>
      <c r="AS160" s="449">
        <f t="shared" si="198"/>
        <v>0</v>
      </c>
      <c r="AT160" s="426">
        <f t="shared" si="199"/>
        <v>0</v>
      </c>
      <c r="AU160" s="421"/>
      <c r="AV160" s="449">
        <f t="shared" si="200"/>
        <v>0</v>
      </c>
      <c r="AW160" s="449">
        <f t="shared" si="200"/>
        <v>0</v>
      </c>
      <c r="AX160" s="449">
        <f t="shared" si="200"/>
        <v>0</v>
      </c>
      <c r="AY160" s="449">
        <f t="shared" si="200"/>
        <v>0</v>
      </c>
      <c r="AZ160" s="449">
        <f t="shared" si="200"/>
        <v>0</v>
      </c>
      <c r="BA160" s="449">
        <f t="shared" si="200"/>
        <v>0</v>
      </c>
      <c r="BB160" s="449">
        <f t="shared" si="200"/>
        <v>0</v>
      </c>
      <c r="BC160" s="449">
        <f t="shared" si="200"/>
        <v>0</v>
      </c>
      <c r="BD160" s="449">
        <f t="shared" si="200"/>
        <v>0</v>
      </c>
      <c r="BE160" s="449">
        <f t="shared" si="200"/>
        <v>0</v>
      </c>
      <c r="BF160" s="449">
        <f t="shared" si="200"/>
        <v>0</v>
      </c>
      <c r="BG160" s="449">
        <f t="shared" si="200"/>
        <v>0</v>
      </c>
      <c r="BH160" s="400"/>
      <c r="BI160" s="449">
        <v>0</v>
      </c>
      <c r="BJ160" s="449">
        <v>0</v>
      </c>
      <c r="BK160" s="449">
        <v>0</v>
      </c>
      <c r="BL160" s="449">
        <v>0</v>
      </c>
      <c r="BM160" s="449">
        <v>0</v>
      </c>
      <c r="BN160" s="449">
        <v>0</v>
      </c>
      <c r="BO160" s="449">
        <v>0</v>
      </c>
      <c r="BP160" s="449">
        <v>0</v>
      </c>
      <c r="BQ160" s="449">
        <v>0</v>
      </c>
      <c r="BR160" s="449">
        <v>0</v>
      </c>
      <c r="BS160" s="449">
        <v>0</v>
      </c>
      <c r="BT160" s="449">
        <v>0</v>
      </c>
    </row>
    <row r="161" spans="1:72" ht="15" x14ac:dyDescent="0.25">
      <c r="A161" s="502" t="s">
        <v>250</v>
      </c>
      <c r="B161" s="502" t="s">
        <v>251</v>
      </c>
      <c r="C161" s="541"/>
      <c r="D161" s="500">
        <f t="shared" si="186"/>
        <v>20473</v>
      </c>
      <c r="E161" s="449">
        <v>27077</v>
      </c>
      <c r="F161" s="449">
        <f t="shared" si="187"/>
        <v>-6604</v>
      </c>
      <c r="G161" s="421">
        <f t="shared" si="188"/>
        <v>-0.24389703438342505</v>
      </c>
      <c r="H161" s="449">
        <f>35473-15000</f>
        <v>20473</v>
      </c>
      <c r="I161" s="449">
        <f t="shared" si="189"/>
        <v>0</v>
      </c>
      <c r="J161" s="426">
        <f t="shared" si="190"/>
        <v>0</v>
      </c>
      <c r="K161" s="421"/>
      <c r="L161" s="449">
        <v>0</v>
      </c>
      <c r="M161" s="449">
        <v>0</v>
      </c>
      <c r="N161" s="449">
        <v>0</v>
      </c>
      <c r="O161" s="449">
        <v>2133.88</v>
      </c>
      <c r="P161" s="449">
        <v>3150.6499999999996</v>
      </c>
      <c r="Q161" s="449">
        <v>1128.4300000000003</v>
      </c>
      <c r="R161" s="449">
        <f>($H161-SUM($L161:Q161))/R$694</f>
        <v>2343.34</v>
      </c>
      <c r="S161" s="449">
        <f>($H161-SUM($L161:R161))/S$694</f>
        <v>2343.34</v>
      </c>
      <c r="T161" s="449">
        <f>($H161-SUM($L161:S161))/T$694</f>
        <v>2343.34</v>
      </c>
      <c r="U161" s="449">
        <f>($H161-SUM($L161:T161))/U$694</f>
        <v>2343.34</v>
      </c>
      <c r="V161" s="449">
        <f>($H161-SUM($L161:U161))/V$694</f>
        <v>2343.34</v>
      </c>
      <c r="W161" s="449">
        <f>($H161-SUM($L161:V161))/W$694</f>
        <v>2343.34</v>
      </c>
      <c r="X161" s="449"/>
      <c r="Y161" s="449">
        <f t="shared" si="191"/>
        <v>20473</v>
      </c>
      <c r="Z161" s="531"/>
      <c r="AA161" s="449">
        <f t="shared" si="192"/>
        <v>1706.0833333333333</v>
      </c>
      <c r="AB161" s="449">
        <f t="shared" si="192"/>
        <v>1706.0833333333333</v>
      </c>
      <c r="AC161" s="449">
        <f t="shared" si="192"/>
        <v>1706.0833333333333</v>
      </c>
      <c r="AD161" s="449">
        <f t="shared" si="192"/>
        <v>1706.0833333333333</v>
      </c>
      <c r="AE161" s="449">
        <f t="shared" si="192"/>
        <v>1706.0833333333333</v>
      </c>
      <c r="AF161" s="449">
        <f t="shared" si="192"/>
        <v>1706.0833333333333</v>
      </c>
      <c r="AG161" s="449">
        <f t="shared" si="192"/>
        <v>1706.0833333333333</v>
      </c>
      <c r="AH161" s="449">
        <f t="shared" si="192"/>
        <v>1706.0833333333333</v>
      </c>
      <c r="AI161" s="449">
        <f t="shared" si="192"/>
        <v>1706.0833333333333</v>
      </c>
      <c r="AJ161" s="449">
        <f t="shared" si="192"/>
        <v>1706.0833333333333</v>
      </c>
      <c r="AK161" s="449">
        <f t="shared" si="192"/>
        <v>1706.0833333333333</v>
      </c>
      <c r="AL161" s="449">
        <f t="shared" si="192"/>
        <v>1706.0833333333333</v>
      </c>
      <c r="AN161" s="500">
        <f t="shared" si="193"/>
        <v>20473</v>
      </c>
      <c r="AO161" s="449">
        <f t="shared" si="194"/>
        <v>45819.48512982751</v>
      </c>
      <c r="AP161" s="449">
        <f t="shared" si="195"/>
        <v>25346.48512982751</v>
      </c>
      <c r="AQ161" s="453">
        <f t="shared" si="196"/>
        <v>1.2380445039724275</v>
      </c>
      <c r="AR161" s="449">
        <f t="shared" si="197"/>
        <v>45819.48512982751</v>
      </c>
      <c r="AS161" s="449">
        <f t="shared" si="198"/>
        <v>0</v>
      </c>
      <c r="AT161" s="426">
        <f t="shared" si="199"/>
        <v>0</v>
      </c>
      <c r="AU161" s="421"/>
      <c r="AV161" s="449">
        <f t="shared" si="200"/>
        <v>0</v>
      </c>
      <c r="AW161" s="449">
        <f t="shared" si="200"/>
        <v>3818.2904274856251</v>
      </c>
      <c r="AX161" s="449">
        <f t="shared" si="200"/>
        <v>3818.2904274856251</v>
      </c>
      <c r="AY161" s="449">
        <f t="shared" si="200"/>
        <v>3818.2904274856251</v>
      </c>
      <c r="AZ161" s="449">
        <f t="shared" si="200"/>
        <v>3818.2904274856251</v>
      </c>
      <c r="BA161" s="449">
        <f t="shared" si="200"/>
        <v>3818.2904274856251</v>
      </c>
      <c r="BB161" s="449">
        <f t="shared" si="200"/>
        <v>3818.2904274856251</v>
      </c>
      <c r="BC161" s="449">
        <f t="shared" si="200"/>
        <v>3818.2904274856251</v>
      </c>
      <c r="BD161" s="449">
        <f t="shared" si="200"/>
        <v>3818.2904274856251</v>
      </c>
      <c r="BE161" s="449">
        <f t="shared" si="200"/>
        <v>3818.2904274856251</v>
      </c>
      <c r="BF161" s="449">
        <f t="shared" si="200"/>
        <v>3818.2904274856251</v>
      </c>
      <c r="BG161" s="449">
        <f t="shared" si="200"/>
        <v>7636.5808549712501</v>
      </c>
      <c r="BH161" s="400"/>
      <c r="BI161" s="449">
        <v>0</v>
      </c>
      <c r="BJ161" s="449">
        <f>SUM('FY19 Staffing V1-1 (3)'!$W$90:$W$94,'FY19 Staffing V1-1 (3)'!$W$96:$W$97,'FY19 Staffing V1-1 (3)'!$W$256)/12</f>
        <v>3818.2904274856251</v>
      </c>
      <c r="BK161" s="449">
        <f>SUM('FY19 Staffing V1-1 (3)'!$W$90:$W$94,'FY19 Staffing V1-1 (3)'!$W$96:$W$97,'FY19 Staffing V1-1 (3)'!$W$256)/12</f>
        <v>3818.2904274856251</v>
      </c>
      <c r="BL161" s="449">
        <f>SUM('FY19 Staffing V1-1 (3)'!$W$90:$W$94,'FY19 Staffing V1-1 (3)'!$W$96:$W$97,'FY19 Staffing V1-1 (3)'!$W$256)/12</f>
        <v>3818.2904274856251</v>
      </c>
      <c r="BM161" s="449">
        <f>SUM('FY19 Staffing V1-1 (3)'!$W$90:$W$94,'FY19 Staffing V1-1 (3)'!$W$96:$W$97,'FY19 Staffing V1-1 (3)'!$W$256)/12</f>
        <v>3818.2904274856251</v>
      </c>
      <c r="BN161" s="449">
        <f>SUM('FY19 Staffing V1-1 (3)'!$W$90:$W$94,'FY19 Staffing V1-1 (3)'!$W$96:$W$97,'FY19 Staffing V1-1 (3)'!$W$256)/12</f>
        <v>3818.2904274856251</v>
      </c>
      <c r="BO161" s="449">
        <f>SUM('FY19 Staffing V1-1 (3)'!$W$90:$W$94,'FY19 Staffing V1-1 (3)'!$W$96:$W$97,'FY19 Staffing V1-1 (3)'!$W$256)/12</f>
        <v>3818.2904274856251</v>
      </c>
      <c r="BP161" s="449">
        <f>SUM('FY19 Staffing V1-1 (3)'!$W$90:$W$94,'FY19 Staffing V1-1 (3)'!$W$96:$W$97,'FY19 Staffing V1-1 (3)'!$W$256)/12</f>
        <v>3818.2904274856251</v>
      </c>
      <c r="BQ161" s="449">
        <f>SUM('FY19 Staffing V1-1 (3)'!$W$90:$W$94,'FY19 Staffing V1-1 (3)'!$W$96:$W$97,'FY19 Staffing V1-1 (3)'!$W$256)/12</f>
        <v>3818.2904274856251</v>
      </c>
      <c r="BR161" s="449">
        <f>SUM('FY19 Staffing V1-1 (3)'!$W$90:$W$94,'FY19 Staffing V1-1 (3)'!$W$96:$W$97,'FY19 Staffing V1-1 (3)'!$W$256)/12</f>
        <v>3818.2904274856251</v>
      </c>
      <c r="BS161" s="449">
        <f>SUM('FY19 Staffing V1-1 (3)'!$W$90:$W$94,'FY19 Staffing V1-1 (3)'!$W$96:$W$97,'FY19 Staffing V1-1 (3)'!$W$256)/12</f>
        <v>3818.2904274856251</v>
      </c>
      <c r="BT161" s="449">
        <f>SUM('FY19 Staffing V1-1 (3)'!$W$90:$W$94,'FY19 Staffing V1-1 (3)'!$W$96:$W$97,'FY19 Staffing V1-1 (3)'!$W$256)/12*2</f>
        <v>7636.5808549712501</v>
      </c>
    </row>
    <row r="162" spans="1:72" ht="15" hidden="1" x14ac:dyDescent="0.25">
      <c r="A162" s="502" t="s">
        <v>252</v>
      </c>
      <c r="B162" s="502" t="s">
        <v>253</v>
      </c>
      <c r="C162" s="541"/>
      <c r="D162" s="500">
        <f t="shared" si="186"/>
        <v>0</v>
      </c>
      <c r="E162" s="449">
        <v>0</v>
      </c>
      <c r="F162" s="449">
        <f t="shared" si="187"/>
        <v>0</v>
      </c>
      <c r="G162" s="421">
        <f t="shared" si="188"/>
        <v>0</v>
      </c>
      <c r="H162" s="449">
        <v>0</v>
      </c>
      <c r="I162" s="449">
        <f t="shared" si="189"/>
        <v>0</v>
      </c>
      <c r="J162" s="426">
        <f t="shared" si="190"/>
        <v>0</v>
      </c>
      <c r="K162" s="421"/>
      <c r="L162" s="449">
        <v>0</v>
      </c>
      <c r="M162" s="449">
        <v>0</v>
      </c>
      <c r="N162" s="449">
        <v>0</v>
      </c>
      <c r="O162" s="449">
        <v>0</v>
      </c>
      <c r="P162" s="449">
        <v>0</v>
      </c>
      <c r="Q162" s="449">
        <v>0</v>
      </c>
      <c r="R162" s="449">
        <f>($H162-SUM($L162:Q162))/R$694</f>
        <v>0</v>
      </c>
      <c r="S162" s="449">
        <f>($H162-SUM($L162:R162))/S$694</f>
        <v>0</v>
      </c>
      <c r="T162" s="449">
        <f>($H162-SUM($L162:S162))/T$694</f>
        <v>0</v>
      </c>
      <c r="U162" s="449">
        <f>($H162-SUM($L162:T162))/U$694</f>
        <v>0</v>
      </c>
      <c r="V162" s="449">
        <f>($H162-SUM($L162:U162))/V$694</f>
        <v>0</v>
      </c>
      <c r="W162" s="449">
        <f>($H162-SUM($L162:V162))/W$694</f>
        <v>0</v>
      </c>
      <c r="X162" s="449"/>
      <c r="Y162" s="449">
        <f t="shared" si="191"/>
        <v>0</v>
      </c>
      <c r="Z162" s="531"/>
      <c r="AA162" s="449">
        <f t="shared" si="192"/>
        <v>0</v>
      </c>
      <c r="AB162" s="449">
        <f t="shared" si="192"/>
        <v>0</v>
      </c>
      <c r="AC162" s="449">
        <f t="shared" si="192"/>
        <v>0</v>
      </c>
      <c r="AD162" s="449">
        <f t="shared" si="192"/>
        <v>0</v>
      </c>
      <c r="AE162" s="449">
        <f t="shared" si="192"/>
        <v>0</v>
      </c>
      <c r="AF162" s="449">
        <f t="shared" si="192"/>
        <v>0</v>
      </c>
      <c r="AG162" s="449">
        <f t="shared" si="192"/>
        <v>0</v>
      </c>
      <c r="AH162" s="449">
        <f t="shared" si="192"/>
        <v>0</v>
      </c>
      <c r="AI162" s="449">
        <f t="shared" si="192"/>
        <v>0</v>
      </c>
      <c r="AJ162" s="449">
        <f t="shared" si="192"/>
        <v>0</v>
      </c>
      <c r="AK162" s="449">
        <f t="shared" si="192"/>
        <v>0</v>
      </c>
      <c r="AL162" s="449">
        <f t="shared" si="192"/>
        <v>0</v>
      </c>
      <c r="AN162" s="500">
        <f t="shared" si="193"/>
        <v>0</v>
      </c>
      <c r="AO162" s="449">
        <f t="shared" si="194"/>
        <v>0</v>
      </c>
      <c r="AP162" s="449">
        <f t="shared" si="195"/>
        <v>0</v>
      </c>
      <c r="AQ162" s="453" t="str">
        <f t="shared" si="196"/>
        <v>-</v>
      </c>
      <c r="AR162" s="449">
        <f t="shared" si="197"/>
        <v>0</v>
      </c>
      <c r="AS162" s="449">
        <f t="shared" si="198"/>
        <v>0</v>
      </c>
      <c r="AT162" s="426">
        <f t="shared" si="199"/>
        <v>0</v>
      </c>
      <c r="AU162" s="421"/>
      <c r="AV162" s="449">
        <f t="shared" si="200"/>
        <v>0</v>
      </c>
      <c r="AW162" s="449">
        <f t="shared" si="200"/>
        <v>0</v>
      </c>
      <c r="AX162" s="449">
        <f t="shared" si="200"/>
        <v>0</v>
      </c>
      <c r="AY162" s="449">
        <f t="shared" si="200"/>
        <v>0</v>
      </c>
      <c r="AZ162" s="449">
        <f t="shared" si="200"/>
        <v>0</v>
      </c>
      <c r="BA162" s="449">
        <f t="shared" si="200"/>
        <v>0</v>
      </c>
      <c r="BB162" s="449">
        <f t="shared" si="200"/>
        <v>0</v>
      </c>
      <c r="BC162" s="449">
        <f t="shared" si="200"/>
        <v>0</v>
      </c>
      <c r="BD162" s="449">
        <f t="shared" si="200"/>
        <v>0</v>
      </c>
      <c r="BE162" s="449">
        <f t="shared" si="200"/>
        <v>0</v>
      </c>
      <c r="BF162" s="449">
        <f t="shared" si="200"/>
        <v>0</v>
      </c>
      <c r="BG162" s="449">
        <f t="shared" si="200"/>
        <v>0</v>
      </c>
      <c r="BH162" s="400"/>
      <c r="BI162" s="449">
        <v>0</v>
      </c>
      <c r="BJ162" s="449">
        <v>0</v>
      </c>
      <c r="BK162" s="449">
        <v>0</v>
      </c>
      <c r="BL162" s="449">
        <v>0</v>
      </c>
      <c r="BM162" s="449">
        <v>0</v>
      </c>
      <c r="BN162" s="449">
        <v>0</v>
      </c>
      <c r="BO162" s="449">
        <v>0</v>
      </c>
      <c r="BP162" s="449">
        <v>0</v>
      </c>
      <c r="BQ162" s="449">
        <v>0</v>
      </c>
      <c r="BR162" s="449">
        <v>0</v>
      </c>
      <c r="BS162" s="449">
        <v>0</v>
      </c>
      <c r="BT162" s="449">
        <v>0</v>
      </c>
    </row>
    <row r="163" spans="1:72" ht="15" x14ac:dyDescent="0.25">
      <c r="A163" s="502" t="s">
        <v>254</v>
      </c>
      <c r="B163" s="502" t="s">
        <v>255</v>
      </c>
      <c r="C163" s="541"/>
      <c r="D163" s="500">
        <f t="shared" si="186"/>
        <v>1392</v>
      </c>
      <c r="E163" s="449">
        <v>1392</v>
      </c>
      <c r="F163" s="449">
        <f t="shared" si="187"/>
        <v>0</v>
      </c>
      <c r="G163" s="421">
        <f t="shared" si="188"/>
        <v>0</v>
      </c>
      <c r="H163" s="449">
        <v>1392</v>
      </c>
      <c r="I163" s="449">
        <f t="shared" si="189"/>
        <v>0</v>
      </c>
      <c r="J163" s="426">
        <f t="shared" si="190"/>
        <v>0</v>
      </c>
      <c r="K163" s="421"/>
      <c r="L163" s="449">
        <v>0</v>
      </c>
      <c r="M163" s="449">
        <v>0</v>
      </c>
      <c r="N163" s="449">
        <v>0</v>
      </c>
      <c r="O163" s="449">
        <v>120</v>
      </c>
      <c r="P163" s="449">
        <v>0</v>
      </c>
      <c r="Q163" s="449">
        <v>0</v>
      </c>
      <c r="R163" s="449">
        <f>($H163-SUM($L163:Q163))/R$694</f>
        <v>212</v>
      </c>
      <c r="S163" s="449">
        <f>($H163-SUM($L163:R163))/S$694</f>
        <v>212</v>
      </c>
      <c r="T163" s="449">
        <f>($H163-SUM($L163:S163))/T$694</f>
        <v>212</v>
      </c>
      <c r="U163" s="449">
        <f>($H163-SUM($L163:T163))/U$694</f>
        <v>212</v>
      </c>
      <c r="V163" s="449">
        <f>($H163-SUM($L163:U163))/V$694</f>
        <v>212</v>
      </c>
      <c r="W163" s="449">
        <f>($H163-SUM($L163:V163))/W$694</f>
        <v>212</v>
      </c>
      <c r="X163" s="449"/>
      <c r="Y163" s="449">
        <f t="shared" si="191"/>
        <v>1392</v>
      </c>
      <c r="Z163" s="531"/>
      <c r="AA163" s="449">
        <f t="shared" ref="AA163:AL178" si="201">IFERROR($H163/12,0)</f>
        <v>116</v>
      </c>
      <c r="AB163" s="449">
        <f t="shared" si="201"/>
        <v>116</v>
      </c>
      <c r="AC163" s="449">
        <f t="shared" si="201"/>
        <v>116</v>
      </c>
      <c r="AD163" s="449">
        <f t="shared" si="201"/>
        <v>116</v>
      </c>
      <c r="AE163" s="449">
        <f t="shared" si="201"/>
        <v>116</v>
      </c>
      <c r="AF163" s="449">
        <f t="shared" si="201"/>
        <v>116</v>
      </c>
      <c r="AG163" s="449">
        <f t="shared" si="201"/>
        <v>116</v>
      </c>
      <c r="AH163" s="449">
        <f t="shared" si="201"/>
        <v>116</v>
      </c>
      <c r="AI163" s="449">
        <f t="shared" si="201"/>
        <v>116</v>
      </c>
      <c r="AJ163" s="449">
        <f t="shared" si="201"/>
        <v>116</v>
      </c>
      <c r="AK163" s="449">
        <f t="shared" si="201"/>
        <v>116</v>
      </c>
      <c r="AL163" s="449">
        <f t="shared" si="201"/>
        <v>116</v>
      </c>
      <c r="AN163" s="500">
        <f t="shared" si="193"/>
        <v>1392</v>
      </c>
      <c r="AO163" s="449">
        <f t="shared" si="194"/>
        <v>4699.1400000000012</v>
      </c>
      <c r="AP163" s="449">
        <f t="shared" si="195"/>
        <v>3307.1400000000012</v>
      </c>
      <c r="AQ163" s="453">
        <f t="shared" si="196"/>
        <v>2.3758189655172424</v>
      </c>
      <c r="AR163" s="449">
        <f t="shared" si="197"/>
        <v>4699.1400000000012</v>
      </c>
      <c r="AS163" s="449">
        <f t="shared" si="198"/>
        <v>0</v>
      </c>
      <c r="AT163" s="426">
        <f t="shared" si="199"/>
        <v>0</v>
      </c>
      <c r="AU163" s="421"/>
      <c r="AV163" s="449">
        <f t="shared" si="200"/>
        <v>0</v>
      </c>
      <c r="AW163" s="449">
        <f t="shared" si="200"/>
        <v>391.59500000000003</v>
      </c>
      <c r="AX163" s="449">
        <f t="shared" si="200"/>
        <v>391.59500000000003</v>
      </c>
      <c r="AY163" s="449">
        <f t="shared" si="200"/>
        <v>391.59500000000003</v>
      </c>
      <c r="AZ163" s="449">
        <f t="shared" si="200"/>
        <v>391.59500000000003</v>
      </c>
      <c r="BA163" s="449">
        <f t="shared" si="200"/>
        <v>391.59500000000003</v>
      </c>
      <c r="BB163" s="449">
        <f t="shared" si="200"/>
        <v>391.59500000000003</v>
      </c>
      <c r="BC163" s="449">
        <f t="shared" si="200"/>
        <v>391.59500000000003</v>
      </c>
      <c r="BD163" s="449">
        <f t="shared" si="200"/>
        <v>391.59500000000003</v>
      </c>
      <c r="BE163" s="449">
        <f t="shared" si="200"/>
        <v>391.59500000000003</v>
      </c>
      <c r="BF163" s="449">
        <f t="shared" si="200"/>
        <v>391.59500000000003</v>
      </c>
      <c r="BG163" s="449">
        <f t="shared" si="200"/>
        <v>783.19</v>
      </c>
      <c r="BH163" s="400"/>
      <c r="BI163" s="449">
        <v>0</v>
      </c>
      <c r="BJ163" s="449">
        <f>SUM('FY19 Staffing V1-1 (3)'!$S$89,'FY19 Staffing V1-1 (3)'!$S$95,'FY19 Staffing V1-1 (3)'!$S$255)/12</f>
        <v>391.59500000000003</v>
      </c>
      <c r="BK163" s="449">
        <f>SUM('FY19 Staffing V1-1 (3)'!$S$89,'FY19 Staffing V1-1 (3)'!$S$95,'FY19 Staffing V1-1 (3)'!$S$255)/12</f>
        <v>391.59500000000003</v>
      </c>
      <c r="BL163" s="449">
        <f>SUM('FY19 Staffing V1-1 (3)'!$S$89,'FY19 Staffing V1-1 (3)'!$S$95,'FY19 Staffing V1-1 (3)'!$S$255)/12</f>
        <v>391.59500000000003</v>
      </c>
      <c r="BM163" s="449">
        <f>SUM('FY19 Staffing V1-1 (3)'!$S$89,'FY19 Staffing V1-1 (3)'!$S$95,'FY19 Staffing V1-1 (3)'!$S$255)/12</f>
        <v>391.59500000000003</v>
      </c>
      <c r="BN163" s="449">
        <f>SUM('FY19 Staffing V1-1 (3)'!$S$89,'FY19 Staffing V1-1 (3)'!$S$95,'FY19 Staffing V1-1 (3)'!$S$255)/12</f>
        <v>391.59500000000003</v>
      </c>
      <c r="BO163" s="449">
        <f>SUM('FY19 Staffing V1-1 (3)'!$S$89,'FY19 Staffing V1-1 (3)'!$S$95,'FY19 Staffing V1-1 (3)'!$S$255)/12</f>
        <v>391.59500000000003</v>
      </c>
      <c r="BP163" s="449">
        <f>SUM('FY19 Staffing V1-1 (3)'!$S$89,'FY19 Staffing V1-1 (3)'!$S$95,'FY19 Staffing V1-1 (3)'!$S$255)/12</f>
        <v>391.59500000000003</v>
      </c>
      <c r="BQ163" s="449">
        <f>SUM('FY19 Staffing V1-1 (3)'!$S$89,'FY19 Staffing V1-1 (3)'!$S$95,'FY19 Staffing V1-1 (3)'!$S$255)/12</f>
        <v>391.59500000000003</v>
      </c>
      <c r="BR163" s="449">
        <f>SUM('FY19 Staffing V1-1 (3)'!$S$89,'FY19 Staffing V1-1 (3)'!$S$95,'FY19 Staffing V1-1 (3)'!$S$255)/12</f>
        <v>391.59500000000003</v>
      </c>
      <c r="BS163" s="449">
        <f>SUM('FY19 Staffing V1-1 (3)'!$S$89,'FY19 Staffing V1-1 (3)'!$S$95,'FY19 Staffing V1-1 (3)'!$S$255)/12</f>
        <v>391.59500000000003</v>
      </c>
      <c r="BT163" s="449">
        <f>SUM('FY19 Staffing V1-1 (3)'!$S$89,'FY19 Staffing V1-1 (3)'!$S$95,'FY19 Staffing V1-1 (3)'!$S$255)/12*2</f>
        <v>783.19</v>
      </c>
    </row>
    <row r="164" spans="1:72" ht="15" x14ac:dyDescent="0.25">
      <c r="A164" s="502" t="s">
        <v>256</v>
      </c>
      <c r="B164" s="502" t="s">
        <v>257</v>
      </c>
      <c r="C164" s="541"/>
      <c r="D164" s="500">
        <f t="shared" si="186"/>
        <v>10568</v>
      </c>
      <c r="E164" s="449">
        <v>7681</v>
      </c>
      <c r="F164" s="449">
        <f t="shared" si="187"/>
        <v>2887</v>
      </c>
      <c r="G164" s="421">
        <f t="shared" si="188"/>
        <v>0.37586251790131492</v>
      </c>
      <c r="H164" s="449">
        <v>10568</v>
      </c>
      <c r="I164" s="449">
        <f t="shared" si="189"/>
        <v>0</v>
      </c>
      <c r="J164" s="426">
        <f t="shared" si="190"/>
        <v>0</v>
      </c>
      <c r="K164" s="421"/>
      <c r="L164" s="449">
        <v>0</v>
      </c>
      <c r="M164" s="449">
        <v>152.11000000000001</v>
      </c>
      <c r="N164" s="449">
        <v>133.09999999999997</v>
      </c>
      <c r="O164" s="449">
        <v>126.76000000000005</v>
      </c>
      <c r="P164" s="449">
        <v>126.75999999999999</v>
      </c>
      <c r="Q164" s="449">
        <v>158.44999999999993</v>
      </c>
      <c r="R164" s="449">
        <f>($H164-SUM($L164:Q164))/R$694</f>
        <v>1645.1366666666665</v>
      </c>
      <c r="S164" s="449">
        <f>($H164-SUM($L164:R164))/S$694</f>
        <v>1645.1366666666668</v>
      </c>
      <c r="T164" s="449">
        <f>($H164-SUM($L164:S164))/T$694</f>
        <v>1645.1366666666668</v>
      </c>
      <c r="U164" s="449">
        <f>($H164-SUM($L164:T164))/U$694</f>
        <v>1645.1366666666665</v>
      </c>
      <c r="V164" s="449">
        <f>($H164-SUM($L164:U164))/V$694</f>
        <v>1645.1366666666668</v>
      </c>
      <c r="W164" s="449">
        <f>($H164-SUM($L164:V164))/W$694</f>
        <v>1645.1366666666672</v>
      </c>
      <c r="X164" s="449"/>
      <c r="Y164" s="449">
        <f t="shared" si="191"/>
        <v>10568</v>
      </c>
      <c r="Z164" s="531"/>
      <c r="AA164" s="449">
        <f t="shared" si="201"/>
        <v>880.66666666666663</v>
      </c>
      <c r="AB164" s="449">
        <f t="shared" si="201"/>
        <v>880.66666666666663</v>
      </c>
      <c r="AC164" s="449">
        <f t="shared" si="201"/>
        <v>880.66666666666663</v>
      </c>
      <c r="AD164" s="449">
        <f t="shared" si="201"/>
        <v>880.66666666666663</v>
      </c>
      <c r="AE164" s="449">
        <f t="shared" si="201"/>
        <v>880.66666666666663</v>
      </c>
      <c r="AF164" s="449">
        <f t="shared" si="201"/>
        <v>880.66666666666663</v>
      </c>
      <c r="AG164" s="449">
        <f t="shared" si="201"/>
        <v>880.66666666666663</v>
      </c>
      <c r="AH164" s="449">
        <f t="shared" si="201"/>
        <v>880.66666666666663</v>
      </c>
      <c r="AI164" s="449">
        <f t="shared" si="201"/>
        <v>880.66666666666663</v>
      </c>
      <c r="AJ164" s="449">
        <f t="shared" si="201"/>
        <v>880.66666666666663</v>
      </c>
      <c r="AK164" s="449">
        <f t="shared" si="201"/>
        <v>880.66666666666663</v>
      </c>
      <c r="AL164" s="449">
        <f t="shared" si="201"/>
        <v>880.66666666666663</v>
      </c>
      <c r="AN164" s="500">
        <f t="shared" si="193"/>
        <v>10568</v>
      </c>
      <c r="AO164" s="449">
        <f t="shared" si="194"/>
        <v>12010.35</v>
      </c>
      <c r="AP164" s="449">
        <f t="shared" si="195"/>
        <v>1442.3500000000004</v>
      </c>
      <c r="AQ164" s="453">
        <f t="shared" si="196"/>
        <v>0.13648277819833463</v>
      </c>
      <c r="AR164" s="449">
        <f t="shared" si="197"/>
        <v>12010.35</v>
      </c>
      <c r="AS164" s="449">
        <f t="shared" si="198"/>
        <v>0</v>
      </c>
      <c r="AT164" s="426">
        <f t="shared" si="199"/>
        <v>0</v>
      </c>
      <c r="AU164" s="421"/>
      <c r="AV164" s="449">
        <f t="shared" si="200"/>
        <v>0</v>
      </c>
      <c r="AW164" s="449">
        <f t="shared" si="200"/>
        <v>1000.8625000000002</v>
      </c>
      <c r="AX164" s="449">
        <f t="shared" si="200"/>
        <v>1000.8625000000002</v>
      </c>
      <c r="AY164" s="449">
        <f t="shared" si="200"/>
        <v>1000.8625000000002</v>
      </c>
      <c r="AZ164" s="449">
        <f t="shared" si="200"/>
        <v>1000.8625000000002</v>
      </c>
      <c r="BA164" s="449">
        <f t="shared" si="200"/>
        <v>1000.8625000000002</v>
      </c>
      <c r="BB164" s="449">
        <f t="shared" si="200"/>
        <v>1000.8625000000002</v>
      </c>
      <c r="BC164" s="449">
        <f t="shared" si="200"/>
        <v>1000.8625000000002</v>
      </c>
      <c r="BD164" s="449">
        <f t="shared" si="200"/>
        <v>1000.8625000000002</v>
      </c>
      <c r="BE164" s="449">
        <f t="shared" si="200"/>
        <v>1000.8625000000002</v>
      </c>
      <c r="BF164" s="449">
        <f t="shared" si="200"/>
        <v>1000.8625000000002</v>
      </c>
      <c r="BG164" s="449">
        <f t="shared" si="200"/>
        <v>2001.7250000000004</v>
      </c>
      <c r="BH164" s="400"/>
      <c r="BI164" s="449">
        <v>0</v>
      </c>
      <c r="BJ164" s="449">
        <f>SUM('FY19 Staffing V1-1 (3)'!$S$90:$S$94,'FY19 Staffing V1-1 (3)'!$S$96:$S$97,'FY19 Staffing V1-1 (3)'!$S$256)/12</f>
        <v>1000.8625000000002</v>
      </c>
      <c r="BK164" s="449">
        <f>SUM('FY19 Staffing V1-1 (3)'!$S$90:$S$94,'FY19 Staffing V1-1 (3)'!$S$96:$S$97,'FY19 Staffing V1-1 (3)'!$S$256)/12</f>
        <v>1000.8625000000002</v>
      </c>
      <c r="BL164" s="449">
        <f>SUM('FY19 Staffing V1-1 (3)'!$S$90:$S$94,'FY19 Staffing V1-1 (3)'!$S$96:$S$97,'FY19 Staffing V1-1 (3)'!$S$256)/12</f>
        <v>1000.8625000000002</v>
      </c>
      <c r="BM164" s="449">
        <f>SUM('FY19 Staffing V1-1 (3)'!$S$90:$S$94,'FY19 Staffing V1-1 (3)'!$S$96:$S$97,'FY19 Staffing V1-1 (3)'!$S$256)/12</f>
        <v>1000.8625000000002</v>
      </c>
      <c r="BN164" s="449">
        <f>SUM('FY19 Staffing V1-1 (3)'!$S$90:$S$94,'FY19 Staffing V1-1 (3)'!$S$96:$S$97,'FY19 Staffing V1-1 (3)'!$S$256)/12</f>
        <v>1000.8625000000002</v>
      </c>
      <c r="BO164" s="449">
        <f>SUM('FY19 Staffing V1-1 (3)'!$S$90:$S$94,'FY19 Staffing V1-1 (3)'!$S$96:$S$97,'FY19 Staffing V1-1 (3)'!$S$256)/12</f>
        <v>1000.8625000000002</v>
      </c>
      <c r="BP164" s="449">
        <f>SUM('FY19 Staffing V1-1 (3)'!$S$90:$S$94,'FY19 Staffing V1-1 (3)'!$S$96:$S$97,'FY19 Staffing V1-1 (3)'!$S$256)/12</f>
        <v>1000.8625000000002</v>
      </c>
      <c r="BQ164" s="449">
        <f>SUM('FY19 Staffing V1-1 (3)'!$S$90:$S$94,'FY19 Staffing V1-1 (3)'!$S$96:$S$97,'FY19 Staffing V1-1 (3)'!$S$256)/12</f>
        <v>1000.8625000000002</v>
      </c>
      <c r="BR164" s="449">
        <f>SUM('FY19 Staffing V1-1 (3)'!$S$90:$S$94,'FY19 Staffing V1-1 (3)'!$S$96:$S$97,'FY19 Staffing V1-1 (3)'!$S$256)/12</f>
        <v>1000.8625000000002</v>
      </c>
      <c r="BS164" s="449">
        <f>SUM('FY19 Staffing V1-1 (3)'!$S$90:$S$94,'FY19 Staffing V1-1 (3)'!$S$96:$S$97,'FY19 Staffing V1-1 (3)'!$S$256)/12</f>
        <v>1000.8625000000002</v>
      </c>
      <c r="BT164" s="449">
        <f>SUM('FY19 Staffing V1-1 (3)'!$S$90:$S$94,'FY19 Staffing V1-1 (3)'!$S$96:$S$97,'FY19 Staffing V1-1 (3)'!$S$256)/12*2</f>
        <v>2001.7250000000004</v>
      </c>
    </row>
    <row r="165" spans="1:72" ht="15" x14ac:dyDescent="0.25">
      <c r="A165" s="502" t="s">
        <v>258</v>
      </c>
      <c r="B165" s="502" t="s">
        <v>259</v>
      </c>
      <c r="C165" s="541"/>
      <c r="D165" s="500">
        <f t="shared" si="186"/>
        <v>396</v>
      </c>
      <c r="E165" s="449">
        <v>396</v>
      </c>
      <c r="F165" s="449">
        <f t="shared" si="187"/>
        <v>0</v>
      </c>
      <c r="G165" s="421">
        <f t="shared" si="188"/>
        <v>0</v>
      </c>
      <c r="H165" s="449">
        <v>396</v>
      </c>
      <c r="I165" s="449">
        <f t="shared" si="189"/>
        <v>0</v>
      </c>
      <c r="J165" s="426">
        <f t="shared" si="190"/>
        <v>0</v>
      </c>
      <c r="K165" s="421"/>
      <c r="L165" s="449">
        <v>0</v>
      </c>
      <c r="M165" s="449">
        <v>0</v>
      </c>
      <c r="N165" s="449">
        <v>0</v>
      </c>
      <c r="O165" s="449">
        <v>240</v>
      </c>
      <c r="P165" s="449">
        <v>0</v>
      </c>
      <c r="Q165" s="449">
        <v>117.19999999999999</v>
      </c>
      <c r="R165" s="449">
        <f>($H165-SUM($L165:Q165))/R$694</f>
        <v>6.4666666666666686</v>
      </c>
      <c r="S165" s="449">
        <f>($H165-SUM($L165:R165))/S$694</f>
        <v>6.4666666666666739</v>
      </c>
      <c r="T165" s="449">
        <f>($H165-SUM($L165:S165))/T$694</f>
        <v>6.4666666666666686</v>
      </c>
      <c r="U165" s="449">
        <f>($H165-SUM($L165:T165))/U$694</f>
        <v>6.4666666666666588</v>
      </c>
      <c r="V165" s="449">
        <f>($H165-SUM($L165:U165))/V$694</f>
        <v>6.4666666666666686</v>
      </c>
      <c r="W165" s="449">
        <f>($H165-SUM($L165:V165))/W$694</f>
        <v>6.466666666666697</v>
      </c>
      <c r="X165" s="449"/>
      <c r="Y165" s="449">
        <f t="shared" si="191"/>
        <v>396</v>
      </c>
      <c r="Z165" s="531"/>
      <c r="AA165" s="449">
        <f t="shared" si="201"/>
        <v>33</v>
      </c>
      <c r="AB165" s="449">
        <f t="shared" si="201"/>
        <v>33</v>
      </c>
      <c r="AC165" s="449">
        <f t="shared" si="201"/>
        <v>33</v>
      </c>
      <c r="AD165" s="449">
        <f t="shared" si="201"/>
        <v>33</v>
      </c>
      <c r="AE165" s="449">
        <f t="shared" si="201"/>
        <v>33</v>
      </c>
      <c r="AF165" s="449">
        <f t="shared" si="201"/>
        <v>33</v>
      </c>
      <c r="AG165" s="449">
        <f t="shared" si="201"/>
        <v>33</v>
      </c>
      <c r="AH165" s="449">
        <f t="shared" si="201"/>
        <v>33</v>
      </c>
      <c r="AI165" s="449">
        <f t="shared" si="201"/>
        <v>33</v>
      </c>
      <c r="AJ165" s="449">
        <f t="shared" si="201"/>
        <v>33</v>
      </c>
      <c r="AK165" s="449">
        <f t="shared" si="201"/>
        <v>33</v>
      </c>
      <c r="AL165" s="449">
        <f t="shared" si="201"/>
        <v>33</v>
      </c>
      <c r="AN165" s="500">
        <f t="shared" si="193"/>
        <v>396</v>
      </c>
      <c r="AO165" s="449">
        <f t="shared" si="194"/>
        <v>0</v>
      </c>
      <c r="AP165" s="449">
        <f t="shared" si="195"/>
        <v>-396</v>
      </c>
      <c r="AQ165" s="453">
        <f t="shared" si="196"/>
        <v>-1</v>
      </c>
      <c r="AR165" s="449">
        <f t="shared" si="197"/>
        <v>0</v>
      </c>
      <c r="AS165" s="449">
        <f t="shared" si="198"/>
        <v>0</v>
      </c>
      <c r="AT165" s="426">
        <f t="shared" si="199"/>
        <v>0</v>
      </c>
      <c r="AU165" s="421"/>
      <c r="AV165" s="449">
        <f t="shared" si="200"/>
        <v>0</v>
      </c>
      <c r="AW165" s="449">
        <f t="shared" si="200"/>
        <v>0</v>
      </c>
      <c r="AX165" s="449">
        <f t="shared" si="200"/>
        <v>0</v>
      </c>
      <c r="AY165" s="449">
        <f t="shared" si="200"/>
        <v>0</v>
      </c>
      <c r="AZ165" s="449">
        <f t="shared" si="200"/>
        <v>0</v>
      </c>
      <c r="BA165" s="449">
        <f t="shared" si="200"/>
        <v>0</v>
      </c>
      <c r="BB165" s="449">
        <f t="shared" si="200"/>
        <v>0</v>
      </c>
      <c r="BC165" s="449">
        <f t="shared" si="200"/>
        <v>0</v>
      </c>
      <c r="BD165" s="449">
        <f t="shared" si="200"/>
        <v>0</v>
      </c>
      <c r="BE165" s="449">
        <f t="shared" si="200"/>
        <v>0</v>
      </c>
      <c r="BF165" s="449">
        <f t="shared" si="200"/>
        <v>0</v>
      </c>
      <c r="BG165" s="449">
        <f t="shared" si="200"/>
        <v>0</v>
      </c>
      <c r="BH165" s="400"/>
      <c r="BI165" s="449">
        <v>0</v>
      </c>
      <c r="BJ165" s="449">
        <v>0</v>
      </c>
      <c r="BK165" s="449">
        <v>0</v>
      </c>
      <c r="BL165" s="449">
        <v>0</v>
      </c>
      <c r="BM165" s="449">
        <v>0</v>
      </c>
      <c r="BN165" s="449">
        <v>0</v>
      </c>
      <c r="BO165" s="449">
        <v>0</v>
      </c>
      <c r="BP165" s="449">
        <v>0</v>
      </c>
      <c r="BQ165" s="449">
        <v>0</v>
      </c>
      <c r="BR165" s="449">
        <v>0</v>
      </c>
      <c r="BS165" s="449">
        <v>0</v>
      </c>
      <c r="BT165" s="449">
        <v>0</v>
      </c>
    </row>
    <row r="166" spans="1:72" ht="15" x14ac:dyDescent="0.25">
      <c r="A166" s="537" t="s">
        <v>260</v>
      </c>
      <c r="B166" s="537" t="s">
        <v>261</v>
      </c>
      <c r="C166" s="541"/>
      <c r="D166" s="500">
        <f t="shared" si="186"/>
        <v>0</v>
      </c>
      <c r="E166" s="449">
        <v>0</v>
      </c>
      <c r="F166" s="449">
        <f t="shared" si="187"/>
        <v>0</v>
      </c>
      <c r="G166" s="421">
        <f t="shared" si="188"/>
        <v>0</v>
      </c>
      <c r="H166" s="449">
        <v>0</v>
      </c>
      <c r="I166" s="449">
        <f t="shared" si="189"/>
        <v>0</v>
      </c>
      <c r="J166" s="426">
        <f t="shared" si="190"/>
        <v>0</v>
      </c>
      <c r="K166" s="421"/>
      <c r="L166" s="449">
        <v>0</v>
      </c>
      <c r="M166" s="449">
        <v>0</v>
      </c>
      <c r="N166" s="449">
        <v>0</v>
      </c>
      <c r="O166" s="449">
        <v>0</v>
      </c>
      <c r="P166" s="449">
        <v>0</v>
      </c>
      <c r="Q166" s="449">
        <v>0</v>
      </c>
      <c r="R166" s="449">
        <f>($H166-SUM($L166:Q166))/R$694</f>
        <v>0</v>
      </c>
      <c r="S166" s="449">
        <f>($H166-SUM($L166:R166))/S$694</f>
        <v>0</v>
      </c>
      <c r="T166" s="449">
        <f>($H166-SUM($L166:S166))/T$694</f>
        <v>0</v>
      </c>
      <c r="U166" s="449">
        <f>($H166-SUM($L166:T166))/U$694</f>
        <v>0</v>
      </c>
      <c r="V166" s="449">
        <f>($H166-SUM($L166:U166))/V$694</f>
        <v>0</v>
      </c>
      <c r="W166" s="449">
        <f>($H166-SUM($L166:V166))/W$694</f>
        <v>0</v>
      </c>
      <c r="X166" s="449"/>
      <c r="Y166" s="449">
        <f t="shared" si="191"/>
        <v>0</v>
      </c>
      <c r="Z166" s="531"/>
      <c r="AA166" s="449">
        <f t="shared" si="201"/>
        <v>0</v>
      </c>
      <c r="AB166" s="449">
        <f t="shared" si="201"/>
        <v>0</v>
      </c>
      <c r="AC166" s="449">
        <f t="shared" si="201"/>
        <v>0</v>
      </c>
      <c r="AD166" s="449">
        <f t="shared" si="201"/>
        <v>0</v>
      </c>
      <c r="AE166" s="449">
        <f t="shared" si="201"/>
        <v>0</v>
      </c>
      <c r="AF166" s="449">
        <f t="shared" si="201"/>
        <v>0</v>
      </c>
      <c r="AG166" s="449">
        <f t="shared" si="201"/>
        <v>0</v>
      </c>
      <c r="AH166" s="449">
        <f t="shared" si="201"/>
        <v>0</v>
      </c>
      <c r="AI166" s="449">
        <f t="shared" si="201"/>
        <v>0</v>
      </c>
      <c r="AJ166" s="449">
        <f t="shared" si="201"/>
        <v>0</v>
      </c>
      <c r="AK166" s="449">
        <f t="shared" si="201"/>
        <v>0</v>
      </c>
      <c r="AL166" s="449">
        <f t="shared" si="201"/>
        <v>0</v>
      </c>
      <c r="AN166" s="500">
        <f t="shared" si="193"/>
        <v>0</v>
      </c>
      <c r="AO166" s="449">
        <f t="shared" si="194"/>
        <v>860</v>
      </c>
      <c r="AP166" s="449">
        <f t="shared" si="195"/>
        <v>860</v>
      </c>
      <c r="AQ166" s="453" t="str">
        <f t="shared" si="196"/>
        <v>-</v>
      </c>
      <c r="AR166" s="449">
        <f t="shared" si="197"/>
        <v>860</v>
      </c>
      <c r="AS166" s="449">
        <f t="shared" si="198"/>
        <v>0</v>
      </c>
      <c r="AT166" s="426">
        <f t="shared" si="199"/>
        <v>0</v>
      </c>
      <c r="AU166" s="421"/>
      <c r="AV166" s="449">
        <f t="shared" si="200"/>
        <v>0</v>
      </c>
      <c r="AW166" s="449">
        <f t="shared" si="200"/>
        <v>0</v>
      </c>
      <c r="AX166" s="449">
        <f t="shared" si="200"/>
        <v>0</v>
      </c>
      <c r="AY166" s="449">
        <f t="shared" si="200"/>
        <v>430</v>
      </c>
      <c r="AZ166" s="449">
        <f t="shared" si="200"/>
        <v>0</v>
      </c>
      <c r="BA166" s="449">
        <f t="shared" si="200"/>
        <v>0</v>
      </c>
      <c r="BB166" s="449">
        <f t="shared" si="200"/>
        <v>0</v>
      </c>
      <c r="BC166" s="449">
        <f t="shared" si="200"/>
        <v>0</v>
      </c>
      <c r="BD166" s="449">
        <f t="shared" si="200"/>
        <v>0</v>
      </c>
      <c r="BE166" s="449">
        <f t="shared" si="200"/>
        <v>430</v>
      </c>
      <c r="BF166" s="449">
        <f t="shared" si="200"/>
        <v>0</v>
      </c>
      <c r="BG166" s="449">
        <f t="shared" si="200"/>
        <v>0</v>
      </c>
      <c r="BH166" s="400"/>
      <c r="BI166" s="449">
        <v>0</v>
      </c>
      <c r="BJ166" s="449">
        <v>0</v>
      </c>
      <c r="BK166" s="449">
        <v>0</v>
      </c>
      <c r="BL166" s="449">
        <f>SUM('FY19 Staffing V1-1 (3)'!$S$63,'FY19 Staffing V1-1 (3)'!$S$80)/2</f>
        <v>430</v>
      </c>
      <c r="BM166" s="449">
        <v>0</v>
      </c>
      <c r="BN166" s="449">
        <v>0</v>
      </c>
      <c r="BO166" s="449">
        <v>0</v>
      </c>
      <c r="BP166" s="449">
        <v>0</v>
      </c>
      <c r="BQ166" s="449">
        <v>0</v>
      </c>
      <c r="BR166" s="449">
        <f>SUM('FY19 Staffing V1-1 (3)'!$S$63,'FY19 Staffing V1-1 (3)'!$S$80)/2</f>
        <v>430</v>
      </c>
      <c r="BS166" s="449">
        <v>0</v>
      </c>
      <c r="BT166" s="449">
        <v>0</v>
      </c>
    </row>
    <row r="167" spans="1:72" ht="15" x14ac:dyDescent="0.25">
      <c r="A167" s="502" t="s">
        <v>262</v>
      </c>
      <c r="B167" s="502" t="s">
        <v>263</v>
      </c>
      <c r="C167" s="538" t="s">
        <v>264</v>
      </c>
      <c r="D167" s="500">
        <f t="shared" si="186"/>
        <v>37000</v>
      </c>
      <c r="E167" s="449">
        <v>36973</v>
      </c>
      <c r="F167" s="449">
        <f t="shared" si="187"/>
        <v>27</v>
      </c>
      <c r="G167" s="421">
        <f t="shared" si="188"/>
        <v>7.3026262407702917E-4</v>
      </c>
      <c r="H167" s="449">
        <v>37000</v>
      </c>
      <c r="I167" s="449">
        <f t="shared" si="189"/>
        <v>0</v>
      </c>
      <c r="J167" s="426">
        <f t="shared" si="190"/>
        <v>0</v>
      </c>
      <c r="K167" s="421"/>
      <c r="L167" s="449">
        <v>8552.4</v>
      </c>
      <c r="M167" s="449">
        <v>0</v>
      </c>
      <c r="N167" s="449">
        <v>0</v>
      </c>
      <c r="O167" s="449">
        <v>0</v>
      </c>
      <c r="P167" s="449">
        <v>0</v>
      </c>
      <c r="Q167" s="449">
        <v>0</v>
      </c>
      <c r="R167" s="449">
        <f>($H167-SUM($L167:Q167))/R$694</f>
        <v>4741.2666666666664</v>
      </c>
      <c r="S167" s="449">
        <f>($H167-SUM($L167:R167))/S$694</f>
        <v>4741.2666666666673</v>
      </c>
      <c r="T167" s="449">
        <f>($H167-SUM($L167:S167))/T$694</f>
        <v>4741.2666666666664</v>
      </c>
      <c r="U167" s="449">
        <f>($H167-SUM($L167:T167))/U$694</f>
        <v>4741.2666666666664</v>
      </c>
      <c r="V167" s="449">
        <f>($H167-SUM($L167:U167))/V$694</f>
        <v>4741.2666666666664</v>
      </c>
      <c r="W167" s="449">
        <f>($H167-SUM($L167:V167))/W$694</f>
        <v>4741.2666666666664</v>
      </c>
      <c r="X167" s="449"/>
      <c r="Y167" s="449">
        <f t="shared" si="191"/>
        <v>37000</v>
      </c>
      <c r="Z167" s="531"/>
      <c r="AA167" s="449">
        <f t="shared" si="201"/>
        <v>3083.3333333333335</v>
      </c>
      <c r="AB167" s="449">
        <f t="shared" si="201"/>
        <v>3083.3333333333335</v>
      </c>
      <c r="AC167" s="449">
        <f t="shared" si="201"/>
        <v>3083.3333333333335</v>
      </c>
      <c r="AD167" s="449">
        <f t="shared" si="201"/>
        <v>3083.3333333333335</v>
      </c>
      <c r="AE167" s="449">
        <f t="shared" si="201"/>
        <v>3083.3333333333335</v>
      </c>
      <c r="AF167" s="449">
        <f t="shared" si="201"/>
        <v>3083.3333333333335</v>
      </c>
      <c r="AG167" s="449">
        <f t="shared" si="201"/>
        <v>3083.3333333333335</v>
      </c>
      <c r="AH167" s="449">
        <f t="shared" si="201"/>
        <v>3083.3333333333335</v>
      </c>
      <c r="AI167" s="449">
        <f t="shared" si="201"/>
        <v>3083.3333333333335</v>
      </c>
      <c r="AJ167" s="449">
        <f t="shared" si="201"/>
        <v>3083.3333333333335</v>
      </c>
      <c r="AK167" s="449">
        <f t="shared" si="201"/>
        <v>3083.3333333333335</v>
      </c>
      <c r="AL167" s="449">
        <f t="shared" si="201"/>
        <v>3083.3333333333335</v>
      </c>
      <c r="AN167" s="500">
        <f t="shared" si="193"/>
        <v>37000</v>
      </c>
      <c r="AO167" s="449">
        <f t="shared" si="194"/>
        <v>40685.140562248998</v>
      </c>
      <c r="AP167" s="449">
        <f t="shared" si="195"/>
        <v>3685.1405622489983</v>
      </c>
      <c r="AQ167" s="453">
        <f t="shared" si="196"/>
        <v>9.9598393574297256E-2</v>
      </c>
      <c r="AR167" s="449">
        <f t="shared" si="197"/>
        <v>40685.140562248998</v>
      </c>
      <c r="AS167" s="449">
        <f t="shared" si="198"/>
        <v>0</v>
      </c>
      <c r="AT167" s="426">
        <f t="shared" si="199"/>
        <v>0</v>
      </c>
      <c r="AU167" s="421"/>
      <c r="AV167" s="449">
        <f t="shared" si="200"/>
        <v>3390.4283801874167</v>
      </c>
      <c r="AW167" s="449">
        <f t="shared" si="200"/>
        <v>3390.4283801874167</v>
      </c>
      <c r="AX167" s="449">
        <f t="shared" si="200"/>
        <v>3390.4283801874167</v>
      </c>
      <c r="AY167" s="449">
        <f t="shared" si="200"/>
        <v>3390.4283801874167</v>
      </c>
      <c r="AZ167" s="449">
        <f t="shared" si="200"/>
        <v>3390.4283801874167</v>
      </c>
      <c r="BA167" s="449">
        <f t="shared" si="200"/>
        <v>3390.4283801874167</v>
      </c>
      <c r="BB167" s="449">
        <f t="shared" si="200"/>
        <v>3390.4283801874167</v>
      </c>
      <c r="BC167" s="449">
        <f t="shared" si="200"/>
        <v>3390.4283801874167</v>
      </c>
      <c r="BD167" s="449">
        <f t="shared" si="200"/>
        <v>3390.4283801874167</v>
      </c>
      <c r="BE167" s="449">
        <f t="shared" si="200"/>
        <v>3390.4283801874167</v>
      </c>
      <c r="BF167" s="449">
        <f t="shared" si="200"/>
        <v>3390.4283801874167</v>
      </c>
      <c r="BG167" s="449">
        <f t="shared" si="200"/>
        <v>3390.4283801874167</v>
      </c>
      <c r="BH167" s="400"/>
      <c r="BI167" s="449">
        <f t="shared" ref="BI167:BT168" si="202">IFERROR((($H167/$H$5)*BI$5)/12,0)</f>
        <v>3390.4283801874167</v>
      </c>
      <c r="BJ167" s="449">
        <f t="shared" si="202"/>
        <v>3390.4283801874167</v>
      </c>
      <c r="BK167" s="449">
        <f t="shared" si="202"/>
        <v>3390.4283801874167</v>
      </c>
      <c r="BL167" s="449">
        <f t="shared" si="202"/>
        <v>3390.4283801874167</v>
      </c>
      <c r="BM167" s="449">
        <f t="shared" si="202"/>
        <v>3390.4283801874167</v>
      </c>
      <c r="BN167" s="449">
        <f t="shared" si="202"/>
        <v>3390.4283801874167</v>
      </c>
      <c r="BO167" s="449">
        <f t="shared" si="202"/>
        <v>3390.4283801874167</v>
      </c>
      <c r="BP167" s="449">
        <f t="shared" si="202"/>
        <v>3390.4283801874167</v>
      </c>
      <c r="BQ167" s="449">
        <f t="shared" si="202"/>
        <v>3390.4283801874167</v>
      </c>
      <c r="BR167" s="449">
        <f t="shared" si="202"/>
        <v>3390.4283801874167</v>
      </c>
      <c r="BS167" s="449">
        <f t="shared" si="202"/>
        <v>3390.4283801874167</v>
      </c>
      <c r="BT167" s="449">
        <f t="shared" si="202"/>
        <v>3390.4283801874167</v>
      </c>
    </row>
    <row r="168" spans="1:72" ht="15" x14ac:dyDescent="0.25">
      <c r="A168" s="502" t="s">
        <v>265</v>
      </c>
      <c r="B168" s="502" t="s">
        <v>266</v>
      </c>
      <c r="C168" s="543" t="s">
        <v>267</v>
      </c>
      <c r="D168" s="500">
        <f t="shared" si="186"/>
        <v>1000</v>
      </c>
      <c r="E168" s="449">
        <v>563</v>
      </c>
      <c r="F168" s="449">
        <f t="shared" si="187"/>
        <v>437</v>
      </c>
      <c r="G168" s="421">
        <f t="shared" si="188"/>
        <v>0.77619893428063946</v>
      </c>
      <c r="H168" s="449">
        <v>1000</v>
      </c>
      <c r="I168" s="449">
        <f t="shared" si="189"/>
        <v>0</v>
      </c>
      <c r="J168" s="426">
        <f t="shared" si="190"/>
        <v>0</v>
      </c>
      <c r="K168" s="421"/>
      <c r="L168" s="449">
        <v>0</v>
      </c>
      <c r="M168" s="449">
        <v>0</v>
      </c>
      <c r="N168" s="449">
        <v>0</v>
      </c>
      <c r="O168" s="449">
        <v>0</v>
      </c>
      <c r="P168" s="449">
        <v>0</v>
      </c>
      <c r="Q168" s="449">
        <v>0</v>
      </c>
      <c r="R168" s="449">
        <f>($H168-SUM($L168:Q168))/R$694</f>
        <v>166.66666666666666</v>
      </c>
      <c r="S168" s="449">
        <f>($H168-SUM($L168:R168))/S$694</f>
        <v>166.66666666666669</v>
      </c>
      <c r="T168" s="449">
        <f>($H168-SUM($L168:S168))/T$694</f>
        <v>166.66666666666666</v>
      </c>
      <c r="U168" s="449">
        <f>($H168-SUM($L168:T168))/U$694</f>
        <v>166.66666666666666</v>
      </c>
      <c r="V168" s="449">
        <f>($H168-SUM($L168:U168))/V$694</f>
        <v>166.66666666666669</v>
      </c>
      <c r="W168" s="449">
        <f>($H168-SUM($L168:V168))/W$694</f>
        <v>166.66666666666674</v>
      </c>
      <c r="X168" s="449"/>
      <c r="Y168" s="449">
        <f t="shared" si="191"/>
        <v>1000</v>
      </c>
      <c r="Z168" s="531"/>
      <c r="AA168" s="449">
        <f t="shared" si="201"/>
        <v>83.333333333333329</v>
      </c>
      <c r="AB168" s="449">
        <f t="shared" si="201"/>
        <v>83.333333333333329</v>
      </c>
      <c r="AC168" s="449">
        <f t="shared" si="201"/>
        <v>83.333333333333329</v>
      </c>
      <c r="AD168" s="449">
        <f t="shared" si="201"/>
        <v>83.333333333333329</v>
      </c>
      <c r="AE168" s="449">
        <f t="shared" si="201"/>
        <v>83.333333333333329</v>
      </c>
      <c r="AF168" s="449">
        <f t="shared" si="201"/>
        <v>83.333333333333329</v>
      </c>
      <c r="AG168" s="449">
        <f t="shared" si="201"/>
        <v>83.333333333333329</v>
      </c>
      <c r="AH168" s="449">
        <f t="shared" si="201"/>
        <v>83.333333333333329</v>
      </c>
      <c r="AI168" s="449">
        <f t="shared" si="201"/>
        <v>83.333333333333329</v>
      </c>
      <c r="AJ168" s="449">
        <f t="shared" si="201"/>
        <v>83.333333333333329</v>
      </c>
      <c r="AK168" s="449">
        <f t="shared" si="201"/>
        <v>83.333333333333329</v>
      </c>
      <c r="AL168" s="449">
        <f t="shared" si="201"/>
        <v>83.333333333333329</v>
      </c>
      <c r="AN168" s="500">
        <f t="shared" si="193"/>
        <v>1000</v>
      </c>
      <c r="AO168" s="449">
        <f t="shared" si="194"/>
        <v>1099.5983935742972</v>
      </c>
      <c r="AP168" s="449">
        <f t="shared" si="195"/>
        <v>99.598393574297233</v>
      </c>
      <c r="AQ168" s="453">
        <f t="shared" si="196"/>
        <v>9.9598393574297228E-2</v>
      </c>
      <c r="AR168" s="449">
        <f t="shared" si="197"/>
        <v>1099.5983935742972</v>
      </c>
      <c r="AS168" s="449">
        <f t="shared" si="198"/>
        <v>0</v>
      </c>
      <c r="AT168" s="426">
        <f t="shared" si="199"/>
        <v>0</v>
      </c>
      <c r="AU168" s="421"/>
      <c r="AV168" s="449">
        <f t="shared" si="200"/>
        <v>91.633199464524765</v>
      </c>
      <c r="AW168" s="449">
        <f t="shared" si="200"/>
        <v>91.633199464524765</v>
      </c>
      <c r="AX168" s="449">
        <f t="shared" si="200"/>
        <v>91.633199464524765</v>
      </c>
      <c r="AY168" s="449">
        <f t="shared" ref="AY168:BG196" si="203">BL168</f>
        <v>91.633199464524765</v>
      </c>
      <c r="AZ168" s="449">
        <f t="shared" si="203"/>
        <v>91.633199464524765</v>
      </c>
      <c r="BA168" s="449">
        <f t="shared" si="203"/>
        <v>91.633199464524765</v>
      </c>
      <c r="BB168" s="449">
        <f t="shared" si="203"/>
        <v>91.633199464524765</v>
      </c>
      <c r="BC168" s="449">
        <f t="shared" si="203"/>
        <v>91.633199464524765</v>
      </c>
      <c r="BD168" s="449">
        <f t="shared" si="203"/>
        <v>91.633199464524765</v>
      </c>
      <c r="BE168" s="449">
        <f t="shared" si="203"/>
        <v>91.633199464524765</v>
      </c>
      <c r="BF168" s="449">
        <f t="shared" si="203"/>
        <v>91.633199464524765</v>
      </c>
      <c r="BG168" s="449">
        <f t="shared" si="203"/>
        <v>91.633199464524765</v>
      </c>
      <c r="BH168" s="400"/>
      <c r="BI168" s="449">
        <f t="shared" si="202"/>
        <v>91.633199464524765</v>
      </c>
      <c r="BJ168" s="449">
        <f t="shared" si="202"/>
        <v>91.633199464524765</v>
      </c>
      <c r="BK168" s="449">
        <f t="shared" si="202"/>
        <v>91.633199464524765</v>
      </c>
      <c r="BL168" s="449">
        <f t="shared" si="202"/>
        <v>91.633199464524765</v>
      </c>
      <c r="BM168" s="449">
        <f t="shared" si="202"/>
        <v>91.633199464524765</v>
      </c>
      <c r="BN168" s="449">
        <f t="shared" si="202"/>
        <v>91.633199464524765</v>
      </c>
      <c r="BO168" s="449">
        <f t="shared" si="202"/>
        <v>91.633199464524765</v>
      </c>
      <c r="BP168" s="449">
        <f t="shared" si="202"/>
        <v>91.633199464524765</v>
      </c>
      <c r="BQ168" s="449">
        <f t="shared" si="202"/>
        <v>91.633199464524765</v>
      </c>
      <c r="BR168" s="449">
        <f t="shared" si="202"/>
        <v>91.633199464524765</v>
      </c>
      <c r="BS168" s="449">
        <f t="shared" si="202"/>
        <v>91.633199464524765</v>
      </c>
      <c r="BT168" s="449">
        <f t="shared" si="202"/>
        <v>91.633199464524765</v>
      </c>
    </row>
    <row r="169" spans="1:72" ht="15" x14ac:dyDescent="0.25">
      <c r="A169" s="612" t="s">
        <v>268</v>
      </c>
      <c r="B169" s="502" t="s">
        <v>1437</v>
      </c>
      <c r="C169" s="596"/>
      <c r="D169" s="500">
        <f t="shared" si="186"/>
        <v>21000</v>
      </c>
      <c r="E169" s="449">
        <v>6430</v>
      </c>
      <c r="F169" s="449">
        <f t="shared" si="187"/>
        <v>14570</v>
      </c>
      <c r="G169" s="421">
        <f t="shared" si="188"/>
        <v>2.2659409020217729</v>
      </c>
      <c r="H169" s="449">
        <v>21000</v>
      </c>
      <c r="I169" s="449">
        <f t="shared" si="189"/>
        <v>0</v>
      </c>
      <c r="J169" s="426">
        <f t="shared" si="190"/>
        <v>0</v>
      </c>
      <c r="K169" s="421"/>
      <c r="L169" s="449">
        <v>277.51</v>
      </c>
      <c r="M169" s="449">
        <v>2906.5</v>
      </c>
      <c r="N169" s="449">
        <v>180.91999999999962</v>
      </c>
      <c r="O169" s="449">
        <v>0</v>
      </c>
      <c r="P169" s="449">
        <v>406.78999999999996</v>
      </c>
      <c r="Q169" s="449">
        <v>0</v>
      </c>
      <c r="R169" s="449">
        <f>($H169-SUM($L169:Q169))/R$694</f>
        <v>2871.3799999999997</v>
      </c>
      <c r="S169" s="449">
        <f>($H169-SUM($L169:R169))/S$694</f>
        <v>2871.38</v>
      </c>
      <c r="T169" s="449">
        <f>($H169-SUM($L169:S169))/T$694</f>
        <v>2871.38</v>
      </c>
      <c r="U169" s="449">
        <f>($H169-SUM($L169:T169))/U$694</f>
        <v>2871.3799999999997</v>
      </c>
      <c r="V169" s="449">
        <f>($H169-SUM($L169:U169))/V$694</f>
        <v>2871.38</v>
      </c>
      <c r="W169" s="449">
        <f>($H169-SUM($L169:V169))/W$694</f>
        <v>2871.380000000001</v>
      </c>
      <c r="X169" s="449"/>
      <c r="Y169" s="449">
        <f t="shared" si="191"/>
        <v>21000</v>
      </c>
      <c r="Z169" s="531"/>
      <c r="AA169" s="449">
        <f t="shared" si="201"/>
        <v>1750</v>
      </c>
      <c r="AB169" s="449">
        <f t="shared" si="201"/>
        <v>1750</v>
      </c>
      <c r="AC169" s="449">
        <f t="shared" si="201"/>
        <v>1750</v>
      </c>
      <c r="AD169" s="449">
        <f t="shared" si="201"/>
        <v>1750</v>
      </c>
      <c r="AE169" s="449">
        <f t="shared" si="201"/>
        <v>1750</v>
      </c>
      <c r="AF169" s="449">
        <f t="shared" si="201"/>
        <v>1750</v>
      </c>
      <c r="AG169" s="449">
        <f t="shared" si="201"/>
        <v>1750</v>
      </c>
      <c r="AH169" s="449">
        <f t="shared" si="201"/>
        <v>1750</v>
      </c>
      <c r="AI169" s="449">
        <f t="shared" si="201"/>
        <v>1750</v>
      </c>
      <c r="AJ169" s="449">
        <f t="shared" si="201"/>
        <v>1750</v>
      </c>
      <c r="AK169" s="449">
        <f t="shared" si="201"/>
        <v>1750</v>
      </c>
      <c r="AL169" s="449">
        <f t="shared" si="201"/>
        <v>1750</v>
      </c>
      <c r="AN169" s="500">
        <f t="shared" si="193"/>
        <v>21000</v>
      </c>
      <c r="AO169" s="449">
        <f t="shared" si="194"/>
        <v>23091.566265060253</v>
      </c>
      <c r="AP169" s="449">
        <f t="shared" si="195"/>
        <v>2091.5662650602535</v>
      </c>
      <c r="AQ169" s="453">
        <f t="shared" si="196"/>
        <v>9.9598393574297783E-2</v>
      </c>
      <c r="AR169" s="449">
        <f t="shared" si="197"/>
        <v>23091.566265060253</v>
      </c>
      <c r="AS169" s="449">
        <f t="shared" si="198"/>
        <v>0</v>
      </c>
      <c r="AT169" s="426">
        <f t="shared" si="199"/>
        <v>0</v>
      </c>
      <c r="AU169" s="421"/>
      <c r="AV169" s="449">
        <f t="shared" ref="AV169:BA225" si="204">BI169</f>
        <v>4618.3132530120483</v>
      </c>
      <c r="AW169" s="449">
        <f t="shared" si="204"/>
        <v>4618.3132530120483</v>
      </c>
      <c r="AX169" s="449">
        <f t="shared" si="204"/>
        <v>3078.8755020080325</v>
      </c>
      <c r="AY169" s="449">
        <f t="shared" si="203"/>
        <v>3078.8755020080325</v>
      </c>
      <c r="AZ169" s="449">
        <f t="shared" si="203"/>
        <v>3078.8755020080325</v>
      </c>
      <c r="BA169" s="449">
        <f t="shared" si="203"/>
        <v>659.75903614457832</v>
      </c>
      <c r="BB169" s="449">
        <f t="shared" si="203"/>
        <v>659.75903614457832</v>
      </c>
      <c r="BC169" s="449">
        <f t="shared" si="203"/>
        <v>659.75903614457832</v>
      </c>
      <c r="BD169" s="449">
        <f t="shared" si="203"/>
        <v>659.75903614457832</v>
      </c>
      <c r="BE169" s="449">
        <f t="shared" si="203"/>
        <v>659.75903614457832</v>
      </c>
      <c r="BF169" s="449">
        <f t="shared" si="203"/>
        <v>659.75903614457832</v>
      </c>
      <c r="BG169" s="449">
        <f t="shared" si="203"/>
        <v>659.75903614457832</v>
      </c>
      <c r="BH169" s="400"/>
      <c r="BI169" s="449">
        <f t="shared" ref="BI169:BT169" si="205">(IFERROR((($H169/$H$5)*BI$5),0))*BI$696</f>
        <v>4618.3132530120483</v>
      </c>
      <c r="BJ169" s="449">
        <f t="shared" si="205"/>
        <v>4618.3132530120483</v>
      </c>
      <c r="BK169" s="449">
        <f t="shared" si="205"/>
        <v>3078.8755020080325</v>
      </c>
      <c r="BL169" s="449">
        <f t="shared" si="205"/>
        <v>3078.8755020080325</v>
      </c>
      <c r="BM169" s="449">
        <f t="shared" si="205"/>
        <v>3078.8755020080325</v>
      </c>
      <c r="BN169" s="449">
        <f t="shared" si="205"/>
        <v>659.75903614457832</v>
      </c>
      <c r="BO169" s="449">
        <f t="shared" si="205"/>
        <v>659.75903614457832</v>
      </c>
      <c r="BP169" s="449">
        <f t="shared" si="205"/>
        <v>659.75903614457832</v>
      </c>
      <c r="BQ169" s="449">
        <f t="shared" si="205"/>
        <v>659.75903614457832</v>
      </c>
      <c r="BR169" s="449">
        <f t="shared" si="205"/>
        <v>659.75903614457832</v>
      </c>
      <c r="BS169" s="449">
        <f t="shared" si="205"/>
        <v>659.75903614457832</v>
      </c>
      <c r="BT169" s="449">
        <f t="shared" si="205"/>
        <v>659.75903614457832</v>
      </c>
    </row>
    <row r="170" spans="1:72" ht="15" x14ac:dyDescent="0.25">
      <c r="A170" s="612" t="s">
        <v>269</v>
      </c>
      <c r="B170" s="502" t="s">
        <v>270</v>
      </c>
      <c r="C170" s="596"/>
      <c r="D170" s="500">
        <f t="shared" si="186"/>
        <v>1183.2</v>
      </c>
      <c r="E170" s="449">
        <v>0</v>
      </c>
      <c r="F170" s="449">
        <f t="shared" si="187"/>
        <v>1183.2</v>
      </c>
      <c r="G170" s="421">
        <f t="shared" si="188"/>
        <v>0</v>
      </c>
      <c r="H170" s="449">
        <v>0</v>
      </c>
      <c r="I170" s="449">
        <f t="shared" si="189"/>
        <v>1183.2</v>
      </c>
      <c r="J170" s="426">
        <f t="shared" si="190"/>
        <v>0</v>
      </c>
      <c r="K170" s="421"/>
      <c r="L170" s="449">
        <v>0</v>
      </c>
      <c r="M170" s="449">
        <v>6639.88</v>
      </c>
      <c r="N170" s="449">
        <v>-5456.68</v>
      </c>
      <c r="O170" s="449">
        <v>2.2737367544323206E-13</v>
      </c>
      <c r="P170" s="449">
        <v>0</v>
      </c>
      <c r="Q170" s="449">
        <v>0</v>
      </c>
      <c r="R170" s="449">
        <v>0</v>
      </c>
      <c r="S170" s="449">
        <v>0</v>
      </c>
      <c r="T170" s="449">
        <v>0</v>
      </c>
      <c r="U170" s="449">
        <v>0</v>
      </c>
      <c r="V170" s="449">
        <v>0</v>
      </c>
      <c r="W170" s="449">
        <v>0</v>
      </c>
      <c r="X170" s="449"/>
      <c r="Y170" s="449">
        <f t="shared" si="191"/>
        <v>1183.2</v>
      </c>
      <c r="Z170" s="531"/>
      <c r="AA170" s="449">
        <f t="shared" si="201"/>
        <v>0</v>
      </c>
      <c r="AB170" s="449">
        <f t="shared" si="201"/>
        <v>0</v>
      </c>
      <c r="AC170" s="449">
        <f t="shared" si="201"/>
        <v>0</v>
      </c>
      <c r="AD170" s="449">
        <f t="shared" si="201"/>
        <v>0</v>
      </c>
      <c r="AE170" s="449">
        <f t="shared" si="201"/>
        <v>0</v>
      </c>
      <c r="AF170" s="449">
        <f t="shared" si="201"/>
        <v>0</v>
      </c>
      <c r="AG170" s="449">
        <f t="shared" si="201"/>
        <v>0</v>
      </c>
      <c r="AH170" s="449">
        <f t="shared" si="201"/>
        <v>0</v>
      </c>
      <c r="AI170" s="449">
        <f t="shared" si="201"/>
        <v>0</v>
      </c>
      <c r="AJ170" s="449">
        <f t="shared" si="201"/>
        <v>0</v>
      </c>
      <c r="AK170" s="449">
        <f t="shared" si="201"/>
        <v>0</v>
      </c>
      <c r="AL170" s="449">
        <f t="shared" si="201"/>
        <v>0</v>
      </c>
      <c r="AN170" s="500">
        <f t="shared" si="193"/>
        <v>1183.2</v>
      </c>
      <c r="AO170" s="449">
        <f t="shared" si="194"/>
        <v>0</v>
      </c>
      <c r="AP170" s="449">
        <f t="shared" si="195"/>
        <v>-1183.2</v>
      </c>
      <c r="AQ170" s="453">
        <f t="shared" si="196"/>
        <v>-1</v>
      </c>
      <c r="AR170" s="449">
        <f t="shared" si="197"/>
        <v>0</v>
      </c>
      <c r="AS170" s="449">
        <f t="shared" si="198"/>
        <v>0</v>
      </c>
      <c r="AT170" s="426">
        <f t="shared" si="199"/>
        <v>0</v>
      </c>
      <c r="AU170" s="421"/>
      <c r="AV170" s="449">
        <f t="shared" si="204"/>
        <v>0</v>
      </c>
      <c r="AW170" s="449">
        <f t="shared" si="204"/>
        <v>0</v>
      </c>
      <c r="AX170" s="449">
        <f t="shared" si="204"/>
        <v>0</v>
      </c>
      <c r="AY170" s="449">
        <f t="shared" si="203"/>
        <v>0</v>
      </c>
      <c r="AZ170" s="449">
        <f t="shared" si="203"/>
        <v>0</v>
      </c>
      <c r="BA170" s="449">
        <f t="shared" si="203"/>
        <v>0</v>
      </c>
      <c r="BB170" s="449">
        <f t="shared" si="203"/>
        <v>0</v>
      </c>
      <c r="BC170" s="449">
        <f t="shared" si="203"/>
        <v>0</v>
      </c>
      <c r="BD170" s="449">
        <f t="shared" si="203"/>
        <v>0</v>
      </c>
      <c r="BE170" s="449">
        <f t="shared" si="203"/>
        <v>0</v>
      </c>
      <c r="BF170" s="449">
        <f t="shared" si="203"/>
        <v>0</v>
      </c>
      <c r="BG170" s="449">
        <f t="shared" si="203"/>
        <v>0</v>
      </c>
      <c r="BH170" s="400"/>
      <c r="BI170" s="449">
        <f>(IFERROR((($H170/$H$5)*BI$5),0))*BI$696*0</f>
        <v>0</v>
      </c>
      <c r="BJ170" s="449">
        <f t="shared" ref="BJ170:BT170" si="206">(IFERROR((($H170/$H$5)*BJ$5),0))*BJ$696*0</f>
        <v>0</v>
      </c>
      <c r="BK170" s="449">
        <f t="shared" si="206"/>
        <v>0</v>
      </c>
      <c r="BL170" s="449">
        <f t="shared" si="206"/>
        <v>0</v>
      </c>
      <c r="BM170" s="449">
        <f t="shared" si="206"/>
        <v>0</v>
      </c>
      <c r="BN170" s="449">
        <f t="shared" si="206"/>
        <v>0</v>
      </c>
      <c r="BO170" s="449">
        <f t="shared" si="206"/>
        <v>0</v>
      </c>
      <c r="BP170" s="449">
        <f t="shared" si="206"/>
        <v>0</v>
      </c>
      <c r="BQ170" s="449">
        <f t="shared" si="206"/>
        <v>0</v>
      </c>
      <c r="BR170" s="449">
        <f t="shared" si="206"/>
        <v>0</v>
      </c>
      <c r="BS170" s="449">
        <f t="shared" si="206"/>
        <v>0</v>
      </c>
      <c r="BT170" s="449">
        <f t="shared" si="206"/>
        <v>0</v>
      </c>
    </row>
    <row r="171" spans="1:72" ht="15" x14ac:dyDescent="0.25">
      <c r="A171" s="612" t="s">
        <v>271</v>
      </c>
      <c r="B171" s="502" t="s">
        <v>1438</v>
      </c>
      <c r="C171" s="596"/>
      <c r="D171" s="500">
        <f t="shared" si="186"/>
        <v>19304.79</v>
      </c>
      <c r="E171" s="449">
        <v>0</v>
      </c>
      <c r="F171" s="449">
        <f t="shared" si="187"/>
        <v>19304.79</v>
      </c>
      <c r="G171" s="421">
        <f t="shared" si="188"/>
        <v>0</v>
      </c>
      <c r="H171" s="449">
        <v>0</v>
      </c>
      <c r="I171" s="449">
        <f t="shared" si="189"/>
        <v>19304.79</v>
      </c>
      <c r="J171" s="426">
        <f t="shared" si="190"/>
        <v>0</v>
      </c>
      <c r="K171" s="421"/>
      <c r="L171" s="449">
        <v>3966</v>
      </c>
      <c r="M171" s="449">
        <v>9522.64</v>
      </c>
      <c r="N171" s="449">
        <v>1938.7300000000014</v>
      </c>
      <c r="O171" s="449">
        <v>0</v>
      </c>
      <c r="P171" s="449">
        <v>3877.42</v>
      </c>
      <c r="Q171" s="449">
        <v>0</v>
      </c>
      <c r="R171" s="449">
        <v>0</v>
      </c>
      <c r="S171" s="449">
        <v>0</v>
      </c>
      <c r="T171" s="449">
        <v>0</v>
      </c>
      <c r="U171" s="449">
        <v>0</v>
      </c>
      <c r="V171" s="449">
        <v>0</v>
      </c>
      <c r="W171" s="449">
        <v>0</v>
      </c>
      <c r="X171" s="449"/>
      <c r="Y171" s="449">
        <f t="shared" si="191"/>
        <v>19304.79</v>
      </c>
      <c r="Z171" s="531"/>
      <c r="AA171" s="449">
        <f t="shared" si="201"/>
        <v>0</v>
      </c>
      <c r="AB171" s="449">
        <f t="shared" si="201"/>
        <v>0</v>
      </c>
      <c r="AC171" s="449">
        <f t="shared" si="201"/>
        <v>0</v>
      </c>
      <c r="AD171" s="449">
        <f t="shared" si="201"/>
        <v>0</v>
      </c>
      <c r="AE171" s="449">
        <f t="shared" si="201"/>
        <v>0</v>
      </c>
      <c r="AF171" s="449">
        <f t="shared" si="201"/>
        <v>0</v>
      </c>
      <c r="AG171" s="449">
        <f t="shared" si="201"/>
        <v>0</v>
      </c>
      <c r="AH171" s="449">
        <f t="shared" si="201"/>
        <v>0</v>
      </c>
      <c r="AI171" s="449">
        <f t="shared" si="201"/>
        <v>0</v>
      </c>
      <c r="AJ171" s="449">
        <f t="shared" si="201"/>
        <v>0</v>
      </c>
      <c r="AK171" s="449">
        <f t="shared" si="201"/>
        <v>0</v>
      </c>
      <c r="AL171" s="449">
        <f t="shared" si="201"/>
        <v>0</v>
      </c>
      <c r="AN171" s="500">
        <f t="shared" si="193"/>
        <v>19304.79</v>
      </c>
      <c r="AO171" s="449">
        <f t="shared" si="194"/>
        <v>21227.516072289163</v>
      </c>
      <c r="AP171" s="449">
        <f t="shared" si="195"/>
        <v>1922.7260722891624</v>
      </c>
      <c r="AQ171" s="453">
        <f t="shared" si="196"/>
        <v>9.9598393574297478E-2</v>
      </c>
      <c r="AR171" s="449">
        <f t="shared" si="197"/>
        <v>21227.516072289163</v>
      </c>
      <c r="AS171" s="449">
        <f t="shared" si="198"/>
        <v>0</v>
      </c>
      <c r="AT171" s="426">
        <f t="shared" si="199"/>
        <v>0</v>
      </c>
      <c r="AU171" s="421"/>
      <c r="AV171" s="449">
        <f t="shared" si="204"/>
        <v>4245.5032144578317</v>
      </c>
      <c r="AW171" s="449">
        <f t="shared" si="204"/>
        <v>4245.5032144578317</v>
      </c>
      <c r="AX171" s="449">
        <f t="shared" si="204"/>
        <v>2830.3354763052212</v>
      </c>
      <c r="AY171" s="449">
        <f t="shared" si="203"/>
        <v>2830.3354763052212</v>
      </c>
      <c r="AZ171" s="449">
        <f t="shared" si="203"/>
        <v>2830.3354763052212</v>
      </c>
      <c r="BA171" s="449">
        <f t="shared" si="203"/>
        <v>606.50045920826165</v>
      </c>
      <c r="BB171" s="449">
        <f t="shared" si="203"/>
        <v>606.50045920826165</v>
      </c>
      <c r="BC171" s="449">
        <f t="shared" si="203"/>
        <v>606.50045920826165</v>
      </c>
      <c r="BD171" s="449">
        <f t="shared" si="203"/>
        <v>606.50045920826165</v>
      </c>
      <c r="BE171" s="449">
        <f t="shared" si="203"/>
        <v>606.50045920826165</v>
      </c>
      <c r="BF171" s="449">
        <f t="shared" si="203"/>
        <v>606.50045920826165</v>
      </c>
      <c r="BG171" s="449">
        <f t="shared" si="203"/>
        <v>606.50045920826165</v>
      </c>
      <c r="BH171" s="400"/>
      <c r="BI171" s="449">
        <f t="shared" ref="BI171:BT171" si="207">(IFERROR((($D171/$H$5)*BI$5),0))*BI$696</f>
        <v>4245.5032144578317</v>
      </c>
      <c r="BJ171" s="449">
        <f t="shared" si="207"/>
        <v>4245.5032144578317</v>
      </c>
      <c r="BK171" s="449">
        <f t="shared" si="207"/>
        <v>2830.3354763052212</v>
      </c>
      <c r="BL171" s="449">
        <f t="shared" si="207"/>
        <v>2830.3354763052212</v>
      </c>
      <c r="BM171" s="449">
        <f t="shared" si="207"/>
        <v>2830.3354763052212</v>
      </c>
      <c r="BN171" s="449">
        <f t="shared" si="207"/>
        <v>606.50045920826165</v>
      </c>
      <c r="BO171" s="449">
        <f t="shared" si="207"/>
        <v>606.50045920826165</v>
      </c>
      <c r="BP171" s="449">
        <f t="shared" si="207"/>
        <v>606.50045920826165</v>
      </c>
      <c r="BQ171" s="449">
        <f t="shared" si="207"/>
        <v>606.50045920826165</v>
      </c>
      <c r="BR171" s="449">
        <f t="shared" si="207"/>
        <v>606.50045920826165</v>
      </c>
      <c r="BS171" s="449">
        <f t="shared" si="207"/>
        <v>606.50045920826165</v>
      </c>
      <c r="BT171" s="449">
        <f t="shared" si="207"/>
        <v>606.50045920826165</v>
      </c>
    </row>
    <row r="172" spans="1:72" ht="15" x14ac:dyDescent="0.25">
      <c r="A172" s="612" t="s">
        <v>272</v>
      </c>
      <c r="B172" s="537" t="s">
        <v>273</v>
      </c>
      <c r="C172" s="541"/>
      <c r="D172" s="500">
        <f>SUM(L172:W172)</f>
        <v>0</v>
      </c>
      <c r="E172" s="449">
        <v>0</v>
      </c>
      <c r="F172" s="449">
        <f t="shared" si="187"/>
        <v>0</v>
      </c>
      <c r="G172" s="421">
        <f t="shared" si="188"/>
        <v>0</v>
      </c>
      <c r="H172" s="449">
        <v>0</v>
      </c>
      <c r="I172" s="449">
        <f t="shared" si="189"/>
        <v>0</v>
      </c>
      <c r="J172" s="426">
        <f t="shared" si="190"/>
        <v>0</v>
      </c>
      <c r="K172" s="421"/>
      <c r="L172" s="449">
        <v>0</v>
      </c>
      <c r="M172" s="449">
        <v>0</v>
      </c>
      <c r="N172" s="449">
        <v>0</v>
      </c>
      <c r="O172" s="449">
        <v>0</v>
      </c>
      <c r="P172" s="449">
        <v>0</v>
      </c>
      <c r="Q172" s="449">
        <v>0</v>
      </c>
      <c r="R172" s="449">
        <f>($H172-SUM($L172:Q172))/R$694</f>
        <v>0</v>
      </c>
      <c r="S172" s="449">
        <f>($H172-SUM($L172:R172))/S$694</f>
        <v>0</v>
      </c>
      <c r="T172" s="449">
        <f>($H172-SUM($L172:S172))/T$694</f>
        <v>0</v>
      </c>
      <c r="U172" s="449">
        <f>($H172-SUM($L172:T172))/U$694</f>
        <v>0</v>
      </c>
      <c r="V172" s="449">
        <f>($H172-SUM($L172:U172))/V$694</f>
        <v>0</v>
      </c>
      <c r="W172" s="449">
        <f>($H172-SUM($L172:V172))/W$694</f>
        <v>0</v>
      </c>
      <c r="X172" s="449"/>
      <c r="Y172" s="449">
        <f t="shared" si="191"/>
        <v>0</v>
      </c>
      <c r="Z172" s="531"/>
      <c r="AA172" s="449">
        <f t="shared" si="201"/>
        <v>0</v>
      </c>
      <c r="AB172" s="449">
        <f t="shared" si="201"/>
        <v>0</v>
      </c>
      <c r="AC172" s="449">
        <f t="shared" si="201"/>
        <v>0</v>
      </c>
      <c r="AD172" s="449">
        <f t="shared" si="201"/>
        <v>0</v>
      </c>
      <c r="AE172" s="449">
        <f t="shared" si="201"/>
        <v>0</v>
      </c>
      <c r="AF172" s="449">
        <f t="shared" si="201"/>
        <v>0</v>
      </c>
      <c r="AG172" s="449">
        <f t="shared" si="201"/>
        <v>0</v>
      </c>
      <c r="AH172" s="449">
        <f t="shared" si="201"/>
        <v>0</v>
      </c>
      <c r="AI172" s="449">
        <f t="shared" si="201"/>
        <v>0</v>
      </c>
      <c r="AJ172" s="449">
        <f t="shared" si="201"/>
        <v>0</v>
      </c>
      <c r="AK172" s="449">
        <f t="shared" si="201"/>
        <v>0</v>
      </c>
      <c r="AL172" s="449">
        <f t="shared" si="201"/>
        <v>0</v>
      </c>
      <c r="AN172" s="500">
        <f t="shared" si="193"/>
        <v>0</v>
      </c>
      <c r="AO172" s="449">
        <f t="shared" si="194"/>
        <v>0</v>
      </c>
      <c r="AP172" s="449">
        <f t="shared" si="195"/>
        <v>0</v>
      </c>
      <c r="AQ172" s="453" t="str">
        <f t="shared" si="196"/>
        <v>-</v>
      </c>
      <c r="AR172" s="449">
        <f t="shared" si="197"/>
        <v>0</v>
      </c>
      <c r="AS172" s="449">
        <f t="shared" si="198"/>
        <v>0</v>
      </c>
      <c r="AT172" s="426">
        <f t="shared" si="199"/>
        <v>0</v>
      </c>
      <c r="AU172" s="421"/>
      <c r="AV172" s="449">
        <f t="shared" si="204"/>
        <v>0</v>
      </c>
      <c r="AW172" s="449">
        <f t="shared" si="204"/>
        <v>0</v>
      </c>
      <c r="AX172" s="449">
        <f t="shared" si="204"/>
        <v>0</v>
      </c>
      <c r="AY172" s="449">
        <f t="shared" si="203"/>
        <v>0</v>
      </c>
      <c r="AZ172" s="449">
        <f t="shared" si="203"/>
        <v>0</v>
      </c>
      <c r="BA172" s="449">
        <f t="shared" si="203"/>
        <v>0</v>
      </c>
      <c r="BB172" s="449">
        <f t="shared" si="203"/>
        <v>0</v>
      </c>
      <c r="BC172" s="449">
        <f t="shared" si="203"/>
        <v>0</v>
      </c>
      <c r="BD172" s="449">
        <f t="shared" si="203"/>
        <v>0</v>
      </c>
      <c r="BE172" s="449">
        <f t="shared" si="203"/>
        <v>0</v>
      </c>
      <c r="BF172" s="449">
        <f t="shared" si="203"/>
        <v>0</v>
      </c>
      <c r="BG172" s="449">
        <f t="shared" si="203"/>
        <v>0</v>
      </c>
      <c r="BH172" s="400"/>
      <c r="BI172" s="449">
        <f t="shared" ref="BI172:BT176" si="208">(IFERROR((($H172/$H$5)*BI$5),0))*BI$696</f>
        <v>0</v>
      </c>
      <c r="BJ172" s="449">
        <f t="shared" si="208"/>
        <v>0</v>
      </c>
      <c r="BK172" s="449">
        <f t="shared" si="208"/>
        <v>0</v>
      </c>
      <c r="BL172" s="449">
        <f t="shared" si="208"/>
        <v>0</v>
      </c>
      <c r="BM172" s="449">
        <f t="shared" si="208"/>
        <v>0</v>
      </c>
      <c r="BN172" s="449">
        <f t="shared" si="208"/>
        <v>0</v>
      </c>
      <c r="BO172" s="449">
        <f t="shared" si="208"/>
        <v>0</v>
      </c>
      <c r="BP172" s="449">
        <f t="shared" si="208"/>
        <v>0</v>
      </c>
      <c r="BQ172" s="449">
        <f t="shared" si="208"/>
        <v>0</v>
      </c>
      <c r="BR172" s="449">
        <f t="shared" si="208"/>
        <v>0</v>
      </c>
      <c r="BS172" s="449">
        <f t="shared" si="208"/>
        <v>0</v>
      </c>
      <c r="BT172" s="449">
        <f t="shared" si="208"/>
        <v>0</v>
      </c>
    </row>
    <row r="173" spans="1:72" ht="15" x14ac:dyDescent="0.25">
      <c r="A173" s="612" t="s">
        <v>274</v>
      </c>
      <c r="B173" s="502" t="s">
        <v>134</v>
      </c>
      <c r="C173" s="596"/>
      <c r="D173" s="500">
        <f t="shared" si="186"/>
        <v>8000</v>
      </c>
      <c r="E173" s="449">
        <v>965</v>
      </c>
      <c r="F173" s="449">
        <f t="shared" si="187"/>
        <v>7035</v>
      </c>
      <c r="G173" s="421">
        <f t="shared" si="188"/>
        <v>7.2901554404145079</v>
      </c>
      <c r="H173" s="449">
        <v>8000</v>
      </c>
      <c r="I173" s="449">
        <f t="shared" si="189"/>
        <v>0</v>
      </c>
      <c r="J173" s="426">
        <f t="shared" si="190"/>
        <v>0</v>
      </c>
      <c r="K173" s="421"/>
      <c r="L173" s="449">
        <v>0</v>
      </c>
      <c r="M173" s="449">
        <v>0</v>
      </c>
      <c r="N173" s="449">
        <v>0</v>
      </c>
      <c r="O173" s="449">
        <v>0</v>
      </c>
      <c r="P173" s="449">
        <v>0</v>
      </c>
      <c r="Q173" s="449">
        <v>0</v>
      </c>
      <c r="R173" s="449">
        <f>($H173-SUM($L173:Q173))/R$694</f>
        <v>1333.3333333333333</v>
      </c>
      <c r="S173" s="449">
        <f>($H173-SUM($L173:R173))/S$694</f>
        <v>1333.3333333333335</v>
      </c>
      <c r="T173" s="449">
        <f>($H173-SUM($L173:S173))/T$694</f>
        <v>1333.3333333333333</v>
      </c>
      <c r="U173" s="449">
        <f>($H173-SUM($L173:T173))/U$694</f>
        <v>1333.3333333333333</v>
      </c>
      <c r="V173" s="449">
        <f>($H173-SUM($L173:U173))/V$694</f>
        <v>1333.3333333333335</v>
      </c>
      <c r="W173" s="449">
        <f>($H173-SUM($L173:V173))/W$694</f>
        <v>1333.3333333333339</v>
      </c>
      <c r="X173" s="449"/>
      <c r="Y173" s="449">
        <f t="shared" si="191"/>
        <v>8000</v>
      </c>
      <c r="Z173" s="531"/>
      <c r="AA173" s="449">
        <f t="shared" si="201"/>
        <v>666.66666666666663</v>
      </c>
      <c r="AB173" s="449">
        <f t="shared" si="201"/>
        <v>666.66666666666663</v>
      </c>
      <c r="AC173" s="449">
        <f t="shared" si="201"/>
        <v>666.66666666666663</v>
      </c>
      <c r="AD173" s="449">
        <f t="shared" si="201"/>
        <v>666.66666666666663</v>
      </c>
      <c r="AE173" s="449">
        <f t="shared" si="201"/>
        <v>666.66666666666663</v>
      </c>
      <c r="AF173" s="449">
        <f t="shared" si="201"/>
        <v>666.66666666666663</v>
      </c>
      <c r="AG173" s="449">
        <f t="shared" si="201"/>
        <v>666.66666666666663</v>
      </c>
      <c r="AH173" s="449">
        <f t="shared" si="201"/>
        <v>666.66666666666663</v>
      </c>
      <c r="AI173" s="449">
        <f t="shared" si="201"/>
        <v>666.66666666666663</v>
      </c>
      <c r="AJ173" s="449">
        <f t="shared" si="201"/>
        <v>666.66666666666663</v>
      </c>
      <c r="AK173" s="449">
        <f t="shared" si="201"/>
        <v>666.66666666666663</v>
      </c>
      <c r="AL173" s="449">
        <f t="shared" si="201"/>
        <v>666.66666666666663</v>
      </c>
      <c r="AN173" s="500">
        <f t="shared" si="193"/>
        <v>8000</v>
      </c>
      <c r="AO173" s="449">
        <f t="shared" si="194"/>
        <v>8796.7871485943779</v>
      </c>
      <c r="AP173" s="449">
        <f t="shared" si="195"/>
        <v>796.78714859437787</v>
      </c>
      <c r="AQ173" s="453">
        <f t="shared" si="196"/>
        <v>9.9598393574297228E-2</v>
      </c>
      <c r="AR173" s="449">
        <f t="shared" si="197"/>
        <v>8796.7871485943779</v>
      </c>
      <c r="AS173" s="449">
        <f t="shared" si="198"/>
        <v>0</v>
      </c>
      <c r="AT173" s="426">
        <f t="shared" si="199"/>
        <v>0</v>
      </c>
      <c r="AU173" s="421"/>
      <c r="AV173" s="449">
        <f t="shared" si="204"/>
        <v>1759.3574297188757</v>
      </c>
      <c r="AW173" s="449">
        <f t="shared" si="204"/>
        <v>1759.3574297188757</v>
      </c>
      <c r="AX173" s="449">
        <f t="shared" si="204"/>
        <v>1172.904953145917</v>
      </c>
      <c r="AY173" s="449">
        <f t="shared" si="203"/>
        <v>1172.904953145917</v>
      </c>
      <c r="AZ173" s="449">
        <f t="shared" si="203"/>
        <v>1172.904953145917</v>
      </c>
      <c r="BA173" s="449">
        <f t="shared" si="203"/>
        <v>251.33677567412508</v>
      </c>
      <c r="BB173" s="449">
        <f t="shared" si="203"/>
        <v>251.33677567412508</v>
      </c>
      <c r="BC173" s="449">
        <f t="shared" si="203"/>
        <v>251.33677567412508</v>
      </c>
      <c r="BD173" s="449">
        <f t="shared" si="203"/>
        <v>251.33677567412508</v>
      </c>
      <c r="BE173" s="449">
        <f t="shared" si="203"/>
        <v>251.33677567412508</v>
      </c>
      <c r="BF173" s="449">
        <f t="shared" si="203"/>
        <v>251.33677567412508</v>
      </c>
      <c r="BG173" s="449">
        <f t="shared" si="203"/>
        <v>251.33677567412508</v>
      </c>
      <c r="BH173" s="400"/>
      <c r="BI173" s="449">
        <f t="shared" si="208"/>
        <v>1759.3574297188757</v>
      </c>
      <c r="BJ173" s="449">
        <f t="shared" si="208"/>
        <v>1759.3574297188757</v>
      </c>
      <c r="BK173" s="449">
        <f t="shared" si="208"/>
        <v>1172.904953145917</v>
      </c>
      <c r="BL173" s="449">
        <f t="shared" si="208"/>
        <v>1172.904953145917</v>
      </c>
      <c r="BM173" s="449">
        <f t="shared" si="208"/>
        <v>1172.904953145917</v>
      </c>
      <c r="BN173" s="449">
        <f t="shared" si="208"/>
        <v>251.33677567412508</v>
      </c>
      <c r="BO173" s="449">
        <f t="shared" si="208"/>
        <v>251.33677567412508</v>
      </c>
      <c r="BP173" s="449">
        <f t="shared" si="208"/>
        <v>251.33677567412508</v>
      </c>
      <c r="BQ173" s="449">
        <f t="shared" si="208"/>
        <v>251.33677567412508</v>
      </c>
      <c r="BR173" s="449">
        <f t="shared" si="208"/>
        <v>251.33677567412508</v>
      </c>
      <c r="BS173" s="449">
        <f t="shared" si="208"/>
        <v>251.33677567412508</v>
      </c>
      <c r="BT173" s="449">
        <f t="shared" si="208"/>
        <v>251.33677567412508</v>
      </c>
    </row>
    <row r="174" spans="1:72" ht="15" x14ac:dyDescent="0.25">
      <c r="A174" s="612" t="s">
        <v>275</v>
      </c>
      <c r="B174" s="537" t="s">
        <v>276</v>
      </c>
      <c r="C174" s="541"/>
      <c r="D174" s="500">
        <f t="shared" si="186"/>
        <v>0</v>
      </c>
      <c r="E174" s="449">
        <v>0</v>
      </c>
      <c r="F174" s="449">
        <f t="shared" si="187"/>
        <v>0</v>
      </c>
      <c r="G174" s="421">
        <f t="shared" si="188"/>
        <v>0</v>
      </c>
      <c r="H174" s="449">
        <v>0</v>
      </c>
      <c r="I174" s="449">
        <f t="shared" si="189"/>
        <v>0</v>
      </c>
      <c r="J174" s="426">
        <f t="shared" si="190"/>
        <v>0</v>
      </c>
      <c r="K174" s="421"/>
      <c r="L174" s="449">
        <v>0</v>
      </c>
      <c r="M174" s="449">
        <v>0</v>
      </c>
      <c r="N174" s="449">
        <v>0</v>
      </c>
      <c r="O174" s="449">
        <v>0</v>
      </c>
      <c r="P174" s="449">
        <v>0</v>
      </c>
      <c r="Q174" s="449">
        <v>0</v>
      </c>
      <c r="R174" s="449">
        <f>($H174-SUM($L174:Q174))/R$694</f>
        <v>0</v>
      </c>
      <c r="S174" s="449">
        <f>($H174-SUM($L174:R174))/S$694</f>
        <v>0</v>
      </c>
      <c r="T174" s="449">
        <f>($H174-SUM($L174:S174))/T$694</f>
        <v>0</v>
      </c>
      <c r="U174" s="449">
        <f>($H174-SUM($L174:T174))/U$694</f>
        <v>0</v>
      </c>
      <c r="V174" s="449">
        <f>($H174-SUM($L174:U174))/V$694</f>
        <v>0</v>
      </c>
      <c r="W174" s="449">
        <f>($H174-SUM($L174:V174))/W$694</f>
        <v>0</v>
      </c>
      <c r="X174" s="449"/>
      <c r="Y174" s="449">
        <f t="shared" si="191"/>
        <v>0</v>
      </c>
      <c r="Z174" s="531"/>
      <c r="AA174" s="449">
        <f t="shared" si="201"/>
        <v>0</v>
      </c>
      <c r="AB174" s="449">
        <f t="shared" si="201"/>
        <v>0</v>
      </c>
      <c r="AC174" s="449">
        <f t="shared" si="201"/>
        <v>0</v>
      </c>
      <c r="AD174" s="449">
        <f t="shared" si="201"/>
        <v>0</v>
      </c>
      <c r="AE174" s="449">
        <f t="shared" si="201"/>
        <v>0</v>
      </c>
      <c r="AF174" s="449">
        <f t="shared" si="201"/>
        <v>0</v>
      </c>
      <c r="AG174" s="449">
        <f t="shared" si="201"/>
        <v>0</v>
      </c>
      <c r="AH174" s="449">
        <f t="shared" si="201"/>
        <v>0</v>
      </c>
      <c r="AI174" s="449">
        <f t="shared" si="201"/>
        <v>0</v>
      </c>
      <c r="AJ174" s="449">
        <f t="shared" si="201"/>
        <v>0</v>
      </c>
      <c r="AK174" s="449">
        <f t="shared" si="201"/>
        <v>0</v>
      </c>
      <c r="AL174" s="449">
        <f t="shared" si="201"/>
        <v>0</v>
      </c>
      <c r="AN174" s="500">
        <f t="shared" si="193"/>
        <v>0</v>
      </c>
      <c r="AO174" s="449">
        <f t="shared" si="194"/>
        <v>0</v>
      </c>
      <c r="AP174" s="449">
        <f t="shared" si="195"/>
        <v>0</v>
      </c>
      <c r="AQ174" s="453" t="str">
        <f t="shared" si="196"/>
        <v>-</v>
      </c>
      <c r="AR174" s="449">
        <f t="shared" si="197"/>
        <v>0</v>
      </c>
      <c r="AS174" s="449">
        <f t="shared" si="198"/>
        <v>0</v>
      </c>
      <c r="AT174" s="426">
        <f t="shared" si="199"/>
        <v>0</v>
      </c>
      <c r="AU174" s="421"/>
      <c r="AV174" s="449">
        <f t="shared" si="204"/>
        <v>0</v>
      </c>
      <c r="AW174" s="449">
        <f t="shared" si="204"/>
        <v>0</v>
      </c>
      <c r="AX174" s="449">
        <f t="shared" si="204"/>
        <v>0</v>
      </c>
      <c r="AY174" s="449">
        <f t="shared" si="203"/>
        <v>0</v>
      </c>
      <c r="AZ174" s="449">
        <f t="shared" si="203"/>
        <v>0</v>
      </c>
      <c r="BA174" s="449">
        <f t="shared" si="203"/>
        <v>0</v>
      </c>
      <c r="BB174" s="449">
        <f t="shared" si="203"/>
        <v>0</v>
      </c>
      <c r="BC174" s="449">
        <f t="shared" si="203"/>
        <v>0</v>
      </c>
      <c r="BD174" s="449">
        <f t="shared" si="203"/>
        <v>0</v>
      </c>
      <c r="BE174" s="449">
        <f t="shared" si="203"/>
        <v>0</v>
      </c>
      <c r="BF174" s="449">
        <f t="shared" si="203"/>
        <v>0</v>
      </c>
      <c r="BG174" s="449">
        <f t="shared" si="203"/>
        <v>0</v>
      </c>
      <c r="BH174" s="400"/>
      <c r="BI174" s="449">
        <f t="shared" si="208"/>
        <v>0</v>
      </c>
      <c r="BJ174" s="449">
        <f t="shared" si="208"/>
        <v>0</v>
      </c>
      <c r="BK174" s="449">
        <f t="shared" si="208"/>
        <v>0</v>
      </c>
      <c r="BL174" s="449">
        <f t="shared" si="208"/>
        <v>0</v>
      </c>
      <c r="BM174" s="449">
        <f t="shared" si="208"/>
        <v>0</v>
      </c>
      <c r="BN174" s="449">
        <f t="shared" si="208"/>
        <v>0</v>
      </c>
      <c r="BO174" s="449">
        <f t="shared" si="208"/>
        <v>0</v>
      </c>
      <c r="BP174" s="449">
        <f t="shared" si="208"/>
        <v>0</v>
      </c>
      <c r="BQ174" s="449">
        <f t="shared" si="208"/>
        <v>0</v>
      </c>
      <c r="BR174" s="449">
        <f t="shared" si="208"/>
        <v>0</v>
      </c>
      <c r="BS174" s="449">
        <f t="shared" si="208"/>
        <v>0</v>
      </c>
      <c r="BT174" s="449">
        <f t="shared" si="208"/>
        <v>0</v>
      </c>
    </row>
    <row r="175" spans="1:72" ht="15" x14ac:dyDescent="0.25">
      <c r="A175" s="502" t="s">
        <v>277</v>
      </c>
      <c r="B175" s="502" t="s">
        <v>278</v>
      </c>
      <c r="C175" s="596"/>
      <c r="D175" s="500">
        <f t="shared" si="186"/>
        <v>0</v>
      </c>
      <c r="E175" s="449">
        <v>0</v>
      </c>
      <c r="F175" s="449">
        <f t="shared" si="187"/>
        <v>0</v>
      </c>
      <c r="G175" s="421">
        <f t="shared" si="188"/>
        <v>0</v>
      </c>
      <c r="H175" s="449">
        <v>0</v>
      </c>
      <c r="I175" s="449">
        <f t="shared" si="189"/>
        <v>0</v>
      </c>
      <c r="J175" s="426">
        <f t="shared" si="190"/>
        <v>0</v>
      </c>
      <c r="K175" s="421"/>
      <c r="L175" s="449">
        <v>0</v>
      </c>
      <c r="M175" s="449">
        <v>0</v>
      </c>
      <c r="N175" s="449">
        <v>0</v>
      </c>
      <c r="O175" s="449">
        <v>0</v>
      </c>
      <c r="P175" s="449">
        <v>0</v>
      </c>
      <c r="Q175" s="449">
        <v>0</v>
      </c>
      <c r="R175" s="449">
        <f>($H175-SUM($L175:Q175))/R$694</f>
        <v>0</v>
      </c>
      <c r="S175" s="449">
        <f>($H175-SUM($L175:R175))/S$694</f>
        <v>0</v>
      </c>
      <c r="T175" s="449">
        <f>($H175-SUM($L175:S175))/T$694</f>
        <v>0</v>
      </c>
      <c r="U175" s="449">
        <f>($H175-SUM($L175:T175))/U$694</f>
        <v>0</v>
      </c>
      <c r="V175" s="449">
        <f>($H175-SUM($L175:U175))/V$694</f>
        <v>0</v>
      </c>
      <c r="W175" s="449">
        <f>($H175-SUM($L175:V175))/W$694</f>
        <v>0</v>
      </c>
      <c r="X175" s="449"/>
      <c r="Y175" s="449">
        <f t="shared" si="191"/>
        <v>0</v>
      </c>
      <c r="Z175" s="531"/>
      <c r="AA175" s="449">
        <f t="shared" si="201"/>
        <v>0</v>
      </c>
      <c r="AB175" s="449">
        <f t="shared" si="201"/>
        <v>0</v>
      </c>
      <c r="AC175" s="449">
        <f t="shared" si="201"/>
        <v>0</v>
      </c>
      <c r="AD175" s="449">
        <f t="shared" si="201"/>
        <v>0</v>
      </c>
      <c r="AE175" s="449">
        <f t="shared" si="201"/>
        <v>0</v>
      </c>
      <c r="AF175" s="449">
        <f t="shared" si="201"/>
        <v>0</v>
      </c>
      <c r="AG175" s="449">
        <f t="shared" si="201"/>
        <v>0</v>
      </c>
      <c r="AH175" s="449">
        <f t="shared" si="201"/>
        <v>0</v>
      </c>
      <c r="AI175" s="449">
        <f t="shared" si="201"/>
        <v>0</v>
      </c>
      <c r="AJ175" s="449">
        <f t="shared" si="201"/>
        <v>0</v>
      </c>
      <c r="AK175" s="449">
        <f t="shared" si="201"/>
        <v>0</v>
      </c>
      <c r="AL175" s="449">
        <f t="shared" si="201"/>
        <v>0</v>
      </c>
      <c r="AN175" s="500">
        <f t="shared" si="193"/>
        <v>0</v>
      </c>
      <c r="AO175" s="449">
        <f t="shared" si="194"/>
        <v>0</v>
      </c>
      <c r="AP175" s="449">
        <f t="shared" si="195"/>
        <v>0</v>
      </c>
      <c r="AQ175" s="453" t="str">
        <f t="shared" si="196"/>
        <v>-</v>
      </c>
      <c r="AR175" s="449">
        <f t="shared" si="197"/>
        <v>0</v>
      </c>
      <c r="AS175" s="449">
        <f t="shared" si="198"/>
        <v>0</v>
      </c>
      <c r="AT175" s="426">
        <f t="shared" si="199"/>
        <v>0</v>
      </c>
      <c r="AU175" s="421"/>
      <c r="AV175" s="449">
        <f t="shared" si="204"/>
        <v>0</v>
      </c>
      <c r="AW175" s="449">
        <f t="shared" si="204"/>
        <v>0</v>
      </c>
      <c r="AX175" s="449">
        <f t="shared" si="204"/>
        <v>0</v>
      </c>
      <c r="AY175" s="449">
        <f t="shared" si="203"/>
        <v>0</v>
      </c>
      <c r="AZ175" s="449">
        <f t="shared" si="203"/>
        <v>0</v>
      </c>
      <c r="BA175" s="449">
        <f t="shared" si="203"/>
        <v>0</v>
      </c>
      <c r="BB175" s="449">
        <f t="shared" si="203"/>
        <v>0</v>
      </c>
      <c r="BC175" s="449">
        <f t="shared" si="203"/>
        <v>0</v>
      </c>
      <c r="BD175" s="449">
        <f t="shared" si="203"/>
        <v>0</v>
      </c>
      <c r="BE175" s="449">
        <f t="shared" si="203"/>
        <v>0</v>
      </c>
      <c r="BF175" s="449">
        <f t="shared" si="203"/>
        <v>0</v>
      </c>
      <c r="BG175" s="449">
        <f t="shared" si="203"/>
        <v>0</v>
      </c>
      <c r="BH175" s="400"/>
      <c r="BI175" s="449">
        <f t="shared" si="208"/>
        <v>0</v>
      </c>
      <c r="BJ175" s="449">
        <f t="shared" si="208"/>
        <v>0</v>
      </c>
      <c r="BK175" s="449">
        <f t="shared" si="208"/>
        <v>0</v>
      </c>
      <c r="BL175" s="449">
        <f t="shared" si="208"/>
        <v>0</v>
      </c>
      <c r="BM175" s="449">
        <f t="shared" si="208"/>
        <v>0</v>
      </c>
      <c r="BN175" s="449">
        <f t="shared" si="208"/>
        <v>0</v>
      </c>
      <c r="BO175" s="449">
        <f t="shared" si="208"/>
        <v>0</v>
      </c>
      <c r="BP175" s="449">
        <f t="shared" si="208"/>
        <v>0</v>
      </c>
      <c r="BQ175" s="449">
        <f t="shared" si="208"/>
        <v>0</v>
      </c>
      <c r="BR175" s="449">
        <f t="shared" si="208"/>
        <v>0</v>
      </c>
      <c r="BS175" s="449">
        <f t="shared" si="208"/>
        <v>0</v>
      </c>
      <c r="BT175" s="449">
        <f t="shared" si="208"/>
        <v>0</v>
      </c>
    </row>
    <row r="176" spans="1:72" ht="15" x14ac:dyDescent="0.25">
      <c r="A176" s="537" t="s">
        <v>279</v>
      </c>
      <c r="B176" s="537" t="s">
        <v>280</v>
      </c>
      <c r="C176" s="541"/>
      <c r="D176" s="500">
        <f t="shared" si="186"/>
        <v>0</v>
      </c>
      <c r="E176" s="449">
        <v>0</v>
      </c>
      <c r="F176" s="449">
        <f t="shared" si="187"/>
        <v>0</v>
      </c>
      <c r="G176" s="421">
        <f t="shared" si="188"/>
        <v>0</v>
      </c>
      <c r="H176" s="449">
        <v>0</v>
      </c>
      <c r="I176" s="449">
        <f t="shared" si="189"/>
        <v>0</v>
      </c>
      <c r="J176" s="426">
        <f t="shared" si="190"/>
        <v>0</v>
      </c>
      <c r="K176" s="421"/>
      <c r="L176" s="449">
        <v>0</v>
      </c>
      <c r="M176" s="449">
        <v>0</v>
      </c>
      <c r="N176" s="449">
        <v>0</v>
      </c>
      <c r="O176" s="449">
        <v>0</v>
      </c>
      <c r="P176" s="449">
        <v>0</v>
      </c>
      <c r="Q176" s="449">
        <v>0</v>
      </c>
      <c r="R176" s="449">
        <f>($H176-SUM($L176:Q176))/R$694</f>
        <v>0</v>
      </c>
      <c r="S176" s="449">
        <f>($H176-SUM($L176:R176))/S$694</f>
        <v>0</v>
      </c>
      <c r="T176" s="449">
        <f>($H176-SUM($L176:S176))/T$694</f>
        <v>0</v>
      </c>
      <c r="U176" s="449">
        <f>($H176-SUM($L176:T176))/U$694</f>
        <v>0</v>
      </c>
      <c r="V176" s="449">
        <f>($H176-SUM($L176:U176))/V$694</f>
        <v>0</v>
      </c>
      <c r="W176" s="449">
        <f>($H176-SUM($L176:V176))/W$694</f>
        <v>0</v>
      </c>
      <c r="X176" s="449"/>
      <c r="Y176" s="449">
        <f t="shared" si="191"/>
        <v>0</v>
      </c>
      <c r="Z176" s="531"/>
      <c r="AA176" s="449">
        <f t="shared" si="201"/>
        <v>0</v>
      </c>
      <c r="AB176" s="449">
        <f t="shared" si="201"/>
        <v>0</v>
      </c>
      <c r="AC176" s="449">
        <f t="shared" si="201"/>
        <v>0</v>
      </c>
      <c r="AD176" s="449">
        <f t="shared" si="201"/>
        <v>0</v>
      </c>
      <c r="AE176" s="449">
        <f t="shared" si="201"/>
        <v>0</v>
      </c>
      <c r="AF176" s="449">
        <f t="shared" si="201"/>
        <v>0</v>
      </c>
      <c r="AG176" s="449">
        <f t="shared" si="201"/>
        <v>0</v>
      </c>
      <c r="AH176" s="449">
        <f t="shared" si="201"/>
        <v>0</v>
      </c>
      <c r="AI176" s="449">
        <f t="shared" si="201"/>
        <v>0</v>
      </c>
      <c r="AJ176" s="449">
        <f t="shared" si="201"/>
        <v>0</v>
      </c>
      <c r="AK176" s="449">
        <f t="shared" si="201"/>
        <v>0</v>
      </c>
      <c r="AL176" s="449">
        <f t="shared" si="201"/>
        <v>0</v>
      </c>
      <c r="AN176" s="500">
        <f t="shared" si="193"/>
        <v>0</v>
      </c>
      <c r="AO176" s="449">
        <f t="shared" si="194"/>
        <v>0</v>
      </c>
      <c r="AP176" s="449">
        <f t="shared" si="195"/>
        <v>0</v>
      </c>
      <c r="AQ176" s="453" t="str">
        <f t="shared" si="196"/>
        <v>-</v>
      </c>
      <c r="AR176" s="449">
        <f t="shared" si="197"/>
        <v>0</v>
      </c>
      <c r="AS176" s="449">
        <f t="shared" si="198"/>
        <v>0</v>
      </c>
      <c r="AT176" s="426">
        <f t="shared" si="199"/>
        <v>0</v>
      </c>
      <c r="AU176" s="421"/>
      <c r="AV176" s="449">
        <f t="shared" si="204"/>
        <v>0</v>
      </c>
      <c r="AW176" s="449">
        <f t="shared" si="204"/>
        <v>0</v>
      </c>
      <c r="AX176" s="449">
        <f t="shared" si="204"/>
        <v>0</v>
      </c>
      <c r="AY176" s="449">
        <f t="shared" si="203"/>
        <v>0</v>
      </c>
      <c r="AZ176" s="449">
        <f t="shared" si="203"/>
        <v>0</v>
      </c>
      <c r="BA176" s="449">
        <f t="shared" si="203"/>
        <v>0</v>
      </c>
      <c r="BB176" s="449">
        <f t="shared" si="203"/>
        <v>0</v>
      </c>
      <c r="BC176" s="449">
        <f t="shared" si="203"/>
        <v>0</v>
      </c>
      <c r="BD176" s="449">
        <f t="shared" si="203"/>
        <v>0</v>
      </c>
      <c r="BE176" s="449">
        <f t="shared" si="203"/>
        <v>0</v>
      </c>
      <c r="BF176" s="449">
        <f t="shared" si="203"/>
        <v>0</v>
      </c>
      <c r="BG176" s="449">
        <f t="shared" si="203"/>
        <v>0</v>
      </c>
      <c r="BH176" s="400"/>
      <c r="BI176" s="449">
        <f t="shared" si="208"/>
        <v>0</v>
      </c>
      <c r="BJ176" s="449">
        <f t="shared" si="208"/>
        <v>0</v>
      </c>
      <c r="BK176" s="449">
        <f t="shared" si="208"/>
        <v>0</v>
      </c>
      <c r="BL176" s="449">
        <f t="shared" si="208"/>
        <v>0</v>
      </c>
      <c r="BM176" s="449">
        <f t="shared" si="208"/>
        <v>0</v>
      </c>
      <c r="BN176" s="449">
        <f t="shared" si="208"/>
        <v>0</v>
      </c>
      <c r="BO176" s="449">
        <f t="shared" si="208"/>
        <v>0</v>
      </c>
      <c r="BP176" s="449">
        <f t="shared" si="208"/>
        <v>0</v>
      </c>
      <c r="BQ176" s="449">
        <f t="shared" si="208"/>
        <v>0</v>
      </c>
      <c r="BR176" s="449">
        <f t="shared" si="208"/>
        <v>0</v>
      </c>
      <c r="BS176" s="449">
        <f t="shared" si="208"/>
        <v>0</v>
      </c>
      <c r="BT176" s="449">
        <f t="shared" si="208"/>
        <v>0</v>
      </c>
    </row>
    <row r="177" spans="1:72" ht="15" x14ac:dyDescent="0.25">
      <c r="A177" s="612" t="s">
        <v>281</v>
      </c>
      <c r="B177" s="502" t="s">
        <v>282</v>
      </c>
      <c r="C177" s="596"/>
      <c r="D177" s="500">
        <f t="shared" si="186"/>
        <v>0</v>
      </c>
      <c r="E177" s="449">
        <v>0</v>
      </c>
      <c r="F177" s="449">
        <f t="shared" si="187"/>
        <v>0</v>
      </c>
      <c r="G177" s="421">
        <f t="shared" si="188"/>
        <v>0</v>
      </c>
      <c r="H177" s="449"/>
      <c r="I177" s="449">
        <f t="shared" si="189"/>
        <v>0</v>
      </c>
      <c r="J177" s="426">
        <f t="shared" si="190"/>
        <v>0</v>
      </c>
      <c r="K177" s="421"/>
      <c r="L177" s="449">
        <v>0</v>
      </c>
      <c r="M177" s="449">
        <v>0</v>
      </c>
      <c r="N177" s="449">
        <v>0</v>
      </c>
      <c r="O177" s="449">
        <v>0</v>
      </c>
      <c r="P177" s="449">
        <v>0</v>
      </c>
      <c r="Q177" s="449">
        <v>0</v>
      </c>
      <c r="R177" s="449">
        <f>($H177-SUM($L177:Q177))/R$694</f>
        <v>0</v>
      </c>
      <c r="S177" s="449">
        <f>($H177-SUM($L177:R177))/S$694</f>
        <v>0</v>
      </c>
      <c r="T177" s="449">
        <f>($H177-SUM($L177:S177))/T$694</f>
        <v>0</v>
      </c>
      <c r="U177" s="449">
        <f>($H177-SUM($L177:T177))/U$694</f>
        <v>0</v>
      </c>
      <c r="V177" s="449">
        <f>($H177-SUM($L177:U177))/V$694</f>
        <v>0</v>
      </c>
      <c r="W177" s="449">
        <f>($H177-SUM($L177:V177))/W$694</f>
        <v>0</v>
      </c>
      <c r="X177" s="449"/>
      <c r="Y177" s="449">
        <f t="shared" si="191"/>
        <v>0</v>
      </c>
      <c r="Z177" s="531"/>
      <c r="AA177" s="449">
        <f t="shared" si="201"/>
        <v>0</v>
      </c>
      <c r="AB177" s="449">
        <f t="shared" si="201"/>
        <v>0</v>
      </c>
      <c r="AC177" s="449">
        <f t="shared" si="201"/>
        <v>0</v>
      </c>
      <c r="AD177" s="449">
        <f t="shared" si="201"/>
        <v>0</v>
      </c>
      <c r="AE177" s="449">
        <f t="shared" si="201"/>
        <v>0</v>
      </c>
      <c r="AF177" s="449">
        <f t="shared" si="201"/>
        <v>0</v>
      </c>
      <c r="AG177" s="449">
        <f t="shared" si="201"/>
        <v>0</v>
      </c>
      <c r="AH177" s="449">
        <f t="shared" si="201"/>
        <v>0</v>
      </c>
      <c r="AI177" s="449">
        <f t="shared" si="201"/>
        <v>0</v>
      </c>
      <c r="AJ177" s="449">
        <f t="shared" si="201"/>
        <v>0</v>
      </c>
      <c r="AK177" s="449">
        <f t="shared" si="201"/>
        <v>0</v>
      </c>
      <c r="AL177" s="449">
        <f t="shared" si="201"/>
        <v>0</v>
      </c>
      <c r="AN177" s="500">
        <f t="shared" si="193"/>
        <v>0</v>
      </c>
      <c r="AO177" s="449">
        <f t="shared" si="194"/>
        <v>0</v>
      </c>
      <c r="AP177" s="449">
        <f t="shared" si="195"/>
        <v>0</v>
      </c>
      <c r="AQ177" s="453" t="str">
        <f t="shared" si="196"/>
        <v>-</v>
      </c>
      <c r="AR177" s="449">
        <f>SUM(BI177:BT177)</f>
        <v>0</v>
      </c>
      <c r="AS177" s="449">
        <f t="shared" si="198"/>
        <v>0</v>
      </c>
      <c r="AT177" s="426">
        <f t="shared" si="199"/>
        <v>0</v>
      </c>
      <c r="AU177" s="421"/>
      <c r="AV177" s="449">
        <f t="shared" si="204"/>
        <v>0</v>
      </c>
      <c r="AW177" s="449">
        <f t="shared" si="204"/>
        <v>0</v>
      </c>
      <c r="AX177" s="449">
        <f t="shared" si="204"/>
        <v>0</v>
      </c>
      <c r="AY177" s="449">
        <f t="shared" si="203"/>
        <v>0</v>
      </c>
      <c r="AZ177" s="449">
        <f t="shared" si="203"/>
        <v>0</v>
      </c>
      <c r="BA177" s="449">
        <f t="shared" si="203"/>
        <v>0</v>
      </c>
      <c r="BB177" s="449">
        <f t="shared" si="203"/>
        <v>0</v>
      </c>
      <c r="BC177" s="449">
        <f t="shared" si="203"/>
        <v>0</v>
      </c>
      <c r="BD177" s="449">
        <f t="shared" si="203"/>
        <v>0</v>
      </c>
      <c r="BE177" s="449">
        <f t="shared" si="203"/>
        <v>0</v>
      </c>
      <c r="BF177" s="449">
        <f t="shared" si="203"/>
        <v>0</v>
      </c>
      <c r="BG177" s="449">
        <f t="shared" si="203"/>
        <v>0</v>
      </c>
      <c r="BH177" s="400"/>
      <c r="BI177" s="449">
        <f t="shared" ref="BI177:BT179" si="209">IFERROR((($H177/$H$5)*BI$5)/12,0)</f>
        <v>0</v>
      </c>
      <c r="BJ177" s="449">
        <f t="shared" si="209"/>
        <v>0</v>
      </c>
      <c r="BK177" s="449">
        <f t="shared" si="209"/>
        <v>0</v>
      </c>
      <c r="BL177" s="449">
        <f t="shared" si="209"/>
        <v>0</v>
      </c>
      <c r="BM177" s="449">
        <f t="shared" si="209"/>
        <v>0</v>
      </c>
      <c r="BN177" s="449">
        <f t="shared" si="209"/>
        <v>0</v>
      </c>
      <c r="BO177" s="449">
        <f t="shared" si="209"/>
        <v>0</v>
      </c>
      <c r="BP177" s="449">
        <f t="shared" si="209"/>
        <v>0</v>
      </c>
      <c r="BQ177" s="449">
        <f t="shared" si="209"/>
        <v>0</v>
      </c>
      <c r="BR177" s="449">
        <f t="shared" si="209"/>
        <v>0</v>
      </c>
      <c r="BS177" s="449">
        <f t="shared" si="209"/>
        <v>0</v>
      </c>
      <c r="BT177" s="449">
        <f t="shared" si="209"/>
        <v>0</v>
      </c>
    </row>
    <row r="178" spans="1:72" ht="15" x14ac:dyDescent="0.25">
      <c r="A178" s="612" t="s">
        <v>283</v>
      </c>
      <c r="B178" s="537" t="s">
        <v>284</v>
      </c>
      <c r="C178" s="541"/>
      <c r="D178" s="500">
        <f>SUM(L178:W178)</f>
        <v>0</v>
      </c>
      <c r="E178" s="449">
        <v>0</v>
      </c>
      <c r="F178" s="449">
        <f t="shared" si="187"/>
        <v>0</v>
      </c>
      <c r="G178" s="421">
        <f t="shared" si="188"/>
        <v>0</v>
      </c>
      <c r="H178" s="449">
        <v>0</v>
      </c>
      <c r="I178" s="449">
        <f t="shared" si="189"/>
        <v>0</v>
      </c>
      <c r="J178" s="426">
        <f t="shared" si="190"/>
        <v>0</v>
      </c>
      <c r="K178" s="421"/>
      <c r="L178" s="449">
        <v>0</v>
      </c>
      <c r="M178" s="449">
        <v>0</v>
      </c>
      <c r="N178" s="449">
        <v>0</v>
      </c>
      <c r="O178" s="449">
        <v>0</v>
      </c>
      <c r="P178" s="449">
        <v>0</v>
      </c>
      <c r="Q178" s="449">
        <v>0</v>
      </c>
      <c r="R178" s="449">
        <f>($H178-SUM($L178:Q178))/R$694</f>
        <v>0</v>
      </c>
      <c r="S178" s="449">
        <f>($H178-SUM($L178:R178))/S$694</f>
        <v>0</v>
      </c>
      <c r="T178" s="449">
        <f>($H178-SUM($L178:S178))/T$694</f>
        <v>0</v>
      </c>
      <c r="U178" s="449">
        <f>($H178-SUM($L178:T178))/U$694</f>
        <v>0</v>
      </c>
      <c r="V178" s="449">
        <f>($H178-SUM($L178:U178))/V$694</f>
        <v>0</v>
      </c>
      <c r="W178" s="449">
        <f>($H178-SUM($L178:V178))/W$694</f>
        <v>0</v>
      </c>
      <c r="X178" s="449"/>
      <c r="Y178" s="449">
        <f t="shared" si="191"/>
        <v>0</v>
      </c>
      <c r="Z178" s="531"/>
      <c r="AA178" s="449">
        <f t="shared" si="201"/>
        <v>0</v>
      </c>
      <c r="AB178" s="449">
        <f t="shared" si="201"/>
        <v>0</v>
      </c>
      <c r="AC178" s="449">
        <f t="shared" si="201"/>
        <v>0</v>
      </c>
      <c r="AD178" s="449">
        <f t="shared" si="201"/>
        <v>0</v>
      </c>
      <c r="AE178" s="449">
        <f t="shared" si="201"/>
        <v>0</v>
      </c>
      <c r="AF178" s="449">
        <f t="shared" si="201"/>
        <v>0</v>
      </c>
      <c r="AG178" s="449">
        <f t="shared" si="201"/>
        <v>0</v>
      </c>
      <c r="AH178" s="449">
        <f t="shared" si="201"/>
        <v>0</v>
      </c>
      <c r="AI178" s="449">
        <f t="shared" si="201"/>
        <v>0</v>
      </c>
      <c r="AJ178" s="449">
        <f t="shared" si="201"/>
        <v>0</v>
      </c>
      <c r="AK178" s="449">
        <f t="shared" si="201"/>
        <v>0</v>
      </c>
      <c r="AL178" s="449">
        <f t="shared" si="201"/>
        <v>0</v>
      </c>
      <c r="AN178" s="500">
        <f t="shared" si="193"/>
        <v>0</v>
      </c>
      <c r="AO178" s="449">
        <f t="shared" si="194"/>
        <v>0</v>
      </c>
      <c r="AP178" s="449">
        <f t="shared" si="195"/>
        <v>0</v>
      </c>
      <c r="AQ178" s="453" t="str">
        <f t="shared" si="196"/>
        <v>-</v>
      </c>
      <c r="AR178" s="449">
        <f t="shared" ref="AR178:AR240" si="210">SUM(BI178:BT178)</f>
        <v>0</v>
      </c>
      <c r="AS178" s="449">
        <f t="shared" si="198"/>
        <v>0</v>
      </c>
      <c r="AT178" s="426">
        <f t="shared" si="199"/>
        <v>0</v>
      </c>
      <c r="AU178" s="421"/>
      <c r="AV178" s="449">
        <f t="shared" si="204"/>
        <v>0</v>
      </c>
      <c r="AW178" s="449">
        <f t="shared" si="204"/>
        <v>0</v>
      </c>
      <c r="AX178" s="449">
        <f t="shared" si="204"/>
        <v>0</v>
      </c>
      <c r="AY178" s="449">
        <f t="shared" si="203"/>
        <v>0</v>
      </c>
      <c r="AZ178" s="449">
        <f t="shared" si="203"/>
        <v>0</v>
      </c>
      <c r="BA178" s="449">
        <f t="shared" si="203"/>
        <v>0</v>
      </c>
      <c r="BB178" s="449">
        <f t="shared" si="203"/>
        <v>0</v>
      </c>
      <c r="BC178" s="449">
        <f t="shared" si="203"/>
        <v>0</v>
      </c>
      <c r="BD178" s="449">
        <f t="shared" si="203"/>
        <v>0</v>
      </c>
      <c r="BE178" s="449">
        <f t="shared" si="203"/>
        <v>0</v>
      </c>
      <c r="BF178" s="449">
        <f t="shared" si="203"/>
        <v>0</v>
      </c>
      <c r="BG178" s="449">
        <f t="shared" si="203"/>
        <v>0</v>
      </c>
      <c r="BH178" s="400"/>
      <c r="BI178" s="449">
        <f t="shared" si="209"/>
        <v>0</v>
      </c>
      <c r="BJ178" s="449">
        <f t="shared" si="209"/>
        <v>0</v>
      </c>
      <c r="BK178" s="449">
        <f t="shared" si="209"/>
        <v>0</v>
      </c>
      <c r="BL178" s="449">
        <f t="shared" si="209"/>
        <v>0</v>
      </c>
      <c r="BM178" s="449">
        <f t="shared" si="209"/>
        <v>0</v>
      </c>
      <c r="BN178" s="449">
        <f t="shared" si="209"/>
        <v>0</v>
      </c>
      <c r="BO178" s="449">
        <f t="shared" si="209"/>
        <v>0</v>
      </c>
      <c r="BP178" s="449">
        <f t="shared" si="209"/>
        <v>0</v>
      </c>
      <c r="BQ178" s="449">
        <f t="shared" si="209"/>
        <v>0</v>
      </c>
      <c r="BR178" s="449">
        <f t="shared" si="209"/>
        <v>0</v>
      </c>
      <c r="BS178" s="449">
        <f t="shared" si="209"/>
        <v>0</v>
      </c>
      <c r="BT178" s="449">
        <f t="shared" si="209"/>
        <v>0</v>
      </c>
    </row>
    <row r="179" spans="1:72" ht="15" x14ac:dyDescent="0.25">
      <c r="A179" s="612" t="s">
        <v>285</v>
      </c>
      <c r="B179" s="612" t="s">
        <v>286</v>
      </c>
      <c r="C179" s="596"/>
      <c r="D179" s="500">
        <f t="shared" si="186"/>
        <v>0</v>
      </c>
      <c r="E179" s="449">
        <v>0</v>
      </c>
      <c r="F179" s="449">
        <f t="shared" si="187"/>
        <v>0</v>
      </c>
      <c r="G179" s="421">
        <f t="shared" si="188"/>
        <v>0</v>
      </c>
      <c r="H179" s="449">
        <v>0</v>
      </c>
      <c r="I179" s="449">
        <f t="shared" si="189"/>
        <v>0</v>
      </c>
      <c r="J179" s="426">
        <f t="shared" si="190"/>
        <v>0</v>
      </c>
      <c r="K179" s="421"/>
      <c r="L179" s="449">
        <v>66507.77</v>
      </c>
      <c r="M179" s="449">
        <v>0</v>
      </c>
      <c r="N179" s="449">
        <v>0</v>
      </c>
      <c r="O179" s="449">
        <v>0</v>
      </c>
      <c r="P179" s="449">
        <v>-66507.77</v>
      </c>
      <c r="Q179" s="449">
        <v>0</v>
      </c>
      <c r="R179" s="449">
        <f>($H179-SUM($L179:Q179))/R$694</f>
        <v>0</v>
      </c>
      <c r="S179" s="449">
        <f>($H179-SUM($L179:R179))/S$694</f>
        <v>0</v>
      </c>
      <c r="T179" s="449">
        <f>($H179-SUM($L179:S179))/T$694</f>
        <v>0</v>
      </c>
      <c r="U179" s="449">
        <f>($H179-SUM($L179:T179))/U$694</f>
        <v>0</v>
      </c>
      <c r="V179" s="449">
        <f>($H179-SUM($L179:U179))/V$694</f>
        <v>0</v>
      </c>
      <c r="W179" s="449">
        <f>($H179-SUM($L179:V179))/W$694</f>
        <v>0</v>
      </c>
      <c r="X179" s="449"/>
      <c r="Y179" s="449">
        <f t="shared" si="191"/>
        <v>0</v>
      </c>
      <c r="Z179" s="531"/>
      <c r="AA179" s="449">
        <f t="shared" ref="AA179:AL197" si="211">IFERROR($H179/12,0)</f>
        <v>0</v>
      </c>
      <c r="AB179" s="449">
        <f t="shared" si="211"/>
        <v>0</v>
      </c>
      <c r="AC179" s="449">
        <f t="shared" si="211"/>
        <v>0</v>
      </c>
      <c r="AD179" s="449">
        <f t="shared" si="211"/>
        <v>0</v>
      </c>
      <c r="AE179" s="449">
        <f t="shared" si="211"/>
        <v>0</v>
      </c>
      <c r="AF179" s="449">
        <f t="shared" si="211"/>
        <v>0</v>
      </c>
      <c r="AG179" s="449">
        <f t="shared" si="211"/>
        <v>0</v>
      </c>
      <c r="AH179" s="449">
        <f t="shared" si="211"/>
        <v>0</v>
      </c>
      <c r="AI179" s="449">
        <f t="shared" si="211"/>
        <v>0</v>
      </c>
      <c r="AJ179" s="449">
        <f t="shared" si="211"/>
        <v>0</v>
      </c>
      <c r="AK179" s="449">
        <f t="shared" si="211"/>
        <v>0</v>
      </c>
      <c r="AL179" s="449">
        <f t="shared" si="211"/>
        <v>0</v>
      </c>
      <c r="AN179" s="500">
        <f t="shared" si="193"/>
        <v>0</v>
      </c>
      <c r="AO179" s="449">
        <f t="shared" si="194"/>
        <v>0</v>
      </c>
      <c r="AP179" s="449">
        <f t="shared" si="195"/>
        <v>0</v>
      </c>
      <c r="AQ179" s="453" t="str">
        <f t="shared" si="196"/>
        <v>-</v>
      </c>
      <c r="AR179" s="449">
        <f t="shared" si="210"/>
        <v>0</v>
      </c>
      <c r="AS179" s="449">
        <f t="shared" si="198"/>
        <v>0</v>
      </c>
      <c r="AT179" s="426">
        <f t="shared" si="199"/>
        <v>0</v>
      </c>
      <c r="AU179" s="421"/>
      <c r="AV179" s="449">
        <f t="shared" si="204"/>
        <v>0</v>
      </c>
      <c r="AW179" s="449">
        <f t="shared" si="204"/>
        <v>0</v>
      </c>
      <c r="AX179" s="449">
        <f t="shared" si="204"/>
        <v>0</v>
      </c>
      <c r="AY179" s="449">
        <f t="shared" si="203"/>
        <v>0</v>
      </c>
      <c r="AZ179" s="449">
        <f t="shared" si="203"/>
        <v>0</v>
      </c>
      <c r="BA179" s="449">
        <f t="shared" si="203"/>
        <v>0</v>
      </c>
      <c r="BB179" s="449">
        <f t="shared" si="203"/>
        <v>0</v>
      </c>
      <c r="BC179" s="449">
        <f t="shared" si="203"/>
        <v>0</v>
      </c>
      <c r="BD179" s="449">
        <f t="shared" si="203"/>
        <v>0</v>
      </c>
      <c r="BE179" s="449">
        <f t="shared" si="203"/>
        <v>0</v>
      </c>
      <c r="BF179" s="449">
        <f t="shared" si="203"/>
        <v>0</v>
      </c>
      <c r="BG179" s="449">
        <f t="shared" si="203"/>
        <v>0</v>
      </c>
      <c r="BH179" s="400"/>
      <c r="BI179" s="449">
        <f t="shared" si="209"/>
        <v>0</v>
      </c>
      <c r="BJ179" s="449">
        <f t="shared" si="209"/>
        <v>0</v>
      </c>
      <c r="BK179" s="449">
        <f t="shared" si="209"/>
        <v>0</v>
      </c>
      <c r="BL179" s="449">
        <f t="shared" si="209"/>
        <v>0</v>
      </c>
      <c r="BM179" s="449">
        <f t="shared" si="209"/>
        <v>0</v>
      </c>
      <c r="BN179" s="449">
        <f t="shared" si="209"/>
        <v>0</v>
      </c>
      <c r="BO179" s="449">
        <f t="shared" si="209"/>
        <v>0</v>
      </c>
      <c r="BP179" s="449">
        <f t="shared" si="209"/>
        <v>0</v>
      </c>
      <c r="BQ179" s="449">
        <f t="shared" si="209"/>
        <v>0</v>
      </c>
      <c r="BR179" s="449">
        <f t="shared" si="209"/>
        <v>0</v>
      </c>
      <c r="BS179" s="449">
        <f t="shared" si="209"/>
        <v>0</v>
      </c>
      <c r="BT179" s="449">
        <f t="shared" si="209"/>
        <v>0</v>
      </c>
    </row>
    <row r="180" spans="1:72" ht="15" x14ac:dyDescent="0.25">
      <c r="A180" s="612" t="s">
        <v>287</v>
      </c>
      <c r="B180" s="612" t="s">
        <v>288</v>
      </c>
      <c r="C180" s="596"/>
      <c r="D180" s="500">
        <f t="shared" si="186"/>
        <v>68000</v>
      </c>
      <c r="E180" s="449">
        <v>23700</v>
      </c>
      <c r="F180" s="449">
        <f t="shared" si="187"/>
        <v>44300</v>
      </c>
      <c r="G180" s="421">
        <f t="shared" si="188"/>
        <v>1.869198312236287</v>
      </c>
      <c r="H180" s="449">
        <v>68000</v>
      </c>
      <c r="I180" s="449">
        <f t="shared" si="189"/>
        <v>0</v>
      </c>
      <c r="J180" s="426">
        <f t="shared" si="190"/>
        <v>0</v>
      </c>
      <c r="K180" s="421"/>
      <c r="L180" s="449">
        <v>0</v>
      </c>
      <c r="M180" s="449">
        <v>0</v>
      </c>
      <c r="N180" s="449">
        <v>0</v>
      </c>
      <c r="O180" s="449">
        <v>0</v>
      </c>
      <c r="P180" s="449">
        <v>66507.77</v>
      </c>
      <c r="Q180" s="449">
        <v>0</v>
      </c>
      <c r="R180" s="449">
        <f>($H180-SUM($L180:Q180))/R$694</f>
        <v>248.70499999999933</v>
      </c>
      <c r="S180" s="449">
        <f>($H180-SUM($L180:R180))/S$694</f>
        <v>248.70499999999885</v>
      </c>
      <c r="T180" s="449">
        <f>($H180-SUM($L180:S180))/T$694</f>
        <v>248.70499999999811</v>
      </c>
      <c r="U180" s="449">
        <f>($H180-SUM($L180:T180))/U$694</f>
        <v>248.70499999999689</v>
      </c>
      <c r="V180" s="449">
        <f>($H180-SUM($L180:U180))/V$694</f>
        <v>248.70499999999447</v>
      </c>
      <c r="W180" s="449">
        <f>($H180-SUM($L180:V180))/W$694</f>
        <v>248.70499999998719</v>
      </c>
      <c r="X180" s="449"/>
      <c r="Y180" s="449">
        <f t="shared" si="191"/>
        <v>68000</v>
      </c>
      <c r="Z180" s="531"/>
      <c r="AA180" s="449">
        <f t="shared" si="211"/>
        <v>5666.666666666667</v>
      </c>
      <c r="AB180" s="449">
        <f t="shared" si="211"/>
        <v>5666.666666666667</v>
      </c>
      <c r="AC180" s="449">
        <f t="shared" si="211"/>
        <v>5666.666666666667</v>
      </c>
      <c r="AD180" s="449">
        <f t="shared" si="211"/>
        <v>5666.666666666667</v>
      </c>
      <c r="AE180" s="449">
        <f t="shared" si="211"/>
        <v>5666.666666666667</v>
      </c>
      <c r="AF180" s="449">
        <f t="shared" si="211"/>
        <v>5666.666666666667</v>
      </c>
      <c r="AG180" s="449">
        <f t="shared" si="211"/>
        <v>5666.666666666667</v>
      </c>
      <c r="AH180" s="449">
        <f t="shared" si="211"/>
        <v>5666.666666666667</v>
      </c>
      <c r="AI180" s="449">
        <f t="shared" si="211"/>
        <v>5666.666666666667</v>
      </c>
      <c r="AJ180" s="449">
        <f t="shared" si="211"/>
        <v>5666.666666666667</v>
      </c>
      <c r="AK180" s="449">
        <f t="shared" si="211"/>
        <v>5666.666666666667</v>
      </c>
      <c r="AL180" s="449">
        <f t="shared" si="211"/>
        <v>5666.666666666667</v>
      </c>
      <c r="AN180" s="500">
        <f t="shared" si="193"/>
        <v>68000</v>
      </c>
      <c r="AO180" s="449">
        <f t="shared" si="194"/>
        <v>0</v>
      </c>
      <c r="AP180" s="449">
        <f t="shared" si="195"/>
        <v>-68000</v>
      </c>
      <c r="AQ180" s="453">
        <f t="shared" si="196"/>
        <v>-1</v>
      </c>
      <c r="AR180" s="449">
        <f t="shared" si="210"/>
        <v>0</v>
      </c>
      <c r="AS180" s="449">
        <f t="shared" si="198"/>
        <v>0</v>
      </c>
      <c r="AT180" s="426">
        <f t="shared" si="199"/>
        <v>0</v>
      </c>
      <c r="AU180" s="421"/>
      <c r="AV180" s="449">
        <f t="shared" si="204"/>
        <v>0</v>
      </c>
      <c r="AW180" s="449">
        <f t="shared" si="204"/>
        <v>0</v>
      </c>
      <c r="AX180" s="449">
        <f t="shared" si="204"/>
        <v>0</v>
      </c>
      <c r="AY180" s="449">
        <f t="shared" si="203"/>
        <v>0</v>
      </c>
      <c r="AZ180" s="449">
        <f t="shared" si="203"/>
        <v>0</v>
      </c>
      <c r="BA180" s="449">
        <f t="shared" si="203"/>
        <v>0</v>
      </c>
      <c r="BB180" s="449">
        <f t="shared" si="203"/>
        <v>0</v>
      </c>
      <c r="BC180" s="449">
        <f t="shared" si="203"/>
        <v>0</v>
      </c>
      <c r="BD180" s="449">
        <f t="shared" si="203"/>
        <v>0</v>
      </c>
      <c r="BE180" s="449">
        <f t="shared" si="203"/>
        <v>0</v>
      </c>
      <c r="BF180" s="449">
        <f t="shared" si="203"/>
        <v>0</v>
      </c>
      <c r="BG180" s="449">
        <f t="shared" si="203"/>
        <v>0</v>
      </c>
      <c r="BH180" s="400"/>
      <c r="BI180" s="449">
        <f>(IFERROR((($H180/$H$5)*BI$5),0))*BI$696*0</f>
        <v>0</v>
      </c>
      <c r="BJ180" s="449">
        <f t="shared" ref="BJ180:BT180" si="212">(IFERROR((($H180/$H$5)*BJ$5),0))*BJ$696*0</f>
        <v>0</v>
      </c>
      <c r="BK180" s="449">
        <f t="shared" si="212"/>
        <v>0</v>
      </c>
      <c r="BL180" s="449">
        <f t="shared" si="212"/>
        <v>0</v>
      </c>
      <c r="BM180" s="449">
        <f t="shared" si="212"/>
        <v>0</v>
      </c>
      <c r="BN180" s="449">
        <f t="shared" si="212"/>
        <v>0</v>
      </c>
      <c r="BO180" s="449">
        <f t="shared" si="212"/>
        <v>0</v>
      </c>
      <c r="BP180" s="449">
        <f t="shared" si="212"/>
        <v>0</v>
      </c>
      <c r="BQ180" s="449">
        <f t="shared" si="212"/>
        <v>0</v>
      </c>
      <c r="BR180" s="449">
        <f t="shared" si="212"/>
        <v>0</v>
      </c>
      <c r="BS180" s="449">
        <f t="shared" si="212"/>
        <v>0</v>
      </c>
      <c r="BT180" s="449">
        <f t="shared" si="212"/>
        <v>0</v>
      </c>
    </row>
    <row r="181" spans="1:72" ht="15" x14ac:dyDescent="0.25">
      <c r="A181" s="612" t="s">
        <v>289</v>
      </c>
      <c r="B181" s="612" t="s">
        <v>290</v>
      </c>
      <c r="C181" s="541"/>
      <c r="D181" s="500">
        <f t="shared" si="186"/>
        <v>0</v>
      </c>
      <c r="E181" s="449">
        <v>0</v>
      </c>
      <c r="F181" s="449">
        <f t="shared" si="187"/>
        <v>0</v>
      </c>
      <c r="G181" s="421">
        <f t="shared" si="188"/>
        <v>0</v>
      </c>
      <c r="H181" s="449">
        <v>0</v>
      </c>
      <c r="I181" s="449">
        <f t="shared" si="189"/>
        <v>0</v>
      </c>
      <c r="J181" s="426">
        <f t="shared" si="190"/>
        <v>0</v>
      </c>
      <c r="K181" s="421"/>
      <c r="L181" s="449">
        <v>0</v>
      </c>
      <c r="M181" s="449">
        <v>0</v>
      </c>
      <c r="N181" s="449">
        <v>0</v>
      </c>
      <c r="O181" s="449">
        <v>0</v>
      </c>
      <c r="P181" s="449">
        <v>0</v>
      </c>
      <c r="Q181" s="449">
        <v>0</v>
      </c>
      <c r="R181" s="449">
        <f>($H181-SUM($L181:Q181))/R$694</f>
        <v>0</v>
      </c>
      <c r="S181" s="449">
        <f>($H181-SUM($L181:R181))/S$694</f>
        <v>0</v>
      </c>
      <c r="T181" s="449">
        <f>($H181-SUM($L181:S181))/T$694</f>
        <v>0</v>
      </c>
      <c r="U181" s="449">
        <f>($H181-SUM($L181:T181))/U$694</f>
        <v>0</v>
      </c>
      <c r="V181" s="449">
        <f>($H181-SUM($L181:U181))/V$694</f>
        <v>0</v>
      </c>
      <c r="W181" s="449">
        <f>($H181-SUM($L181:V181))/W$694</f>
        <v>0</v>
      </c>
      <c r="X181" s="449"/>
      <c r="Y181" s="449">
        <f t="shared" si="191"/>
        <v>0</v>
      </c>
      <c r="Z181" s="531"/>
      <c r="AA181" s="449">
        <f t="shared" si="211"/>
        <v>0</v>
      </c>
      <c r="AB181" s="449">
        <f t="shared" si="211"/>
        <v>0</v>
      </c>
      <c r="AC181" s="449">
        <f t="shared" si="211"/>
        <v>0</v>
      </c>
      <c r="AD181" s="449">
        <f t="shared" si="211"/>
        <v>0</v>
      </c>
      <c r="AE181" s="449">
        <f t="shared" si="211"/>
        <v>0</v>
      </c>
      <c r="AF181" s="449">
        <f t="shared" si="211"/>
        <v>0</v>
      </c>
      <c r="AG181" s="449">
        <f t="shared" si="211"/>
        <v>0</v>
      </c>
      <c r="AH181" s="449">
        <f t="shared" si="211"/>
        <v>0</v>
      </c>
      <c r="AI181" s="449">
        <f t="shared" si="211"/>
        <v>0</v>
      </c>
      <c r="AJ181" s="449">
        <f t="shared" si="211"/>
        <v>0</v>
      </c>
      <c r="AK181" s="449">
        <f t="shared" si="211"/>
        <v>0</v>
      </c>
      <c r="AL181" s="449">
        <f t="shared" si="211"/>
        <v>0</v>
      </c>
      <c r="AN181" s="500">
        <f t="shared" si="193"/>
        <v>0</v>
      </c>
      <c r="AO181" s="449">
        <f t="shared" si="194"/>
        <v>0</v>
      </c>
      <c r="AP181" s="449">
        <f t="shared" si="195"/>
        <v>0</v>
      </c>
      <c r="AQ181" s="453" t="str">
        <f t="shared" si="196"/>
        <v>-</v>
      </c>
      <c r="AR181" s="449">
        <f t="shared" si="210"/>
        <v>0</v>
      </c>
      <c r="AS181" s="449">
        <f t="shared" si="198"/>
        <v>0</v>
      </c>
      <c r="AT181" s="426">
        <f t="shared" si="199"/>
        <v>0</v>
      </c>
      <c r="AU181" s="421"/>
      <c r="AV181" s="449">
        <f t="shared" si="204"/>
        <v>0</v>
      </c>
      <c r="AW181" s="449">
        <f t="shared" si="204"/>
        <v>0</v>
      </c>
      <c r="AX181" s="449">
        <f t="shared" si="204"/>
        <v>0</v>
      </c>
      <c r="AY181" s="449">
        <f t="shared" si="203"/>
        <v>0</v>
      </c>
      <c r="AZ181" s="449">
        <f t="shared" si="203"/>
        <v>0</v>
      </c>
      <c r="BA181" s="449">
        <f t="shared" si="203"/>
        <v>0</v>
      </c>
      <c r="BB181" s="449">
        <f t="shared" si="203"/>
        <v>0</v>
      </c>
      <c r="BC181" s="449">
        <f t="shared" si="203"/>
        <v>0</v>
      </c>
      <c r="BD181" s="449">
        <f t="shared" si="203"/>
        <v>0</v>
      </c>
      <c r="BE181" s="449">
        <f t="shared" si="203"/>
        <v>0</v>
      </c>
      <c r="BF181" s="449">
        <f t="shared" si="203"/>
        <v>0</v>
      </c>
      <c r="BG181" s="449">
        <f t="shared" si="203"/>
        <v>0</v>
      </c>
      <c r="BH181" s="400"/>
      <c r="BI181" s="449">
        <f t="shared" ref="BI181:BT184" si="213">IFERROR((($H181/$H$5)*BI$5)/12,0)</f>
        <v>0</v>
      </c>
      <c r="BJ181" s="449">
        <f t="shared" si="213"/>
        <v>0</v>
      </c>
      <c r="BK181" s="449">
        <f t="shared" si="213"/>
        <v>0</v>
      </c>
      <c r="BL181" s="449">
        <f t="shared" si="213"/>
        <v>0</v>
      </c>
      <c r="BM181" s="449">
        <f t="shared" si="213"/>
        <v>0</v>
      </c>
      <c r="BN181" s="449">
        <f t="shared" si="213"/>
        <v>0</v>
      </c>
      <c r="BO181" s="449">
        <f t="shared" si="213"/>
        <v>0</v>
      </c>
      <c r="BP181" s="449">
        <f t="shared" si="213"/>
        <v>0</v>
      </c>
      <c r="BQ181" s="449">
        <f t="shared" si="213"/>
        <v>0</v>
      </c>
      <c r="BR181" s="449">
        <f t="shared" si="213"/>
        <v>0</v>
      </c>
      <c r="BS181" s="449">
        <f t="shared" si="213"/>
        <v>0</v>
      </c>
      <c r="BT181" s="449">
        <f t="shared" si="213"/>
        <v>0</v>
      </c>
    </row>
    <row r="182" spans="1:72" ht="15" x14ac:dyDescent="0.25">
      <c r="A182" s="612" t="s">
        <v>291</v>
      </c>
      <c r="B182" s="612" t="s">
        <v>292</v>
      </c>
      <c r="C182" s="541"/>
      <c r="D182" s="500">
        <f t="shared" si="186"/>
        <v>0</v>
      </c>
      <c r="E182" s="449">
        <v>0</v>
      </c>
      <c r="F182" s="449">
        <f t="shared" si="187"/>
        <v>0</v>
      </c>
      <c r="G182" s="421">
        <f t="shared" si="188"/>
        <v>0</v>
      </c>
      <c r="H182" s="449">
        <v>0</v>
      </c>
      <c r="I182" s="449">
        <f t="shared" si="189"/>
        <v>0</v>
      </c>
      <c r="J182" s="426">
        <f t="shared" si="190"/>
        <v>0</v>
      </c>
      <c r="K182" s="421"/>
      <c r="L182" s="449">
        <v>0</v>
      </c>
      <c r="M182" s="449">
        <v>0</v>
      </c>
      <c r="N182" s="449">
        <v>0</v>
      </c>
      <c r="O182" s="449">
        <v>0</v>
      </c>
      <c r="P182" s="449">
        <v>0</v>
      </c>
      <c r="Q182" s="449">
        <v>0</v>
      </c>
      <c r="R182" s="449">
        <f>($H182-SUM($L182:Q182))/R$694</f>
        <v>0</v>
      </c>
      <c r="S182" s="449">
        <f>($H182-SUM($L182:R182))/S$694</f>
        <v>0</v>
      </c>
      <c r="T182" s="449">
        <f>($H182-SUM($L182:S182))/T$694</f>
        <v>0</v>
      </c>
      <c r="U182" s="449">
        <f>($H182-SUM($L182:T182))/U$694</f>
        <v>0</v>
      </c>
      <c r="V182" s="449">
        <f>($H182-SUM($L182:U182))/V$694</f>
        <v>0</v>
      </c>
      <c r="W182" s="449">
        <f>($H182-SUM($L182:V182))/W$694</f>
        <v>0</v>
      </c>
      <c r="X182" s="449"/>
      <c r="Y182" s="449">
        <f t="shared" si="191"/>
        <v>0</v>
      </c>
      <c r="Z182" s="531"/>
      <c r="AA182" s="449">
        <f t="shared" si="211"/>
        <v>0</v>
      </c>
      <c r="AB182" s="449">
        <f t="shared" si="211"/>
        <v>0</v>
      </c>
      <c r="AC182" s="449">
        <f t="shared" si="211"/>
        <v>0</v>
      </c>
      <c r="AD182" s="449">
        <f t="shared" si="211"/>
        <v>0</v>
      </c>
      <c r="AE182" s="449">
        <f t="shared" si="211"/>
        <v>0</v>
      </c>
      <c r="AF182" s="449">
        <f t="shared" si="211"/>
        <v>0</v>
      </c>
      <c r="AG182" s="449">
        <f t="shared" si="211"/>
        <v>0</v>
      </c>
      <c r="AH182" s="449">
        <f t="shared" si="211"/>
        <v>0</v>
      </c>
      <c r="AI182" s="449">
        <f t="shared" si="211"/>
        <v>0</v>
      </c>
      <c r="AJ182" s="449">
        <f t="shared" si="211"/>
        <v>0</v>
      </c>
      <c r="AK182" s="449">
        <f t="shared" si="211"/>
        <v>0</v>
      </c>
      <c r="AL182" s="449">
        <f t="shared" si="211"/>
        <v>0</v>
      </c>
      <c r="AN182" s="500">
        <f t="shared" si="193"/>
        <v>0</v>
      </c>
      <c r="AO182" s="449">
        <f t="shared" si="194"/>
        <v>0</v>
      </c>
      <c r="AP182" s="449">
        <f t="shared" si="195"/>
        <v>0</v>
      </c>
      <c r="AQ182" s="453" t="str">
        <f t="shared" si="196"/>
        <v>-</v>
      </c>
      <c r="AR182" s="449">
        <f t="shared" si="210"/>
        <v>0</v>
      </c>
      <c r="AS182" s="449">
        <f t="shared" si="198"/>
        <v>0</v>
      </c>
      <c r="AT182" s="426">
        <f t="shared" si="199"/>
        <v>0</v>
      </c>
      <c r="AU182" s="421"/>
      <c r="AV182" s="449">
        <f t="shared" si="204"/>
        <v>0</v>
      </c>
      <c r="AW182" s="449">
        <f t="shared" si="204"/>
        <v>0</v>
      </c>
      <c r="AX182" s="449">
        <f t="shared" si="204"/>
        <v>0</v>
      </c>
      <c r="AY182" s="449">
        <f t="shared" si="203"/>
        <v>0</v>
      </c>
      <c r="AZ182" s="449">
        <f t="shared" si="203"/>
        <v>0</v>
      </c>
      <c r="BA182" s="449">
        <f t="shared" si="203"/>
        <v>0</v>
      </c>
      <c r="BB182" s="449">
        <f t="shared" si="203"/>
        <v>0</v>
      </c>
      <c r="BC182" s="449">
        <f t="shared" si="203"/>
        <v>0</v>
      </c>
      <c r="BD182" s="449">
        <f t="shared" si="203"/>
        <v>0</v>
      </c>
      <c r="BE182" s="449">
        <f t="shared" si="203"/>
        <v>0</v>
      </c>
      <c r="BF182" s="449">
        <f t="shared" si="203"/>
        <v>0</v>
      </c>
      <c r="BG182" s="449">
        <f t="shared" si="203"/>
        <v>0</v>
      </c>
      <c r="BH182" s="400"/>
      <c r="BI182" s="449">
        <f t="shared" si="213"/>
        <v>0</v>
      </c>
      <c r="BJ182" s="449">
        <f t="shared" si="213"/>
        <v>0</v>
      </c>
      <c r="BK182" s="449">
        <f t="shared" si="213"/>
        <v>0</v>
      </c>
      <c r="BL182" s="449">
        <f t="shared" si="213"/>
        <v>0</v>
      </c>
      <c r="BM182" s="449">
        <f t="shared" si="213"/>
        <v>0</v>
      </c>
      <c r="BN182" s="449">
        <f t="shared" si="213"/>
        <v>0</v>
      </c>
      <c r="BO182" s="449">
        <f t="shared" si="213"/>
        <v>0</v>
      </c>
      <c r="BP182" s="449">
        <f t="shared" si="213"/>
        <v>0</v>
      </c>
      <c r="BQ182" s="449">
        <f t="shared" si="213"/>
        <v>0</v>
      </c>
      <c r="BR182" s="449">
        <f t="shared" si="213"/>
        <v>0</v>
      </c>
      <c r="BS182" s="449">
        <f t="shared" si="213"/>
        <v>0</v>
      </c>
      <c r="BT182" s="449">
        <f t="shared" si="213"/>
        <v>0</v>
      </c>
    </row>
    <row r="183" spans="1:72" ht="15" x14ac:dyDescent="0.25">
      <c r="A183" s="612" t="s">
        <v>293</v>
      </c>
      <c r="B183" s="612" t="s">
        <v>294</v>
      </c>
      <c r="C183" s="596"/>
      <c r="D183" s="500">
        <f t="shared" si="186"/>
        <v>6000</v>
      </c>
      <c r="E183" s="449">
        <v>0</v>
      </c>
      <c r="F183" s="449">
        <f t="shared" si="187"/>
        <v>6000</v>
      </c>
      <c r="G183" s="421">
        <f t="shared" si="188"/>
        <v>0</v>
      </c>
      <c r="H183" s="449">
        <v>6000</v>
      </c>
      <c r="I183" s="449">
        <f t="shared" si="189"/>
        <v>0</v>
      </c>
      <c r="J183" s="426">
        <f t="shared" si="190"/>
        <v>0</v>
      </c>
      <c r="K183" s="421"/>
      <c r="L183" s="449">
        <v>4380</v>
      </c>
      <c r="M183" s="449">
        <v>0</v>
      </c>
      <c r="N183" s="449">
        <v>33.6899999999996</v>
      </c>
      <c r="O183" s="449">
        <v>0</v>
      </c>
      <c r="P183" s="449">
        <v>28982.000000000004</v>
      </c>
      <c r="Q183" s="449">
        <v>-28982</v>
      </c>
      <c r="R183" s="449">
        <f>($H183-SUM($L183:Q183))/R$694</f>
        <v>264.38499999999959</v>
      </c>
      <c r="S183" s="449">
        <f>($H183-SUM($L183:R183))/S$694</f>
        <v>264.38499999999965</v>
      </c>
      <c r="T183" s="449">
        <f>($H183-SUM($L183:S183))/T$694</f>
        <v>264.38499999999976</v>
      </c>
      <c r="U183" s="449">
        <f>($H183-SUM($L183:T183))/U$694</f>
        <v>264.38499999999959</v>
      </c>
      <c r="V183" s="449">
        <f>($H183-SUM($L183:U183))/V$694</f>
        <v>264.38499999999976</v>
      </c>
      <c r="W183" s="449">
        <f>($H183-SUM($L183:V183))/W$694</f>
        <v>264.38500000000022</v>
      </c>
      <c r="X183" s="449"/>
      <c r="Y183" s="449">
        <f t="shared" si="191"/>
        <v>6000</v>
      </c>
      <c r="Z183" s="531"/>
      <c r="AA183" s="449">
        <f t="shared" si="211"/>
        <v>500</v>
      </c>
      <c r="AB183" s="449">
        <f t="shared" si="211"/>
        <v>500</v>
      </c>
      <c r="AC183" s="449">
        <f t="shared" si="211"/>
        <v>500</v>
      </c>
      <c r="AD183" s="449">
        <f t="shared" si="211"/>
        <v>500</v>
      </c>
      <c r="AE183" s="449">
        <f t="shared" si="211"/>
        <v>500</v>
      </c>
      <c r="AF183" s="449">
        <f t="shared" si="211"/>
        <v>500</v>
      </c>
      <c r="AG183" s="449">
        <f t="shared" si="211"/>
        <v>500</v>
      </c>
      <c r="AH183" s="449">
        <f t="shared" si="211"/>
        <v>500</v>
      </c>
      <c r="AI183" s="449">
        <f t="shared" si="211"/>
        <v>500</v>
      </c>
      <c r="AJ183" s="449">
        <f t="shared" si="211"/>
        <v>500</v>
      </c>
      <c r="AK183" s="449">
        <f t="shared" si="211"/>
        <v>500</v>
      </c>
      <c r="AL183" s="449">
        <f t="shared" si="211"/>
        <v>500</v>
      </c>
      <c r="AN183" s="500">
        <f t="shared" si="193"/>
        <v>6000</v>
      </c>
      <c r="AO183" s="449">
        <f t="shared" si="194"/>
        <v>6597.5903614457829</v>
      </c>
      <c r="AP183" s="449">
        <f t="shared" si="195"/>
        <v>597.59036144578295</v>
      </c>
      <c r="AQ183" s="453">
        <f t="shared" si="196"/>
        <v>9.9598393574297159E-2</v>
      </c>
      <c r="AR183" s="449">
        <f t="shared" si="210"/>
        <v>6597.5903614457829</v>
      </c>
      <c r="AS183" s="449">
        <f t="shared" si="198"/>
        <v>0</v>
      </c>
      <c r="AT183" s="426">
        <f t="shared" si="199"/>
        <v>0</v>
      </c>
      <c r="AU183" s="421"/>
      <c r="AV183" s="449">
        <f t="shared" si="204"/>
        <v>549.79919678714862</v>
      </c>
      <c r="AW183" s="449">
        <f t="shared" si="204"/>
        <v>549.79919678714862</v>
      </c>
      <c r="AX183" s="449">
        <f t="shared" si="204"/>
        <v>549.79919678714862</v>
      </c>
      <c r="AY183" s="449">
        <f t="shared" si="203"/>
        <v>549.79919678714862</v>
      </c>
      <c r="AZ183" s="449">
        <f t="shared" si="203"/>
        <v>549.79919678714862</v>
      </c>
      <c r="BA183" s="449">
        <f t="shared" si="203"/>
        <v>549.79919678714862</v>
      </c>
      <c r="BB183" s="449">
        <f t="shared" si="203"/>
        <v>549.79919678714862</v>
      </c>
      <c r="BC183" s="449">
        <f t="shared" si="203"/>
        <v>549.79919678714862</v>
      </c>
      <c r="BD183" s="449">
        <f t="shared" si="203"/>
        <v>549.79919678714862</v>
      </c>
      <c r="BE183" s="449">
        <f t="shared" si="203"/>
        <v>549.79919678714862</v>
      </c>
      <c r="BF183" s="449">
        <f t="shared" si="203"/>
        <v>549.79919678714862</v>
      </c>
      <c r="BG183" s="449">
        <f t="shared" si="203"/>
        <v>549.79919678714862</v>
      </c>
      <c r="BH183" s="400"/>
      <c r="BI183" s="449">
        <f t="shared" si="213"/>
        <v>549.79919678714862</v>
      </c>
      <c r="BJ183" s="449">
        <f t="shared" si="213"/>
        <v>549.79919678714862</v>
      </c>
      <c r="BK183" s="449">
        <f t="shared" si="213"/>
        <v>549.79919678714862</v>
      </c>
      <c r="BL183" s="449">
        <f t="shared" si="213"/>
        <v>549.79919678714862</v>
      </c>
      <c r="BM183" s="449">
        <f t="shared" si="213"/>
        <v>549.79919678714862</v>
      </c>
      <c r="BN183" s="449">
        <f t="shared" si="213"/>
        <v>549.79919678714862</v>
      </c>
      <c r="BO183" s="449">
        <f t="shared" si="213"/>
        <v>549.79919678714862</v>
      </c>
      <c r="BP183" s="449">
        <f t="shared" si="213"/>
        <v>549.79919678714862</v>
      </c>
      <c r="BQ183" s="449">
        <f t="shared" si="213"/>
        <v>549.79919678714862</v>
      </c>
      <c r="BR183" s="449">
        <f t="shared" si="213"/>
        <v>549.79919678714862</v>
      </c>
      <c r="BS183" s="449">
        <f t="shared" si="213"/>
        <v>549.79919678714862</v>
      </c>
      <c r="BT183" s="449">
        <f t="shared" si="213"/>
        <v>549.79919678714862</v>
      </c>
    </row>
    <row r="184" spans="1:72" ht="15" x14ac:dyDescent="0.25">
      <c r="A184" s="612" t="s">
        <v>295</v>
      </c>
      <c r="B184" s="612" t="s">
        <v>296</v>
      </c>
      <c r="C184" s="541"/>
      <c r="D184" s="500">
        <f>SUM(L184:W184)</f>
        <v>0</v>
      </c>
      <c r="E184" s="449">
        <v>0</v>
      </c>
      <c r="F184" s="449">
        <f t="shared" si="187"/>
        <v>0</v>
      </c>
      <c r="G184" s="421">
        <f t="shared" si="188"/>
        <v>0</v>
      </c>
      <c r="H184" s="449">
        <v>0</v>
      </c>
      <c r="I184" s="449">
        <f t="shared" si="189"/>
        <v>0</v>
      </c>
      <c r="J184" s="426">
        <f t="shared" si="190"/>
        <v>0</v>
      </c>
      <c r="K184" s="421"/>
      <c r="L184" s="449">
        <v>0</v>
      </c>
      <c r="M184" s="449">
        <v>0</v>
      </c>
      <c r="N184" s="449">
        <v>0</v>
      </c>
      <c r="O184" s="449">
        <v>0</v>
      </c>
      <c r="P184" s="449">
        <v>0</v>
      </c>
      <c r="Q184" s="449">
        <v>0</v>
      </c>
      <c r="R184" s="449">
        <f>($H184-SUM($L184:Q184))/R$694</f>
        <v>0</v>
      </c>
      <c r="S184" s="449">
        <f>($H184-SUM($L184:R184))/S$694</f>
        <v>0</v>
      </c>
      <c r="T184" s="449">
        <f>($H184-SUM($L184:S184))/T$694</f>
        <v>0</v>
      </c>
      <c r="U184" s="449">
        <f>($H184-SUM($L184:T184))/U$694</f>
        <v>0</v>
      </c>
      <c r="V184" s="449">
        <f>($H184-SUM($L184:U184))/V$694</f>
        <v>0</v>
      </c>
      <c r="W184" s="449">
        <f>($H184-SUM($L184:V184))/W$694</f>
        <v>0</v>
      </c>
      <c r="X184" s="449"/>
      <c r="Y184" s="449">
        <f t="shared" si="191"/>
        <v>0</v>
      </c>
      <c r="Z184" s="531"/>
      <c r="AA184" s="449">
        <f t="shared" si="211"/>
        <v>0</v>
      </c>
      <c r="AB184" s="449">
        <f t="shared" si="211"/>
        <v>0</v>
      </c>
      <c r="AC184" s="449">
        <f t="shared" si="211"/>
        <v>0</v>
      </c>
      <c r="AD184" s="449">
        <f t="shared" si="211"/>
        <v>0</v>
      </c>
      <c r="AE184" s="449">
        <f t="shared" si="211"/>
        <v>0</v>
      </c>
      <c r="AF184" s="449">
        <f t="shared" si="211"/>
        <v>0</v>
      </c>
      <c r="AG184" s="449">
        <f t="shared" si="211"/>
        <v>0</v>
      </c>
      <c r="AH184" s="449">
        <f t="shared" si="211"/>
        <v>0</v>
      </c>
      <c r="AI184" s="449">
        <f t="shared" si="211"/>
        <v>0</v>
      </c>
      <c r="AJ184" s="449">
        <f t="shared" si="211"/>
        <v>0</v>
      </c>
      <c r="AK184" s="449">
        <f t="shared" si="211"/>
        <v>0</v>
      </c>
      <c r="AL184" s="449">
        <f t="shared" si="211"/>
        <v>0</v>
      </c>
      <c r="AN184" s="500">
        <f>SUM(L184:W184)</f>
        <v>0</v>
      </c>
      <c r="AO184" s="449">
        <f>SUM(BI184:BT184)</f>
        <v>0</v>
      </c>
      <c r="AP184" s="449">
        <f t="shared" si="195"/>
        <v>0</v>
      </c>
      <c r="AQ184" s="453" t="str">
        <f t="shared" si="196"/>
        <v>-</v>
      </c>
      <c r="AR184" s="449">
        <f t="shared" si="210"/>
        <v>0</v>
      </c>
      <c r="AS184" s="449">
        <f t="shared" si="198"/>
        <v>0</v>
      </c>
      <c r="AT184" s="426">
        <f t="shared" si="199"/>
        <v>0</v>
      </c>
      <c r="AU184" s="421"/>
      <c r="AV184" s="449">
        <f t="shared" si="204"/>
        <v>0</v>
      </c>
      <c r="AW184" s="449">
        <f t="shared" si="204"/>
        <v>0</v>
      </c>
      <c r="AX184" s="449">
        <f t="shared" si="204"/>
        <v>0</v>
      </c>
      <c r="AY184" s="449">
        <f t="shared" si="203"/>
        <v>0</v>
      </c>
      <c r="AZ184" s="449">
        <f t="shared" si="203"/>
        <v>0</v>
      </c>
      <c r="BA184" s="449">
        <f t="shared" si="203"/>
        <v>0</v>
      </c>
      <c r="BB184" s="449">
        <f t="shared" si="203"/>
        <v>0</v>
      </c>
      <c r="BC184" s="449">
        <f t="shared" si="203"/>
        <v>0</v>
      </c>
      <c r="BD184" s="449">
        <f t="shared" si="203"/>
        <v>0</v>
      </c>
      <c r="BE184" s="449">
        <f t="shared" si="203"/>
        <v>0</v>
      </c>
      <c r="BF184" s="449">
        <f t="shared" si="203"/>
        <v>0</v>
      </c>
      <c r="BG184" s="449">
        <f t="shared" si="203"/>
        <v>0</v>
      </c>
      <c r="BH184" s="400"/>
      <c r="BI184" s="449">
        <f t="shared" si="213"/>
        <v>0</v>
      </c>
      <c r="BJ184" s="449">
        <f t="shared" si="213"/>
        <v>0</v>
      </c>
      <c r="BK184" s="449">
        <f t="shared" si="213"/>
        <v>0</v>
      </c>
      <c r="BL184" s="449">
        <f t="shared" si="213"/>
        <v>0</v>
      </c>
      <c r="BM184" s="449">
        <f t="shared" si="213"/>
        <v>0</v>
      </c>
      <c r="BN184" s="449">
        <f t="shared" si="213"/>
        <v>0</v>
      </c>
      <c r="BO184" s="449">
        <f t="shared" si="213"/>
        <v>0</v>
      </c>
      <c r="BP184" s="449">
        <f t="shared" si="213"/>
        <v>0</v>
      </c>
      <c r="BQ184" s="449">
        <f t="shared" si="213"/>
        <v>0</v>
      </c>
      <c r="BR184" s="449">
        <f t="shared" si="213"/>
        <v>0</v>
      </c>
      <c r="BS184" s="449">
        <f t="shared" si="213"/>
        <v>0</v>
      </c>
      <c r="BT184" s="449">
        <f t="shared" si="213"/>
        <v>0</v>
      </c>
    </row>
    <row r="185" spans="1:72" ht="15" x14ac:dyDescent="0.25">
      <c r="A185" s="612" t="s">
        <v>297</v>
      </c>
      <c r="B185" s="612" t="s">
        <v>298</v>
      </c>
      <c r="C185" s="596"/>
      <c r="D185" s="500">
        <f t="shared" si="186"/>
        <v>6639.88</v>
      </c>
      <c r="E185" s="449">
        <v>0</v>
      </c>
      <c r="F185" s="449">
        <f t="shared" si="187"/>
        <v>6639.88</v>
      </c>
      <c r="G185" s="421">
        <f t="shared" si="188"/>
        <v>0</v>
      </c>
      <c r="H185" s="449">
        <v>2000</v>
      </c>
      <c r="I185" s="449">
        <f t="shared" si="189"/>
        <v>4639.88</v>
      </c>
      <c r="J185" s="426">
        <f t="shared" si="190"/>
        <v>2.3199399999999999</v>
      </c>
      <c r="K185" s="421"/>
      <c r="L185" s="449">
        <v>411.88</v>
      </c>
      <c r="M185" s="449">
        <v>6228</v>
      </c>
      <c r="N185" s="449">
        <v>0</v>
      </c>
      <c r="O185" s="449">
        <v>0</v>
      </c>
      <c r="P185" s="449">
        <v>0</v>
      </c>
      <c r="Q185" s="449">
        <v>0</v>
      </c>
      <c r="R185" s="449">
        <v>0</v>
      </c>
      <c r="S185" s="449">
        <v>0</v>
      </c>
      <c r="T185" s="449">
        <v>0</v>
      </c>
      <c r="U185" s="449">
        <v>0</v>
      </c>
      <c r="V185" s="449">
        <v>0</v>
      </c>
      <c r="W185" s="449">
        <v>0</v>
      </c>
      <c r="X185" s="449"/>
      <c r="Y185" s="449">
        <f t="shared" si="191"/>
        <v>6639.88</v>
      </c>
      <c r="Z185" s="531"/>
      <c r="AA185" s="449">
        <f t="shared" si="211"/>
        <v>166.66666666666666</v>
      </c>
      <c r="AB185" s="449">
        <f t="shared" si="211"/>
        <v>166.66666666666666</v>
      </c>
      <c r="AC185" s="449">
        <f t="shared" si="211"/>
        <v>166.66666666666666</v>
      </c>
      <c r="AD185" s="449">
        <f t="shared" si="211"/>
        <v>166.66666666666666</v>
      </c>
      <c r="AE185" s="449">
        <f t="shared" si="211"/>
        <v>166.66666666666666</v>
      </c>
      <c r="AF185" s="449">
        <f t="shared" si="211"/>
        <v>166.66666666666666</v>
      </c>
      <c r="AG185" s="449">
        <f t="shared" si="211"/>
        <v>166.66666666666666</v>
      </c>
      <c r="AH185" s="449">
        <f t="shared" si="211"/>
        <v>166.66666666666666</v>
      </c>
      <c r="AI185" s="449">
        <f t="shared" si="211"/>
        <v>166.66666666666666</v>
      </c>
      <c r="AJ185" s="449">
        <f t="shared" si="211"/>
        <v>166.66666666666666</v>
      </c>
      <c r="AK185" s="449">
        <f t="shared" si="211"/>
        <v>166.66666666666666</v>
      </c>
      <c r="AL185" s="449">
        <f t="shared" si="211"/>
        <v>166.66666666666666</v>
      </c>
      <c r="AN185" s="500">
        <f t="shared" si="193"/>
        <v>6639.88</v>
      </c>
      <c r="AO185" s="449">
        <f>SUM(BI185:BT185)</f>
        <v>0</v>
      </c>
      <c r="AP185" s="449">
        <f t="shared" si="195"/>
        <v>-6639.88</v>
      </c>
      <c r="AQ185" s="453">
        <f t="shared" si="196"/>
        <v>-1</v>
      </c>
      <c r="AR185" s="449">
        <f t="shared" si="210"/>
        <v>0</v>
      </c>
      <c r="AS185" s="449">
        <f t="shared" si="198"/>
        <v>0</v>
      </c>
      <c r="AT185" s="426">
        <f t="shared" si="199"/>
        <v>0</v>
      </c>
      <c r="AU185" s="421"/>
      <c r="AV185" s="449">
        <f t="shared" si="204"/>
        <v>0</v>
      </c>
      <c r="AW185" s="449">
        <f t="shared" si="204"/>
        <v>0</v>
      </c>
      <c r="AX185" s="449">
        <f t="shared" si="204"/>
        <v>0</v>
      </c>
      <c r="AY185" s="449">
        <f t="shared" si="203"/>
        <v>0</v>
      </c>
      <c r="AZ185" s="449">
        <f t="shared" si="203"/>
        <v>0</v>
      </c>
      <c r="BA185" s="449">
        <f t="shared" si="203"/>
        <v>0</v>
      </c>
      <c r="BB185" s="449">
        <f t="shared" si="203"/>
        <v>0</v>
      </c>
      <c r="BC185" s="449">
        <f t="shared" si="203"/>
        <v>0</v>
      </c>
      <c r="BD185" s="449">
        <f t="shared" si="203"/>
        <v>0</v>
      </c>
      <c r="BE185" s="449">
        <f t="shared" si="203"/>
        <v>0</v>
      </c>
      <c r="BF185" s="449">
        <f t="shared" si="203"/>
        <v>0</v>
      </c>
      <c r="BG185" s="449">
        <f t="shared" si="203"/>
        <v>0</v>
      </c>
      <c r="BH185" s="400"/>
      <c r="BI185" s="449">
        <f>(IFERROR((($H185/$H$5)*BI$5),0))*BI$696*0</f>
        <v>0</v>
      </c>
      <c r="BJ185" s="449">
        <f t="shared" ref="BJ185:BT185" si="214">(IFERROR((($H185/$H$5)*BJ$5),0))*BJ$696*0</f>
        <v>0</v>
      </c>
      <c r="BK185" s="449">
        <f t="shared" si="214"/>
        <v>0</v>
      </c>
      <c r="BL185" s="449">
        <f t="shared" si="214"/>
        <v>0</v>
      </c>
      <c r="BM185" s="449">
        <f t="shared" si="214"/>
        <v>0</v>
      </c>
      <c r="BN185" s="449">
        <f t="shared" si="214"/>
        <v>0</v>
      </c>
      <c r="BO185" s="449">
        <f t="shared" si="214"/>
        <v>0</v>
      </c>
      <c r="BP185" s="449">
        <f t="shared" si="214"/>
        <v>0</v>
      </c>
      <c r="BQ185" s="449">
        <f t="shared" si="214"/>
        <v>0</v>
      </c>
      <c r="BR185" s="449">
        <f t="shared" si="214"/>
        <v>0</v>
      </c>
      <c r="BS185" s="449">
        <f t="shared" si="214"/>
        <v>0</v>
      </c>
      <c r="BT185" s="449">
        <f t="shared" si="214"/>
        <v>0</v>
      </c>
    </row>
    <row r="186" spans="1:72" ht="15" x14ac:dyDescent="0.25">
      <c r="A186" s="612" t="s">
        <v>299</v>
      </c>
      <c r="B186" s="612" t="s">
        <v>300</v>
      </c>
      <c r="C186" s="541"/>
      <c r="D186" s="500">
        <f t="shared" si="186"/>
        <v>0</v>
      </c>
      <c r="E186" s="449">
        <v>0</v>
      </c>
      <c r="F186" s="449">
        <f t="shared" si="187"/>
        <v>0</v>
      </c>
      <c r="G186" s="421">
        <f t="shared" si="188"/>
        <v>0</v>
      </c>
      <c r="H186" s="449">
        <v>0</v>
      </c>
      <c r="I186" s="449">
        <f t="shared" si="189"/>
        <v>0</v>
      </c>
      <c r="J186" s="426">
        <f t="shared" si="190"/>
        <v>0</v>
      </c>
      <c r="K186" s="421"/>
      <c r="L186" s="449">
        <v>0</v>
      </c>
      <c r="M186" s="449">
        <v>0</v>
      </c>
      <c r="N186" s="449">
        <v>0</v>
      </c>
      <c r="O186" s="449">
        <v>0</v>
      </c>
      <c r="P186" s="449">
        <v>0</v>
      </c>
      <c r="Q186" s="449">
        <v>0</v>
      </c>
      <c r="R186" s="449">
        <f>($H186-SUM($L186:Q186))/R$694</f>
        <v>0</v>
      </c>
      <c r="S186" s="449">
        <f>($H186-SUM($L186:R186))/S$694</f>
        <v>0</v>
      </c>
      <c r="T186" s="449">
        <f>($H186-SUM($L186:S186))/T$694</f>
        <v>0</v>
      </c>
      <c r="U186" s="449">
        <f>($H186-SUM($L186:T186))/U$694</f>
        <v>0</v>
      </c>
      <c r="V186" s="449">
        <f>($H186-SUM($L186:U186))/V$694</f>
        <v>0</v>
      </c>
      <c r="W186" s="449">
        <f>($H186-SUM($L186:V186))/W$694</f>
        <v>0</v>
      </c>
      <c r="X186" s="449"/>
      <c r="Y186" s="449">
        <f t="shared" si="191"/>
        <v>0</v>
      </c>
      <c r="Z186" s="531"/>
      <c r="AA186" s="449">
        <f t="shared" si="211"/>
        <v>0</v>
      </c>
      <c r="AB186" s="449">
        <f t="shared" si="211"/>
        <v>0</v>
      </c>
      <c r="AC186" s="449">
        <f t="shared" si="211"/>
        <v>0</v>
      </c>
      <c r="AD186" s="449">
        <f t="shared" si="211"/>
        <v>0</v>
      </c>
      <c r="AE186" s="449">
        <f t="shared" si="211"/>
        <v>0</v>
      </c>
      <c r="AF186" s="449">
        <f t="shared" si="211"/>
        <v>0</v>
      </c>
      <c r="AG186" s="449">
        <f t="shared" si="211"/>
        <v>0</v>
      </c>
      <c r="AH186" s="449">
        <f t="shared" si="211"/>
        <v>0</v>
      </c>
      <c r="AI186" s="449">
        <f t="shared" si="211"/>
        <v>0</v>
      </c>
      <c r="AJ186" s="449">
        <f t="shared" si="211"/>
        <v>0</v>
      </c>
      <c r="AK186" s="449">
        <f t="shared" si="211"/>
        <v>0</v>
      </c>
      <c r="AL186" s="449">
        <f t="shared" si="211"/>
        <v>0</v>
      </c>
      <c r="AN186" s="500">
        <f t="shared" si="193"/>
        <v>0</v>
      </c>
      <c r="AO186" s="449">
        <f t="shared" si="194"/>
        <v>0</v>
      </c>
      <c r="AP186" s="449">
        <f t="shared" si="195"/>
        <v>0</v>
      </c>
      <c r="AQ186" s="453" t="str">
        <f t="shared" si="196"/>
        <v>-</v>
      </c>
      <c r="AR186" s="449">
        <f t="shared" si="210"/>
        <v>0</v>
      </c>
      <c r="AS186" s="449">
        <f t="shared" si="198"/>
        <v>0</v>
      </c>
      <c r="AT186" s="426">
        <f t="shared" si="199"/>
        <v>0</v>
      </c>
      <c r="AU186" s="421"/>
      <c r="AV186" s="449">
        <f t="shared" si="204"/>
        <v>0</v>
      </c>
      <c r="AW186" s="449">
        <f t="shared" si="204"/>
        <v>0</v>
      </c>
      <c r="AX186" s="449">
        <f t="shared" si="204"/>
        <v>0</v>
      </c>
      <c r="AY186" s="449">
        <f t="shared" si="203"/>
        <v>0</v>
      </c>
      <c r="AZ186" s="449">
        <f t="shared" si="203"/>
        <v>0</v>
      </c>
      <c r="BA186" s="449">
        <f t="shared" si="203"/>
        <v>0</v>
      </c>
      <c r="BB186" s="449">
        <f t="shared" si="203"/>
        <v>0</v>
      </c>
      <c r="BC186" s="449">
        <f t="shared" si="203"/>
        <v>0</v>
      </c>
      <c r="BD186" s="449">
        <f t="shared" si="203"/>
        <v>0</v>
      </c>
      <c r="BE186" s="449">
        <f t="shared" si="203"/>
        <v>0</v>
      </c>
      <c r="BF186" s="449">
        <f t="shared" si="203"/>
        <v>0</v>
      </c>
      <c r="BG186" s="449">
        <f t="shared" si="203"/>
        <v>0</v>
      </c>
      <c r="BH186" s="400"/>
      <c r="BI186" s="449">
        <f t="shared" ref="BI186:BT186" si="215">IFERROR((($H186/$H$5)*BI$5)/12,0)</f>
        <v>0</v>
      </c>
      <c r="BJ186" s="449">
        <f t="shared" si="215"/>
        <v>0</v>
      </c>
      <c r="BK186" s="449">
        <f t="shared" si="215"/>
        <v>0</v>
      </c>
      <c r="BL186" s="449">
        <f t="shared" si="215"/>
        <v>0</v>
      </c>
      <c r="BM186" s="449">
        <f t="shared" si="215"/>
        <v>0</v>
      </c>
      <c r="BN186" s="449">
        <f t="shared" si="215"/>
        <v>0</v>
      </c>
      <c r="BO186" s="449">
        <f t="shared" si="215"/>
        <v>0</v>
      </c>
      <c r="BP186" s="449">
        <f t="shared" si="215"/>
        <v>0</v>
      </c>
      <c r="BQ186" s="449">
        <f t="shared" si="215"/>
        <v>0</v>
      </c>
      <c r="BR186" s="449">
        <f t="shared" si="215"/>
        <v>0</v>
      </c>
      <c r="BS186" s="449">
        <f t="shared" si="215"/>
        <v>0</v>
      </c>
      <c r="BT186" s="449">
        <f t="shared" si="215"/>
        <v>0</v>
      </c>
    </row>
    <row r="187" spans="1:72" ht="15" x14ac:dyDescent="0.25">
      <c r="A187" s="502" t="s">
        <v>301</v>
      </c>
      <c r="B187" s="502" t="s">
        <v>302</v>
      </c>
      <c r="C187" s="538"/>
      <c r="D187" s="500">
        <f t="shared" si="186"/>
        <v>3065.4</v>
      </c>
      <c r="E187" s="449">
        <v>1608</v>
      </c>
      <c r="F187" s="449">
        <f t="shared" si="187"/>
        <v>1457.4</v>
      </c>
      <c r="G187" s="421">
        <f t="shared" si="188"/>
        <v>0.9063432835820896</v>
      </c>
      <c r="H187" s="449">
        <v>1608</v>
      </c>
      <c r="I187" s="449">
        <f t="shared" si="189"/>
        <v>1457.4</v>
      </c>
      <c r="J187" s="426">
        <f t="shared" si="190"/>
        <v>0.9063432835820896</v>
      </c>
      <c r="K187" s="421"/>
      <c r="L187" s="449">
        <v>0</v>
      </c>
      <c r="M187" s="449">
        <v>3065.4</v>
      </c>
      <c r="N187" s="449">
        <v>0</v>
      </c>
      <c r="O187" s="449">
        <v>0</v>
      </c>
      <c r="P187" s="449">
        <v>0</v>
      </c>
      <c r="Q187" s="449">
        <v>0</v>
      </c>
      <c r="R187" s="449">
        <v>0</v>
      </c>
      <c r="S187" s="449">
        <v>0</v>
      </c>
      <c r="T187" s="449">
        <v>0</v>
      </c>
      <c r="U187" s="449">
        <v>0</v>
      </c>
      <c r="V187" s="449">
        <v>0</v>
      </c>
      <c r="W187" s="449">
        <v>0</v>
      </c>
      <c r="X187" s="449"/>
      <c r="Y187" s="449">
        <f t="shared" si="191"/>
        <v>3065.4</v>
      </c>
      <c r="Z187" s="531"/>
      <c r="AA187" s="449">
        <f t="shared" si="211"/>
        <v>134</v>
      </c>
      <c r="AB187" s="449">
        <f t="shared" si="211"/>
        <v>134</v>
      </c>
      <c r="AC187" s="449">
        <f t="shared" si="211"/>
        <v>134</v>
      </c>
      <c r="AD187" s="449">
        <f t="shared" si="211"/>
        <v>134</v>
      </c>
      <c r="AE187" s="449">
        <f t="shared" si="211"/>
        <v>134</v>
      </c>
      <c r="AF187" s="449">
        <f t="shared" si="211"/>
        <v>134</v>
      </c>
      <c r="AG187" s="449">
        <f t="shared" si="211"/>
        <v>134</v>
      </c>
      <c r="AH187" s="449">
        <f t="shared" si="211"/>
        <v>134</v>
      </c>
      <c r="AI187" s="449">
        <f t="shared" si="211"/>
        <v>134</v>
      </c>
      <c r="AJ187" s="449">
        <f t="shared" si="211"/>
        <v>134</v>
      </c>
      <c r="AK187" s="449">
        <f t="shared" si="211"/>
        <v>134</v>
      </c>
      <c r="AL187" s="449">
        <f t="shared" si="211"/>
        <v>134</v>
      </c>
      <c r="AN187" s="500">
        <f t="shared" si="193"/>
        <v>3065.4</v>
      </c>
      <c r="AO187" s="449">
        <f t="shared" si="194"/>
        <v>3370.7089156626516</v>
      </c>
      <c r="AP187" s="449">
        <f t="shared" si="195"/>
        <v>305.30891566265154</v>
      </c>
      <c r="AQ187" s="453">
        <f t="shared" si="196"/>
        <v>9.9598393574297492E-2</v>
      </c>
      <c r="AR187" s="449">
        <f t="shared" si="210"/>
        <v>3370.7089156626516</v>
      </c>
      <c r="AS187" s="449">
        <f t="shared" si="198"/>
        <v>0</v>
      </c>
      <c r="AT187" s="426">
        <f t="shared" si="199"/>
        <v>0</v>
      </c>
      <c r="AU187" s="421"/>
      <c r="AV187" s="449">
        <f t="shared" si="204"/>
        <v>280.89240963855423</v>
      </c>
      <c r="AW187" s="449">
        <f t="shared" si="204"/>
        <v>280.89240963855423</v>
      </c>
      <c r="AX187" s="449">
        <f t="shared" si="204"/>
        <v>280.89240963855423</v>
      </c>
      <c r="AY187" s="449">
        <f t="shared" si="203"/>
        <v>280.89240963855423</v>
      </c>
      <c r="AZ187" s="449">
        <f t="shared" si="203"/>
        <v>280.89240963855423</v>
      </c>
      <c r="BA187" s="449">
        <f t="shared" si="203"/>
        <v>280.89240963855423</v>
      </c>
      <c r="BB187" s="449">
        <f t="shared" si="203"/>
        <v>280.89240963855423</v>
      </c>
      <c r="BC187" s="449">
        <f t="shared" si="203"/>
        <v>280.89240963855423</v>
      </c>
      <c r="BD187" s="449">
        <f t="shared" si="203"/>
        <v>280.89240963855423</v>
      </c>
      <c r="BE187" s="449">
        <f t="shared" si="203"/>
        <v>280.89240963855423</v>
      </c>
      <c r="BF187" s="449">
        <f t="shared" si="203"/>
        <v>280.89240963855423</v>
      </c>
      <c r="BG187" s="449">
        <f t="shared" si="203"/>
        <v>280.89240963855423</v>
      </c>
      <c r="BH187" s="400"/>
      <c r="BI187" s="449">
        <f t="shared" ref="BI187:BT187" si="216">IFERROR((($D187/$H$5)*BI$5)/12,0)</f>
        <v>280.89240963855423</v>
      </c>
      <c r="BJ187" s="449">
        <f t="shared" si="216"/>
        <v>280.89240963855423</v>
      </c>
      <c r="BK187" s="449">
        <f t="shared" si="216"/>
        <v>280.89240963855423</v>
      </c>
      <c r="BL187" s="449">
        <f t="shared" si="216"/>
        <v>280.89240963855423</v>
      </c>
      <c r="BM187" s="449">
        <f t="shared" si="216"/>
        <v>280.89240963855423</v>
      </c>
      <c r="BN187" s="449">
        <f t="shared" si="216"/>
        <v>280.89240963855423</v>
      </c>
      <c r="BO187" s="449">
        <f t="shared" si="216"/>
        <v>280.89240963855423</v>
      </c>
      <c r="BP187" s="449">
        <f t="shared" si="216"/>
        <v>280.89240963855423</v>
      </c>
      <c r="BQ187" s="449">
        <f t="shared" si="216"/>
        <v>280.89240963855423</v>
      </c>
      <c r="BR187" s="449">
        <f t="shared" si="216"/>
        <v>280.89240963855423</v>
      </c>
      <c r="BS187" s="449">
        <f t="shared" si="216"/>
        <v>280.89240963855423</v>
      </c>
      <c r="BT187" s="449">
        <f t="shared" si="216"/>
        <v>280.89240963855423</v>
      </c>
    </row>
    <row r="188" spans="1:72" ht="15" x14ac:dyDescent="0.25">
      <c r="A188" s="537" t="s">
        <v>303</v>
      </c>
      <c r="B188" s="537" t="s">
        <v>304</v>
      </c>
      <c r="C188" s="541"/>
      <c r="D188" s="500">
        <f>SUM(L188:W188)</f>
        <v>0</v>
      </c>
      <c r="E188" s="449">
        <v>0</v>
      </c>
      <c r="F188" s="449">
        <f t="shared" si="187"/>
        <v>0</v>
      </c>
      <c r="G188" s="421">
        <f t="shared" si="188"/>
        <v>0</v>
      </c>
      <c r="H188" s="449">
        <v>0</v>
      </c>
      <c r="I188" s="449">
        <f t="shared" si="189"/>
        <v>0</v>
      </c>
      <c r="J188" s="426">
        <f t="shared" si="190"/>
        <v>0</v>
      </c>
      <c r="K188" s="421"/>
      <c r="L188" s="449">
        <v>0</v>
      </c>
      <c r="M188" s="449">
        <v>0</v>
      </c>
      <c r="N188" s="449">
        <v>0</v>
      </c>
      <c r="O188" s="449">
        <v>0</v>
      </c>
      <c r="P188" s="449">
        <v>0</v>
      </c>
      <c r="Q188" s="449">
        <v>0</v>
      </c>
      <c r="R188" s="449">
        <f>($H188-SUM($L188:Q188))/R$694</f>
        <v>0</v>
      </c>
      <c r="S188" s="449">
        <f>($H188-SUM($L188:R188))/S$694</f>
        <v>0</v>
      </c>
      <c r="T188" s="449">
        <f>($H188-SUM($L188:S188))/T$694</f>
        <v>0</v>
      </c>
      <c r="U188" s="449">
        <f>($H188-SUM($L188:T188))/U$694</f>
        <v>0</v>
      </c>
      <c r="V188" s="449">
        <f>($H188-SUM($L188:U188))/V$694</f>
        <v>0</v>
      </c>
      <c r="W188" s="449">
        <f>($H188-SUM($L188:V188))/W$694</f>
        <v>0</v>
      </c>
      <c r="X188" s="449"/>
      <c r="Y188" s="449">
        <f t="shared" si="191"/>
        <v>0</v>
      </c>
      <c r="Z188" s="531"/>
      <c r="AA188" s="449">
        <f t="shared" si="211"/>
        <v>0</v>
      </c>
      <c r="AB188" s="449">
        <f t="shared" si="211"/>
        <v>0</v>
      </c>
      <c r="AC188" s="449">
        <f t="shared" si="211"/>
        <v>0</v>
      </c>
      <c r="AD188" s="449">
        <f t="shared" si="211"/>
        <v>0</v>
      </c>
      <c r="AE188" s="449">
        <f t="shared" si="211"/>
        <v>0</v>
      </c>
      <c r="AF188" s="449">
        <f t="shared" si="211"/>
        <v>0</v>
      </c>
      <c r="AG188" s="449">
        <f t="shared" si="211"/>
        <v>0</v>
      </c>
      <c r="AH188" s="449">
        <f t="shared" si="211"/>
        <v>0</v>
      </c>
      <c r="AI188" s="449">
        <f t="shared" si="211"/>
        <v>0</v>
      </c>
      <c r="AJ188" s="449">
        <f t="shared" si="211"/>
        <v>0</v>
      </c>
      <c r="AK188" s="449">
        <f t="shared" si="211"/>
        <v>0</v>
      </c>
      <c r="AL188" s="449">
        <f t="shared" si="211"/>
        <v>0</v>
      </c>
      <c r="AN188" s="500">
        <f>SUM(L188:W188)</f>
        <v>0</v>
      </c>
      <c r="AO188" s="449">
        <f>SUM(BI188:BT188)</f>
        <v>0</v>
      </c>
      <c r="AP188" s="449">
        <f t="shared" si="195"/>
        <v>0</v>
      </c>
      <c r="AQ188" s="453" t="str">
        <f t="shared" si="196"/>
        <v>-</v>
      </c>
      <c r="AR188" s="449">
        <f t="shared" si="210"/>
        <v>0</v>
      </c>
      <c r="AS188" s="449">
        <f t="shared" si="198"/>
        <v>0</v>
      </c>
      <c r="AT188" s="426">
        <f t="shared" si="199"/>
        <v>0</v>
      </c>
      <c r="AU188" s="421"/>
      <c r="AV188" s="449">
        <f t="shared" si="204"/>
        <v>0</v>
      </c>
      <c r="AW188" s="449">
        <f t="shared" si="204"/>
        <v>0</v>
      </c>
      <c r="AX188" s="449">
        <f t="shared" si="204"/>
        <v>0</v>
      </c>
      <c r="AY188" s="449">
        <f t="shared" si="203"/>
        <v>0</v>
      </c>
      <c r="AZ188" s="449">
        <f t="shared" si="203"/>
        <v>0</v>
      </c>
      <c r="BA188" s="449">
        <f t="shared" si="203"/>
        <v>0</v>
      </c>
      <c r="BB188" s="449">
        <f t="shared" si="203"/>
        <v>0</v>
      </c>
      <c r="BC188" s="449">
        <f t="shared" si="203"/>
        <v>0</v>
      </c>
      <c r="BD188" s="449">
        <f t="shared" si="203"/>
        <v>0</v>
      </c>
      <c r="BE188" s="449">
        <f t="shared" si="203"/>
        <v>0</v>
      </c>
      <c r="BF188" s="449">
        <f t="shared" si="203"/>
        <v>0</v>
      </c>
      <c r="BG188" s="449">
        <f t="shared" si="203"/>
        <v>0</v>
      </c>
      <c r="BH188" s="400"/>
      <c r="BI188" s="449">
        <f t="shared" ref="BI188:BT188" si="217">IFERROR((($H188/$H$5)*BI$5)/12,0)</f>
        <v>0</v>
      </c>
      <c r="BJ188" s="449">
        <f t="shared" si="217"/>
        <v>0</v>
      </c>
      <c r="BK188" s="449">
        <f t="shared" si="217"/>
        <v>0</v>
      </c>
      <c r="BL188" s="449">
        <f t="shared" si="217"/>
        <v>0</v>
      </c>
      <c r="BM188" s="449">
        <f t="shared" si="217"/>
        <v>0</v>
      </c>
      <c r="BN188" s="449">
        <f t="shared" si="217"/>
        <v>0</v>
      </c>
      <c r="BO188" s="449">
        <f t="shared" si="217"/>
        <v>0</v>
      </c>
      <c r="BP188" s="449">
        <f t="shared" si="217"/>
        <v>0</v>
      </c>
      <c r="BQ188" s="449">
        <f t="shared" si="217"/>
        <v>0</v>
      </c>
      <c r="BR188" s="449">
        <f t="shared" si="217"/>
        <v>0</v>
      </c>
      <c r="BS188" s="449">
        <f t="shared" si="217"/>
        <v>0</v>
      </c>
      <c r="BT188" s="449">
        <f t="shared" si="217"/>
        <v>0</v>
      </c>
    </row>
    <row r="189" spans="1:72" ht="15" x14ac:dyDescent="0.25">
      <c r="A189" s="502" t="s">
        <v>305</v>
      </c>
      <c r="B189" s="612" t="s">
        <v>306</v>
      </c>
      <c r="C189" s="596"/>
      <c r="D189" s="500">
        <f t="shared" si="186"/>
        <v>1816.19</v>
      </c>
      <c r="E189" s="449">
        <v>0</v>
      </c>
      <c r="F189" s="449">
        <f t="shared" si="187"/>
        <v>1816.19</v>
      </c>
      <c r="G189" s="421">
        <f t="shared" si="188"/>
        <v>0</v>
      </c>
      <c r="H189" s="449">
        <v>0</v>
      </c>
      <c r="I189" s="449">
        <f t="shared" si="189"/>
        <v>1816.19</v>
      </c>
      <c r="J189" s="426">
        <f t="shared" si="190"/>
        <v>0</v>
      </c>
      <c r="K189" s="421"/>
      <c r="L189" s="449">
        <v>1569.45</v>
      </c>
      <c r="M189" s="449">
        <v>0</v>
      </c>
      <c r="N189" s="449">
        <v>246.74</v>
      </c>
      <c r="O189" s="449">
        <v>0</v>
      </c>
      <c r="P189" s="449">
        <v>0</v>
      </c>
      <c r="Q189" s="449">
        <v>0</v>
      </c>
      <c r="R189" s="449">
        <v>0</v>
      </c>
      <c r="S189" s="449">
        <v>0</v>
      </c>
      <c r="T189" s="449">
        <v>0</v>
      </c>
      <c r="U189" s="449">
        <v>0</v>
      </c>
      <c r="V189" s="449">
        <v>0</v>
      </c>
      <c r="W189" s="449">
        <v>0</v>
      </c>
      <c r="X189" s="449"/>
      <c r="Y189" s="449">
        <f t="shared" si="191"/>
        <v>1816.19</v>
      </c>
      <c r="Z189" s="531"/>
      <c r="AA189" s="449">
        <f t="shared" si="211"/>
        <v>0</v>
      </c>
      <c r="AB189" s="449">
        <f t="shared" si="211"/>
        <v>0</v>
      </c>
      <c r="AC189" s="449">
        <f t="shared" si="211"/>
        <v>0</v>
      </c>
      <c r="AD189" s="449">
        <f t="shared" si="211"/>
        <v>0</v>
      </c>
      <c r="AE189" s="449">
        <f t="shared" si="211"/>
        <v>0</v>
      </c>
      <c r="AF189" s="449">
        <f t="shared" si="211"/>
        <v>0</v>
      </c>
      <c r="AG189" s="449">
        <f t="shared" si="211"/>
        <v>0</v>
      </c>
      <c r="AH189" s="449">
        <f t="shared" si="211"/>
        <v>0</v>
      </c>
      <c r="AI189" s="449">
        <f t="shared" si="211"/>
        <v>0</v>
      </c>
      <c r="AJ189" s="449">
        <f t="shared" si="211"/>
        <v>0</v>
      </c>
      <c r="AK189" s="449">
        <f t="shared" si="211"/>
        <v>0</v>
      </c>
      <c r="AL189" s="449">
        <f t="shared" si="211"/>
        <v>0</v>
      </c>
      <c r="AN189" s="500">
        <f t="shared" si="193"/>
        <v>1816.19</v>
      </c>
      <c r="AO189" s="449">
        <f t="shared" si="194"/>
        <v>1997.0796064257036</v>
      </c>
      <c r="AP189" s="449">
        <f t="shared" si="195"/>
        <v>180.88960642570351</v>
      </c>
      <c r="AQ189" s="453">
        <f t="shared" si="196"/>
        <v>9.9598393574297561E-2</v>
      </c>
      <c r="AR189" s="449">
        <f t="shared" si="210"/>
        <v>1997.0796064257036</v>
      </c>
      <c r="AS189" s="449">
        <f t="shared" si="198"/>
        <v>0</v>
      </c>
      <c r="AT189" s="426">
        <f t="shared" si="199"/>
        <v>0</v>
      </c>
      <c r="AU189" s="421"/>
      <c r="AV189" s="449">
        <f t="shared" si="204"/>
        <v>399.4159212851406</v>
      </c>
      <c r="AW189" s="449">
        <f t="shared" si="204"/>
        <v>399.4159212851406</v>
      </c>
      <c r="AX189" s="449">
        <f t="shared" si="204"/>
        <v>266.2772808567604</v>
      </c>
      <c r="AY189" s="449">
        <f t="shared" si="203"/>
        <v>266.2772808567604</v>
      </c>
      <c r="AZ189" s="449">
        <f t="shared" si="203"/>
        <v>266.2772808567604</v>
      </c>
      <c r="BA189" s="449">
        <f t="shared" si="203"/>
        <v>57.059417326448653</v>
      </c>
      <c r="BB189" s="449">
        <f t="shared" si="203"/>
        <v>57.059417326448653</v>
      </c>
      <c r="BC189" s="449">
        <f t="shared" si="203"/>
        <v>57.059417326448653</v>
      </c>
      <c r="BD189" s="449">
        <f t="shared" si="203"/>
        <v>57.059417326448653</v>
      </c>
      <c r="BE189" s="449">
        <f t="shared" si="203"/>
        <v>57.059417326448653</v>
      </c>
      <c r="BF189" s="449">
        <f t="shared" si="203"/>
        <v>57.059417326448653</v>
      </c>
      <c r="BG189" s="449">
        <f t="shared" si="203"/>
        <v>57.059417326448653</v>
      </c>
      <c r="BH189" s="400"/>
      <c r="BI189" s="449">
        <f t="shared" ref="BI189:BT190" si="218">(IFERROR((($D189/$H$5)*BI$5),0))*BI$696</f>
        <v>399.4159212851406</v>
      </c>
      <c r="BJ189" s="449">
        <f t="shared" si="218"/>
        <v>399.4159212851406</v>
      </c>
      <c r="BK189" s="449">
        <f t="shared" si="218"/>
        <v>266.2772808567604</v>
      </c>
      <c r="BL189" s="449">
        <f t="shared" si="218"/>
        <v>266.2772808567604</v>
      </c>
      <c r="BM189" s="449">
        <f t="shared" si="218"/>
        <v>266.2772808567604</v>
      </c>
      <c r="BN189" s="449">
        <f t="shared" si="218"/>
        <v>57.059417326448653</v>
      </c>
      <c r="BO189" s="449">
        <f t="shared" si="218"/>
        <v>57.059417326448653</v>
      </c>
      <c r="BP189" s="449">
        <f t="shared" si="218"/>
        <v>57.059417326448653</v>
      </c>
      <c r="BQ189" s="449">
        <f t="shared" si="218"/>
        <v>57.059417326448653</v>
      </c>
      <c r="BR189" s="449">
        <f t="shared" si="218"/>
        <v>57.059417326448653</v>
      </c>
      <c r="BS189" s="449">
        <f t="shared" si="218"/>
        <v>57.059417326448653</v>
      </c>
      <c r="BT189" s="449">
        <f t="shared" si="218"/>
        <v>57.059417326448653</v>
      </c>
    </row>
    <row r="190" spans="1:72" ht="15" x14ac:dyDescent="0.25">
      <c r="A190" s="502" t="s">
        <v>307</v>
      </c>
      <c r="B190" s="612" t="s">
        <v>308</v>
      </c>
      <c r="C190" s="596"/>
      <c r="D190" s="500">
        <f t="shared" si="186"/>
        <v>21861.65</v>
      </c>
      <c r="E190" s="449">
        <v>0</v>
      </c>
      <c r="F190" s="449">
        <f t="shared" si="187"/>
        <v>21861.65</v>
      </c>
      <c r="G190" s="421">
        <f t="shared" si="188"/>
        <v>0</v>
      </c>
      <c r="H190" s="449">
        <v>20000</v>
      </c>
      <c r="I190" s="449">
        <f t="shared" si="189"/>
        <v>1861.6500000000015</v>
      </c>
      <c r="J190" s="426">
        <f t="shared" si="190"/>
        <v>9.3082500000000068E-2</v>
      </c>
      <c r="K190" s="421"/>
      <c r="L190" s="449">
        <v>21861.65</v>
      </c>
      <c r="M190" s="449">
        <v>0</v>
      </c>
      <c r="N190" s="449">
        <v>0</v>
      </c>
      <c r="O190" s="449">
        <v>0</v>
      </c>
      <c r="P190" s="449">
        <v>0</v>
      </c>
      <c r="Q190" s="449">
        <v>0</v>
      </c>
      <c r="R190" s="449">
        <v>0</v>
      </c>
      <c r="S190" s="449">
        <v>0</v>
      </c>
      <c r="T190" s="449">
        <v>0</v>
      </c>
      <c r="U190" s="449">
        <v>0</v>
      </c>
      <c r="V190" s="449">
        <v>0</v>
      </c>
      <c r="W190" s="449">
        <v>0</v>
      </c>
      <c r="X190" s="449"/>
      <c r="Y190" s="449">
        <f t="shared" si="191"/>
        <v>21861.65</v>
      </c>
      <c r="Z190" s="531"/>
      <c r="AA190" s="449">
        <f t="shared" si="211"/>
        <v>1666.6666666666667</v>
      </c>
      <c r="AB190" s="449">
        <f t="shared" si="211"/>
        <v>1666.6666666666667</v>
      </c>
      <c r="AC190" s="449">
        <f t="shared" si="211"/>
        <v>1666.6666666666667</v>
      </c>
      <c r="AD190" s="449">
        <f t="shared" si="211"/>
        <v>1666.6666666666667</v>
      </c>
      <c r="AE190" s="449">
        <f t="shared" si="211"/>
        <v>1666.6666666666667</v>
      </c>
      <c r="AF190" s="449">
        <f t="shared" si="211"/>
        <v>1666.6666666666667</v>
      </c>
      <c r="AG190" s="449">
        <f t="shared" si="211"/>
        <v>1666.6666666666667</v>
      </c>
      <c r="AH190" s="449">
        <f t="shared" si="211"/>
        <v>1666.6666666666667</v>
      </c>
      <c r="AI190" s="449">
        <f t="shared" si="211"/>
        <v>1666.6666666666667</v>
      </c>
      <c r="AJ190" s="449">
        <f t="shared" si="211"/>
        <v>1666.6666666666667</v>
      </c>
      <c r="AK190" s="449">
        <f t="shared" si="211"/>
        <v>1666.6666666666667</v>
      </c>
      <c r="AL190" s="449">
        <f t="shared" si="211"/>
        <v>1666.6666666666667</v>
      </c>
      <c r="AN190" s="500">
        <f t="shared" si="193"/>
        <v>21861.65</v>
      </c>
      <c r="AO190" s="449">
        <f t="shared" si="194"/>
        <v>24039.035220883532</v>
      </c>
      <c r="AP190" s="449">
        <f t="shared" si="195"/>
        <v>2177.3852208835306</v>
      </c>
      <c r="AQ190" s="453">
        <f t="shared" si="196"/>
        <v>9.959839357429702E-2</v>
      </c>
      <c r="AR190" s="449">
        <f t="shared" si="210"/>
        <v>24039.035220883532</v>
      </c>
      <c r="AS190" s="449">
        <f t="shared" si="198"/>
        <v>0</v>
      </c>
      <c r="AT190" s="426">
        <f t="shared" si="199"/>
        <v>0</v>
      </c>
      <c r="AU190" s="421"/>
      <c r="AV190" s="449">
        <f t="shared" si="204"/>
        <v>4807.8070441767077</v>
      </c>
      <c r="AW190" s="449">
        <f t="shared" si="204"/>
        <v>4807.8070441767077</v>
      </c>
      <c r="AX190" s="449">
        <f t="shared" si="204"/>
        <v>3205.2046961178048</v>
      </c>
      <c r="AY190" s="449">
        <f t="shared" si="203"/>
        <v>3205.2046961178048</v>
      </c>
      <c r="AZ190" s="449">
        <f t="shared" si="203"/>
        <v>3205.2046961178048</v>
      </c>
      <c r="BA190" s="449">
        <f t="shared" si="203"/>
        <v>686.82957773952955</v>
      </c>
      <c r="BB190" s="449">
        <f t="shared" si="203"/>
        <v>686.82957773952955</v>
      </c>
      <c r="BC190" s="449">
        <f t="shared" si="203"/>
        <v>686.82957773952955</v>
      </c>
      <c r="BD190" s="449">
        <f t="shared" si="203"/>
        <v>686.82957773952955</v>
      </c>
      <c r="BE190" s="449">
        <f t="shared" si="203"/>
        <v>686.82957773952955</v>
      </c>
      <c r="BF190" s="449">
        <f t="shared" si="203"/>
        <v>686.82957773952955</v>
      </c>
      <c r="BG190" s="449">
        <f t="shared" si="203"/>
        <v>686.82957773952955</v>
      </c>
      <c r="BH190" s="400"/>
      <c r="BI190" s="449">
        <f t="shared" si="218"/>
        <v>4807.8070441767077</v>
      </c>
      <c r="BJ190" s="449">
        <f t="shared" si="218"/>
        <v>4807.8070441767077</v>
      </c>
      <c r="BK190" s="449">
        <f t="shared" si="218"/>
        <v>3205.2046961178048</v>
      </c>
      <c r="BL190" s="449">
        <f t="shared" si="218"/>
        <v>3205.2046961178048</v>
      </c>
      <c r="BM190" s="449">
        <f t="shared" si="218"/>
        <v>3205.2046961178048</v>
      </c>
      <c r="BN190" s="449">
        <f t="shared" si="218"/>
        <v>686.82957773952955</v>
      </c>
      <c r="BO190" s="449">
        <f t="shared" si="218"/>
        <v>686.82957773952955</v>
      </c>
      <c r="BP190" s="449">
        <f t="shared" si="218"/>
        <v>686.82957773952955</v>
      </c>
      <c r="BQ190" s="449">
        <f t="shared" si="218"/>
        <v>686.82957773952955</v>
      </c>
      <c r="BR190" s="449">
        <f t="shared" si="218"/>
        <v>686.82957773952955</v>
      </c>
      <c r="BS190" s="449">
        <f t="shared" si="218"/>
        <v>686.82957773952955</v>
      </c>
      <c r="BT190" s="449">
        <f t="shared" si="218"/>
        <v>686.82957773952955</v>
      </c>
    </row>
    <row r="191" spans="1:72" ht="15" x14ac:dyDescent="0.25">
      <c r="A191" s="502" t="s">
        <v>309</v>
      </c>
      <c r="B191" s="612" t="s">
        <v>310</v>
      </c>
      <c r="C191" s="596"/>
      <c r="D191" s="500">
        <f t="shared" si="186"/>
        <v>2000</v>
      </c>
      <c r="E191" s="449">
        <v>0</v>
      </c>
      <c r="F191" s="449">
        <f t="shared" si="187"/>
        <v>2000</v>
      </c>
      <c r="G191" s="421">
        <f t="shared" si="188"/>
        <v>0</v>
      </c>
      <c r="H191" s="449">
        <v>2000</v>
      </c>
      <c r="I191" s="449">
        <f t="shared" si="189"/>
        <v>0</v>
      </c>
      <c r="J191" s="426">
        <f t="shared" si="190"/>
        <v>0</v>
      </c>
      <c r="K191" s="421"/>
      <c r="L191" s="449">
        <v>0</v>
      </c>
      <c r="M191" s="449">
        <v>0</v>
      </c>
      <c r="N191" s="449">
        <v>0</v>
      </c>
      <c r="O191" s="449">
        <v>0</v>
      </c>
      <c r="P191" s="449">
        <v>0</v>
      </c>
      <c r="Q191" s="449">
        <v>0</v>
      </c>
      <c r="R191" s="449">
        <f>($H191-SUM($L191:Q191))/R$694</f>
        <v>333.33333333333331</v>
      </c>
      <c r="S191" s="449">
        <f>($H191-SUM($L191:R191))/S$694</f>
        <v>333.33333333333337</v>
      </c>
      <c r="T191" s="449">
        <f>($H191-SUM($L191:S191))/T$694</f>
        <v>333.33333333333331</v>
      </c>
      <c r="U191" s="449">
        <f>($H191-SUM($L191:T191))/U$694</f>
        <v>333.33333333333331</v>
      </c>
      <c r="V191" s="449">
        <f>($H191-SUM($L191:U191))/V$694</f>
        <v>333.33333333333337</v>
      </c>
      <c r="W191" s="449">
        <f>($H191-SUM($L191:V191))/W$694</f>
        <v>333.33333333333348</v>
      </c>
      <c r="X191" s="449"/>
      <c r="Y191" s="449">
        <f t="shared" si="191"/>
        <v>2000</v>
      </c>
      <c r="Z191" s="531"/>
      <c r="AA191" s="449">
        <f t="shared" si="211"/>
        <v>166.66666666666666</v>
      </c>
      <c r="AB191" s="449">
        <f t="shared" si="211"/>
        <v>166.66666666666666</v>
      </c>
      <c r="AC191" s="449">
        <f t="shared" si="211"/>
        <v>166.66666666666666</v>
      </c>
      <c r="AD191" s="449">
        <f t="shared" si="211"/>
        <v>166.66666666666666</v>
      </c>
      <c r="AE191" s="449">
        <f t="shared" si="211"/>
        <v>166.66666666666666</v>
      </c>
      <c r="AF191" s="449">
        <f t="shared" si="211"/>
        <v>166.66666666666666</v>
      </c>
      <c r="AG191" s="449">
        <f t="shared" si="211"/>
        <v>166.66666666666666</v>
      </c>
      <c r="AH191" s="449">
        <f t="shared" si="211"/>
        <v>166.66666666666666</v>
      </c>
      <c r="AI191" s="449">
        <f t="shared" si="211"/>
        <v>166.66666666666666</v>
      </c>
      <c r="AJ191" s="449">
        <f t="shared" si="211"/>
        <v>166.66666666666666</v>
      </c>
      <c r="AK191" s="449">
        <f t="shared" si="211"/>
        <v>166.66666666666666</v>
      </c>
      <c r="AL191" s="449">
        <f t="shared" si="211"/>
        <v>166.66666666666666</v>
      </c>
      <c r="AN191" s="500">
        <f t="shared" ref="AN191:AN225" si="219">SUM(L191:W191)</f>
        <v>2000</v>
      </c>
      <c r="AO191" s="449">
        <f t="shared" si="194"/>
        <v>0</v>
      </c>
      <c r="AP191" s="449">
        <f t="shared" si="195"/>
        <v>-2000</v>
      </c>
      <c r="AQ191" s="453">
        <f t="shared" si="196"/>
        <v>-1</v>
      </c>
      <c r="AR191" s="449">
        <f t="shared" si="210"/>
        <v>0</v>
      </c>
      <c r="AS191" s="449">
        <f t="shared" si="198"/>
        <v>0</v>
      </c>
      <c r="AT191" s="426">
        <f t="shared" si="199"/>
        <v>0</v>
      </c>
      <c r="AU191" s="421"/>
      <c r="AV191" s="449">
        <f t="shared" si="204"/>
        <v>0</v>
      </c>
      <c r="AW191" s="449">
        <f t="shared" si="204"/>
        <v>0</v>
      </c>
      <c r="AX191" s="449">
        <f t="shared" si="204"/>
        <v>0</v>
      </c>
      <c r="AY191" s="449">
        <f t="shared" si="203"/>
        <v>0</v>
      </c>
      <c r="AZ191" s="449">
        <f t="shared" si="203"/>
        <v>0</v>
      </c>
      <c r="BA191" s="449">
        <f t="shared" si="203"/>
        <v>0</v>
      </c>
      <c r="BB191" s="449">
        <f t="shared" si="203"/>
        <v>0</v>
      </c>
      <c r="BC191" s="449">
        <f t="shared" si="203"/>
        <v>0</v>
      </c>
      <c r="BD191" s="449">
        <f t="shared" si="203"/>
        <v>0</v>
      </c>
      <c r="BE191" s="449">
        <f t="shared" si="203"/>
        <v>0</v>
      </c>
      <c r="BF191" s="449">
        <f t="shared" si="203"/>
        <v>0</v>
      </c>
      <c r="BG191" s="449">
        <f t="shared" si="203"/>
        <v>0</v>
      </c>
      <c r="BH191" s="400"/>
      <c r="BI191" s="449">
        <f>(IFERROR((($H191/$H$5)*BI$5),0))*BI$696*0</f>
        <v>0</v>
      </c>
      <c r="BJ191" s="449">
        <f t="shared" ref="BJ191:BT191" si="220">(IFERROR((($H191/$H$5)*BJ$5),0))*BJ$696*0</f>
        <v>0</v>
      </c>
      <c r="BK191" s="449">
        <f t="shared" si="220"/>
        <v>0</v>
      </c>
      <c r="BL191" s="449">
        <f t="shared" si="220"/>
        <v>0</v>
      </c>
      <c r="BM191" s="449">
        <f t="shared" si="220"/>
        <v>0</v>
      </c>
      <c r="BN191" s="449">
        <f t="shared" si="220"/>
        <v>0</v>
      </c>
      <c r="BO191" s="449">
        <f t="shared" si="220"/>
        <v>0</v>
      </c>
      <c r="BP191" s="449">
        <f t="shared" si="220"/>
        <v>0</v>
      </c>
      <c r="BQ191" s="449">
        <f t="shared" si="220"/>
        <v>0</v>
      </c>
      <c r="BR191" s="449">
        <f t="shared" si="220"/>
        <v>0</v>
      </c>
      <c r="BS191" s="449">
        <f t="shared" si="220"/>
        <v>0</v>
      </c>
      <c r="BT191" s="449">
        <f t="shared" si="220"/>
        <v>0</v>
      </c>
    </row>
    <row r="192" spans="1:72" ht="15" x14ac:dyDescent="0.25">
      <c r="A192" s="502" t="s">
        <v>311</v>
      </c>
      <c r="B192" s="502" t="s">
        <v>312</v>
      </c>
      <c r="C192" s="538"/>
      <c r="D192" s="500">
        <f t="shared" si="186"/>
        <v>39000</v>
      </c>
      <c r="E192" s="449">
        <v>32960</v>
      </c>
      <c r="F192" s="449">
        <f t="shared" si="187"/>
        <v>6040</v>
      </c>
      <c r="G192" s="421">
        <f t="shared" si="188"/>
        <v>0.18325242718446602</v>
      </c>
      <c r="H192" s="449">
        <v>39000</v>
      </c>
      <c r="I192" s="449">
        <f t="shared" si="189"/>
        <v>0</v>
      </c>
      <c r="J192" s="426">
        <f t="shared" si="190"/>
        <v>0</v>
      </c>
      <c r="K192" s="421"/>
      <c r="L192" s="449">
        <v>-1811.33</v>
      </c>
      <c r="M192" s="449">
        <v>6642.46</v>
      </c>
      <c r="N192" s="449">
        <v>5812.1500000000005</v>
      </c>
      <c r="O192" s="449">
        <v>5535.3799999999992</v>
      </c>
      <c r="P192" s="449">
        <v>-5321.6399999999994</v>
      </c>
      <c r="Q192" s="449">
        <v>17776.25</v>
      </c>
      <c r="R192" s="449">
        <f>($H192-SUM($L192:Q192))/R$694</f>
        <v>1727.7883333333332</v>
      </c>
      <c r="S192" s="449">
        <f>($H192-SUM($L192:R192))/S$694</f>
        <v>1727.7883333333332</v>
      </c>
      <c r="T192" s="449">
        <f>($H192-SUM($L192:S192))/T$694</f>
        <v>1727.788333333333</v>
      </c>
      <c r="U192" s="449">
        <f>($H192-SUM($L192:T192))/U$694</f>
        <v>1727.7883333333327</v>
      </c>
      <c r="V192" s="449">
        <f>($H192-SUM($L192:U192))/V$694</f>
        <v>1727.7883333333339</v>
      </c>
      <c r="W192" s="449">
        <f>($H192-SUM($L192:V192))/W$694</f>
        <v>1727.7883333333302</v>
      </c>
      <c r="X192" s="449"/>
      <c r="Y192" s="449">
        <f t="shared" si="191"/>
        <v>39000</v>
      </c>
      <c r="Z192" s="531"/>
      <c r="AA192" s="449">
        <f t="shared" si="211"/>
        <v>3250</v>
      </c>
      <c r="AB192" s="449">
        <f t="shared" si="211"/>
        <v>3250</v>
      </c>
      <c r="AC192" s="449">
        <f t="shared" si="211"/>
        <v>3250</v>
      </c>
      <c r="AD192" s="449">
        <f t="shared" si="211"/>
        <v>3250</v>
      </c>
      <c r="AE192" s="449">
        <f t="shared" si="211"/>
        <v>3250</v>
      </c>
      <c r="AF192" s="449">
        <f t="shared" si="211"/>
        <v>3250</v>
      </c>
      <c r="AG192" s="449">
        <f t="shared" si="211"/>
        <v>3250</v>
      </c>
      <c r="AH192" s="449">
        <f t="shared" si="211"/>
        <v>3250</v>
      </c>
      <c r="AI192" s="449">
        <f t="shared" si="211"/>
        <v>3250</v>
      </c>
      <c r="AJ192" s="449">
        <f t="shared" si="211"/>
        <v>3250</v>
      </c>
      <c r="AK192" s="449">
        <f t="shared" si="211"/>
        <v>3250</v>
      </c>
      <c r="AL192" s="449">
        <f t="shared" si="211"/>
        <v>3250</v>
      </c>
      <c r="AN192" s="500">
        <f t="shared" si="219"/>
        <v>39000</v>
      </c>
      <c r="AO192" s="449">
        <f t="shared" si="194"/>
        <v>40170</v>
      </c>
      <c r="AP192" s="449">
        <f t="shared" si="195"/>
        <v>1170</v>
      </c>
      <c r="AQ192" s="453">
        <f t="shared" si="196"/>
        <v>0.03</v>
      </c>
      <c r="AR192" s="449">
        <f t="shared" si="210"/>
        <v>40170</v>
      </c>
      <c r="AS192" s="449">
        <f t="shared" si="198"/>
        <v>0</v>
      </c>
      <c r="AT192" s="426">
        <f t="shared" si="199"/>
        <v>0</v>
      </c>
      <c r="AU192" s="421"/>
      <c r="AV192" s="449">
        <f t="shared" si="204"/>
        <v>0</v>
      </c>
      <c r="AW192" s="449">
        <f t="shared" si="204"/>
        <v>3347.5</v>
      </c>
      <c r="AX192" s="449">
        <f t="shared" si="204"/>
        <v>3347.5</v>
      </c>
      <c r="AY192" s="449">
        <f t="shared" si="203"/>
        <v>3347.5</v>
      </c>
      <c r="AZ192" s="449">
        <f t="shared" si="203"/>
        <v>3347.5</v>
      </c>
      <c r="BA192" s="449">
        <f t="shared" si="203"/>
        <v>3347.5</v>
      </c>
      <c r="BB192" s="449">
        <f t="shared" si="203"/>
        <v>3347.5</v>
      </c>
      <c r="BC192" s="449">
        <f t="shared" si="203"/>
        <v>3347.5</v>
      </c>
      <c r="BD192" s="449">
        <f t="shared" si="203"/>
        <v>3347.5</v>
      </c>
      <c r="BE192" s="449">
        <f t="shared" si="203"/>
        <v>3347.5</v>
      </c>
      <c r="BF192" s="449">
        <f t="shared" si="203"/>
        <v>3347.5</v>
      </c>
      <c r="BG192" s="449">
        <f t="shared" si="203"/>
        <v>6695</v>
      </c>
      <c r="BH192" s="400"/>
      <c r="BI192" s="449">
        <v>0</v>
      </c>
      <c r="BJ192" s="449">
        <f>SUM('FY19 Staffing V1-1 (3)'!$P$107)/12</f>
        <v>3347.5</v>
      </c>
      <c r="BK192" s="449">
        <f>SUM('FY19 Staffing V1-1 (3)'!$P$107)/12</f>
        <v>3347.5</v>
      </c>
      <c r="BL192" s="449">
        <f>SUM('FY19 Staffing V1-1 (3)'!$P$107)/12</f>
        <v>3347.5</v>
      </c>
      <c r="BM192" s="449">
        <f>SUM('FY19 Staffing V1-1 (3)'!$P$107)/12</f>
        <v>3347.5</v>
      </c>
      <c r="BN192" s="449">
        <f>SUM('FY19 Staffing V1-1 (3)'!$P$107)/12</f>
        <v>3347.5</v>
      </c>
      <c r="BO192" s="449">
        <f>SUM('FY19 Staffing V1-1 (3)'!$P$107)/12</f>
        <v>3347.5</v>
      </c>
      <c r="BP192" s="449">
        <f>SUM('FY19 Staffing V1-1 (3)'!$P$107)/12</f>
        <v>3347.5</v>
      </c>
      <c r="BQ192" s="449">
        <f>SUM('FY19 Staffing V1-1 (3)'!$P$107)/12</f>
        <v>3347.5</v>
      </c>
      <c r="BR192" s="449">
        <f>SUM('FY19 Staffing V1-1 (3)'!$P$107)/12</f>
        <v>3347.5</v>
      </c>
      <c r="BS192" s="449">
        <f>SUM('FY19 Staffing V1-1 (3)'!$P$107)/12</f>
        <v>3347.5</v>
      </c>
      <c r="BT192" s="449">
        <f>SUM('FY19 Staffing V1-1 (3)'!$P$107)/12*2</f>
        <v>6695</v>
      </c>
    </row>
    <row r="193" spans="1:72" ht="15" x14ac:dyDescent="0.25">
      <c r="A193" s="502" t="s">
        <v>313</v>
      </c>
      <c r="B193" s="502" t="s">
        <v>314</v>
      </c>
      <c r="C193" s="538"/>
      <c r="D193" s="500">
        <f t="shared" si="186"/>
        <v>32960</v>
      </c>
      <c r="E193" s="449">
        <v>65920</v>
      </c>
      <c r="F193" s="449">
        <f t="shared" si="187"/>
        <v>-32960</v>
      </c>
      <c r="G193" s="421">
        <f t="shared" si="188"/>
        <v>-0.5</v>
      </c>
      <c r="H193" s="449">
        <v>32960</v>
      </c>
      <c r="I193" s="449">
        <f t="shared" si="189"/>
        <v>0</v>
      </c>
      <c r="J193" s="426">
        <f t="shared" si="190"/>
        <v>0</v>
      </c>
      <c r="K193" s="421"/>
      <c r="L193" s="449">
        <v>0</v>
      </c>
      <c r="M193" s="449">
        <v>0</v>
      </c>
      <c r="N193" s="449">
        <v>0</v>
      </c>
      <c r="O193" s="449">
        <v>0</v>
      </c>
      <c r="P193" s="449">
        <v>10857.02</v>
      </c>
      <c r="Q193" s="449">
        <v>-10857.02</v>
      </c>
      <c r="R193" s="449">
        <f>($H193-SUM($L193:Q193))/R$694</f>
        <v>5493.333333333333</v>
      </c>
      <c r="S193" s="449">
        <f>($H193-SUM($L193:R193))/S$694</f>
        <v>5493.3333333333339</v>
      </c>
      <c r="T193" s="449">
        <f>($H193-SUM($L193:S193))/T$694</f>
        <v>5493.333333333333</v>
      </c>
      <c r="U193" s="449">
        <f>($H193-SUM($L193:T193))/U$694</f>
        <v>5493.333333333333</v>
      </c>
      <c r="V193" s="449">
        <f>($H193-SUM($L193:U193))/V$694</f>
        <v>5493.3333333333339</v>
      </c>
      <c r="W193" s="449">
        <f>($H193-SUM($L193:V193))/W$694</f>
        <v>5493.3333333333358</v>
      </c>
      <c r="X193" s="449"/>
      <c r="Y193" s="449">
        <f t="shared" si="191"/>
        <v>32960</v>
      </c>
      <c r="Z193" s="531"/>
      <c r="AA193" s="449">
        <f t="shared" si="211"/>
        <v>2746.6666666666665</v>
      </c>
      <c r="AB193" s="449">
        <f t="shared" si="211"/>
        <v>2746.6666666666665</v>
      </c>
      <c r="AC193" s="449">
        <f t="shared" si="211"/>
        <v>2746.6666666666665</v>
      </c>
      <c r="AD193" s="449">
        <f t="shared" si="211"/>
        <v>2746.6666666666665</v>
      </c>
      <c r="AE193" s="449">
        <f t="shared" si="211"/>
        <v>2746.6666666666665</v>
      </c>
      <c r="AF193" s="449">
        <f t="shared" si="211"/>
        <v>2746.6666666666665</v>
      </c>
      <c r="AG193" s="449">
        <f t="shared" si="211"/>
        <v>2746.6666666666665</v>
      </c>
      <c r="AH193" s="449">
        <f t="shared" si="211"/>
        <v>2746.6666666666665</v>
      </c>
      <c r="AI193" s="449">
        <f t="shared" si="211"/>
        <v>2746.6666666666665</v>
      </c>
      <c r="AJ193" s="449">
        <f t="shared" si="211"/>
        <v>2746.6666666666665</v>
      </c>
      <c r="AK193" s="449">
        <f t="shared" si="211"/>
        <v>2746.6666666666665</v>
      </c>
      <c r="AL193" s="449">
        <f t="shared" si="211"/>
        <v>2746.6666666666665</v>
      </c>
      <c r="AN193" s="500">
        <f t="shared" si="219"/>
        <v>32960</v>
      </c>
      <c r="AO193" s="449">
        <f t="shared" si="194"/>
        <v>33948.799999999996</v>
      </c>
      <c r="AP193" s="449">
        <f t="shared" si="195"/>
        <v>988.79999999999563</v>
      </c>
      <c r="AQ193" s="453">
        <f t="shared" si="196"/>
        <v>2.9999999999999867E-2</v>
      </c>
      <c r="AR193" s="449">
        <f t="shared" si="210"/>
        <v>33948.799999999996</v>
      </c>
      <c r="AS193" s="449">
        <f t="shared" si="198"/>
        <v>0</v>
      </c>
      <c r="AT193" s="426">
        <f t="shared" si="199"/>
        <v>0</v>
      </c>
      <c r="AU193" s="421"/>
      <c r="AV193" s="449">
        <f t="shared" si="204"/>
        <v>0</v>
      </c>
      <c r="AW193" s="449">
        <f t="shared" si="204"/>
        <v>2829.0666666666671</v>
      </c>
      <c r="AX193" s="449">
        <f t="shared" si="204"/>
        <v>2829.0666666666671</v>
      </c>
      <c r="AY193" s="449">
        <f t="shared" si="203"/>
        <v>2829.0666666666671</v>
      </c>
      <c r="AZ193" s="449">
        <f t="shared" si="203"/>
        <v>2829.0666666666671</v>
      </c>
      <c r="BA193" s="449">
        <f t="shared" si="203"/>
        <v>2829.0666666666671</v>
      </c>
      <c r="BB193" s="449">
        <f t="shared" si="203"/>
        <v>2829.0666666666671</v>
      </c>
      <c r="BC193" s="449">
        <f t="shared" si="203"/>
        <v>2829.0666666666671</v>
      </c>
      <c r="BD193" s="449">
        <f t="shared" si="203"/>
        <v>2829.0666666666671</v>
      </c>
      <c r="BE193" s="449">
        <f t="shared" si="203"/>
        <v>2829.0666666666671</v>
      </c>
      <c r="BF193" s="449">
        <f t="shared" si="203"/>
        <v>2829.0666666666671</v>
      </c>
      <c r="BG193" s="449">
        <f t="shared" si="203"/>
        <v>5658.1333333333341</v>
      </c>
      <c r="BH193" s="400"/>
      <c r="BI193" s="449">
        <v>0</v>
      </c>
      <c r="BJ193" s="449">
        <f>SUM('FY19 Staffing V1-1 (3)'!$P$106)/12</f>
        <v>2829.0666666666671</v>
      </c>
      <c r="BK193" s="449">
        <f>SUM('FY19 Staffing V1-1 (3)'!$P$106)/12</f>
        <v>2829.0666666666671</v>
      </c>
      <c r="BL193" s="449">
        <f>SUM('FY19 Staffing V1-1 (3)'!$P$106)/12</f>
        <v>2829.0666666666671</v>
      </c>
      <c r="BM193" s="449">
        <f>SUM('FY19 Staffing V1-1 (3)'!$P$106)/12</f>
        <v>2829.0666666666671</v>
      </c>
      <c r="BN193" s="449">
        <f>SUM('FY19 Staffing V1-1 (3)'!$P$106)/12</f>
        <v>2829.0666666666671</v>
      </c>
      <c r="BO193" s="449">
        <f>SUM('FY19 Staffing V1-1 (3)'!$P$106)/12</f>
        <v>2829.0666666666671</v>
      </c>
      <c r="BP193" s="449">
        <f>SUM('FY19 Staffing V1-1 (3)'!$P$106)/12</f>
        <v>2829.0666666666671</v>
      </c>
      <c r="BQ193" s="449">
        <f>SUM('FY19 Staffing V1-1 (3)'!$P$106)/12</f>
        <v>2829.0666666666671</v>
      </c>
      <c r="BR193" s="449">
        <f>SUM('FY19 Staffing V1-1 (3)'!$P$106)/12</f>
        <v>2829.0666666666671</v>
      </c>
      <c r="BS193" s="449">
        <f>SUM('FY19 Staffing V1-1 (3)'!$P$106)/12</f>
        <v>2829.0666666666671</v>
      </c>
      <c r="BT193" s="449">
        <f>SUM('FY19 Staffing V1-1 (3)'!$P$106)/12*2</f>
        <v>5658.1333333333341</v>
      </c>
    </row>
    <row r="194" spans="1:72" ht="15" x14ac:dyDescent="0.25">
      <c r="A194" s="502" t="s">
        <v>315</v>
      </c>
      <c r="B194" s="502" t="s">
        <v>316</v>
      </c>
      <c r="C194" s="538"/>
      <c r="D194" s="500">
        <f t="shared" si="186"/>
        <v>3000</v>
      </c>
      <c r="E194" s="449">
        <v>3000</v>
      </c>
      <c r="F194" s="449">
        <f t="shared" si="187"/>
        <v>0</v>
      </c>
      <c r="G194" s="421">
        <f t="shared" si="188"/>
        <v>0</v>
      </c>
      <c r="H194" s="449">
        <v>3000</v>
      </c>
      <c r="I194" s="449">
        <f t="shared" si="189"/>
        <v>0</v>
      </c>
      <c r="J194" s="426">
        <f t="shared" si="190"/>
        <v>0</v>
      </c>
      <c r="K194" s="421"/>
      <c r="L194" s="449">
        <v>0</v>
      </c>
      <c r="M194" s="449">
        <v>0</v>
      </c>
      <c r="N194" s="449">
        <v>0</v>
      </c>
      <c r="O194" s="449">
        <v>3000</v>
      </c>
      <c r="P194" s="449">
        <v>0</v>
      </c>
      <c r="Q194" s="449">
        <v>0</v>
      </c>
      <c r="R194" s="449">
        <f>($H194-SUM($L194:Q194))/R$694</f>
        <v>0</v>
      </c>
      <c r="S194" s="449">
        <f>($H194-SUM($L194:R194))/S$694</f>
        <v>0</v>
      </c>
      <c r="T194" s="449">
        <f>($H194-SUM($L194:S194))/T$694</f>
        <v>0</v>
      </c>
      <c r="U194" s="449">
        <f>($H194-SUM($L194:T194))/U$694</f>
        <v>0</v>
      </c>
      <c r="V194" s="449">
        <f>($H194-SUM($L194:U194))/V$694</f>
        <v>0</v>
      </c>
      <c r="W194" s="449">
        <f>($H194-SUM($L194:V194))/W$694</f>
        <v>0</v>
      </c>
      <c r="X194" s="449"/>
      <c r="Y194" s="449">
        <f t="shared" si="191"/>
        <v>3000</v>
      </c>
      <c r="Z194" s="531"/>
      <c r="AA194" s="449">
        <f t="shared" si="211"/>
        <v>250</v>
      </c>
      <c r="AB194" s="449">
        <f t="shared" si="211"/>
        <v>250</v>
      </c>
      <c r="AC194" s="449">
        <f t="shared" si="211"/>
        <v>250</v>
      </c>
      <c r="AD194" s="449">
        <f t="shared" si="211"/>
        <v>250</v>
      </c>
      <c r="AE194" s="449">
        <f t="shared" si="211"/>
        <v>250</v>
      </c>
      <c r="AF194" s="449">
        <f t="shared" si="211"/>
        <v>250</v>
      </c>
      <c r="AG194" s="449">
        <f t="shared" si="211"/>
        <v>250</v>
      </c>
      <c r="AH194" s="449">
        <f t="shared" si="211"/>
        <v>250</v>
      </c>
      <c r="AI194" s="449">
        <f t="shared" si="211"/>
        <v>250</v>
      </c>
      <c r="AJ194" s="449">
        <f t="shared" si="211"/>
        <v>250</v>
      </c>
      <c r="AK194" s="449">
        <f t="shared" si="211"/>
        <v>250</v>
      </c>
      <c r="AL194" s="449">
        <f t="shared" si="211"/>
        <v>250</v>
      </c>
      <c r="AN194" s="500">
        <f t="shared" si="219"/>
        <v>3000</v>
      </c>
      <c r="AO194" s="449">
        <f t="shared" si="194"/>
        <v>3000</v>
      </c>
      <c r="AP194" s="449">
        <f t="shared" si="195"/>
        <v>0</v>
      </c>
      <c r="AQ194" s="453">
        <f t="shared" si="196"/>
        <v>0</v>
      </c>
      <c r="AR194" s="449">
        <f t="shared" si="210"/>
        <v>3000</v>
      </c>
      <c r="AS194" s="449">
        <f t="shared" si="198"/>
        <v>0</v>
      </c>
      <c r="AT194" s="426">
        <f t="shared" si="199"/>
        <v>0</v>
      </c>
      <c r="AU194" s="421"/>
      <c r="AV194" s="449">
        <f t="shared" si="204"/>
        <v>0</v>
      </c>
      <c r="AW194" s="449">
        <f t="shared" si="204"/>
        <v>0</v>
      </c>
      <c r="AX194" s="449">
        <f t="shared" si="204"/>
        <v>0</v>
      </c>
      <c r="AY194" s="449">
        <f t="shared" si="203"/>
        <v>3000</v>
      </c>
      <c r="AZ194" s="449">
        <f t="shared" si="203"/>
        <v>0</v>
      </c>
      <c r="BA194" s="449">
        <f t="shared" si="203"/>
        <v>0</v>
      </c>
      <c r="BB194" s="449">
        <f t="shared" si="203"/>
        <v>0</v>
      </c>
      <c r="BC194" s="449">
        <f t="shared" si="203"/>
        <v>0</v>
      </c>
      <c r="BD194" s="449">
        <f t="shared" si="203"/>
        <v>0</v>
      </c>
      <c r="BE194" s="449">
        <f t="shared" si="203"/>
        <v>0</v>
      </c>
      <c r="BF194" s="449">
        <f t="shared" si="203"/>
        <v>0</v>
      </c>
      <c r="BG194" s="449">
        <f t="shared" si="203"/>
        <v>0</v>
      </c>
      <c r="BH194" s="400"/>
      <c r="BI194" s="449">
        <v>0</v>
      </c>
      <c r="BJ194" s="449">
        <v>0</v>
      </c>
      <c r="BK194" s="449">
        <v>0</v>
      </c>
      <c r="BL194" s="449">
        <f>SUM('FY19 Staffing V1-1 (3)'!$J$107)</f>
        <v>3000</v>
      </c>
      <c r="BM194" s="449">
        <v>0</v>
      </c>
      <c r="BN194" s="449">
        <v>0</v>
      </c>
      <c r="BO194" s="449">
        <v>0</v>
      </c>
      <c r="BP194" s="449">
        <v>0</v>
      </c>
      <c r="BQ194" s="449">
        <v>0</v>
      </c>
      <c r="BR194" s="449">
        <v>0</v>
      </c>
      <c r="BS194" s="449">
        <v>0</v>
      </c>
      <c r="BT194" s="449">
        <v>0</v>
      </c>
    </row>
    <row r="195" spans="1:72" ht="15" x14ac:dyDescent="0.25">
      <c r="A195" s="537" t="s">
        <v>317</v>
      </c>
      <c r="B195" s="537" t="s">
        <v>318</v>
      </c>
      <c r="C195" s="541"/>
      <c r="D195" s="500">
        <f>SUM(L195:W195)</f>
        <v>0</v>
      </c>
      <c r="E195" s="449">
        <v>0</v>
      </c>
      <c r="F195" s="449">
        <f t="shared" si="187"/>
        <v>0</v>
      </c>
      <c r="G195" s="421">
        <f t="shared" si="188"/>
        <v>0</v>
      </c>
      <c r="H195" s="449">
        <v>0</v>
      </c>
      <c r="I195" s="449">
        <f t="shared" si="189"/>
        <v>0</v>
      </c>
      <c r="J195" s="426">
        <f t="shared" si="190"/>
        <v>0</v>
      </c>
      <c r="K195" s="421"/>
      <c r="L195" s="449">
        <v>0</v>
      </c>
      <c r="M195" s="449">
        <v>0</v>
      </c>
      <c r="N195" s="449">
        <v>0</v>
      </c>
      <c r="O195" s="449">
        <v>0</v>
      </c>
      <c r="P195" s="449">
        <v>0</v>
      </c>
      <c r="Q195" s="449">
        <v>0</v>
      </c>
      <c r="R195" s="449">
        <f>($H195-SUM($L195:Q195))/R$694</f>
        <v>0</v>
      </c>
      <c r="S195" s="449">
        <f>($H195-SUM($L195:R195))/S$694</f>
        <v>0</v>
      </c>
      <c r="T195" s="449">
        <f>($H195-SUM($L195:S195))/T$694</f>
        <v>0</v>
      </c>
      <c r="U195" s="449">
        <f>($H195-SUM($L195:T195))/U$694</f>
        <v>0</v>
      </c>
      <c r="V195" s="449">
        <f>($H195-SUM($L195:U195))/V$694</f>
        <v>0</v>
      </c>
      <c r="W195" s="449">
        <f>($H195-SUM($L195:V195))/W$694</f>
        <v>0</v>
      </c>
      <c r="X195" s="449"/>
      <c r="Y195" s="449">
        <f t="shared" si="191"/>
        <v>0</v>
      </c>
      <c r="Z195" s="531"/>
      <c r="AA195" s="449">
        <f t="shared" si="211"/>
        <v>0</v>
      </c>
      <c r="AB195" s="449">
        <f t="shared" si="211"/>
        <v>0</v>
      </c>
      <c r="AC195" s="449">
        <f t="shared" si="211"/>
        <v>0</v>
      </c>
      <c r="AD195" s="449">
        <f t="shared" si="211"/>
        <v>0</v>
      </c>
      <c r="AE195" s="449">
        <f t="shared" si="211"/>
        <v>0</v>
      </c>
      <c r="AF195" s="449">
        <f t="shared" si="211"/>
        <v>0</v>
      </c>
      <c r="AG195" s="449">
        <f t="shared" si="211"/>
        <v>0</v>
      </c>
      <c r="AH195" s="449">
        <f t="shared" si="211"/>
        <v>0</v>
      </c>
      <c r="AI195" s="449">
        <f t="shared" si="211"/>
        <v>0</v>
      </c>
      <c r="AJ195" s="449">
        <f t="shared" si="211"/>
        <v>0</v>
      </c>
      <c r="AK195" s="449">
        <f t="shared" si="211"/>
        <v>0</v>
      </c>
      <c r="AL195" s="449">
        <f t="shared" si="211"/>
        <v>0</v>
      </c>
      <c r="AN195" s="500">
        <f t="shared" si="219"/>
        <v>0</v>
      </c>
      <c r="AO195" s="449">
        <f>SUM(BI195:BT195)</f>
        <v>3000</v>
      </c>
      <c r="AP195" s="449">
        <f t="shared" si="195"/>
        <v>3000</v>
      </c>
      <c r="AQ195" s="453" t="str">
        <f t="shared" si="196"/>
        <v>-</v>
      </c>
      <c r="AR195" s="449">
        <f t="shared" si="210"/>
        <v>3000</v>
      </c>
      <c r="AS195" s="449">
        <f t="shared" si="198"/>
        <v>0</v>
      </c>
      <c r="AT195" s="426">
        <f t="shared" si="199"/>
        <v>0</v>
      </c>
      <c r="AU195" s="421"/>
      <c r="AV195" s="449">
        <f t="shared" si="204"/>
        <v>0</v>
      </c>
      <c r="AW195" s="449">
        <f t="shared" si="204"/>
        <v>0</v>
      </c>
      <c r="AX195" s="449">
        <f t="shared" si="204"/>
        <v>0</v>
      </c>
      <c r="AY195" s="449">
        <f t="shared" si="203"/>
        <v>3000</v>
      </c>
      <c r="AZ195" s="449">
        <f t="shared" si="203"/>
        <v>0</v>
      </c>
      <c r="BA195" s="449">
        <f t="shared" si="203"/>
        <v>0</v>
      </c>
      <c r="BB195" s="449">
        <f t="shared" si="203"/>
        <v>0</v>
      </c>
      <c r="BC195" s="449">
        <f t="shared" si="203"/>
        <v>0</v>
      </c>
      <c r="BD195" s="449">
        <f t="shared" si="203"/>
        <v>0</v>
      </c>
      <c r="BE195" s="449">
        <f t="shared" si="203"/>
        <v>0</v>
      </c>
      <c r="BF195" s="449">
        <f t="shared" si="203"/>
        <v>0</v>
      </c>
      <c r="BG195" s="449">
        <f t="shared" si="203"/>
        <v>0</v>
      </c>
      <c r="BH195" s="400"/>
      <c r="BI195" s="449">
        <v>0</v>
      </c>
      <c r="BJ195" s="449">
        <v>0</v>
      </c>
      <c r="BK195" s="449">
        <v>0</v>
      </c>
      <c r="BL195" s="449">
        <f>SUM('FY19 Staffing V1-1 (3)'!$J$106)</f>
        <v>3000</v>
      </c>
      <c r="BM195" s="449">
        <v>0</v>
      </c>
      <c r="BN195" s="449">
        <v>0</v>
      </c>
      <c r="BO195" s="449">
        <v>0</v>
      </c>
      <c r="BP195" s="449">
        <v>0</v>
      </c>
      <c r="BQ195" s="449">
        <v>0</v>
      </c>
      <c r="BR195" s="449">
        <v>0</v>
      </c>
      <c r="BS195" s="449">
        <v>0</v>
      </c>
      <c r="BT195" s="449">
        <v>0</v>
      </c>
    </row>
    <row r="196" spans="1:72" ht="15" x14ac:dyDescent="0.25">
      <c r="A196" s="502" t="s">
        <v>319</v>
      </c>
      <c r="B196" s="502" t="s">
        <v>320</v>
      </c>
      <c r="C196" s="541"/>
      <c r="D196" s="500">
        <f t="shared" si="186"/>
        <v>8383</v>
      </c>
      <c r="E196" s="449">
        <v>12642</v>
      </c>
      <c r="F196" s="449">
        <f t="shared" si="187"/>
        <v>-4259</v>
      </c>
      <c r="G196" s="421">
        <f t="shared" si="188"/>
        <v>-0.33689289669356115</v>
      </c>
      <c r="H196" s="449">
        <v>8383</v>
      </c>
      <c r="I196" s="449">
        <f t="shared" si="189"/>
        <v>0</v>
      </c>
      <c r="J196" s="426">
        <f t="shared" si="190"/>
        <v>0</v>
      </c>
      <c r="K196" s="421"/>
      <c r="L196" s="449">
        <v>-199.89</v>
      </c>
      <c r="M196" s="449">
        <v>1077.97</v>
      </c>
      <c r="N196" s="449">
        <v>708.16</v>
      </c>
      <c r="O196" s="449">
        <v>1106.0800000000002</v>
      </c>
      <c r="P196" s="449">
        <v>631.98</v>
      </c>
      <c r="Q196" s="449">
        <v>529.32999999999993</v>
      </c>
      <c r="R196" s="449">
        <f>($H196-SUM($L196:Q196))/R$694</f>
        <v>754.89499999999998</v>
      </c>
      <c r="S196" s="449">
        <f>($H196-SUM($L196:R196))/S$694</f>
        <v>754.8950000000001</v>
      </c>
      <c r="T196" s="449">
        <f>($H196-SUM($L196:S196))/T$694</f>
        <v>754.89499999999998</v>
      </c>
      <c r="U196" s="449">
        <f>($H196-SUM($L196:T196))/U$694</f>
        <v>754.89499999999987</v>
      </c>
      <c r="V196" s="449">
        <f>($H196-SUM($L196:U196))/V$694</f>
        <v>754.89499999999998</v>
      </c>
      <c r="W196" s="449">
        <f>($H196-SUM($L196:V196))/W$694</f>
        <v>754.89500000000044</v>
      </c>
      <c r="X196" s="449"/>
      <c r="Y196" s="449">
        <f t="shared" si="191"/>
        <v>8383</v>
      </c>
      <c r="Z196" s="531"/>
      <c r="AA196" s="449">
        <f t="shared" si="211"/>
        <v>698.58333333333337</v>
      </c>
      <c r="AB196" s="449">
        <f t="shared" si="211"/>
        <v>698.58333333333337</v>
      </c>
      <c r="AC196" s="449">
        <f t="shared" si="211"/>
        <v>698.58333333333337</v>
      </c>
      <c r="AD196" s="449">
        <f t="shared" si="211"/>
        <v>698.58333333333337</v>
      </c>
      <c r="AE196" s="449">
        <f t="shared" si="211"/>
        <v>698.58333333333337</v>
      </c>
      <c r="AF196" s="449">
        <f t="shared" si="211"/>
        <v>698.58333333333337</v>
      </c>
      <c r="AG196" s="449">
        <f t="shared" si="211"/>
        <v>698.58333333333337</v>
      </c>
      <c r="AH196" s="449">
        <f t="shared" si="211"/>
        <v>698.58333333333337</v>
      </c>
      <c r="AI196" s="449">
        <f t="shared" si="211"/>
        <v>698.58333333333337</v>
      </c>
      <c r="AJ196" s="449">
        <f t="shared" si="211"/>
        <v>698.58333333333337</v>
      </c>
      <c r="AK196" s="449">
        <f t="shared" si="211"/>
        <v>698.58333333333337</v>
      </c>
      <c r="AL196" s="449">
        <f t="shared" si="211"/>
        <v>698.58333333333337</v>
      </c>
      <c r="AN196" s="500">
        <f t="shared" si="219"/>
        <v>8383</v>
      </c>
      <c r="AO196" s="449">
        <f t="shared" si="194"/>
        <v>4694.01</v>
      </c>
      <c r="AP196" s="449">
        <f t="shared" si="195"/>
        <v>-3688.99</v>
      </c>
      <c r="AQ196" s="453">
        <f t="shared" si="196"/>
        <v>-0.44005606584754858</v>
      </c>
      <c r="AR196" s="449">
        <f t="shared" si="210"/>
        <v>4694.01</v>
      </c>
      <c r="AS196" s="449">
        <f t="shared" si="198"/>
        <v>0</v>
      </c>
      <c r="AT196" s="426">
        <f t="shared" si="199"/>
        <v>0</v>
      </c>
      <c r="AU196" s="421"/>
      <c r="AV196" s="449">
        <f t="shared" si="204"/>
        <v>0</v>
      </c>
      <c r="AW196" s="449">
        <f t="shared" si="204"/>
        <v>391.16750000000002</v>
      </c>
      <c r="AX196" s="449">
        <f t="shared" si="204"/>
        <v>391.16750000000002</v>
      </c>
      <c r="AY196" s="449">
        <f t="shared" si="203"/>
        <v>391.16750000000002</v>
      </c>
      <c r="AZ196" s="449">
        <f t="shared" si="203"/>
        <v>391.16750000000002</v>
      </c>
      <c r="BA196" s="449">
        <f t="shared" si="203"/>
        <v>391.16750000000002</v>
      </c>
      <c r="BB196" s="449">
        <f t="shared" ref="BB196:BG238" si="221">BO196</f>
        <v>391.16750000000002</v>
      </c>
      <c r="BC196" s="449">
        <f t="shared" si="221"/>
        <v>391.16750000000002</v>
      </c>
      <c r="BD196" s="449">
        <f t="shared" si="221"/>
        <v>391.16750000000002</v>
      </c>
      <c r="BE196" s="449">
        <f t="shared" si="221"/>
        <v>391.16750000000002</v>
      </c>
      <c r="BF196" s="449">
        <f t="shared" si="221"/>
        <v>391.16750000000002</v>
      </c>
      <c r="BG196" s="449">
        <f t="shared" si="221"/>
        <v>782.33500000000004</v>
      </c>
      <c r="BH196" s="400"/>
      <c r="BI196" s="449">
        <v>0</v>
      </c>
      <c r="BJ196" s="449">
        <f>SUM('FY19 Staffing V1-1 (3)'!$Q$107:$R$107,'FY19 Staffing V1-1 (3)'!$T$107:$U$107)/12</f>
        <v>391.16750000000002</v>
      </c>
      <c r="BK196" s="449">
        <f>SUM('FY19 Staffing V1-1 (3)'!$Q$107:$R$107,'FY19 Staffing V1-1 (3)'!$T$107:$U$107)/12</f>
        <v>391.16750000000002</v>
      </c>
      <c r="BL196" s="449">
        <f>SUM('FY19 Staffing V1-1 (3)'!$Q$107:$R$107,'FY19 Staffing V1-1 (3)'!$T$107:$U$107)/12</f>
        <v>391.16750000000002</v>
      </c>
      <c r="BM196" s="449">
        <f>SUM('FY19 Staffing V1-1 (3)'!$Q$107:$R$107,'FY19 Staffing V1-1 (3)'!$T$107:$U$107)/12</f>
        <v>391.16750000000002</v>
      </c>
      <c r="BN196" s="449">
        <f>SUM('FY19 Staffing V1-1 (3)'!$Q$107:$R$107,'FY19 Staffing V1-1 (3)'!$T$107:$U$107)/12</f>
        <v>391.16750000000002</v>
      </c>
      <c r="BO196" s="449">
        <f>SUM('FY19 Staffing V1-1 (3)'!$Q$107:$R$107,'FY19 Staffing V1-1 (3)'!$T$107:$U$107)/12</f>
        <v>391.16750000000002</v>
      </c>
      <c r="BP196" s="449">
        <f>SUM('FY19 Staffing V1-1 (3)'!$Q$107:$R$107,'FY19 Staffing V1-1 (3)'!$T$107:$U$107)/12</f>
        <v>391.16750000000002</v>
      </c>
      <c r="BQ196" s="449">
        <f>SUM('FY19 Staffing V1-1 (3)'!$Q$107:$R$107,'FY19 Staffing V1-1 (3)'!$T$107:$U$107)/12</f>
        <v>391.16750000000002</v>
      </c>
      <c r="BR196" s="449">
        <f>SUM('FY19 Staffing V1-1 (3)'!$Q$107:$R$107,'FY19 Staffing V1-1 (3)'!$T$107:$U$107)/12</f>
        <v>391.16750000000002</v>
      </c>
      <c r="BS196" s="449">
        <f>SUM('FY19 Staffing V1-1 (3)'!$Q$107:$R$107,'FY19 Staffing V1-1 (3)'!$T$107:$U$107)/12</f>
        <v>391.16750000000002</v>
      </c>
      <c r="BT196" s="449">
        <f>SUM('FY19 Staffing V1-1 (3)'!$Q$107:$R$107,'FY19 Staffing V1-1 (3)'!$T$107:$U$107)/12*2</f>
        <v>782.33500000000004</v>
      </c>
    </row>
    <row r="197" spans="1:72" ht="15" x14ac:dyDescent="0.25">
      <c r="A197" s="502" t="s">
        <v>321</v>
      </c>
      <c r="B197" s="502" t="s">
        <v>322</v>
      </c>
      <c r="C197" s="541"/>
      <c r="D197" s="500">
        <f t="shared" si="186"/>
        <v>3917</v>
      </c>
      <c r="E197" s="449">
        <v>9231</v>
      </c>
      <c r="F197" s="449">
        <f t="shared" si="187"/>
        <v>-5314</v>
      </c>
      <c r="G197" s="421">
        <f t="shared" si="188"/>
        <v>-0.57566894160979309</v>
      </c>
      <c r="H197" s="449">
        <v>3917</v>
      </c>
      <c r="I197" s="449">
        <f t="shared" si="189"/>
        <v>0</v>
      </c>
      <c r="J197" s="426">
        <f t="shared" si="190"/>
        <v>0</v>
      </c>
      <c r="K197" s="421"/>
      <c r="L197" s="449">
        <v>0</v>
      </c>
      <c r="M197" s="449">
        <v>0</v>
      </c>
      <c r="N197" s="449">
        <v>0</v>
      </c>
      <c r="O197" s="449">
        <v>0</v>
      </c>
      <c r="P197" s="449">
        <v>0</v>
      </c>
      <c r="Q197" s="449">
        <v>0</v>
      </c>
      <c r="R197" s="449">
        <f>($H197-SUM($L197:Q197))/R$694</f>
        <v>652.83333333333337</v>
      </c>
      <c r="S197" s="449">
        <f>($H197-SUM($L197:R197))/S$694</f>
        <v>652.83333333333326</v>
      </c>
      <c r="T197" s="449">
        <f>($H197-SUM($L197:S197))/T$694</f>
        <v>652.83333333333337</v>
      </c>
      <c r="U197" s="449">
        <f>($H197-SUM($L197:T197))/U$694</f>
        <v>652.83333333333337</v>
      </c>
      <c r="V197" s="449">
        <f>($H197-SUM($L197:U197))/V$694</f>
        <v>652.83333333333326</v>
      </c>
      <c r="W197" s="449">
        <f>($H197-SUM($L197:V197))/W$694</f>
        <v>652.83333333333303</v>
      </c>
      <c r="X197" s="449"/>
      <c r="Y197" s="449">
        <f t="shared" si="191"/>
        <v>3917</v>
      </c>
      <c r="Z197" s="531"/>
      <c r="AA197" s="449">
        <f t="shared" si="211"/>
        <v>326.41666666666669</v>
      </c>
      <c r="AB197" s="449">
        <f t="shared" si="211"/>
        <v>326.41666666666669</v>
      </c>
      <c r="AC197" s="449">
        <f t="shared" si="211"/>
        <v>326.41666666666669</v>
      </c>
      <c r="AD197" s="449">
        <f t="shared" si="211"/>
        <v>326.41666666666669</v>
      </c>
      <c r="AE197" s="449">
        <f t="shared" si="211"/>
        <v>326.41666666666669</v>
      </c>
      <c r="AF197" s="449">
        <f t="shared" si="211"/>
        <v>326.41666666666669</v>
      </c>
      <c r="AG197" s="449">
        <f t="shared" si="211"/>
        <v>326.41666666666669</v>
      </c>
      <c r="AH197" s="449">
        <f t="shared" si="211"/>
        <v>326.41666666666669</v>
      </c>
      <c r="AI197" s="449">
        <f t="shared" si="211"/>
        <v>326.41666666666669</v>
      </c>
      <c r="AJ197" s="449">
        <f t="shared" si="211"/>
        <v>326.41666666666669</v>
      </c>
      <c r="AK197" s="449">
        <f t="shared" si="211"/>
        <v>326.41666666666669</v>
      </c>
      <c r="AL197" s="449">
        <f t="shared" si="211"/>
        <v>326.41666666666669</v>
      </c>
      <c r="AN197" s="500">
        <f t="shared" si="219"/>
        <v>3917</v>
      </c>
      <c r="AO197" s="449">
        <f t="shared" si="194"/>
        <v>4218.0900000000011</v>
      </c>
      <c r="AP197" s="449">
        <f t="shared" si="195"/>
        <v>301.09000000000106</v>
      </c>
      <c r="AQ197" s="453">
        <f t="shared" si="196"/>
        <v>7.6867500638243824E-2</v>
      </c>
      <c r="AR197" s="449">
        <f t="shared" si="210"/>
        <v>4218.0900000000011</v>
      </c>
      <c r="AS197" s="449">
        <f t="shared" si="198"/>
        <v>0</v>
      </c>
      <c r="AT197" s="426">
        <f t="shared" si="199"/>
        <v>0</v>
      </c>
      <c r="AU197" s="421"/>
      <c r="AV197" s="449">
        <f t="shared" si="204"/>
        <v>0</v>
      </c>
      <c r="AW197" s="449">
        <f t="shared" si="204"/>
        <v>351.50749999999999</v>
      </c>
      <c r="AX197" s="449">
        <f t="shared" si="204"/>
        <v>351.50749999999999</v>
      </c>
      <c r="AY197" s="449">
        <f t="shared" si="204"/>
        <v>351.50749999999999</v>
      </c>
      <c r="AZ197" s="449">
        <f t="shared" si="204"/>
        <v>351.50749999999999</v>
      </c>
      <c r="BA197" s="449">
        <f t="shared" si="204"/>
        <v>351.50749999999999</v>
      </c>
      <c r="BB197" s="449">
        <f t="shared" si="221"/>
        <v>351.50749999999999</v>
      </c>
      <c r="BC197" s="449">
        <f t="shared" si="221"/>
        <v>351.50749999999999</v>
      </c>
      <c r="BD197" s="449">
        <f t="shared" si="221"/>
        <v>351.50749999999999</v>
      </c>
      <c r="BE197" s="449">
        <f t="shared" si="221"/>
        <v>351.50749999999999</v>
      </c>
      <c r="BF197" s="449">
        <f t="shared" si="221"/>
        <v>351.50749999999999</v>
      </c>
      <c r="BG197" s="449">
        <f t="shared" si="221"/>
        <v>703.01499999999999</v>
      </c>
      <c r="BH197" s="400"/>
      <c r="BI197" s="449">
        <v>0</v>
      </c>
      <c r="BJ197" s="449">
        <f>SUM('FY19 Staffing V1-1 (3)'!$Q$106:$R$106,'FY19 Staffing V1-1 (3)'!$T$106:$U$106)/12</f>
        <v>351.50749999999999</v>
      </c>
      <c r="BK197" s="449">
        <f>SUM('FY19 Staffing V1-1 (3)'!$Q$106:$R$106,'FY19 Staffing V1-1 (3)'!$T$106:$U$106)/12</f>
        <v>351.50749999999999</v>
      </c>
      <c r="BL197" s="449">
        <f>SUM('FY19 Staffing V1-1 (3)'!$Q$106:$R$106,'FY19 Staffing V1-1 (3)'!$T$106:$U$106)/12</f>
        <v>351.50749999999999</v>
      </c>
      <c r="BM197" s="449">
        <f>SUM('FY19 Staffing V1-1 (3)'!$Q$106:$R$106,'FY19 Staffing V1-1 (3)'!$T$106:$U$106)/12</f>
        <v>351.50749999999999</v>
      </c>
      <c r="BN197" s="449">
        <f>SUM('FY19 Staffing V1-1 (3)'!$Q$106:$R$106,'FY19 Staffing V1-1 (3)'!$T$106:$U$106)/12</f>
        <v>351.50749999999999</v>
      </c>
      <c r="BO197" s="449">
        <f>SUM('FY19 Staffing V1-1 (3)'!$Q$106:$R$106,'FY19 Staffing V1-1 (3)'!$T$106:$U$106)/12</f>
        <v>351.50749999999999</v>
      </c>
      <c r="BP197" s="449">
        <f>SUM('FY19 Staffing V1-1 (3)'!$Q$106:$R$106,'FY19 Staffing V1-1 (3)'!$T$106:$U$106)/12</f>
        <v>351.50749999999999</v>
      </c>
      <c r="BQ197" s="449">
        <f>SUM('FY19 Staffing V1-1 (3)'!$Q$106:$R$106,'FY19 Staffing V1-1 (3)'!$T$106:$U$106)/12</f>
        <v>351.50749999999999</v>
      </c>
      <c r="BR197" s="449">
        <f>SUM('FY19 Staffing V1-1 (3)'!$Q$106:$R$106,'FY19 Staffing V1-1 (3)'!$T$106:$U$106)/12</f>
        <v>351.50749999999999</v>
      </c>
      <c r="BS197" s="449">
        <f>SUM('FY19 Staffing V1-1 (3)'!$Q$106:$R$106,'FY19 Staffing V1-1 (3)'!$T$106:$U$106)/12</f>
        <v>351.50749999999999</v>
      </c>
      <c r="BT197" s="449">
        <f>SUM('FY19 Staffing V1-1 (3)'!$Q$106:$R$106,'FY19 Staffing V1-1 (3)'!$T$106:$U$106)/12*2</f>
        <v>703.01499999999999</v>
      </c>
    </row>
    <row r="198" spans="1:72" ht="15" x14ac:dyDescent="0.25">
      <c r="A198" s="502" t="s">
        <v>323</v>
      </c>
      <c r="B198" s="502" t="s">
        <v>324</v>
      </c>
      <c r="C198" s="541"/>
      <c r="D198" s="500">
        <f t="shared" si="186"/>
        <v>5038</v>
      </c>
      <c r="E198" s="449">
        <v>5038</v>
      </c>
      <c r="F198" s="449">
        <f t="shared" si="187"/>
        <v>0</v>
      </c>
      <c r="G198" s="421">
        <f t="shared" si="188"/>
        <v>0</v>
      </c>
      <c r="H198" s="449">
        <v>5038</v>
      </c>
      <c r="I198" s="449">
        <f t="shared" si="189"/>
        <v>0</v>
      </c>
      <c r="J198" s="426">
        <f t="shared" si="190"/>
        <v>0</v>
      </c>
      <c r="K198" s="421"/>
      <c r="L198" s="449">
        <v>5.0999999999999996</v>
      </c>
      <c r="M198" s="449">
        <v>40.549999999999997</v>
      </c>
      <c r="N198" s="449">
        <v>66.390000000000015</v>
      </c>
      <c r="O198" s="449">
        <v>1881.21</v>
      </c>
      <c r="P198" s="449">
        <v>720.11000000000013</v>
      </c>
      <c r="Q198" s="449">
        <v>655.75</v>
      </c>
      <c r="R198" s="449">
        <f>($H198-SUM($L198:Q198))/R$694</f>
        <v>278.14833333333331</v>
      </c>
      <c r="S198" s="449">
        <f>($H198-SUM($L198:R198))/S$694</f>
        <v>278.14833333333337</v>
      </c>
      <c r="T198" s="449">
        <f>($H198-SUM($L198:S198))/T$694</f>
        <v>278.14833333333331</v>
      </c>
      <c r="U198" s="449">
        <f>($H198-SUM($L198:T198))/U$694</f>
        <v>278.14833333333326</v>
      </c>
      <c r="V198" s="449">
        <f>($H198-SUM($L198:U198))/V$694</f>
        <v>278.14833333333308</v>
      </c>
      <c r="W198" s="449">
        <f>($H198-SUM($L198:V198))/W$694</f>
        <v>278.14833333333263</v>
      </c>
      <c r="X198" s="449"/>
      <c r="Y198" s="449">
        <f t="shared" si="191"/>
        <v>5038</v>
      </c>
      <c r="Z198" s="531"/>
      <c r="AA198" s="449">
        <f t="shared" ref="AA198:AL213" si="222">IFERROR($H198/12,0)</f>
        <v>419.83333333333331</v>
      </c>
      <c r="AB198" s="449">
        <f t="shared" si="222"/>
        <v>419.83333333333331</v>
      </c>
      <c r="AC198" s="449">
        <f t="shared" si="222"/>
        <v>419.83333333333331</v>
      </c>
      <c r="AD198" s="449">
        <f t="shared" si="222"/>
        <v>419.83333333333331</v>
      </c>
      <c r="AE198" s="449">
        <f t="shared" si="222"/>
        <v>419.83333333333331</v>
      </c>
      <c r="AF198" s="449">
        <f t="shared" si="222"/>
        <v>419.83333333333331</v>
      </c>
      <c r="AG198" s="449">
        <f t="shared" si="222"/>
        <v>419.83333333333331</v>
      </c>
      <c r="AH198" s="449">
        <f t="shared" si="222"/>
        <v>419.83333333333331</v>
      </c>
      <c r="AI198" s="449">
        <f t="shared" si="222"/>
        <v>419.83333333333331</v>
      </c>
      <c r="AJ198" s="449">
        <f t="shared" si="222"/>
        <v>419.83333333333331</v>
      </c>
      <c r="AK198" s="449">
        <f t="shared" si="222"/>
        <v>419.83333333333331</v>
      </c>
      <c r="AL198" s="449">
        <f t="shared" si="222"/>
        <v>419.83333333333331</v>
      </c>
      <c r="AN198" s="500">
        <f t="shared" si="219"/>
        <v>5038</v>
      </c>
      <c r="AO198" s="449">
        <f t="shared" si="194"/>
        <v>6129.942</v>
      </c>
      <c r="AP198" s="449">
        <f t="shared" si="195"/>
        <v>1091.942</v>
      </c>
      <c r="AQ198" s="453">
        <f t="shared" si="196"/>
        <v>0.21674116712981342</v>
      </c>
      <c r="AR198" s="449">
        <f t="shared" si="210"/>
        <v>6129.942</v>
      </c>
      <c r="AS198" s="449">
        <f t="shared" si="198"/>
        <v>0</v>
      </c>
      <c r="AT198" s="426">
        <f t="shared" si="199"/>
        <v>0</v>
      </c>
      <c r="AU198" s="421"/>
      <c r="AV198" s="449">
        <f t="shared" si="204"/>
        <v>0</v>
      </c>
      <c r="AW198" s="449">
        <f t="shared" si="204"/>
        <v>510.82850000000008</v>
      </c>
      <c r="AX198" s="449">
        <f t="shared" si="204"/>
        <v>510.82850000000008</v>
      </c>
      <c r="AY198" s="449">
        <f t="shared" si="204"/>
        <v>510.82850000000008</v>
      </c>
      <c r="AZ198" s="449">
        <f t="shared" si="204"/>
        <v>510.82850000000008</v>
      </c>
      <c r="BA198" s="449">
        <f t="shared" si="204"/>
        <v>510.82850000000008</v>
      </c>
      <c r="BB198" s="449">
        <f t="shared" si="221"/>
        <v>510.82850000000008</v>
      </c>
      <c r="BC198" s="449">
        <f t="shared" si="221"/>
        <v>510.82850000000008</v>
      </c>
      <c r="BD198" s="449">
        <f t="shared" si="221"/>
        <v>510.82850000000008</v>
      </c>
      <c r="BE198" s="449">
        <f t="shared" si="221"/>
        <v>510.82850000000008</v>
      </c>
      <c r="BF198" s="449">
        <f t="shared" si="221"/>
        <v>510.82850000000008</v>
      </c>
      <c r="BG198" s="449">
        <f t="shared" si="221"/>
        <v>1021.6570000000002</v>
      </c>
      <c r="BH198" s="400"/>
      <c r="BI198" s="449">
        <v>0</v>
      </c>
      <c r="BJ198" s="449">
        <f>SUM('FY19 Staffing V1-1 (3)'!$W$107)/12</f>
        <v>510.82850000000008</v>
      </c>
      <c r="BK198" s="449">
        <f>SUM('FY19 Staffing V1-1 (3)'!$W$107)/12</f>
        <v>510.82850000000008</v>
      </c>
      <c r="BL198" s="449">
        <f>SUM('FY19 Staffing V1-1 (3)'!$W$107)/12</f>
        <v>510.82850000000008</v>
      </c>
      <c r="BM198" s="449">
        <f>SUM('FY19 Staffing V1-1 (3)'!$W$107)/12</f>
        <v>510.82850000000008</v>
      </c>
      <c r="BN198" s="449">
        <f>SUM('FY19 Staffing V1-1 (3)'!$W$107)/12</f>
        <v>510.82850000000008</v>
      </c>
      <c r="BO198" s="449">
        <f>SUM('FY19 Staffing V1-1 (3)'!$W$107)/12</f>
        <v>510.82850000000008</v>
      </c>
      <c r="BP198" s="449">
        <f>SUM('FY19 Staffing V1-1 (3)'!$W$107)/12</f>
        <v>510.82850000000008</v>
      </c>
      <c r="BQ198" s="449">
        <f>SUM('FY19 Staffing V1-1 (3)'!$W$107)/12</f>
        <v>510.82850000000008</v>
      </c>
      <c r="BR198" s="449">
        <f>SUM('FY19 Staffing V1-1 (3)'!$W$107)/12</f>
        <v>510.82850000000008</v>
      </c>
      <c r="BS198" s="449">
        <f>SUM('FY19 Staffing V1-1 (3)'!$W$107)/12</f>
        <v>510.82850000000008</v>
      </c>
      <c r="BT198" s="449">
        <f>SUM('FY19 Staffing V1-1 (3)'!$W$107)/12*2</f>
        <v>1021.6570000000002</v>
      </c>
    </row>
    <row r="199" spans="1:72" ht="15" x14ac:dyDescent="0.25">
      <c r="A199" s="502" t="s">
        <v>325</v>
      </c>
      <c r="B199" s="502" t="s">
        <v>326</v>
      </c>
      <c r="C199" s="541"/>
      <c r="D199" s="500">
        <f t="shared" si="186"/>
        <v>369</v>
      </c>
      <c r="E199" s="449">
        <v>5406</v>
      </c>
      <c r="F199" s="449">
        <f t="shared" si="187"/>
        <v>-5037</v>
      </c>
      <c r="G199" s="421">
        <f t="shared" si="188"/>
        <v>-0.93174250832408434</v>
      </c>
      <c r="H199" s="449">
        <v>369</v>
      </c>
      <c r="I199" s="449">
        <f t="shared" si="189"/>
        <v>0</v>
      </c>
      <c r="J199" s="426">
        <f t="shared" si="190"/>
        <v>0</v>
      </c>
      <c r="K199" s="421"/>
      <c r="L199" s="449">
        <v>0</v>
      </c>
      <c r="M199" s="449">
        <v>0</v>
      </c>
      <c r="N199" s="449">
        <v>0</v>
      </c>
      <c r="O199" s="449">
        <v>0</v>
      </c>
      <c r="P199" s="449">
        <v>0</v>
      </c>
      <c r="Q199" s="449">
        <v>0</v>
      </c>
      <c r="R199" s="449">
        <f>($H199-SUM($L199:Q199))/R$694</f>
        <v>61.5</v>
      </c>
      <c r="S199" s="449">
        <f>($H199-SUM($L199:R199))/S$694</f>
        <v>61.5</v>
      </c>
      <c r="T199" s="449">
        <f>($H199-SUM($L199:S199))/T$694</f>
        <v>61.5</v>
      </c>
      <c r="U199" s="449">
        <f>($H199-SUM($L199:T199))/U$694</f>
        <v>61.5</v>
      </c>
      <c r="V199" s="449">
        <f>($H199-SUM($L199:U199))/V$694</f>
        <v>61.5</v>
      </c>
      <c r="W199" s="449">
        <f>($H199-SUM($L199:V199))/W$694</f>
        <v>61.5</v>
      </c>
      <c r="X199" s="449"/>
      <c r="Y199" s="449">
        <f t="shared" si="191"/>
        <v>369</v>
      </c>
      <c r="Z199" s="531"/>
      <c r="AA199" s="449">
        <f t="shared" si="222"/>
        <v>30.75</v>
      </c>
      <c r="AB199" s="449">
        <f t="shared" si="222"/>
        <v>30.75</v>
      </c>
      <c r="AC199" s="449">
        <f t="shared" si="222"/>
        <v>30.75</v>
      </c>
      <c r="AD199" s="449">
        <f t="shared" si="222"/>
        <v>30.75</v>
      </c>
      <c r="AE199" s="449">
        <f t="shared" si="222"/>
        <v>30.75</v>
      </c>
      <c r="AF199" s="449">
        <f t="shared" si="222"/>
        <v>30.75</v>
      </c>
      <c r="AG199" s="449">
        <f t="shared" si="222"/>
        <v>30.75</v>
      </c>
      <c r="AH199" s="449">
        <f t="shared" si="222"/>
        <v>30.75</v>
      </c>
      <c r="AI199" s="449">
        <f t="shared" si="222"/>
        <v>30.75</v>
      </c>
      <c r="AJ199" s="449">
        <f t="shared" si="222"/>
        <v>30.75</v>
      </c>
      <c r="AK199" s="449">
        <f t="shared" si="222"/>
        <v>30.75</v>
      </c>
      <c r="AL199" s="449">
        <f t="shared" si="222"/>
        <v>30.75</v>
      </c>
      <c r="AN199" s="500">
        <f t="shared" si="219"/>
        <v>369</v>
      </c>
      <c r="AO199" s="449">
        <f t="shared" si="194"/>
        <v>5180.5868800000007</v>
      </c>
      <c r="AP199" s="449">
        <f t="shared" si="195"/>
        <v>4811.5868800000007</v>
      </c>
      <c r="AQ199" s="453">
        <f t="shared" si="196"/>
        <v>13.039530840108403</v>
      </c>
      <c r="AR199" s="449">
        <f t="shared" si="210"/>
        <v>5180.5868800000007</v>
      </c>
      <c r="AS199" s="449">
        <f t="shared" si="198"/>
        <v>0</v>
      </c>
      <c r="AT199" s="426">
        <f t="shared" si="199"/>
        <v>0</v>
      </c>
      <c r="AU199" s="421"/>
      <c r="AV199" s="449">
        <f t="shared" si="204"/>
        <v>0</v>
      </c>
      <c r="AW199" s="449">
        <f t="shared" si="204"/>
        <v>431.7155733333334</v>
      </c>
      <c r="AX199" s="449">
        <f t="shared" si="204"/>
        <v>431.7155733333334</v>
      </c>
      <c r="AY199" s="449">
        <f t="shared" si="204"/>
        <v>431.7155733333334</v>
      </c>
      <c r="AZ199" s="449">
        <f t="shared" si="204"/>
        <v>431.7155733333334</v>
      </c>
      <c r="BA199" s="449">
        <f t="shared" si="204"/>
        <v>431.7155733333334</v>
      </c>
      <c r="BB199" s="449">
        <f t="shared" si="221"/>
        <v>431.7155733333334</v>
      </c>
      <c r="BC199" s="449">
        <f t="shared" si="221"/>
        <v>431.7155733333334</v>
      </c>
      <c r="BD199" s="449">
        <f t="shared" si="221"/>
        <v>431.7155733333334</v>
      </c>
      <c r="BE199" s="449">
        <f t="shared" si="221"/>
        <v>431.7155733333334</v>
      </c>
      <c r="BF199" s="449">
        <f t="shared" si="221"/>
        <v>431.7155733333334</v>
      </c>
      <c r="BG199" s="449">
        <f t="shared" si="221"/>
        <v>863.43114666666679</v>
      </c>
      <c r="BH199" s="400"/>
      <c r="BI199" s="449">
        <v>0</v>
      </c>
      <c r="BJ199" s="449">
        <f>SUM('FY19 Staffing V1-1 (3)'!$W$106)/12</f>
        <v>431.7155733333334</v>
      </c>
      <c r="BK199" s="449">
        <f>SUM('FY19 Staffing V1-1 (3)'!$W$106)/12</f>
        <v>431.7155733333334</v>
      </c>
      <c r="BL199" s="449">
        <f>SUM('FY19 Staffing V1-1 (3)'!$W$106)/12</f>
        <v>431.7155733333334</v>
      </c>
      <c r="BM199" s="449">
        <f>SUM('FY19 Staffing V1-1 (3)'!$W$106)/12</f>
        <v>431.7155733333334</v>
      </c>
      <c r="BN199" s="449">
        <f>SUM('FY19 Staffing V1-1 (3)'!$W$106)/12</f>
        <v>431.7155733333334</v>
      </c>
      <c r="BO199" s="449">
        <f>SUM('FY19 Staffing V1-1 (3)'!$W$106)/12</f>
        <v>431.7155733333334</v>
      </c>
      <c r="BP199" s="449">
        <f>SUM('FY19 Staffing V1-1 (3)'!$W$106)/12</f>
        <v>431.7155733333334</v>
      </c>
      <c r="BQ199" s="449">
        <f>SUM('FY19 Staffing V1-1 (3)'!$W$106)/12</f>
        <v>431.7155733333334</v>
      </c>
      <c r="BR199" s="449">
        <f>SUM('FY19 Staffing V1-1 (3)'!$W$106)/12</f>
        <v>431.7155733333334</v>
      </c>
      <c r="BS199" s="449">
        <f>SUM('FY19 Staffing V1-1 (3)'!$W$106)/12</f>
        <v>431.7155733333334</v>
      </c>
      <c r="BT199" s="449">
        <f>SUM('FY19 Staffing V1-1 (3)'!$W$106)/12*2</f>
        <v>863.43114666666679</v>
      </c>
    </row>
    <row r="200" spans="1:72" ht="15" x14ac:dyDescent="0.25">
      <c r="A200" s="502" t="s">
        <v>327</v>
      </c>
      <c r="B200" s="502" t="s">
        <v>328</v>
      </c>
      <c r="C200" s="541"/>
      <c r="D200" s="500">
        <f t="shared" si="186"/>
        <v>1560</v>
      </c>
      <c r="E200" s="449">
        <v>1318</v>
      </c>
      <c r="F200" s="449">
        <f t="shared" si="187"/>
        <v>242</v>
      </c>
      <c r="G200" s="421">
        <f t="shared" si="188"/>
        <v>0.18361153262518967</v>
      </c>
      <c r="H200" s="449">
        <v>1560</v>
      </c>
      <c r="I200" s="449">
        <f t="shared" si="189"/>
        <v>0</v>
      </c>
      <c r="J200" s="426">
        <f t="shared" si="190"/>
        <v>0</v>
      </c>
      <c r="K200" s="421"/>
      <c r="L200" s="449">
        <v>-72.45</v>
      </c>
      <c r="M200" s="449">
        <v>235.7</v>
      </c>
      <c r="N200" s="449">
        <v>232.49</v>
      </c>
      <c r="O200" s="449">
        <v>341.41999999999996</v>
      </c>
      <c r="P200" s="449">
        <v>221.42000000000007</v>
      </c>
      <c r="Q200" s="449">
        <v>276.76999999999987</v>
      </c>
      <c r="R200" s="449">
        <f>($H200-SUM($L200:Q200))/R$694</f>
        <v>54.108333333333348</v>
      </c>
      <c r="S200" s="449">
        <f>($H200-SUM($L200:R200))/S$694</f>
        <v>54.108333333333348</v>
      </c>
      <c r="T200" s="449">
        <f>($H200-SUM($L200:S200))/T$694</f>
        <v>54.108333333333348</v>
      </c>
      <c r="U200" s="449">
        <f>($H200-SUM($L200:T200))/U$694</f>
        <v>54.108333333333348</v>
      </c>
      <c r="V200" s="449">
        <f>($H200-SUM($L200:U200))/V$694</f>
        <v>54.108333333333348</v>
      </c>
      <c r="W200" s="449">
        <f>($H200-SUM($L200:V200))/W$694</f>
        <v>54.108333333333348</v>
      </c>
      <c r="X200" s="449"/>
      <c r="Y200" s="449">
        <f t="shared" si="191"/>
        <v>1560</v>
      </c>
      <c r="Z200" s="531"/>
      <c r="AA200" s="449">
        <f t="shared" si="222"/>
        <v>130</v>
      </c>
      <c r="AB200" s="449">
        <f t="shared" si="222"/>
        <v>130</v>
      </c>
      <c r="AC200" s="449">
        <f t="shared" si="222"/>
        <v>130</v>
      </c>
      <c r="AD200" s="449">
        <f t="shared" si="222"/>
        <v>130</v>
      </c>
      <c r="AE200" s="449">
        <f t="shared" si="222"/>
        <v>130</v>
      </c>
      <c r="AF200" s="449">
        <f t="shared" si="222"/>
        <v>130</v>
      </c>
      <c r="AG200" s="449">
        <f t="shared" si="222"/>
        <v>130</v>
      </c>
      <c r="AH200" s="449">
        <f t="shared" si="222"/>
        <v>130</v>
      </c>
      <c r="AI200" s="449">
        <f t="shared" si="222"/>
        <v>130</v>
      </c>
      <c r="AJ200" s="449">
        <f t="shared" si="222"/>
        <v>130</v>
      </c>
      <c r="AK200" s="449">
        <f t="shared" si="222"/>
        <v>130</v>
      </c>
      <c r="AL200" s="449">
        <f t="shared" si="222"/>
        <v>130</v>
      </c>
      <c r="AN200" s="500">
        <f t="shared" si="219"/>
        <v>1560</v>
      </c>
      <c r="AO200" s="449">
        <f t="shared" si="194"/>
        <v>1606.8000000000002</v>
      </c>
      <c r="AP200" s="449">
        <f t="shared" si="195"/>
        <v>46.800000000000182</v>
      </c>
      <c r="AQ200" s="453">
        <f t="shared" si="196"/>
        <v>3.0000000000000117E-2</v>
      </c>
      <c r="AR200" s="449">
        <f t="shared" si="210"/>
        <v>1606.8000000000002</v>
      </c>
      <c r="AS200" s="449">
        <f t="shared" si="198"/>
        <v>0</v>
      </c>
      <c r="AT200" s="426">
        <f t="shared" si="199"/>
        <v>0</v>
      </c>
      <c r="AU200" s="421"/>
      <c r="AV200" s="449">
        <f t="shared" si="204"/>
        <v>0</v>
      </c>
      <c r="AW200" s="449">
        <f t="shared" si="204"/>
        <v>133.9</v>
      </c>
      <c r="AX200" s="449">
        <f t="shared" si="204"/>
        <v>133.9</v>
      </c>
      <c r="AY200" s="449">
        <f t="shared" si="204"/>
        <v>133.9</v>
      </c>
      <c r="AZ200" s="449">
        <f t="shared" si="204"/>
        <v>133.9</v>
      </c>
      <c r="BA200" s="449">
        <f t="shared" si="204"/>
        <v>133.9</v>
      </c>
      <c r="BB200" s="449">
        <f t="shared" si="221"/>
        <v>133.9</v>
      </c>
      <c r="BC200" s="449">
        <f t="shared" si="221"/>
        <v>133.9</v>
      </c>
      <c r="BD200" s="449">
        <f t="shared" si="221"/>
        <v>133.9</v>
      </c>
      <c r="BE200" s="449">
        <f t="shared" si="221"/>
        <v>133.9</v>
      </c>
      <c r="BF200" s="449">
        <f t="shared" si="221"/>
        <v>133.9</v>
      </c>
      <c r="BG200" s="449">
        <f t="shared" si="221"/>
        <v>267.8</v>
      </c>
      <c r="BH200" s="400"/>
      <c r="BI200" s="449">
        <v>0</v>
      </c>
      <c r="BJ200" s="449">
        <f>SUM('FY19 Staffing V1-1 (3)'!$S$107)/12</f>
        <v>133.9</v>
      </c>
      <c r="BK200" s="449">
        <f>SUM('FY19 Staffing V1-1 (3)'!$S$107)/12</f>
        <v>133.9</v>
      </c>
      <c r="BL200" s="449">
        <f>SUM('FY19 Staffing V1-1 (3)'!$S$107)/12</f>
        <v>133.9</v>
      </c>
      <c r="BM200" s="449">
        <f>SUM('FY19 Staffing V1-1 (3)'!$S$107)/12</f>
        <v>133.9</v>
      </c>
      <c r="BN200" s="449">
        <f>SUM('FY19 Staffing V1-1 (3)'!$S$107)/12</f>
        <v>133.9</v>
      </c>
      <c r="BO200" s="449">
        <f>SUM('FY19 Staffing V1-1 (3)'!$S$107)/12</f>
        <v>133.9</v>
      </c>
      <c r="BP200" s="449">
        <f>SUM('FY19 Staffing V1-1 (3)'!$S$107)/12</f>
        <v>133.9</v>
      </c>
      <c r="BQ200" s="449">
        <f>SUM('FY19 Staffing V1-1 (3)'!$S$107)/12</f>
        <v>133.9</v>
      </c>
      <c r="BR200" s="449">
        <f>SUM('FY19 Staffing V1-1 (3)'!$S$107)/12</f>
        <v>133.9</v>
      </c>
      <c r="BS200" s="449">
        <f>SUM('FY19 Staffing V1-1 (3)'!$S$107)/12</f>
        <v>133.9</v>
      </c>
      <c r="BT200" s="449">
        <f>SUM('FY19 Staffing V1-1 (3)'!$S$107)/12*2</f>
        <v>267.8</v>
      </c>
    </row>
    <row r="201" spans="1:72" ht="15" x14ac:dyDescent="0.25">
      <c r="A201" s="502" t="s">
        <v>329</v>
      </c>
      <c r="B201" s="502" t="s">
        <v>330</v>
      </c>
      <c r="C201" s="541"/>
      <c r="D201" s="500">
        <f t="shared" si="186"/>
        <v>1318</v>
      </c>
      <c r="E201" s="449">
        <v>2637</v>
      </c>
      <c r="F201" s="449">
        <f t="shared" si="187"/>
        <v>-1319</v>
      </c>
      <c r="G201" s="421">
        <f t="shared" si="188"/>
        <v>-0.50018960940462642</v>
      </c>
      <c r="H201" s="449">
        <v>1318</v>
      </c>
      <c r="I201" s="449">
        <f t="shared" si="189"/>
        <v>0</v>
      </c>
      <c r="J201" s="426">
        <f t="shared" si="190"/>
        <v>0</v>
      </c>
      <c r="K201" s="421"/>
      <c r="L201" s="449">
        <v>0</v>
      </c>
      <c r="M201" s="449">
        <v>0</v>
      </c>
      <c r="N201" s="449">
        <v>0</v>
      </c>
      <c r="O201" s="449">
        <v>0</v>
      </c>
      <c r="P201" s="449">
        <v>0</v>
      </c>
      <c r="Q201" s="449">
        <v>0</v>
      </c>
      <c r="R201" s="449">
        <f>($H201-SUM($L201:Q201))/R$694</f>
        <v>219.66666666666666</v>
      </c>
      <c r="S201" s="449">
        <f>($H201-SUM($L201:R201))/S$694</f>
        <v>219.66666666666666</v>
      </c>
      <c r="T201" s="449">
        <f>($H201-SUM($L201:S201))/T$694</f>
        <v>219.66666666666669</v>
      </c>
      <c r="U201" s="449">
        <f>($H201-SUM($L201:T201))/U$694</f>
        <v>219.66666666666666</v>
      </c>
      <c r="V201" s="449">
        <f>($H201-SUM($L201:U201))/V$694</f>
        <v>219.66666666666669</v>
      </c>
      <c r="W201" s="449">
        <f>($H201-SUM($L201:V201))/W$694</f>
        <v>219.66666666666674</v>
      </c>
      <c r="X201" s="449"/>
      <c r="Y201" s="449">
        <f t="shared" si="191"/>
        <v>1318</v>
      </c>
      <c r="Z201" s="531"/>
      <c r="AA201" s="449">
        <f t="shared" si="222"/>
        <v>109.83333333333333</v>
      </c>
      <c r="AB201" s="449">
        <f t="shared" si="222"/>
        <v>109.83333333333333</v>
      </c>
      <c r="AC201" s="449">
        <f t="shared" si="222"/>
        <v>109.83333333333333</v>
      </c>
      <c r="AD201" s="449">
        <f t="shared" si="222"/>
        <v>109.83333333333333</v>
      </c>
      <c r="AE201" s="449">
        <f t="shared" si="222"/>
        <v>109.83333333333333</v>
      </c>
      <c r="AF201" s="449">
        <f t="shared" si="222"/>
        <v>109.83333333333333</v>
      </c>
      <c r="AG201" s="449">
        <f t="shared" si="222"/>
        <v>109.83333333333333</v>
      </c>
      <c r="AH201" s="449">
        <f t="shared" si="222"/>
        <v>109.83333333333333</v>
      </c>
      <c r="AI201" s="449">
        <f t="shared" si="222"/>
        <v>109.83333333333333</v>
      </c>
      <c r="AJ201" s="449">
        <f t="shared" si="222"/>
        <v>109.83333333333333</v>
      </c>
      <c r="AK201" s="449">
        <f t="shared" si="222"/>
        <v>109.83333333333333</v>
      </c>
      <c r="AL201" s="449">
        <f t="shared" si="222"/>
        <v>109.83333333333333</v>
      </c>
      <c r="AN201" s="500">
        <f t="shared" si="219"/>
        <v>1318</v>
      </c>
      <c r="AO201" s="449">
        <f t="shared" si="194"/>
        <v>1357.95</v>
      </c>
      <c r="AP201" s="449">
        <f t="shared" si="195"/>
        <v>39.950000000000045</v>
      </c>
      <c r="AQ201" s="453">
        <f t="shared" si="196"/>
        <v>3.0311077389984859E-2</v>
      </c>
      <c r="AR201" s="449">
        <f t="shared" si="210"/>
        <v>1357.95</v>
      </c>
      <c r="AS201" s="449">
        <f t="shared" si="198"/>
        <v>0</v>
      </c>
      <c r="AT201" s="426">
        <f t="shared" si="199"/>
        <v>0</v>
      </c>
      <c r="AU201" s="421"/>
      <c r="AV201" s="449">
        <f t="shared" si="204"/>
        <v>0</v>
      </c>
      <c r="AW201" s="449">
        <f t="shared" si="204"/>
        <v>113.16250000000001</v>
      </c>
      <c r="AX201" s="449">
        <f t="shared" si="204"/>
        <v>113.16250000000001</v>
      </c>
      <c r="AY201" s="449">
        <f t="shared" si="204"/>
        <v>113.16250000000001</v>
      </c>
      <c r="AZ201" s="449">
        <f t="shared" si="204"/>
        <v>113.16250000000001</v>
      </c>
      <c r="BA201" s="449">
        <f t="shared" si="204"/>
        <v>113.16250000000001</v>
      </c>
      <c r="BB201" s="449">
        <f t="shared" si="221"/>
        <v>113.16250000000001</v>
      </c>
      <c r="BC201" s="449">
        <f t="shared" si="221"/>
        <v>113.16250000000001</v>
      </c>
      <c r="BD201" s="449">
        <f t="shared" si="221"/>
        <v>113.16250000000001</v>
      </c>
      <c r="BE201" s="449">
        <f t="shared" si="221"/>
        <v>113.16250000000001</v>
      </c>
      <c r="BF201" s="449">
        <f t="shared" si="221"/>
        <v>113.16250000000001</v>
      </c>
      <c r="BG201" s="449">
        <f t="shared" si="221"/>
        <v>226.32500000000002</v>
      </c>
      <c r="BH201" s="400"/>
      <c r="BI201" s="449">
        <v>0</v>
      </c>
      <c r="BJ201" s="449">
        <f>SUM('FY19 Staffing V1-1 (3)'!$S$106)/12</f>
        <v>113.16250000000001</v>
      </c>
      <c r="BK201" s="449">
        <f>SUM('FY19 Staffing V1-1 (3)'!$S$106)/12</f>
        <v>113.16250000000001</v>
      </c>
      <c r="BL201" s="449">
        <f>SUM('FY19 Staffing V1-1 (3)'!$S$106)/12</f>
        <v>113.16250000000001</v>
      </c>
      <c r="BM201" s="449">
        <f>SUM('FY19 Staffing V1-1 (3)'!$S$106)/12</f>
        <v>113.16250000000001</v>
      </c>
      <c r="BN201" s="449">
        <f>SUM('FY19 Staffing V1-1 (3)'!$S$106)/12</f>
        <v>113.16250000000001</v>
      </c>
      <c r="BO201" s="449">
        <f>SUM('FY19 Staffing V1-1 (3)'!$S$106)/12</f>
        <v>113.16250000000001</v>
      </c>
      <c r="BP201" s="449">
        <f>SUM('FY19 Staffing V1-1 (3)'!$S$106)/12</f>
        <v>113.16250000000001</v>
      </c>
      <c r="BQ201" s="449">
        <f>SUM('FY19 Staffing V1-1 (3)'!$S$106)/12</f>
        <v>113.16250000000001</v>
      </c>
      <c r="BR201" s="449">
        <f>SUM('FY19 Staffing V1-1 (3)'!$S$106)/12</f>
        <v>113.16250000000001</v>
      </c>
      <c r="BS201" s="449">
        <f>SUM('FY19 Staffing V1-1 (3)'!$S$106)/12</f>
        <v>113.16250000000001</v>
      </c>
      <c r="BT201" s="449">
        <f>SUM('FY19 Staffing V1-1 (3)'!$S$106)/12*2</f>
        <v>226.32500000000002</v>
      </c>
    </row>
    <row r="202" spans="1:72" ht="15" hidden="1" x14ac:dyDescent="0.25">
      <c r="A202" s="614" t="s">
        <v>331</v>
      </c>
      <c r="B202" s="616" t="s">
        <v>332</v>
      </c>
      <c r="C202" s="538"/>
      <c r="D202" s="500">
        <f t="shared" si="186"/>
        <v>32078</v>
      </c>
      <c r="E202" s="449">
        <v>61651</v>
      </c>
      <c r="F202" s="449">
        <f t="shared" si="187"/>
        <v>-29573</v>
      </c>
      <c r="G202" s="421">
        <f t="shared" si="188"/>
        <v>-0.47968402783409841</v>
      </c>
      <c r="H202" s="449">
        <v>32078</v>
      </c>
      <c r="I202" s="449">
        <f t="shared" si="189"/>
        <v>0</v>
      </c>
      <c r="J202" s="426">
        <f t="shared" si="190"/>
        <v>0</v>
      </c>
      <c r="K202" s="421"/>
      <c r="L202" s="449">
        <v>0</v>
      </c>
      <c r="M202" s="449">
        <v>3170.42</v>
      </c>
      <c r="N202" s="449">
        <v>3909.7299999999996</v>
      </c>
      <c r="O202" s="449">
        <v>3628.1400000000012</v>
      </c>
      <c r="P202" s="449">
        <v>3436.7099999999991</v>
      </c>
      <c r="Q202" s="449">
        <v>1715</v>
      </c>
      <c r="R202" s="449">
        <f>($H202-SUM($L202:Q202))/R$694</f>
        <v>2703</v>
      </c>
      <c r="S202" s="449">
        <f>($H202-SUM($L202:R202))/S$694</f>
        <v>2703</v>
      </c>
      <c r="T202" s="449">
        <f>($H202-SUM($L202:S202))/T$694</f>
        <v>2703</v>
      </c>
      <c r="U202" s="449">
        <f>($H202-SUM($L202:T202))/U$694</f>
        <v>2703</v>
      </c>
      <c r="V202" s="449">
        <f>($H202-SUM($L202:U202))/V$694</f>
        <v>2703</v>
      </c>
      <c r="W202" s="449">
        <f>($H202-SUM($L202:V202))/W$694</f>
        <v>2703</v>
      </c>
      <c r="X202" s="449"/>
      <c r="Y202" s="449">
        <f t="shared" si="191"/>
        <v>32078</v>
      </c>
      <c r="Z202" s="531"/>
      <c r="AA202" s="449">
        <f t="shared" si="222"/>
        <v>2673.1666666666665</v>
      </c>
      <c r="AB202" s="449">
        <f t="shared" si="222"/>
        <v>2673.1666666666665</v>
      </c>
      <c r="AC202" s="449">
        <f t="shared" si="222"/>
        <v>2673.1666666666665</v>
      </c>
      <c r="AD202" s="449">
        <f t="shared" si="222"/>
        <v>2673.1666666666665</v>
      </c>
      <c r="AE202" s="449">
        <f t="shared" si="222"/>
        <v>2673.1666666666665</v>
      </c>
      <c r="AF202" s="449">
        <f t="shared" si="222"/>
        <v>2673.1666666666665</v>
      </c>
      <c r="AG202" s="449">
        <f t="shared" si="222"/>
        <v>2673.1666666666665</v>
      </c>
      <c r="AH202" s="449">
        <f t="shared" si="222"/>
        <v>2673.1666666666665</v>
      </c>
      <c r="AI202" s="449">
        <f t="shared" si="222"/>
        <v>2673.1666666666665</v>
      </c>
      <c r="AJ202" s="449">
        <f t="shared" si="222"/>
        <v>2673.1666666666665</v>
      </c>
      <c r="AK202" s="449">
        <f t="shared" si="222"/>
        <v>2673.1666666666665</v>
      </c>
      <c r="AL202" s="449">
        <f t="shared" si="222"/>
        <v>2673.1666666666665</v>
      </c>
      <c r="AN202" s="500">
        <f t="shared" si="219"/>
        <v>32078</v>
      </c>
      <c r="AO202" s="449">
        <f t="shared" si="194"/>
        <v>0</v>
      </c>
      <c r="AP202" s="449">
        <f t="shared" si="195"/>
        <v>-32078</v>
      </c>
      <c r="AQ202" s="453">
        <f t="shared" si="196"/>
        <v>-1</v>
      </c>
      <c r="AR202" s="449">
        <f t="shared" si="210"/>
        <v>0</v>
      </c>
      <c r="AS202" s="449">
        <f t="shared" si="198"/>
        <v>0</v>
      </c>
      <c r="AT202" s="426">
        <f t="shared" si="199"/>
        <v>0</v>
      </c>
      <c r="AU202" s="421"/>
      <c r="AV202" s="449">
        <f t="shared" si="204"/>
        <v>0</v>
      </c>
      <c r="AW202" s="449">
        <f t="shared" si="204"/>
        <v>0</v>
      </c>
      <c r="AX202" s="449">
        <f t="shared" si="204"/>
        <v>0</v>
      </c>
      <c r="AY202" s="449">
        <f t="shared" si="204"/>
        <v>0</v>
      </c>
      <c r="AZ202" s="449">
        <f t="shared" si="204"/>
        <v>0</v>
      </c>
      <c r="BA202" s="449">
        <f t="shared" si="204"/>
        <v>0</v>
      </c>
      <c r="BB202" s="449">
        <f t="shared" si="221"/>
        <v>0</v>
      </c>
      <c r="BC202" s="449">
        <f t="shared" si="221"/>
        <v>0</v>
      </c>
      <c r="BD202" s="449">
        <f t="shared" si="221"/>
        <v>0</v>
      </c>
      <c r="BE202" s="449">
        <f t="shared" si="221"/>
        <v>0</v>
      </c>
      <c r="BF202" s="449">
        <f t="shared" si="221"/>
        <v>0</v>
      </c>
      <c r="BG202" s="449">
        <f t="shared" si="221"/>
        <v>0</v>
      </c>
      <c r="BH202" s="400"/>
      <c r="BI202" s="449">
        <v>0</v>
      </c>
      <c r="BJ202" s="449">
        <v>0</v>
      </c>
      <c r="BK202" s="449">
        <v>0</v>
      </c>
      <c r="BL202" s="449">
        <v>0</v>
      </c>
      <c r="BM202" s="449">
        <v>0</v>
      </c>
      <c r="BN202" s="449">
        <v>0</v>
      </c>
      <c r="BO202" s="449">
        <v>0</v>
      </c>
      <c r="BP202" s="449">
        <v>0</v>
      </c>
      <c r="BQ202" s="449">
        <v>0</v>
      </c>
      <c r="BR202" s="449">
        <v>0</v>
      </c>
      <c r="BS202" s="449">
        <v>0</v>
      </c>
      <c r="BT202" s="449">
        <v>0</v>
      </c>
    </row>
    <row r="203" spans="1:72" ht="15" hidden="1" x14ac:dyDescent="0.25">
      <c r="A203" s="614" t="s">
        <v>333</v>
      </c>
      <c r="B203" s="616" t="s">
        <v>334</v>
      </c>
      <c r="C203" s="538"/>
      <c r="D203" s="500">
        <f t="shared" si="186"/>
        <v>0</v>
      </c>
      <c r="E203" s="449">
        <v>8153</v>
      </c>
      <c r="F203" s="449">
        <f t="shared" si="187"/>
        <v>-8153</v>
      </c>
      <c r="G203" s="421">
        <f t="shared" si="188"/>
        <v>-1</v>
      </c>
      <c r="H203" s="449">
        <v>0</v>
      </c>
      <c r="I203" s="449">
        <f t="shared" si="189"/>
        <v>0</v>
      </c>
      <c r="J203" s="426">
        <f t="shared" si="190"/>
        <v>0</v>
      </c>
      <c r="K203" s="421"/>
      <c r="L203" s="449">
        <v>0</v>
      </c>
      <c r="M203" s="449">
        <v>0</v>
      </c>
      <c r="N203" s="449">
        <v>0</v>
      </c>
      <c r="O203" s="449">
        <v>0</v>
      </c>
      <c r="P203" s="449">
        <v>0</v>
      </c>
      <c r="Q203" s="449">
        <v>0</v>
      </c>
      <c r="R203" s="449">
        <f>($H203-SUM($L203:Q203))/R$694</f>
        <v>0</v>
      </c>
      <c r="S203" s="449">
        <f>($H203-SUM($L203:R203))/S$694</f>
        <v>0</v>
      </c>
      <c r="T203" s="449">
        <f>($H203-SUM($L203:S203))/T$694</f>
        <v>0</v>
      </c>
      <c r="U203" s="449">
        <f>($H203-SUM($L203:T203))/U$694</f>
        <v>0</v>
      </c>
      <c r="V203" s="449">
        <f>($H203-SUM($L203:U203))/V$694</f>
        <v>0</v>
      </c>
      <c r="W203" s="449">
        <f>($H203-SUM($L203:V203))/W$694</f>
        <v>0</v>
      </c>
      <c r="X203" s="449"/>
      <c r="Y203" s="449">
        <f t="shared" si="191"/>
        <v>0</v>
      </c>
      <c r="Z203" s="531"/>
      <c r="AA203" s="449">
        <f t="shared" si="222"/>
        <v>0</v>
      </c>
      <c r="AB203" s="449">
        <f t="shared" si="222"/>
        <v>0</v>
      </c>
      <c r="AC203" s="449">
        <f t="shared" si="222"/>
        <v>0</v>
      </c>
      <c r="AD203" s="449">
        <f t="shared" si="222"/>
        <v>0</v>
      </c>
      <c r="AE203" s="449">
        <f t="shared" si="222"/>
        <v>0</v>
      </c>
      <c r="AF203" s="449">
        <f t="shared" si="222"/>
        <v>0</v>
      </c>
      <c r="AG203" s="449">
        <f t="shared" si="222"/>
        <v>0</v>
      </c>
      <c r="AH203" s="449">
        <f t="shared" si="222"/>
        <v>0</v>
      </c>
      <c r="AI203" s="449">
        <f t="shared" si="222"/>
        <v>0</v>
      </c>
      <c r="AJ203" s="449">
        <f t="shared" si="222"/>
        <v>0</v>
      </c>
      <c r="AK203" s="449">
        <f t="shared" si="222"/>
        <v>0</v>
      </c>
      <c r="AL203" s="449">
        <f t="shared" si="222"/>
        <v>0</v>
      </c>
      <c r="AN203" s="500">
        <f t="shared" si="219"/>
        <v>0</v>
      </c>
      <c r="AO203" s="449">
        <f t="shared" si="194"/>
        <v>0</v>
      </c>
      <c r="AP203" s="449">
        <f t="shared" si="195"/>
        <v>0</v>
      </c>
      <c r="AQ203" s="453" t="str">
        <f t="shared" si="196"/>
        <v>-</v>
      </c>
      <c r="AR203" s="449">
        <f t="shared" si="210"/>
        <v>0</v>
      </c>
      <c r="AS203" s="449">
        <f t="shared" si="198"/>
        <v>0</v>
      </c>
      <c r="AT203" s="426">
        <f t="shared" si="199"/>
        <v>0</v>
      </c>
      <c r="AU203" s="421"/>
      <c r="AV203" s="449">
        <f t="shared" si="204"/>
        <v>0</v>
      </c>
      <c r="AW203" s="449">
        <f t="shared" si="204"/>
        <v>0</v>
      </c>
      <c r="AX203" s="449">
        <f t="shared" si="204"/>
        <v>0</v>
      </c>
      <c r="AY203" s="449">
        <f t="shared" si="204"/>
        <v>0</v>
      </c>
      <c r="AZ203" s="449">
        <f t="shared" si="204"/>
        <v>0</v>
      </c>
      <c r="BA203" s="449">
        <f t="shared" si="204"/>
        <v>0</v>
      </c>
      <c r="BB203" s="449">
        <f t="shared" si="221"/>
        <v>0</v>
      </c>
      <c r="BC203" s="449">
        <f t="shared" si="221"/>
        <v>0</v>
      </c>
      <c r="BD203" s="449">
        <f t="shared" si="221"/>
        <v>0</v>
      </c>
      <c r="BE203" s="449">
        <f t="shared" si="221"/>
        <v>0</v>
      </c>
      <c r="BF203" s="449">
        <f t="shared" si="221"/>
        <v>0</v>
      </c>
      <c r="BG203" s="449">
        <f t="shared" si="221"/>
        <v>0</v>
      </c>
      <c r="BH203" s="400"/>
      <c r="BI203" s="449">
        <v>0</v>
      </c>
      <c r="BJ203" s="449">
        <v>0</v>
      </c>
      <c r="BK203" s="449">
        <v>0</v>
      </c>
      <c r="BL203" s="449">
        <v>0</v>
      </c>
      <c r="BM203" s="449">
        <v>0</v>
      </c>
      <c r="BN203" s="449">
        <v>0</v>
      </c>
      <c r="BO203" s="449">
        <v>0</v>
      </c>
      <c r="BP203" s="449">
        <v>0</v>
      </c>
      <c r="BQ203" s="449">
        <v>0</v>
      </c>
      <c r="BR203" s="449">
        <v>0</v>
      </c>
      <c r="BS203" s="449">
        <v>0</v>
      </c>
      <c r="BT203" s="449">
        <v>0</v>
      </c>
    </row>
    <row r="204" spans="1:72" ht="15" hidden="1" x14ac:dyDescent="0.25">
      <c r="A204" s="614" t="s">
        <v>335</v>
      </c>
      <c r="B204" s="614" t="s">
        <v>336</v>
      </c>
      <c r="C204" s="541"/>
      <c r="D204" s="500">
        <f t="shared" si="186"/>
        <v>3226</v>
      </c>
      <c r="E204" s="449">
        <v>12965</v>
      </c>
      <c r="F204" s="449">
        <f t="shared" si="187"/>
        <v>-9739</v>
      </c>
      <c r="G204" s="421">
        <f t="shared" si="188"/>
        <v>-0.75117624373312764</v>
      </c>
      <c r="H204" s="449">
        <v>3226</v>
      </c>
      <c r="I204" s="449">
        <f t="shared" si="189"/>
        <v>0</v>
      </c>
      <c r="J204" s="426">
        <f t="shared" si="190"/>
        <v>0</v>
      </c>
      <c r="K204" s="421"/>
      <c r="L204" s="449">
        <v>0</v>
      </c>
      <c r="M204" s="449">
        <v>581.76</v>
      </c>
      <c r="N204" s="449">
        <v>452.28</v>
      </c>
      <c r="O204" s="449">
        <v>487.98</v>
      </c>
      <c r="P204" s="449">
        <v>454.32000000000016</v>
      </c>
      <c r="Q204" s="449">
        <v>220.34999999999991</v>
      </c>
      <c r="R204" s="449">
        <f>($H204-SUM($L204:Q204))/R$694</f>
        <v>171.55166666666665</v>
      </c>
      <c r="S204" s="449">
        <f>($H204-SUM($L204:R204))/S$694</f>
        <v>171.55166666666665</v>
      </c>
      <c r="T204" s="449">
        <f>($H204-SUM($L204:S204))/T$694</f>
        <v>171.55166666666662</v>
      </c>
      <c r="U204" s="449">
        <f>($H204-SUM($L204:T204))/U$694</f>
        <v>171.55166666666659</v>
      </c>
      <c r="V204" s="449">
        <f>($H204-SUM($L204:U204))/V$694</f>
        <v>171.55166666666651</v>
      </c>
      <c r="W204" s="449">
        <f>($H204-SUM($L204:V204))/W$694</f>
        <v>171.55166666666628</v>
      </c>
      <c r="X204" s="449"/>
      <c r="Y204" s="449">
        <f t="shared" si="191"/>
        <v>3226</v>
      </c>
      <c r="Z204" s="531"/>
      <c r="AA204" s="449">
        <f t="shared" si="222"/>
        <v>268.83333333333331</v>
      </c>
      <c r="AB204" s="449">
        <f t="shared" si="222"/>
        <v>268.83333333333331</v>
      </c>
      <c r="AC204" s="449">
        <f t="shared" si="222"/>
        <v>268.83333333333331</v>
      </c>
      <c r="AD204" s="449">
        <f t="shared" si="222"/>
        <v>268.83333333333331</v>
      </c>
      <c r="AE204" s="449">
        <f t="shared" si="222"/>
        <v>268.83333333333331</v>
      </c>
      <c r="AF204" s="449">
        <f t="shared" si="222"/>
        <v>268.83333333333331</v>
      </c>
      <c r="AG204" s="449">
        <f t="shared" si="222"/>
        <v>268.83333333333331</v>
      </c>
      <c r="AH204" s="449">
        <f t="shared" si="222"/>
        <v>268.83333333333331</v>
      </c>
      <c r="AI204" s="449">
        <f t="shared" si="222"/>
        <v>268.83333333333331</v>
      </c>
      <c r="AJ204" s="449">
        <f t="shared" si="222"/>
        <v>268.83333333333331</v>
      </c>
      <c r="AK204" s="449">
        <f t="shared" si="222"/>
        <v>268.83333333333331</v>
      </c>
      <c r="AL204" s="449">
        <f t="shared" si="222"/>
        <v>268.83333333333331</v>
      </c>
      <c r="AN204" s="500">
        <f t="shared" si="219"/>
        <v>3226</v>
      </c>
      <c r="AO204" s="449">
        <f t="shared" si="194"/>
        <v>0</v>
      </c>
      <c r="AP204" s="449">
        <f t="shared" si="195"/>
        <v>-3226</v>
      </c>
      <c r="AQ204" s="453">
        <f t="shared" si="196"/>
        <v>-1</v>
      </c>
      <c r="AR204" s="449">
        <f t="shared" si="210"/>
        <v>0</v>
      </c>
      <c r="AS204" s="449">
        <f t="shared" si="198"/>
        <v>0</v>
      </c>
      <c r="AT204" s="426">
        <f t="shared" si="199"/>
        <v>0</v>
      </c>
      <c r="AU204" s="421"/>
      <c r="AV204" s="449">
        <f t="shared" si="204"/>
        <v>0</v>
      </c>
      <c r="AW204" s="449">
        <f t="shared" si="204"/>
        <v>0</v>
      </c>
      <c r="AX204" s="449">
        <f t="shared" si="204"/>
        <v>0</v>
      </c>
      <c r="AY204" s="449">
        <f t="shared" si="204"/>
        <v>0</v>
      </c>
      <c r="AZ204" s="449">
        <f t="shared" si="204"/>
        <v>0</v>
      </c>
      <c r="BA204" s="449">
        <f t="shared" si="204"/>
        <v>0</v>
      </c>
      <c r="BB204" s="449">
        <f t="shared" si="221"/>
        <v>0</v>
      </c>
      <c r="BC204" s="449">
        <f t="shared" si="221"/>
        <v>0</v>
      </c>
      <c r="BD204" s="449">
        <f t="shared" si="221"/>
        <v>0</v>
      </c>
      <c r="BE204" s="449">
        <f t="shared" si="221"/>
        <v>0</v>
      </c>
      <c r="BF204" s="449">
        <f t="shared" si="221"/>
        <v>0</v>
      </c>
      <c r="BG204" s="449">
        <f t="shared" si="221"/>
        <v>0</v>
      </c>
      <c r="BH204" s="400"/>
      <c r="BI204" s="449">
        <v>0</v>
      </c>
      <c r="BJ204" s="449">
        <v>0</v>
      </c>
      <c r="BK204" s="449">
        <v>0</v>
      </c>
      <c r="BL204" s="449">
        <v>0</v>
      </c>
      <c r="BM204" s="449">
        <v>0</v>
      </c>
      <c r="BN204" s="449">
        <v>0</v>
      </c>
      <c r="BO204" s="449">
        <v>0</v>
      </c>
      <c r="BP204" s="449">
        <v>0</v>
      </c>
      <c r="BQ204" s="449">
        <v>0</v>
      </c>
      <c r="BR204" s="449">
        <v>0</v>
      </c>
      <c r="BS204" s="449">
        <v>0</v>
      </c>
      <c r="BT204" s="449">
        <v>0</v>
      </c>
    </row>
    <row r="205" spans="1:72" ht="15" hidden="1" x14ac:dyDescent="0.25">
      <c r="A205" s="614" t="s">
        <v>337</v>
      </c>
      <c r="B205" s="614" t="s">
        <v>338</v>
      </c>
      <c r="C205" s="541"/>
      <c r="D205" s="500">
        <f t="shared" si="186"/>
        <v>957</v>
      </c>
      <c r="E205" s="449">
        <v>2792</v>
      </c>
      <c r="F205" s="449">
        <f t="shared" si="187"/>
        <v>-1835</v>
      </c>
      <c r="G205" s="421">
        <f t="shared" si="188"/>
        <v>-0.6572349570200573</v>
      </c>
      <c r="H205" s="449">
        <v>957</v>
      </c>
      <c r="I205" s="449">
        <f t="shared" si="189"/>
        <v>0</v>
      </c>
      <c r="J205" s="426">
        <f t="shared" si="190"/>
        <v>0</v>
      </c>
      <c r="K205" s="421"/>
      <c r="L205" s="449">
        <v>0</v>
      </c>
      <c r="M205" s="449">
        <v>0</v>
      </c>
      <c r="N205" s="449">
        <v>0</v>
      </c>
      <c r="O205" s="449">
        <v>0</v>
      </c>
      <c r="P205" s="449">
        <v>0</v>
      </c>
      <c r="Q205" s="449">
        <v>0</v>
      </c>
      <c r="R205" s="449">
        <f>($H205-SUM($L205:Q205))/R$694</f>
        <v>159.5</v>
      </c>
      <c r="S205" s="449">
        <f>($H205-SUM($L205:R205))/S$694</f>
        <v>159.5</v>
      </c>
      <c r="T205" s="449">
        <f>($H205-SUM($L205:S205))/T$694</f>
        <v>159.5</v>
      </c>
      <c r="U205" s="449">
        <f>($H205-SUM($L205:T205))/U$694</f>
        <v>159.5</v>
      </c>
      <c r="V205" s="449">
        <f>($H205-SUM($L205:U205))/V$694</f>
        <v>159.5</v>
      </c>
      <c r="W205" s="449">
        <f>($H205-SUM($L205:V205))/W$694</f>
        <v>159.5</v>
      </c>
      <c r="X205" s="449"/>
      <c r="Y205" s="449">
        <f t="shared" si="191"/>
        <v>957</v>
      </c>
      <c r="Z205" s="531"/>
      <c r="AA205" s="449">
        <f t="shared" si="222"/>
        <v>79.75</v>
      </c>
      <c r="AB205" s="449">
        <f t="shared" si="222"/>
        <v>79.75</v>
      </c>
      <c r="AC205" s="449">
        <f t="shared" si="222"/>
        <v>79.75</v>
      </c>
      <c r="AD205" s="449">
        <f t="shared" si="222"/>
        <v>79.75</v>
      </c>
      <c r="AE205" s="449">
        <f t="shared" si="222"/>
        <v>79.75</v>
      </c>
      <c r="AF205" s="449">
        <f t="shared" si="222"/>
        <v>79.75</v>
      </c>
      <c r="AG205" s="449">
        <f t="shared" si="222"/>
        <v>79.75</v>
      </c>
      <c r="AH205" s="449">
        <f t="shared" si="222"/>
        <v>79.75</v>
      </c>
      <c r="AI205" s="449">
        <f t="shared" si="222"/>
        <v>79.75</v>
      </c>
      <c r="AJ205" s="449">
        <f t="shared" si="222"/>
        <v>79.75</v>
      </c>
      <c r="AK205" s="449">
        <f t="shared" si="222"/>
        <v>79.75</v>
      </c>
      <c r="AL205" s="449">
        <f t="shared" si="222"/>
        <v>79.75</v>
      </c>
      <c r="AN205" s="500">
        <f t="shared" si="219"/>
        <v>957</v>
      </c>
      <c r="AO205" s="449">
        <f t="shared" si="194"/>
        <v>0</v>
      </c>
      <c r="AP205" s="449">
        <f t="shared" si="195"/>
        <v>-957</v>
      </c>
      <c r="AQ205" s="453">
        <f t="shared" si="196"/>
        <v>-1</v>
      </c>
      <c r="AR205" s="449">
        <f t="shared" si="210"/>
        <v>0</v>
      </c>
      <c r="AS205" s="449">
        <f t="shared" si="198"/>
        <v>0</v>
      </c>
      <c r="AT205" s="426">
        <f t="shared" si="199"/>
        <v>0</v>
      </c>
      <c r="AU205" s="421"/>
      <c r="AV205" s="449">
        <f t="shared" si="204"/>
        <v>0</v>
      </c>
      <c r="AW205" s="449">
        <f t="shared" si="204"/>
        <v>0</v>
      </c>
      <c r="AX205" s="449">
        <f t="shared" si="204"/>
        <v>0</v>
      </c>
      <c r="AY205" s="449">
        <f t="shared" si="204"/>
        <v>0</v>
      </c>
      <c r="AZ205" s="449">
        <f t="shared" si="204"/>
        <v>0</v>
      </c>
      <c r="BA205" s="449">
        <f t="shared" si="204"/>
        <v>0</v>
      </c>
      <c r="BB205" s="449">
        <f t="shared" si="221"/>
        <v>0</v>
      </c>
      <c r="BC205" s="449">
        <f t="shared" si="221"/>
        <v>0</v>
      </c>
      <c r="BD205" s="449">
        <f t="shared" si="221"/>
        <v>0</v>
      </c>
      <c r="BE205" s="449">
        <f t="shared" si="221"/>
        <v>0</v>
      </c>
      <c r="BF205" s="449">
        <f t="shared" si="221"/>
        <v>0</v>
      </c>
      <c r="BG205" s="449">
        <f t="shared" si="221"/>
        <v>0</v>
      </c>
      <c r="BH205" s="400"/>
      <c r="BI205" s="449">
        <v>0</v>
      </c>
      <c r="BJ205" s="449">
        <v>0</v>
      </c>
      <c r="BK205" s="449">
        <v>0</v>
      </c>
      <c r="BL205" s="449">
        <v>0</v>
      </c>
      <c r="BM205" s="449">
        <v>0</v>
      </c>
      <c r="BN205" s="449">
        <v>0</v>
      </c>
      <c r="BO205" s="449">
        <v>0</v>
      </c>
      <c r="BP205" s="449">
        <v>0</v>
      </c>
      <c r="BQ205" s="449">
        <v>0</v>
      </c>
      <c r="BR205" s="449">
        <v>0</v>
      </c>
      <c r="BS205" s="449">
        <v>0</v>
      </c>
      <c r="BT205" s="449">
        <v>0</v>
      </c>
    </row>
    <row r="206" spans="1:72" ht="15" hidden="1" x14ac:dyDescent="0.25">
      <c r="A206" s="614" t="s">
        <v>339</v>
      </c>
      <c r="B206" s="614" t="s">
        <v>340</v>
      </c>
      <c r="C206" s="541"/>
      <c r="D206" s="500">
        <f t="shared" si="186"/>
        <v>5724.73</v>
      </c>
      <c r="E206" s="449">
        <v>13287</v>
      </c>
      <c r="F206" s="449">
        <f t="shared" si="187"/>
        <v>-7562.27</v>
      </c>
      <c r="G206" s="421">
        <f t="shared" si="188"/>
        <v>-0.56914803943704373</v>
      </c>
      <c r="H206" s="449">
        <v>4902</v>
      </c>
      <c r="I206" s="449">
        <f t="shared" si="189"/>
        <v>822.72999999999956</v>
      </c>
      <c r="J206" s="426">
        <f t="shared" si="190"/>
        <v>0.1678355773153814</v>
      </c>
      <c r="K206" s="421"/>
      <c r="L206" s="449">
        <v>0</v>
      </c>
      <c r="M206" s="449">
        <v>0</v>
      </c>
      <c r="N206" s="449">
        <v>0</v>
      </c>
      <c r="O206" s="449">
        <v>3828.18</v>
      </c>
      <c r="P206" s="449">
        <v>823.74000000000024</v>
      </c>
      <c r="Q206" s="449">
        <v>1072.8099999999995</v>
      </c>
      <c r="R206" s="449">
        <v>0</v>
      </c>
      <c r="S206" s="449">
        <v>0</v>
      </c>
      <c r="T206" s="449">
        <v>0</v>
      </c>
      <c r="U206" s="449">
        <v>0</v>
      </c>
      <c r="V206" s="449">
        <v>0</v>
      </c>
      <c r="W206" s="449">
        <v>0</v>
      </c>
      <c r="X206" s="449"/>
      <c r="Y206" s="449">
        <f t="shared" si="191"/>
        <v>5724.73</v>
      </c>
      <c r="Z206" s="531"/>
      <c r="AA206" s="449">
        <f t="shared" si="222"/>
        <v>408.5</v>
      </c>
      <c r="AB206" s="449">
        <f t="shared" si="222"/>
        <v>408.5</v>
      </c>
      <c r="AC206" s="449">
        <f t="shared" si="222"/>
        <v>408.5</v>
      </c>
      <c r="AD206" s="449">
        <f t="shared" si="222"/>
        <v>408.5</v>
      </c>
      <c r="AE206" s="449">
        <f t="shared" si="222"/>
        <v>408.5</v>
      </c>
      <c r="AF206" s="449">
        <f t="shared" si="222"/>
        <v>408.5</v>
      </c>
      <c r="AG206" s="449">
        <f t="shared" si="222"/>
        <v>408.5</v>
      </c>
      <c r="AH206" s="449">
        <f t="shared" si="222"/>
        <v>408.5</v>
      </c>
      <c r="AI206" s="449">
        <f t="shared" si="222"/>
        <v>408.5</v>
      </c>
      <c r="AJ206" s="449">
        <f t="shared" si="222"/>
        <v>408.5</v>
      </c>
      <c r="AK206" s="449">
        <f t="shared" si="222"/>
        <v>408.5</v>
      </c>
      <c r="AL206" s="449">
        <f t="shared" si="222"/>
        <v>408.5</v>
      </c>
      <c r="AN206" s="500">
        <f t="shared" si="219"/>
        <v>5724.73</v>
      </c>
      <c r="AO206" s="449">
        <f t="shared" si="194"/>
        <v>0</v>
      </c>
      <c r="AP206" s="449">
        <f t="shared" si="195"/>
        <v>-5724.73</v>
      </c>
      <c r="AQ206" s="453">
        <f t="shared" si="196"/>
        <v>-1</v>
      </c>
      <c r="AR206" s="449">
        <f t="shared" si="210"/>
        <v>0</v>
      </c>
      <c r="AS206" s="449">
        <f t="shared" si="198"/>
        <v>0</v>
      </c>
      <c r="AT206" s="426">
        <f t="shared" si="199"/>
        <v>0</v>
      </c>
      <c r="AU206" s="421"/>
      <c r="AV206" s="449">
        <f t="shared" si="204"/>
        <v>0</v>
      </c>
      <c r="AW206" s="449">
        <f t="shared" si="204"/>
        <v>0</v>
      </c>
      <c r="AX206" s="449">
        <f t="shared" si="204"/>
        <v>0</v>
      </c>
      <c r="AY206" s="449">
        <f t="shared" si="204"/>
        <v>0</v>
      </c>
      <c r="AZ206" s="449">
        <f t="shared" si="204"/>
        <v>0</v>
      </c>
      <c r="BA206" s="449">
        <f t="shared" si="204"/>
        <v>0</v>
      </c>
      <c r="BB206" s="449">
        <f t="shared" si="221"/>
        <v>0</v>
      </c>
      <c r="BC206" s="449">
        <f t="shared" si="221"/>
        <v>0</v>
      </c>
      <c r="BD206" s="449">
        <f t="shared" si="221"/>
        <v>0</v>
      </c>
      <c r="BE206" s="449">
        <f t="shared" si="221"/>
        <v>0</v>
      </c>
      <c r="BF206" s="449">
        <f t="shared" si="221"/>
        <v>0</v>
      </c>
      <c r="BG206" s="449">
        <f t="shared" si="221"/>
        <v>0</v>
      </c>
      <c r="BH206" s="400"/>
      <c r="BI206" s="449">
        <v>0</v>
      </c>
      <c r="BJ206" s="449">
        <v>0</v>
      </c>
      <c r="BK206" s="449">
        <v>0</v>
      </c>
      <c r="BL206" s="449">
        <v>0</v>
      </c>
      <c r="BM206" s="449">
        <v>0</v>
      </c>
      <c r="BN206" s="449">
        <v>0</v>
      </c>
      <c r="BO206" s="449">
        <v>0</v>
      </c>
      <c r="BP206" s="449">
        <v>0</v>
      </c>
      <c r="BQ206" s="449">
        <v>0</v>
      </c>
      <c r="BR206" s="449">
        <v>0</v>
      </c>
      <c r="BS206" s="449">
        <v>0</v>
      </c>
      <c r="BT206" s="449">
        <v>0</v>
      </c>
    </row>
    <row r="207" spans="1:72" ht="15" hidden="1" x14ac:dyDescent="0.25">
      <c r="A207" s="614" t="s">
        <v>341</v>
      </c>
      <c r="B207" s="614" t="s">
        <v>342</v>
      </c>
      <c r="C207" s="541"/>
      <c r="D207" s="500">
        <f t="shared" si="186"/>
        <v>0</v>
      </c>
      <c r="E207" s="449">
        <v>0</v>
      </c>
      <c r="F207" s="449">
        <f t="shared" si="187"/>
        <v>0</v>
      </c>
      <c r="G207" s="421">
        <f t="shared" si="188"/>
        <v>0</v>
      </c>
      <c r="H207" s="449">
        <v>0</v>
      </c>
      <c r="I207" s="449">
        <f t="shared" si="189"/>
        <v>0</v>
      </c>
      <c r="J207" s="426">
        <f t="shared" si="190"/>
        <v>0</v>
      </c>
      <c r="K207" s="421"/>
      <c r="L207" s="449">
        <v>0</v>
      </c>
      <c r="M207" s="449">
        <v>0</v>
      </c>
      <c r="N207" s="449">
        <v>0</v>
      </c>
      <c r="O207" s="449">
        <v>0</v>
      </c>
      <c r="P207" s="449">
        <v>0</v>
      </c>
      <c r="Q207" s="449">
        <v>0</v>
      </c>
      <c r="R207" s="449">
        <f>($H207-SUM($L207:Q207))/R$694</f>
        <v>0</v>
      </c>
      <c r="S207" s="449">
        <f>($H207-SUM($L207:R207))/S$694</f>
        <v>0</v>
      </c>
      <c r="T207" s="449">
        <f>($H207-SUM($L207:S207))/T$694</f>
        <v>0</v>
      </c>
      <c r="U207" s="449">
        <f>($H207-SUM($L207:T207))/U$694</f>
        <v>0</v>
      </c>
      <c r="V207" s="449">
        <f>($H207-SUM($L207:U207))/V$694</f>
        <v>0</v>
      </c>
      <c r="W207" s="449">
        <f>($H207-SUM($L207:V207))/W$694</f>
        <v>0</v>
      </c>
      <c r="X207" s="449"/>
      <c r="Y207" s="449">
        <f t="shared" si="191"/>
        <v>0</v>
      </c>
      <c r="Z207" s="531"/>
      <c r="AA207" s="449">
        <f t="shared" si="222"/>
        <v>0</v>
      </c>
      <c r="AB207" s="449">
        <f t="shared" si="222"/>
        <v>0</v>
      </c>
      <c r="AC207" s="449">
        <f t="shared" si="222"/>
        <v>0</v>
      </c>
      <c r="AD207" s="449">
        <f t="shared" si="222"/>
        <v>0</v>
      </c>
      <c r="AE207" s="449">
        <f t="shared" si="222"/>
        <v>0</v>
      </c>
      <c r="AF207" s="449">
        <f t="shared" si="222"/>
        <v>0</v>
      </c>
      <c r="AG207" s="449">
        <f t="shared" si="222"/>
        <v>0</v>
      </c>
      <c r="AH207" s="449">
        <f t="shared" si="222"/>
        <v>0</v>
      </c>
      <c r="AI207" s="449">
        <f t="shared" si="222"/>
        <v>0</v>
      </c>
      <c r="AJ207" s="449">
        <f t="shared" si="222"/>
        <v>0</v>
      </c>
      <c r="AK207" s="449">
        <f t="shared" si="222"/>
        <v>0</v>
      </c>
      <c r="AL207" s="449">
        <f t="shared" si="222"/>
        <v>0</v>
      </c>
      <c r="AN207" s="500">
        <f t="shared" si="219"/>
        <v>0</v>
      </c>
      <c r="AO207" s="449">
        <f t="shared" si="194"/>
        <v>0</v>
      </c>
      <c r="AP207" s="449">
        <f t="shared" si="195"/>
        <v>0</v>
      </c>
      <c r="AQ207" s="453" t="str">
        <f t="shared" si="196"/>
        <v>-</v>
      </c>
      <c r="AR207" s="449">
        <f t="shared" si="210"/>
        <v>0</v>
      </c>
      <c r="AS207" s="449">
        <f t="shared" si="198"/>
        <v>0</v>
      </c>
      <c r="AT207" s="426">
        <f t="shared" si="199"/>
        <v>0</v>
      </c>
      <c r="AU207" s="421"/>
      <c r="AV207" s="449">
        <f t="shared" si="204"/>
        <v>0</v>
      </c>
      <c r="AW207" s="449">
        <f t="shared" si="204"/>
        <v>0</v>
      </c>
      <c r="AX207" s="449">
        <f t="shared" si="204"/>
        <v>0</v>
      </c>
      <c r="AY207" s="449">
        <f t="shared" si="204"/>
        <v>0</v>
      </c>
      <c r="AZ207" s="449">
        <f t="shared" si="204"/>
        <v>0</v>
      </c>
      <c r="BA207" s="449">
        <f t="shared" si="204"/>
        <v>0</v>
      </c>
      <c r="BB207" s="449">
        <f t="shared" si="221"/>
        <v>0</v>
      </c>
      <c r="BC207" s="449">
        <f t="shared" si="221"/>
        <v>0</v>
      </c>
      <c r="BD207" s="449">
        <f t="shared" si="221"/>
        <v>0</v>
      </c>
      <c r="BE207" s="449">
        <f t="shared" si="221"/>
        <v>0</v>
      </c>
      <c r="BF207" s="449">
        <f t="shared" si="221"/>
        <v>0</v>
      </c>
      <c r="BG207" s="449">
        <f t="shared" si="221"/>
        <v>0</v>
      </c>
      <c r="BH207" s="400"/>
      <c r="BI207" s="449">
        <v>0</v>
      </c>
      <c r="BJ207" s="449">
        <v>0</v>
      </c>
      <c r="BK207" s="449">
        <v>0</v>
      </c>
      <c r="BL207" s="449">
        <v>0</v>
      </c>
      <c r="BM207" s="449">
        <v>0</v>
      </c>
      <c r="BN207" s="449">
        <v>0</v>
      </c>
      <c r="BO207" s="449">
        <v>0</v>
      </c>
      <c r="BP207" s="449">
        <v>0</v>
      </c>
      <c r="BQ207" s="449">
        <v>0</v>
      </c>
      <c r="BR207" s="449">
        <v>0</v>
      </c>
      <c r="BS207" s="449">
        <v>0</v>
      </c>
      <c r="BT207" s="449">
        <v>0</v>
      </c>
    </row>
    <row r="208" spans="1:72" ht="15" hidden="1" x14ac:dyDescent="0.25">
      <c r="A208" s="614" t="s">
        <v>343</v>
      </c>
      <c r="B208" s="614" t="s">
        <v>344</v>
      </c>
      <c r="C208" s="541"/>
      <c r="D208" s="500">
        <f t="shared" si="186"/>
        <v>0</v>
      </c>
      <c r="E208" s="449">
        <v>0</v>
      </c>
      <c r="F208" s="449">
        <f t="shared" si="187"/>
        <v>0</v>
      </c>
      <c r="G208" s="421">
        <f t="shared" si="188"/>
        <v>0</v>
      </c>
      <c r="H208" s="449">
        <v>0</v>
      </c>
      <c r="I208" s="449">
        <f t="shared" si="189"/>
        <v>0</v>
      </c>
      <c r="J208" s="426">
        <f t="shared" si="190"/>
        <v>0</v>
      </c>
      <c r="K208" s="421"/>
      <c r="L208" s="449">
        <v>0</v>
      </c>
      <c r="M208" s="449">
        <v>0</v>
      </c>
      <c r="N208" s="449">
        <v>0</v>
      </c>
      <c r="O208" s="449">
        <v>0</v>
      </c>
      <c r="P208" s="449">
        <v>0</v>
      </c>
      <c r="Q208" s="449">
        <v>0</v>
      </c>
      <c r="R208" s="449">
        <f>($H208-SUM($L208:Q208))/R$694</f>
        <v>0</v>
      </c>
      <c r="S208" s="449">
        <f>($H208-SUM($L208:R208))/S$694</f>
        <v>0</v>
      </c>
      <c r="T208" s="449">
        <f>($H208-SUM($L208:S208))/T$694</f>
        <v>0</v>
      </c>
      <c r="U208" s="449">
        <f>($H208-SUM($L208:T208))/U$694</f>
        <v>0</v>
      </c>
      <c r="V208" s="449">
        <f>($H208-SUM($L208:U208))/V$694</f>
        <v>0</v>
      </c>
      <c r="W208" s="449">
        <f>($H208-SUM($L208:V208))/W$694</f>
        <v>0</v>
      </c>
      <c r="X208" s="449"/>
      <c r="Y208" s="449">
        <f t="shared" si="191"/>
        <v>0</v>
      </c>
      <c r="Z208" s="531"/>
      <c r="AA208" s="449">
        <f t="shared" si="222"/>
        <v>0</v>
      </c>
      <c r="AB208" s="449">
        <f t="shared" si="222"/>
        <v>0</v>
      </c>
      <c r="AC208" s="449">
        <f t="shared" si="222"/>
        <v>0</v>
      </c>
      <c r="AD208" s="449">
        <f t="shared" si="222"/>
        <v>0</v>
      </c>
      <c r="AE208" s="449">
        <f t="shared" si="222"/>
        <v>0</v>
      </c>
      <c r="AF208" s="449">
        <f t="shared" si="222"/>
        <v>0</v>
      </c>
      <c r="AG208" s="449">
        <f t="shared" si="222"/>
        <v>0</v>
      </c>
      <c r="AH208" s="449">
        <f t="shared" si="222"/>
        <v>0</v>
      </c>
      <c r="AI208" s="449">
        <f t="shared" si="222"/>
        <v>0</v>
      </c>
      <c r="AJ208" s="449">
        <f t="shared" si="222"/>
        <v>0</v>
      </c>
      <c r="AK208" s="449">
        <f t="shared" si="222"/>
        <v>0</v>
      </c>
      <c r="AL208" s="449">
        <f t="shared" si="222"/>
        <v>0</v>
      </c>
      <c r="AN208" s="500">
        <f t="shared" si="219"/>
        <v>0</v>
      </c>
      <c r="AO208" s="449">
        <f t="shared" si="194"/>
        <v>0</v>
      </c>
      <c r="AP208" s="449">
        <f t="shared" si="195"/>
        <v>0</v>
      </c>
      <c r="AQ208" s="453" t="str">
        <f t="shared" si="196"/>
        <v>-</v>
      </c>
      <c r="AR208" s="449">
        <f t="shared" si="210"/>
        <v>0</v>
      </c>
      <c r="AS208" s="449">
        <f t="shared" si="198"/>
        <v>0</v>
      </c>
      <c r="AT208" s="426">
        <f t="shared" si="199"/>
        <v>0</v>
      </c>
      <c r="AU208" s="421"/>
      <c r="AV208" s="449">
        <f t="shared" si="204"/>
        <v>0</v>
      </c>
      <c r="AW208" s="449">
        <f t="shared" si="204"/>
        <v>0</v>
      </c>
      <c r="AX208" s="449">
        <f t="shared" si="204"/>
        <v>0</v>
      </c>
      <c r="AY208" s="449">
        <f t="shared" si="204"/>
        <v>0</v>
      </c>
      <c r="AZ208" s="449">
        <f t="shared" si="204"/>
        <v>0</v>
      </c>
      <c r="BA208" s="449">
        <f t="shared" si="204"/>
        <v>0</v>
      </c>
      <c r="BB208" s="449">
        <f t="shared" si="221"/>
        <v>0</v>
      </c>
      <c r="BC208" s="449">
        <f t="shared" si="221"/>
        <v>0</v>
      </c>
      <c r="BD208" s="449">
        <f t="shared" si="221"/>
        <v>0</v>
      </c>
      <c r="BE208" s="449">
        <f t="shared" si="221"/>
        <v>0</v>
      </c>
      <c r="BF208" s="449">
        <f t="shared" si="221"/>
        <v>0</v>
      </c>
      <c r="BG208" s="449">
        <f t="shared" si="221"/>
        <v>0</v>
      </c>
      <c r="BH208" s="400"/>
      <c r="BI208" s="449">
        <v>0</v>
      </c>
      <c r="BJ208" s="449">
        <v>0</v>
      </c>
      <c r="BK208" s="449">
        <v>0</v>
      </c>
      <c r="BL208" s="449">
        <v>0</v>
      </c>
      <c r="BM208" s="449">
        <v>0</v>
      </c>
      <c r="BN208" s="449">
        <v>0</v>
      </c>
      <c r="BO208" s="449">
        <v>0</v>
      </c>
      <c r="BP208" s="449">
        <v>0</v>
      </c>
      <c r="BQ208" s="449">
        <v>0</v>
      </c>
      <c r="BR208" s="449">
        <v>0</v>
      </c>
      <c r="BS208" s="449">
        <v>0</v>
      </c>
      <c r="BT208" s="449">
        <v>0</v>
      </c>
    </row>
    <row r="209" spans="1:72" ht="15" x14ac:dyDescent="0.25">
      <c r="A209" s="537" t="s">
        <v>345</v>
      </c>
      <c r="B209" s="537" t="s">
        <v>346</v>
      </c>
      <c r="C209" s="541" t="s">
        <v>347</v>
      </c>
      <c r="D209" s="500">
        <f t="shared" si="186"/>
        <v>9552.6</v>
      </c>
      <c r="E209" s="449">
        <v>0</v>
      </c>
      <c r="F209" s="449">
        <f t="shared" si="187"/>
        <v>9552.6</v>
      </c>
      <c r="G209" s="421">
        <f t="shared" si="188"/>
        <v>0</v>
      </c>
      <c r="H209" s="449">
        <v>4000</v>
      </c>
      <c r="I209" s="449">
        <f t="shared" si="189"/>
        <v>5552.6</v>
      </c>
      <c r="J209" s="426">
        <f t="shared" si="190"/>
        <v>1.38815</v>
      </c>
      <c r="K209" s="421"/>
      <c r="L209" s="449">
        <v>0</v>
      </c>
      <c r="M209" s="449">
        <v>0</v>
      </c>
      <c r="N209" s="449">
        <v>0</v>
      </c>
      <c r="O209" s="449">
        <v>9552.6</v>
      </c>
      <c r="P209" s="449">
        <v>-9552.6</v>
      </c>
      <c r="Q209" s="449">
        <v>9552.6</v>
      </c>
      <c r="R209" s="449">
        <v>0</v>
      </c>
      <c r="S209" s="449">
        <v>0</v>
      </c>
      <c r="T209" s="449">
        <v>0</v>
      </c>
      <c r="U209" s="449">
        <v>0</v>
      </c>
      <c r="V209" s="449">
        <v>0</v>
      </c>
      <c r="W209" s="449">
        <v>0</v>
      </c>
      <c r="X209" s="449"/>
      <c r="Y209" s="449">
        <f t="shared" si="191"/>
        <v>9552.6</v>
      </c>
      <c r="Z209" s="531"/>
      <c r="AA209" s="449">
        <f t="shared" si="222"/>
        <v>333.33333333333331</v>
      </c>
      <c r="AB209" s="449">
        <f t="shared" si="222"/>
        <v>333.33333333333331</v>
      </c>
      <c r="AC209" s="449">
        <f t="shared" si="222"/>
        <v>333.33333333333331</v>
      </c>
      <c r="AD209" s="449">
        <f t="shared" si="222"/>
        <v>333.33333333333331</v>
      </c>
      <c r="AE209" s="449">
        <f t="shared" si="222"/>
        <v>333.33333333333331</v>
      </c>
      <c r="AF209" s="449">
        <f t="shared" si="222"/>
        <v>333.33333333333331</v>
      </c>
      <c r="AG209" s="449">
        <f t="shared" si="222"/>
        <v>333.33333333333331</v>
      </c>
      <c r="AH209" s="449">
        <f t="shared" si="222"/>
        <v>333.33333333333331</v>
      </c>
      <c r="AI209" s="449">
        <f t="shared" si="222"/>
        <v>333.33333333333331</v>
      </c>
      <c r="AJ209" s="449">
        <f t="shared" si="222"/>
        <v>333.33333333333331</v>
      </c>
      <c r="AK209" s="449">
        <f t="shared" si="222"/>
        <v>333.33333333333331</v>
      </c>
      <c r="AL209" s="449">
        <f t="shared" si="222"/>
        <v>333.33333333333331</v>
      </c>
      <c r="AN209" s="500">
        <f t="shared" si="219"/>
        <v>9552.6</v>
      </c>
      <c r="AO209" s="449">
        <f t="shared" si="194"/>
        <v>10504.02361445783</v>
      </c>
      <c r="AP209" s="449">
        <f t="shared" si="195"/>
        <v>951.4236144578299</v>
      </c>
      <c r="AQ209" s="453">
        <f t="shared" si="196"/>
        <v>9.9598393574297034E-2</v>
      </c>
      <c r="AR209" s="449">
        <f t="shared" si="210"/>
        <v>10504.02361445783</v>
      </c>
      <c r="AS209" s="449">
        <f t="shared" si="198"/>
        <v>0</v>
      </c>
      <c r="AT209" s="426">
        <f t="shared" si="199"/>
        <v>0</v>
      </c>
      <c r="AU209" s="421"/>
      <c r="AV209" s="449">
        <f t="shared" si="204"/>
        <v>2100.8047228915666</v>
      </c>
      <c r="AW209" s="449">
        <f t="shared" si="204"/>
        <v>2100.8047228915666</v>
      </c>
      <c r="AX209" s="449">
        <f t="shared" si="204"/>
        <v>1400.5364819277108</v>
      </c>
      <c r="AY209" s="449">
        <f t="shared" si="204"/>
        <v>1400.5364819277108</v>
      </c>
      <c r="AZ209" s="449">
        <f t="shared" si="204"/>
        <v>1400.5364819277108</v>
      </c>
      <c r="BA209" s="449">
        <f t="shared" si="204"/>
        <v>300.11496041308089</v>
      </c>
      <c r="BB209" s="449">
        <f t="shared" si="221"/>
        <v>300.11496041308089</v>
      </c>
      <c r="BC209" s="449">
        <f t="shared" si="221"/>
        <v>300.11496041308089</v>
      </c>
      <c r="BD209" s="449">
        <f t="shared" si="221"/>
        <v>300.11496041308089</v>
      </c>
      <c r="BE209" s="449">
        <f t="shared" si="221"/>
        <v>300.11496041308089</v>
      </c>
      <c r="BF209" s="449">
        <f t="shared" si="221"/>
        <v>300.11496041308089</v>
      </c>
      <c r="BG209" s="449">
        <f t="shared" si="221"/>
        <v>300.11496041308089</v>
      </c>
      <c r="BH209" s="400"/>
      <c r="BI209" s="449">
        <f t="shared" ref="BI209:BT209" si="223">(IFERROR((($D209/$H$5)*BI$5),0))*BI$696</f>
        <v>2100.8047228915666</v>
      </c>
      <c r="BJ209" s="449">
        <f t="shared" si="223"/>
        <v>2100.8047228915666</v>
      </c>
      <c r="BK209" s="449">
        <f t="shared" si="223"/>
        <v>1400.5364819277108</v>
      </c>
      <c r="BL209" s="449">
        <f t="shared" si="223"/>
        <v>1400.5364819277108</v>
      </c>
      <c r="BM209" s="449">
        <f t="shared" si="223"/>
        <v>1400.5364819277108</v>
      </c>
      <c r="BN209" s="449">
        <f t="shared" si="223"/>
        <v>300.11496041308089</v>
      </c>
      <c r="BO209" s="449">
        <f t="shared" si="223"/>
        <v>300.11496041308089</v>
      </c>
      <c r="BP209" s="449">
        <f t="shared" si="223"/>
        <v>300.11496041308089</v>
      </c>
      <c r="BQ209" s="449">
        <f t="shared" si="223"/>
        <v>300.11496041308089</v>
      </c>
      <c r="BR209" s="449">
        <f t="shared" si="223"/>
        <v>300.11496041308089</v>
      </c>
      <c r="BS209" s="449">
        <f t="shared" si="223"/>
        <v>300.11496041308089</v>
      </c>
      <c r="BT209" s="449">
        <f t="shared" si="223"/>
        <v>300.11496041308089</v>
      </c>
    </row>
    <row r="210" spans="1:72" ht="15" x14ac:dyDescent="0.25">
      <c r="A210" s="502" t="s">
        <v>348</v>
      </c>
      <c r="B210" s="502" t="s">
        <v>349</v>
      </c>
      <c r="C210" s="538"/>
      <c r="D210" s="500">
        <f t="shared" si="186"/>
        <v>49227.1</v>
      </c>
      <c r="E210" s="449">
        <v>43620</v>
      </c>
      <c r="F210" s="449">
        <f t="shared" si="187"/>
        <v>5607.0999999999985</v>
      </c>
      <c r="G210" s="421">
        <f t="shared" si="188"/>
        <v>0.1285442457588262</v>
      </c>
      <c r="H210" s="449">
        <v>32500</v>
      </c>
      <c r="I210" s="449">
        <f t="shared" si="189"/>
        <v>16727.099999999999</v>
      </c>
      <c r="J210" s="426">
        <f t="shared" si="190"/>
        <v>0.51467999999999992</v>
      </c>
      <c r="K210" s="421"/>
      <c r="L210" s="449">
        <v>0</v>
      </c>
      <c r="M210" s="449">
        <v>10740.46</v>
      </c>
      <c r="N210" s="449">
        <v>9397.9000000000015</v>
      </c>
      <c r="O210" s="449">
        <v>8950.380000000001</v>
      </c>
      <c r="P210" s="449">
        <v>-19578.960000000003</v>
      </c>
      <c r="Q210" s="449">
        <v>39717.32</v>
      </c>
      <c r="R210" s="449">
        <v>0</v>
      </c>
      <c r="S210" s="449">
        <v>0</v>
      </c>
      <c r="T210" s="449">
        <v>0</v>
      </c>
      <c r="U210" s="449">
        <v>0</v>
      </c>
      <c r="V210" s="449">
        <v>0</v>
      </c>
      <c r="W210" s="449">
        <v>0</v>
      </c>
      <c r="X210" s="449"/>
      <c r="Y210" s="449">
        <f t="shared" si="191"/>
        <v>49227.1</v>
      </c>
      <c r="Z210" s="531"/>
      <c r="AA210" s="449">
        <f t="shared" si="222"/>
        <v>2708.3333333333335</v>
      </c>
      <c r="AB210" s="449">
        <f t="shared" si="222"/>
        <v>2708.3333333333335</v>
      </c>
      <c r="AC210" s="449">
        <f t="shared" si="222"/>
        <v>2708.3333333333335</v>
      </c>
      <c r="AD210" s="449">
        <f t="shared" si="222"/>
        <v>2708.3333333333335</v>
      </c>
      <c r="AE210" s="449">
        <f t="shared" si="222"/>
        <v>2708.3333333333335</v>
      </c>
      <c r="AF210" s="449">
        <f t="shared" si="222"/>
        <v>2708.3333333333335</v>
      </c>
      <c r="AG210" s="449">
        <f t="shared" si="222"/>
        <v>2708.3333333333335</v>
      </c>
      <c r="AH210" s="449">
        <f t="shared" si="222"/>
        <v>2708.3333333333335</v>
      </c>
      <c r="AI210" s="449">
        <f t="shared" si="222"/>
        <v>2708.3333333333335</v>
      </c>
      <c r="AJ210" s="449">
        <f t="shared" si="222"/>
        <v>2708.3333333333335</v>
      </c>
      <c r="AK210" s="449">
        <f t="shared" si="222"/>
        <v>2708.3333333333335</v>
      </c>
      <c r="AL210" s="449">
        <f t="shared" si="222"/>
        <v>2708.3333333333335</v>
      </c>
      <c r="AN210" s="500">
        <f t="shared" si="219"/>
        <v>49227.1</v>
      </c>
      <c r="AO210" s="449">
        <f t="shared" si="194"/>
        <v>33474.999999999993</v>
      </c>
      <c r="AP210" s="449">
        <f t="shared" si="195"/>
        <v>-15752.100000000006</v>
      </c>
      <c r="AQ210" s="453">
        <f t="shared" si="196"/>
        <v>-0.31998838038397565</v>
      </c>
      <c r="AR210" s="449">
        <f t="shared" si="210"/>
        <v>33474.999999999993</v>
      </c>
      <c r="AS210" s="449">
        <f t="shared" si="198"/>
        <v>0</v>
      </c>
      <c r="AT210" s="426">
        <f t="shared" si="199"/>
        <v>0</v>
      </c>
      <c r="AU210" s="421"/>
      <c r="AV210" s="449">
        <f t="shared" si="204"/>
        <v>0</v>
      </c>
      <c r="AW210" s="449">
        <f t="shared" si="204"/>
        <v>2789.5833333333335</v>
      </c>
      <c r="AX210" s="449">
        <f t="shared" si="204"/>
        <v>2789.5833333333335</v>
      </c>
      <c r="AY210" s="449">
        <f t="shared" si="204"/>
        <v>2789.5833333333335</v>
      </c>
      <c r="AZ210" s="449">
        <f t="shared" si="204"/>
        <v>2789.5833333333335</v>
      </c>
      <c r="BA210" s="449">
        <f t="shared" si="204"/>
        <v>2789.5833333333335</v>
      </c>
      <c r="BB210" s="449">
        <f t="shared" si="221"/>
        <v>2789.5833333333335</v>
      </c>
      <c r="BC210" s="449">
        <f t="shared" si="221"/>
        <v>2789.5833333333335</v>
      </c>
      <c r="BD210" s="449">
        <f t="shared" si="221"/>
        <v>2789.5833333333335</v>
      </c>
      <c r="BE210" s="449">
        <f t="shared" si="221"/>
        <v>2789.5833333333335</v>
      </c>
      <c r="BF210" s="449">
        <f t="shared" si="221"/>
        <v>2789.5833333333335</v>
      </c>
      <c r="BG210" s="449">
        <f t="shared" si="221"/>
        <v>5579.166666666667</v>
      </c>
      <c r="BH210" s="400"/>
      <c r="BI210" s="449">
        <v>0</v>
      </c>
      <c r="BJ210" s="449">
        <f>SUM('FY19 Staffing V1-1 (3)'!$P$115)/12</f>
        <v>2789.5833333333335</v>
      </c>
      <c r="BK210" s="449">
        <f>SUM('FY19 Staffing V1-1 (3)'!$P$115)/12</f>
        <v>2789.5833333333335</v>
      </c>
      <c r="BL210" s="449">
        <f>SUM('FY19 Staffing V1-1 (3)'!$P$115)/12</f>
        <v>2789.5833333333335</v>
      </c>
      <c r="BM210" s="449">
        <f>SUM('FY19 Staffing V1-1 (3)'!$P$115)/12</f>
        <v>2789.5833333333335</v>
      </c>
      <c r="BN210" s="449">
        <f>SUM('FY19 Staffing V1-1 (3)'!$P$115)/12</f>
        <v>2789.5833333333335</v>
      </c>
      <c r="BO210" s="449">
        <f>SUM('FY19 Staffing V1-1 (3)'!$P$115)/12</f>
        <v>2789.5833333333335</v>
      </c>
      <c r="BP210" s="449">
        <f>SUM('FY19 Staffing V1-1 (3)'!$P$115)/12</f>
        <v>2789.5833333333335</v>
      </c>
      <c r="BQ210" s="449">
        <f>SUM('FY19 Staffing V1-1 (3)'!$P$115)/12</f>
        <v>2789.5833333333335</v>
      </c>
      <c r="BR210" s="449">
        <f>SUM('FY19 Staffing V1-1 (3)'!$P$115)/12</f>
        <v>2789.5833333333335</v>
      </c>
      <c r="BS210" s="449">
        <f>SUM('FY19 Staffing V1-1 (3)'!$P$115)/12</f>
        <v>2789.5833333333335</v>
      </c>
      <c r="BT210" s="449">
        <f>SUM('FY19 Staffing V1-1 (3)'!$P$115)/12*2</f>
        <v>5579.166666666667</v>
      </c>
    </row>
    <row r="211" spans="1:72" ht="15" x14ac:dyDescent="0.25">
      <c r="A211" s="502" t="s">
        <v>350</v>
      </c>
      <c r="B211" s="502" t="s">
        <v>351</v>
      </c>
      <c r="C211" s="538"/>
      <c r="D211" s="500">
        <f t="shared" si="186"/>
        <v>83855</v>
      </c>
      <c r="E211" s="449">
        <v>87240</v>
      </c>
      <c r="F211" s="449">
        <f t="shared" ref="F211:F240" si="224">IFERROR(D211-E211,0)</f>
        <v>-3385</v>
      </c>
      <c r="G211" s="421">
        <f t="shared" si="188"/>
        <v>-3.8801008711600186E-2</v>
      </c>
      <c r="H211" s="449">
        <v>83855</v>
      </c>
      <c r="I211" s="449">
        <f t="shared" si="189"/>
        <v>0</v>
      </c>
      <c r="J211" s="426">
        <f t="shared" si="190"/>
        <v>0</v>
      </c>
      <c r="K211" s="421"/>
      <c r="L211" s="449">
        <v>0</v>
      </c>
      <c r="M211" s="449">
        <v>0</v>
      </c>
      <c r="N211" s="449">
        <v>0</v>
      </c>
      <c r="O211" s="449">
        <v>0</v>
      </c>
      <c r="P211" s="449">
        <v>28529.340000000004</v>
      </c>
      <c r="Q211" s="449">
        <v>-28529.340000000004</v>
      </c>
      <c r="R211" s="449">
        <f>($H211-SUM($L211:Q211))/R$694</f>
        <v>13975.833333333334</v>
      </c>
      <c r="S211" s="449">
        <f>($H211-SUM($L211:R211))/S$694</f>
        <v>13975.833333333334</v>
      </c>
      <c r="T211" s="449">
        <f>($H211-SUM($L211:S211))/T$694</f>
        <v>13975.833333333332</v>
      </c>
      <c r="U211" s="449">
        <f>($H211-SUM($L211:T211))/U$694</f>
        <v>13975.833333333334</v>
      </c>
      <c r="V211" s="449">
        <f>($H211-SUM($L211:U211))/V$694</f>
        <v>13975.833333333332</v>
      </c>
      <c r="W211" s="449">
        <f>($H211-SUM($L211:V211))/W$694</f>
        <v>13975.833333333328</v>
      </c>
      <c r="X211" s="449"/>
      <c r="Y211" s="449">
        <f t="shared" si="191"/>
        <v>83855</v>
      </c>
      <c r="Z211" s="531"/>
      <c r="AA211" s="449">
        <f t="shared" si="222"/>
        <v>6987.916666666667</v>
      </c>
      <c r="AB211" s="449">
        <f t="shared" si="222"/>
        <v>6987.916666666667</v>
      </c>
      <c r="AC211" s="449">
        <f t="shared" si="222"/>
        <v>6987.916666666667</v>
      </c>
      <c r="AD211" s="449">
        <f t="shared" si="222"/>
        <v>6987.916666666667</v>
      </c>
      <c r="AE211" s="449">
        <f t="shared" si="222"/>
        <v>6987.916666666667</v>
      </c>
      <c r="AF211" s="449">
        <f t="shared" si="222"/>
        <v>6987.916666666667</v>
      </c>
      <c r="AG211" s="449">
        <f t="shared" si="222"/>
        <v>6987.916666666667</v>
      </c>
      <c r="AH211" s="449">
        <f t="shared" si="222"/>
        <v>6987.916666666667</v>
      </c>
      <c r="AI211" s="449">
        <f t="shared" si="222"/>
        <v>6987.916666666667</v>
      </c>
      <c r="AJ211" s="449">
        <f t="shared" si="222"/>
        <v>6987.916666666667</v>
      </c>
      <c r="AK211" s="449">
        <f t="shared" si="222"/>
        <v>6987.916666666667</v>
      </c>
      <c r="AL211" s="449">
        <f t="shared" si="222"/>
        <v>6987.916666666667</v>
      </c>
      <c r="AN211" s="500">
        <f t="shared" si="219"/>
        <v>83855</v>
      </c>
      <c r="AO211" s="449">
        <f t="shared" si="194"/>
        <v>86370.650000000009</v>
      </c>
      <c r="AP211" s="449">
        <f t="shared" ref="AP211:AP240" si="225">IFERROR(AO211-AN211,0)</f>
        <v>2515.6500000000087</v>
      </c>
      <c r="AQ211" s="453">
        <f t="shared" ref="AQ211:AQ240" si="226">IFERROR(AP211/ABS(AN211),"-")</f>
        <v>3.0000000000000103E-2</v>
      </c>
      <c r="AR211" s="449">
        <f t="shared" si="210"/>
        <v>86370.650000000009</v>
      </c>
      <c r="AS211" s="449">
        <f t="shared" ref="AS211:AS240" si="227">IFERROR(AO211-AR211,0)</f>
        <v>0</v>
      </c>
      <c r="AT211" s="426">
        <f t="shared" si="199"/>
        <v>0</v>
      </c>
      <c r="AU211" s="421"/>
      <c r="AV211" s="449">
        <f t="shared" si="204"/>
        <v>0</v>
      </c>
      <c r="AW211" s="449">
        <f t="shared" si="204"/>
        <v>7197.5541666666659</v>
      </c>
      <c r="AX211" s="449">
        <f t="shared" si="204"/>
        <v>7197.5541666666659</v>
      </c>
      <c r="AY211" s="449">
        <f t="shared" si="204"/>
        <v>7197.5541666666659</v>
      </c>
      <c r="AZ211" s="449">
        <f t="shared" si="204"/>
        <v>7197.5541666666659</v>
      </c>
      <c r="BA211" s="449">
        <f t="shared" si="204"/>
        <v>7197.5541666666659</v>
      </c>
      <c r="BB211" s="449">
        <f t="shared" si="221"/>
        <v>7197.5541666666659</v>
      </c>
      <c r="BC211" s="449">
        <f t="shared" si="221"/>
        <v>7197.5541666666659</v>
      </c>
      <c r="BD211" s="449">
        <f t="shared" si="221"/>
        <v>7197.5541666666659</v>
      </c>
      <c r="BE211" s="449">
        <f t="shared" si="221"/>
        <v>7197.5541666666659</v>
      </c>
      <c r="BF211" s="449">
        <f t="shared" si="221"/>
        <v>7197.5541666666659</v>
      </c>
      <c r="BG211" s="449">
        <f t="shared" si="221"/>
        <v>14395.108333333332</v>
      </c>
      <c r="BH211" s="400"/>
      <c r="BI211" s="449">
        <v>0</v>
      </c>
      <c r="BJ211" s="449">
        <f>SUM('FY19 Staffing V1-1 (3)'!$P$113:$P$114)/12</f>
        <v>7197.5541666666659</v>
      </c>
      <c r="BK211" s="449">
        <f>SUM('FY19 Staffing V1-1 (3)'!$P$113:$P$114)/12</f>
        <v>7197.5541666666659</v>
      </c>
      <c r="BL211" s="449">
        <f>SUM('FY19 Staffing V1-1 (3)'!$P$113:$P$114)/12</f>
        <v>7197.5541666666659</v>
      </c>
      <c r="BM211" s="449">
        <f>SUM('FY19 Staffing V1-1 (3)'!$P$113:$P$114)/12</f>
        <v>7197.5541666666659</v>
      </c>
      <c r="BN211" s="449">
        <f>SUM('FY19 Staffing V1-1 (3)'!$P$113:$P$114)/12</f>
        <v>7197.5541666666659</v>
      </c>
      <c r="BO211" s="449">
        <f>SUM('FY19 Staffing V1-1 (3)'!$P$113:$P$114)/12</f>
        <v>7197.5541666666659</v>
      </c>
      <c r="BP211" s="449">
        <f>SUM('FY19 Staffing V1-1 (3)'!$P$113:$P$114)/12</f>
        <v>7197.5541666666659</v>
      </c>
      <c r="BQ211" s="449">
        <f>SUM('FY19 Staffing V1-1 (3)'!$P$113:$P$114)/12</f>
        <v>7197.5541666666659</v>
      </c>
      <c r="BR211" s="449">
        <f>SUM('FY19 Staffing V1-1 (3)'!$P$113:$P$114)/12</f>
        <v>7197.5541666666659</v>
      </c>
      <c r="BS211" s="449">
        <f>SUM('FY19 Staffing V1-1 (3)'!$P$113:$P$114)/12</f>
        <v>7197.5541666666659</v>
      </c>
      <c r="BT211" s="449">
        <f>SUM('FY19 Staffing V1-1 (3)'!$P$113:$P$114)/12*2</f>
        <v>14395.108333333332</v>
      </c>
    </row>
    <row r="212" spans="1:72" ht="15" x14ac:dyDescent="0.25">
      <c r="A212" s="502" t="s">
        <v>352</v>
      </c>
      <c r="B212" s="502" t="s">
        <v>353</v>
      </c>
      <c r="C212" s="538"/>
      <c r="D212" s="500">
        <f t="shared" si="186"/>
        <v>3000</v>
      </c>
      <c r="E212" s="449">
        <v>3000</v>
      </c>
      <c r="F212" s="449">
        <f t="shared" si="224"/>
        <v>0</v>
      </c>
      <c r="G212" s="421">
        <f t="shared" si="188"/>
        <v>0</v>
      </c>
      <c r="H212" s="449">
        <v>3000</v>
      </c>
      <c r="I212" s="449">
        <f t="shared" si="189"/>
        <v>0</v>
      </c>
      <c r="J212" s="426">
        <f t="shared" si="190"/>
        <v>0</v>
      </c>
      <c r="K212" s="421"/>
      <c r="L212" s="449">
        <v>0</v>
      </c>
      <c r="M212" s="449">
        <v>0</v>
      </c>
      <c r="N212" s="449">
        <v>0</v>
      </c>
      <c r="O212" s="449">
        <v>3000</v>
      </c>
      <c r="P212" s="449">
        <v>0</v>
      </c>
      <c r="Q212" s="449">
        <v>0</v>
      </c>
      <c r="R212" s="449">
        <f>($H212-SUM($L212:Q212))/R$694</f>
        <v>0</v>
      </c>
      <c r="S212" s="449">
        <f>($H212-SUM($L212:R212))/S$694</f>
        <v>0</v>
      </c>
      <c r="T212" s="449">
        <f>($H212-SUM($L212:S212))/T$694</f>
        <v>0</v>
      </c>
      <c r="U212" s="449">
        <f>($H212-SUM($L212:T212))/U$694</f>
        <v>0</v>
      </c>
      <c r="V212" s="449">
        <f>($H212-SUM($L212:U212))/V$694</f>
        <v>0</v>
      </c>
      <c r="W212" s="449">
        <f>($H212-SUM($L212:V212))/W$694</f>
        <v>0</v>
      </c>
      <c r="X212" s="449"/>
      <c r="Y212" s="449">
        <f t="shared" si="191"/>
        <v>3000</v>
      </c>
      <c r="Z212" s="531"/>
      <c r="AA212" s="449">
        <f t="shared" si="222"/>
        <v>250</v>
      </c>
      <c r="AB212" s="449">
        <f t="shared" si="222"/>
        <v>250</v>
      </c>
      <c r="AC212" s="449">
        <f t="shared" si="222"/>
        <v>250</v>
      </c>
      <c r="AD212" s="449">
        <f t="shared" si="222"/>
        <v>250</v>
      </c>
      <c r="AE212" s="449">
        <f t="shared" si="222"/>
        <v>250</v>
      </c>
      <c r="AF212" s="449">
        <f t="shared" si="222"/>
        <v>250</v>
      </c>
      <c r="AG212" s="449">
        <f t="shared" si="222"/>
        <v>250</v>
      </c>
      <c r="AH212" s="449">
        <f t="shared" si="222"/>
        <v>250</v>
      </c>
      <c r="AI212" s="449">
        <f t="shared" si="222"/>
        <v>250</v>
      </c>
      <c r="AJ212" s="449">
        <f t="shared" si="222"/>
        <v>250</v>
      </c>
      <c r="AK212" s="449">
        <f t="shared" si="222"/>
        <v>250</v>
      </c>
      <c r="AL212" s="449">
        <f t="shared" si="222"/>
        <v>250</v>
      </c>
      <c r="AN212" s="500">
        <f t="shared" si="219"/>
        <v>3000</v>
      </c>
      <c r="AO212" s="449">
        <f t="shared" si="194"/>
        <v>3000</v>
      </c>
      <c r="AP212" s="449">
        <f t="shared" si="225"/>
        <v>0</v>
      </c>
      <c r="AQ212" s="453">
        <f t="shared" si="226"/>
        <v>0</v>
      </c>
      <c r="AR212" s="449">
        <f t="shared" si="210"/>
        <v>3000</v>
      </c>
      <c r="AS212" s="449">
        <f t="shared" si="227"/>
        <v>0</v>
      </c>
      <c r="AT212" s="426">
        <f t="shared" si="199"/>
        <v>0</v>
      </c>
      <c r="AU212" s="421"/>
      <c r="AV212" s="449">
        <f t="shared" si="204"/>
        <v>0</v>
      </c>
      <c r="AW212" s="449">
        <f t="shared" si="204"/>
        <v>0</v>
      </c>
      <c r="AX212" s="449">
        <f t="shared" si="204"/>
        <v>0</v>
      </c>
      <c r="AY212" s="449">
        <f t="shared" si="204"/>
        <v>3000</v>
      </c>
      <c r="AZ212" s="449">
        <f t="shared" si="204"/>
        <v>0</v>
      </c>
      <c r="BA212" s="449">
        <f t="shared" si="204"/>
        <v>0</v>
      </c>
      <c r="BB212" s="449">
        <f t="shared" si="221"/>
        <v>0</v>
      </c>
      <c r="BC212" s="449">
        <f t="shared" si="221"/>
        <v>0</v>
      </c>
      <c r="BD212" s="449">
        <f t="shared" si="221"/>
        <v>0</v>
      </c>
      <c r="BE212" s="449">
        <f t="shared" si="221"/>
        <v>0</v>
      </c>
      <c r="BF212" s="449">
        <f t="shared" si="221"/>
        <v>0</v>
      </c>
      <c r="BG212" s="449">
        <f t="shared" si="221"/>
        <v>0</v>
      </c>
      <c r="BH212" s="400"/>
      <c r="BI212" s="449">
        <v>0</v>
      </c>
      <c r="BJ212" s="449">
        <v>0</v>
      </c>
      <c r="BK212" s="449">
        <v>0</v>
      </c>
      <c r="BL212" s="449">
        <f>SUM('FY19 Staffing V1-1 (3)'!$J$115)</f>
        <v>3000</v>
      </c>
      <c r="BM212" s="449">
        <v>0</v>
      </c>
      <c r="BN212" s="449">
        <v>0</v>
      </c>
      <c r="BO212" s="449">
        <v>0</v>
      </c>
      <c r="BP212" s="449">
        <v>0</v>
      </c>
      <c r="BQ212" s="449">
        <v>0</v>
      </c>
      <c r="BR212" s="449">
        <v>0</v>
      </c>
      <c r="BS212" s="449">
        <v>0</v>
      </c>
      <c r="BT212" s="449">
        <v>0</v>
      </c>
    </row>
    <row r="213" spans="1:72" ht="15" x14ac:dyDescent="0.25">
      <c r="A213" s="537" t="s">
        <v>354</v>
      </c>
      <c r="B213" s="537" t="s">
        <v>355</v>
      </c>
      <c r="C213" s="541"/>
      <c r="D213" s="500">
        <f>SUM(L213:W213)</f>
        <v>0</v>
      </c>
      <c r="E213" s="449">
        <v>0</v>
      </c>
      <c r="F213" s="449">
        <f t="shared" si="224"/>
        <v>0</v>
      </c>
      <c r="G213" s="421">
        <f t="shared" si="188"/>
        <v>0</v>
      </c>
      <c r="H213" s="449">
        <v>0</v>
      </c>
      <c r="I213" s="449">
        <f t="shared" si="189"/>
        <v>0</v>
      </c>
      <c r="J213" s="426">
        <f t="shared" si="190"/>
        <v>0</v>
      </c>
      <c r="K213" s="421"/>
      <c r="L213" s="449">
        <v>0</v>
      </c>
      <c r="M213" s="449">
        <v>0</v>
      </c>
      <c r="N213" s="449">
        <v>0</v>
      </c>
      <c r="O213" s="449">
        <v>0</v>
      </c>
      <c r="P213" s="449">
        <v>0</v>
      </c>
      <c r="Q213" s="449">
        <v>0</v>
      </c>
      <c r="R213" s="449">
        <f>($H213-SUM($L213:Q213))/R$694</f>
        <v>0</v>
      </c>
      <c r="S213" s="449">
        <f>($H213-SUM($L213:R213))/S$694</f>
        <v>0</v>
      </c>
      <c r="T213" s="449">
        <f>($H213-SUM($L213:S213))/T$694</f>
        <v>0</v>
      </c>
      <c r="U213" s="449">
        <f>($H213-SUM($L213:T213))/U$694</f>
        <v>0</v>
      </c>
      <c r="V213" s="449">
        <f>($H213-SUM($L213:U213))/V$694</f>
        <v>0</v>
      </c>
      <c r="W213" s="449">
        <f>($H213-SUM($L213:V213))/W$694</f>
        <v>0</v>
      </c>
      <c r="X213" s="449"/>
      <c r="Y213" s="449">
        <f t="shared" si="191"/>
        <v>0</v>
      </c>
      <c r="Z213" s="531"/>
      <c r="AA213" s="449">
        <f t="shared" si="222"/>
        <v>0</v>
      </c>
      <c r="AB213" s="449">
        <f t="shared" si="222"/>
        <v>0</v>
      </c>
      <c r="AC213" s="449">
        <f t="shared" si="222"/>
        <v>0</v>
      </c>
      <c r="AD213" s="449">
        <f t="shared" si="222"/>
        <v>0</v>
      </c>
      <c r="AE213" s="449">
        <f t="shared" si="222"/>
        <v>0</v>
      </c>
      <c r="AF213" s="449">
        <f t="shared" si="222"/>
        <v>0</v>
      </c>
      <c r="AG213" s="449">
        <f t="shared" si="222"/>
        <v>0</v>
      </c>
      <c r="AH213" s="449">
        <f t="shared" si="222"/>
        <v>0</v>
      </c>
      <c r="AI213" s="449">
        <f t="shared" si="222"/>
        <v>0</v>
      </c>
      <c r="AJ213" s="449">
        <f t="shared" si="222"/>
        <v>0</v>
      </c>
      <c r="AK213" s="449">
        <f t="shared" si="222"/>
        <v>0</v>
      </c>
      <c r="AL213" s="449">
        <f t="shared" si="222"/>
        <v>0</v>
      </c>
      <c r="AN213" s="500">
        <f t="shared" si="219"/>
        <v>0</v>
      </c>
      <c r="AO213" s="449">
        <f>SUM(BI213:BT213)</f>
        <v>3000</v>
      </c>
      <c r="AP213" s="449">
        <f t="shared" si="225"/>
        <v>3000</v>
      </c>
      <c r="AQ213" s="453" t="str">
        <f t="shared" si="226"/>
        <v>-</v>
      </c>
      <c r="AR213" s="449">
        <f t="shared" si="210"/>
        <v>3000</v>
      </c>
      <c r="AS213" s="449">
        <f t="shared" si="227"/>
        <v>0</v>
      </c>
      <c r="AT213" s="426">
        <f t="shared" si="199"/>
        <v>0</v>
      </c>
      <c r="AU213" s="421"/>
      <c r="AV213" s="449">
        <f t="shared" si="204"/>
        <v>0</v>
      </c>
      <c r="AW213" s="449">
        <f t="shared" si="204"/>
        <v>0</v>
      </c>
      <c r="AX213" s="449">
        <f t="shared" si="204"/>
        <v>0</v>
      </c>
      <c r="AY213" s="449">
        <f t="shared" si="204"/>
        <v>3000</v>
      </c>
      <c r="AZ213" s="449">
        <f t="shared" si="204"/>
        <v>0</v>
      </c>
      <c r="BA213" s="449">
        <f t="shared" si="204"/>
        <v>0</v>
      </c>
      <c r="BB213" s="449">
        <f t="shared" si="221"/>
        <v>0</v>
      </c>
      <c r="BC213" s="449">
        <f t="shared" si="221"/>
        <v>0</v>
      </c>
      <c r="BD213" s="449">
        <f t="shared" si="221"/>
        <v>0</v>
      </c>
      <c r="BE213" s="449">
        <f t="shared" si="221"/>
        <v>0</v>
      </c>
      <c r="BF213" s="449">
        <f t="shared" si="221"/>
        <v>0</v>
      </c>
      <c r="BG213" s="449">
        <f t="shared" si="221"/>
        <v>0</v>
      </c>
      <c r="BH213" s="400"/>
      <c r="BI213" s="449">
        <v>0</v>
      </c>
      <c r="BJ213" s="449">
        <v>0</v>
      </c>
      <c r="BK213" s="449">
        <v>0</v>
      </c>
      <c r="BL213" s="449">
        <f>SUM('FY19 Staffing V1-1 (3)'!$J$113:$J$114)</f>
        <v>3000</v>
      </c>
      <c r="BM213" s="449">
        <v>0</v>
      </c>
      <c r="BN213" s="449">
        <v>0</v>
      </c>
      <c r="BO213" s="449">
        <v>0</v>
      </c>
      <c r="BP213" s="449">
        <v>0</v>
      </c>
      <c r="BQ213" s="449">
        <v>0</v>
      </c>
      <c r="BR213" s="449">
        <v>0</v>
      </c>
      <c r="BS213" s="449">
        <v>0</v>
      </c>
      <c r="BT213" s="449">
        <v>0</v>
      </c>
    </row>
    <row r="214" spans="1:72" ht="15" x14ac:dyDescent="0.25">
      <c r="A214" s="502" t="s">
        <v>356</v>
      </c>
      <c r="B214" s="502" t="s">
        <v>357</v>
      </c>
      <c r="C214" s="541"/>
      <c r="D214" s="500">
        <f t="shared" si="186"/>
        <v>6243.52</v>
      </c>
      <c r="E214" s="449">
        <v>6358</v>
      </c>
      <c r="F214" s="449">
        <f t="shared" si="224"/>
        <v>-114.47999999999956</v>
      </c>
      <c r="G214" s="421">
        <f t="shared" si="188"/>
        <v>-1.8005662157911224E-2</v>
      </c>
      <c r="H214" s="449">
        <v>5508</v>
      </c>
      <c r="I214" s="449">
        <f t="shared" si="189"/>
        <v>735.52000000000044</v>
      </c>
      <c r="J214" s="426">
        <f t="shared" si="190"/>
        <v>0.13353667392883087</v>
      </c>
      <c r="K214" s="421"/>
      <c r="L214" s="449">
        <v>5.84</v>
      </c>
      <c r="M214" s="449">
        <v>1721.39</v>
      </c>
      <c r="N214" s="449">
        <v>1150.5300000000002</v>
      </c>
      <c r="O214" s="449">
        <v>1493.7299999999996</v>
      </c>
      <c r="P214" s="449">
        <v>918.68000000000029</v>
      </c>
      <c r="Q214" s="449">
        <v>953.35000000000036</v>
      </c>
      <c r="R214" s="449">
        <v>0</v>
      </c>
      <c r="S214" s="449">
        <v>0</v>
      </c>
      <c r="T214" s="449">
        <v>0</v>
      </c>
      <c r="U214" s="449">
        <v>0</v>
      </c>
      <c r="V214" s="449">
        <v>0</v>
      </c>
      <c r="W214" s="449">
        <v>0</v>
      </c>
      <c r="X214" s="449"/>
      <c r="Y214" s="449">
        <f t="shared" si="191"/>
        <v>6243.52</v>
      </c>
      <c r="Z214" s="531"/>
      <c r="AA214" s="449">
        <f t="shared" ref="AA214:AL229" si="228">IFERROR($H214/12,0)</f>
        <v>459</v>
      </c>
      <c r="AB214" s="449">
        <f t="shared" si="228"/>
        <v>459</v>
      </c>
      <c r="AC214" s="449">
        <f t="shared" si="228"/>
        <v>459</v>
      </c>
      <c r="AD214" s="449">
        <f t="shared" si="228"/>
        <v>459</v>
      </c>
      <c r="AE214" s="449">
        <f t="shared" si="228"/>
        <v>459</v>
      </c>
      <c r="AF214" s="449">
        <f t="shared" si="228"/>
        <v>459</v>
      </c>
      <c r="AG214" s="449">
        <f t="shared" si="228"/>
        <v>459</v>
      </c>
      <c r="AH214" s="449">
        <f t="shared" si="228"/>
        <v>459</v>
      </c>
      <c r="AI214" s="449">
        <f t="shared" si="228"/>
        <v>459</v>
      </c>
      <c r="AJ214" s="449">
        <f t="shared" si="228"/>
        <v>459</v>
      </c>
      <c r="AK214" s="449">
        <f t="shared" si="228"/>
        <v>459</v>
      </c>
      <c r="AL214" s="449">
        <f t="shared" si="228"/>
        <v>459</v>
      </c>
      <c r="AN214" s="500">
        <f t="shared" si="219"/>
        <v>6243.52</v>
      </c>
      <c r="AO214" s="449">
        <f t="shared" si="194"/>
        <v>4181.84</v>
      </c>
      <c r="AP214" s="449">
        <f t="shared" si="225"/>
        <v>-2061.6800000000003</v>
      </c>
      <c r="AQ214" s="453">
        <f t="shared" si="226"/>
        <v>-0.33021116293372971</v>
      </c>
      <c r="AR214" s="449">
        <f t="shared" si="210"/>
        <v>4181.84</v>
      </c>
      <c r="AS214" s="449">
        <f t="shared" si="227"/>
        <v>0</v>
      </c>
      <c r="AT214" s="426">
        <f t="shared" si="199"/>
        <v>0</v>
      </c>
      <c r="AU214" s="421"/>
      <c r="AV214" s="449">
        <f t="shared" si="204"/>
        <v>0</v>
      </c>
      <c r="AW214" s="449">
        <f t="shared" si="204"/>
        <v>348.48666666666668</v>
      </c>
      <c r="AX214" s="449">
        <f t="shared" si="204"/>
        <v>348.48666666666668</v>
      </c>
      <c r="AY214" s="449">
        <f t="shared" si="204"/>
        <v>348.48666666666668</v>
      </c>
      <c r="AZ214" s="449">
        <f t="shared" si="204"/>
        <v>348.48666666666668</v>
      </c>
      <c r="BA214" s="449">
        <f t="shared" si="204"/>
        <v>348.48666666666668</v>
      </c>
      <c r="BB214" s="449">
        <f t="shared" si="221"/>
        <v>348.48666666666668</v>
      </c>
      <c r="BC214" s="449">
        <f t="shared" si="221"/>
        <v>348.48666666666668</v>
      </c>
      <c r="BD214" s="449">
        <f t="shared" si="221"/>
        <v>348.48666666666668</v>
      </c>
      <c r="BE214" s="449">
        <f t="shared" si="221"/>
        <v>348.48666666666668</v>
      </c>
      <c r="BF214" s="449">
        <f t="shared" si="221"/>
        <v>348.48666666666668</v>
      </c>
      <c r="BG214" s="449">
        <f t="shared" si="221"/>
        <v>696.97333333333336</v>
      </c>
      <c r="BH214" s="400"/>
      <c r="BI214" s="449">
        <v>0</v>
      </c>
      <c r="BJ214" s="449">
        <f>SUM('FY19 Staffing V1-1 (3)'!$Q$115:$R$115,'FY19 Staffing V1-1 (3)'!$T$115:$U$115)/12</f>
        <v>348.48666666666668</v>
      </c>
      <c r="BK214" s="449">
        <f>SUM('FY19 Staffing V1-1 (3)'!$Q$115:$R$115,'FY19 Staffing V1-1 (3)'!$T$115:$U$115)/12</f>
        <v>348.48666666666668</v>
      </c>
      <c r="BL214" s="449">
        <f>SUM('FY19 Staffing V1-1 (3)'!$Q$115:$R$115,'FY19 Staffing V1-1 (3)'!$T$115:$U$115)/12</f>
        <v>348.48666666666668</v>
      </c>
      <c r="BM214" s="449">
        <f>SUM('FY19 Staffing V1-1 (3)'!$Q$115:$R$115,'FY19 Staffing V1-1 (3)'!$T$115:$U$115)/12</f>
        <v>348.48666666666668</v>
      </c>
      <c r="BN214" s="449">
        <f>SUM('FY19 Staffing V1-1 (3)'!$Q$115:$R$115,'FY19 Staffing V1-1 (3)'!$T$115:$U$115)/12</f>
        <v>348.48666666666668</v>
      </c>
      <c r="BO214" s="449">
        <f>SUM('FY19 Staffing V1-1 (3)'!$Q$115:$R$115,'FY19 Staffing V1-1 (3)'!$T$115:$U$115)/12</f>
        <v>348.48666666666668</v>
      </c>
      <c r="BP214" s="449">
        <f>SUM('FY19 Staffing V1-1 (3)'!$Q$115:$R$115,'FY19 Staffing V1-1 (3)'!$T$115:$U$115)/12</f>
        <v>348.48666666666668</v>
      </c>
      <c r="BQ214" s="449">
        <f>SUM('FY19 Staffing V1-1 (3)'!$Q$115:$R$115,'FY19 Staffing V1-1 (3)'!$T$115:$U$115)/12</f>
        <v>348.48666666666668</v>
      </c>
      <c r="BR214" s="449">
        <f>SUM('FY19 Staffing V1-1 (3)'!$Q$115:$R$115,'FY19 Staffing V1-1 (3)'!$T$115:$U$115)/12</f>
        <v>348.48666666666668</v>
      </c>
      <c r="BS214" s="449">
        <f>SUM('FY19 Staffing V1-1 (3)'!$Q$115:$R$115,'FY19 Staffing V1-1 (3)'!$T$115:$U$115)/12</f>
        <v>348.48666666666668</v>
      </c>
      <c r="BT214" s="449">
        <f>SUM('FY19 Staffing V1-1 (3)'!$Q$115:$R$115,'FY19 Staffing V1-1 (3)'!$T$115:$U$115)/12*2</f>
        <v>696.97333333333336</v>
      </c>
    </row>
    <row r="215" spans="1:72" ht="15" x14ac:dyDescent="0.25">
      <c r="A215" s="502" t="s">
        <v>358</v>
      </c>
      <c r="B215" s="502" t="s">
        <v>359</v>
      </c>
      <c r="C215" s="541"/>
      <c r="D215" s="500">
        <f t="shared" si="186"/>
        <v>10603</v>
      </c>
      <c r="E215" s="449">
        <v>10862</v>
      </c>
      <c r="F215" s="449">
        <f t="shared" si="224"/>
        <v>-259</v>
      </c>
      <c r="G215" s="421">
        <f t="shared" si="188"/>
        <v>-2.3844595838703738E-2</v>
      </c>
      <c r="H215" s="449">
        <v>10603</v>
      </c>
      <c r="I215" s="449">
        <f t="shared" si="189"/>
        <v>0</v>
      </c>
      <c r="J215" s="426">
        <f t="shared" si="190"/>
        <v>0</v>
      </c>
      <c r="K215" s="421"/>
      <c r="L215" s="449">
        <v>0</v>
      </c>
      <c r="M215" s="449">
        <v>0</v>
      </c>
      <c r="N215" s="449">
        <v>0</v>
      </c>
      <c r="O215" s="449">
        <v>0</v>
      </c>
      <c r="P215" s="449">
        <v>0</v>
      </c>
      <c r="Q215" s="449">
        <v>0</v>
      </c>
      <c r="R215" s="449">
        <f>($H215-SUM($L215:Q215))/R$694</f>
        <v>1767.1666666666667</v>
      </c>
      <c r="S215" s="449">
        <f>($H215-SUM($L215:R215))/S$694</f>
        <v>1767.1666666666667</v>
      </c>
      <c r="T215" s="449">
        <f>($H215-SUM($L215:S215))/T$694</f>
        <v>1767.1666666666665</v>
      </c>
      <c r="U215" s="449">
        <f>($H215-SUM($L215:T215))/U$694</f>
        <v>1767.1666666666667</v>
      </c>
      <c r="V215" s="449">
        <f>($H215-SUM($L215:U215))/V$694</f>
        <v>1767.1666666666665</v>
      </c>
      <c r="W215" s="449">
        <f>($H215-SUM($L215:V215))/W$694</f>
        <v>1767.1666666666661</v>
      </c>
      <c r="X215" s="449"/>
      <c r="Y215" s="449">
        <f t="shared" si="191"/>
        <v>10603</v>
      </c>
      <c r="Z215" s="531"/>
      <c r="AA215" s="449">
        <f t="shared" si="228"/>
        <v>883.58333333333337</v>
      </c>
      <c r="AB215" s="449">
        <f t="shared" si="228"/>
        <v>883.58333333333337</v>
      </c>
      <c r="AC215" s="449">
        <f t="shared" si="228"/>
        <v>883.58333333333337</v>
      </c>
      <c r="AD215" s="449">
        <f t="shared" si="228"/>
        <v>883.58333333333337</v>
      </c>
      <c r="AE215" s="449">
        <f t="shared" si="228"/>
        <v>883.58333333333337</v>
      </c>
      <c r="AF215" s="449">
        <f t="shared" si="228"/>
        <v>883.58333333333337</v>
      </c>
      <c r="AG215" s="449">
        <f t="shared" si="228"/>
        <v>883.58333333333337</v>
      </c>
      <c r="AH215" s="449">
        <f t="shared" si="228"/>
        <v>883.58333333333337</v>
      </c>
      <c r="AI215" s="449">
        <f t="shared" si="228"/>
        <v>883.58333333333337</v>
      </c>
      <c r="AJ215" s="449">
        <f t="shared" si="228"/>
        <v>883.58333333333337</v>
      </c>
      <c r="AK215" s="449">
        <f t="shared" si="228"/>
        <v>883.58333333333337</v>
      </c>
      <c r="AL215" s="449">
        <f t="shared" si="228"/>
        <v>883.58333333333337</v>
      </c>
      <c r="AN215" s="500">
        <f t="shared" si="219"/>
        <v>10603</v>
      </c>
      <c r="AO215" s="449">
        <f t="shared" si="194"/>
        <v>11470.35</v>
      </c>
      <c r="AP215" s="449">
        <f t="shared" si="225"/>
        <v>867.35000000000036</v>
      </c>
      <c r="AQ215" s="453">
        <f t="shared" si="226"/>
        <v>8.1802320098085482E-2</v>
      </c>
      <c r="AR215" s="449">
        <f t="shared" si="210"/>
        <v>11470.35</v>
      </c>
      <c r="AS215" s="449">
        <f t="shared" si="227"/>
        <v>0</v>
      </c>
      <c r="AT215" s="426">
        <f t="shared" si="199"/>
        <v>0</v>
      </c>
      <c r="AU215" s="421"/>
      <c r="AV215" s="449">
        <f t="shared" si="204"/>
        <v>0</v>
      </c>
      <c r="AW215" s="449">
        <f t="shared" si="204"/>
        <v>955.86250000000007</v>
      </c>
      <c r="AX215" s="449">
        <f t="shared" si="204"/>
        <v>955.86250000000007</v>
      </c>
      <c r="AY215" s="449">
        <f t="shared" si="204"/>
        <v>955.86250000000007</v>
      </c>
      <c r="AZ215" s="449">
        <f t="shared" si="204"/>
        <v>955.86250000000007</v>
      </c>
      <c r="BA215" s="449">
        <f t="shared" si="204"/>
        <v>955.86250000000007</v>
      </c>
      <c r="BB215" s="449">
        <f t="shared" si="221"/>
        <v>955.86250000000007</v>
      </c>
      <c r="BC215" s="449">
        <f t="shared" si="221"/>
        <v>955.86250000000007</v>
      </c>
      <c r="BD215" s="449">
        <f t="shared" si="221"/>
        <v>955.86250000000007</v>
      </c>
      <c r="BE215" s="449">
        <f t="shared" si="221"/>
        <v>955.86250000000007</v>
      </c>
      <c r="BF215" s="449">
        <f t="shared" si="221"/>
        <v>955.86250000000007</v>
      </c>
      <c r="BG215" s="449">
        <f t="shared" si="221"/>
        <v>1911.7250000000001</v>
      </c>
      <c r="BH215" s="400"/>
      <c r="BI215" s="449">
        <v>0</v>
      </c>
      <c r="BJ215" s="449">
        <f>SUM('FY19 Staffing V1-1 (3)'!$Q$113:$R$114,'FY19 Staffing V1-1 (3)'!$T$113:$U$114)/12</f>
        <v>955.86250000000007</v>
      </c>
      <c r="BK215" s="449">
        <f>SUM('FY19 Staffing V1-1 (3)'!$Q$113:$R$114,'FY19 Staffing V1-1 (3)'!$T$113:$U$114)/12</f>
        <v>955.86250000000007</v>
      </c>
      <c r="BL215" s="449">
        <f>SUM('FY19 Staffing V1-1 (3)'!$Q$113:$R$114,'FY19 Staffing V1-1 (3)'!$T$113:$U$114)/12</f>
        <v>955.86250000000007</v>
      </c>
      <c r="BM215" s="449">
        <f>SUM('FY19 Staffing V1-1 (3)'!$Q$113:$R$114,'FY19 Staffing V1-1 (3)'!$T$113:$U$114)/12</f>
        <v>955.86250000000007</v>
      </c>
      <c r="BN215" s="449">
        <f>SUM('FY19 Staffing V1-1 (3)'!$Q$113:$R$114,'FY19 Staffing V1-1 (3)'!$T$113:$U$114)/12</f>
        <v>955.86250000000007</v>
      </c>
      <c r="BO215" s="449">
        <f>SUM('FY19 Staffing V1-1 (3)'!$Q$113:$R$114,'FY19 Staffing V1-1 (3)'!$T$113:$U$114)/12</f>
        <v>955.86250000000007</v>
      </c>
      <c r="BP215" s="449">
        <f>SUM('FY19 Staffing V1-1 (3)'!$Q$113:$R$114,'FY19 Staffing V1-1 (3)'!$T$113:$U$114)/12</f>
        <v>955.86250000000007</v>
      </c>
      <c r="BQ215" s="449">
        <f>SUM('FY19 Staffing V1-1 (3)'!$Q$113:$R$114,'FY19 Staffing V1-1 (3)'!$T$113:$U$114)/12</f>
        <v>955.86250000000007</v>
      </c>
      <c r="BR215" s="449">
        <f>SUM('FY19 Staffing V1-1 (3)'!$Q$113:$R$114,'FY19 Staffing V1-1 (3)'!$T$113:$U$114)/12</f>
        <v>955.86250000000007</v>
      </c>
      <c r="BS215" s="449">
        <f>SUM('FY19 Staffing V1-1 (3)'!$Q$113:$R$114,'FY19 Staffing V1-1 (3)'!$T$113:$U$114)/12</f>
        <v>955.86250000000007</v>
      </c>
      <c r="BT215" s="449">
        <f>SUM('FY19 Staffing V1-1 (3)'!$Q$113:$R$114,'FY19 Staffing V1-1 (3)'!$T$113:$U$114)/12*2</f>
        <v>1911.7250000000001</v>
      </c>
    </row>
    <row r="216" spans="1:72" ht="15" x14ac:dyDescent="0.25">
      <c r="A216" s="502" t="s">
        <v>360</v>
      </c>
      <c r="B216" s="502" t="s">
        <v>361</v>
      </c>
      <c r="C216" s="541"/>
      <c r="D216" s="500">
        <f t="shared" si="186"/>
        <v>5038</v>
      </c>
      <c r="E216" s="449">
        <v>5038</v>
      </c>
      <c r="F216" s="449">
        <f t="shared" si="224"/>
        <v>0</v>
      </c>
      <c r="G216" s="421">
        <f t="shared" si="188"/>
        <v>0</v>
      </c>
      <c r="H216" s="449">
        <v>5038</v>
      </c>
      <c r="I216" s="449">
        <f t="shared" si="189"/>
        <v>0</v>
      </c>
      <c r="J216" s="426">
        <f t="shared" si="190"/>
        <v>0</v>
      </c>
      <c r="K216" s="421"/>
      <c r="L216" s="449">
        <v>1.3</v>
      </c>
      <c r="M216" s="449">
        <v>40.450000000000003</v>
      </c>
      <c r="N216" s="449">
        <v>66.23</v>
      </c>
      <c r="O216" s="449">
        <v>2164.7599999999998</v>
      </c>
      <c r="P216" s="449">
        <v>802.05000000000018</v>
      </c>
      <c r="Q216" s="449">
        <v>746.13000000000011</v>
      </c>
      <c r="R216" s="449">
        <f>($H216-SUM($L216:Q216))/R$694</f>
        <v>202.84666666666666</v>
      </c>
      <c r="S216" s="449">
        <f>($H216-SUM($L216:R216))/S$694</f>
        <v>202.84666666666664</v>
      </c>
      <c r="T216" s="449">
        <f>($H216-SUM($L216:S216))/T$694</f>
        <v>202.84666666666658</v>
      </c>
      <c r="U216" s="449">
        <f>($H216-SUM($L216:T216))/U$694</f>
        <v>202.84666666666666</v>
      </c>
      <c r="V216" s="449">
        <f>($H216-SUM($L216:U216))/V$694</f>
        <v>202.84666666666681</v>
      </c>
      <c r="W216" s="449">
        <f>($H216-SUM($L216:V216))/W$694</f>
        <v>202.84666666666635</v>
      </c>
      <c r="X216" s="449"/>
      <c r="Y216" s="449">
        <f t="shared" si="191"/>
        <v>5038</v>
      </c>
      <c r="Z216" s="531"/>
      <c r="AA216" s="449">
        <f t="shared" si="228"/>
        <v>419.83333333333331</v>
      </c>
      <c r="AB216" s="449">
        <f t="shared" si="228"/>
        <v>419.83333333333331</v>
      </c>
      <c r="AC216" s="449">
        <f t="shared" si="228"/>
        <v>419.83333333333331</v>
      </c>
      <c r="AD216" s="449">
        <f t="shared" si="228"/>
        <v>419.83333333333331</v>
      </c>
      <c r="AE216" s="449">
        <f t="shared" si="228"/>
        <v>419.83333333333331</v>
      </c>
      <c r="AF216" s="449">
        <f t="shared" si="228"/>
        <v>419.83333333333331</v>
      </c>
      <c r="AG216" s="449">
        <f t="shared" si="228"/>
        <v>419.83333333333331</v>
      </c>
      <c r="AH216" s="449">
        <f t="shared" si="228"/>
        <v>419.83333333333331</v>
      </c>
      <c r="AI216" s="449">
        <f t="shared" si="228"/>
        <v>419.83333333333331</v>
      </c>
      <c r="AJ216" s="449">
        <f t="shared" si="228"/>
        <v>419.83333333333331</v>
      </c>
      <c r="AK216" s="449">
        <f t="shared" si="228"/>
        <v>419.83333333333331</v>
      </c>
      <c r="AL216" s="449">
        <f t="shared" si="228"/>
        <v>419.83333333333331</v>
      </c>
      <c r="AN216" s="500">
        <f t="shared" si="219"/>
        <v>5038</v>
      </c>
      <c r="AO216" s="449">
        <f t="shared" si="194"/>
        <v>5108.2850000000008</v>
      </c>
      <c r="AP216" s="449">
        <f t="shared" si="225"/>
        <v>70.285000000000764</v>
      </c>
      <c r="AQ216" s="453">
        <f t="shared" si="226"/>
        <v>1.3950972608178E-2</v>
      </c>
      <c r="AR216" s="449">
        <f t="shared" si="210"/>
        <v>5108.2850000000008</v>
      </c>
      <c r="AS216" s="449">
        <f t="shared" si="227"/>
        <v>0</v>
      </c>
      <c r="AT216" s="426">
        <f t="shared" si="199"/>
        <v>0</v>
      </c>
      <c r="AU216" s="421"/>
      <c r="AV216" s="449">
        <f t="shared" si="204"/>
        <v>0</v>
      </c>
      <c r="AW216" s="449">
        <f t="shared" si="204"/>
        <v>425.69041666666675</v>
      </c>
      <c r="AX216" s="449">
        <f t="shared" si="204"/>
        <v>425.69041666666675</v>
      </c>
      <c r="AY216" s="449">
        <f t="shared" si="204"/>
        <v>425.69041666666675</v>
      </c>
      <c r="AZ216" s="449">
        <f t="shared" si="204"/>
        <v>425.69041666666675</v>
      </c>
      <c r="BA216" s="449">
        <f t="shared" si="204"/>
        <v>425.69041666666675</v>
      </c>
      <c r="BB216" s="449">
        <f t="shared" si="221"/>
        <v>425.69041666666675</v>
      </c>
      <c r="BC216" s="449">
        <f t="shared" si="221"/>
        <v>425.69041666666675</v>
      </c>
      <c r="BD216" s="449">
        <f t="shared" si="221"/>
        <v>425.69041666666675</v>
      </c>
      <c r="BE216" s="449">
        <f t="shared" si="221"/>
        <v>425.69041666666675</v>
      </c>
      <c r="BF216" s="449">
        <f t="shared" si="221"/>
        <v>425.69041666666675</v>
      </c>
      <c r="BG216" s="449">
        <f t="shared" si="221"/>
        <v>851.3808333333335</v>
      </c>
      <c r="BH216" s="400"/>
      <c r="BI216" s="449">
        <v>0</v>
      </c>
      <c r="BJ216" s="449">
        <f>SUM('FY19 Staffing V1-1 (3)'!$W$115)/12</f>
        <v>425.69041666666675</v>
      </c>
      <c r="BK216" s="449">
        <f>SUM('FY19 Staffing V1-1 (3)'!$W$115)/12</f>
        <v>425.69041666666675</v>
      </c>
      <c r="BL216" s="449">
        <f>SUM('FY19 Staffing V1-1 (3)'!$W$115)/12</f>
        <v>425.69041666666675</v>
      </c>
      <c r="BM216" s="449">
        <f>SUM('FY19 Staffing V1-1 (3)'!$W$115)/12</f>
        <v>425.69041666666675</v>
      </c>
      <c r="BN216" s="449">
        <f>SUM('FY19 Staffing V1-1 (3)'!$W$115)/12</f>
        <v>425.69041666666675</v>
      </c>
      <c r="BO216" s="449">
        <f>SUM('FY19 Staffing V1-1 (3)'!$W$115)/12</f>
        <v>425.69041666666675</v>
      </c>
      <c r="BP216" s="449">
        <f>SUM('FY19 Staffing V1-1 (3)'!$W$115)/12</f>
        <v>425.69041666666675</v>
      </c>
      <c r="BQ216" s="449">
        <f>SUM('FY19 Staffing V1-1 (3)'!$W$115)/12</f>
        <v>425.69041666666675</v>
      </c>
      <c r="BR216" s="449">
        <f>SUM('FY19 Staffing V1-1 (3)'!$W$115)/12</f>
        <v>425.69041666666675</v>
      </c>
      <c r="BS216" s="449">
        <f>SUM('FY19 Staffing V1-1 (3)'!$W$115)/12</f>
        <v>425.69041666666675</v>
      </c>
      <c r="BT216" s="449">
        <f>SUM('FY19 Staffing V1-1 (3)'!$W$115)/12*2</f>
        <v>851.3808333333335</v>
      </c>
    </row>
    <row r="217" spans="1:72" ht="15" x14ac:dyDescent="0.25">
      <c r="A217" s="502" t="s">
        <v>362</v>
      </c>
      <c r="B217" s="502" t="s">
        <v>363</v>
      </c>
      <c r="C217" s="541"/>
      <c r="D217" s="500">
        <f t="shared" si="186"/>
        <v>5445</v>
      </c>
      <c r="E217" s="449">
        <v>5445</v>
      </c>
      <c r="F217" s="449">
        <f t="shared" si="224"/>
        <v>0</v>
      </c>
      <c r="G217" s="421">
        <f t="shared" si="188"/>
        <v>0</v>
      </c>
      <c r="H217" s="449">
        <v>5445</v>
      </c>
      <c r="I217" s="449">
        <f t="shared" si="189"/>
        <v>0</v>
      </c>
      <c r="J217" s="426">
        <f t="shared" si="190"/>
        <v>0</v>
      </c>
      <c r="K217" s="421"/>
      <c r="L217" s="449">
        <v>0</v>
      </c>
      <c r="M217" s="449">
        <v>0</v>
      </c>
      <c r="N217" s="449">
        <v>0</v>
      </c>
      <c r="O217" s="449">
        <v>0</v>
      </c>
      <c r="P217" s="449">
        <v>0</v>
      </c>
      <c r="Q217" s="449">
        <v>0</v>
      </c>
      <c r="R217" s="449">
        <f>($H217-SUM($L217:Q217))/R$694</f>
        <v>907.5</v>
      </c>
      <c r="S217" s="449">
        <f>($H217-SUM($L217:R217))/S$694</f>
        <v>907.5</v>
      </c>
      <c r="T217" s="449">
        <f>($H217-SUM($L217:S217))/T$694</f>
        <v>907.5</v>
      </c>
      <c r="U217" s="449">
        <f>($H217-SUM($L217:T217))/U$694</f>
        <v>907.5</v>
      </c>
      <c r="V217" s="449">
        <f>($H217-SUM($L217:U217))/V$694</f>
        <v>907.5</v>
      </c>
      <c r="W217" s="449">
        <f>($H217-SUM($L217:V217))/W$694</f>
        <v>907.5</v>
      </c>
      <c r="X217" s="449"/>
      <c r="Y217" s="449">
        <f t="shared" si="191"/>
        <v>5445</v>
      </c>
      <c r="Z217" s="531"/>
      <c r="AA217" s="449">
        <f t="shared" si="228"/>
        <v>453.75</v>
      </c>
      <c r="AB217" s="449">
        <f t="shared" si="228"/>
        <v>453.75</v>
      </c>
      <c r="AC217" s="449">
        <f t="shared" si="228"/>
        <v>453.75</v>
      </c>
      <c r="AD217" s="449">
        <f t="shared" si="228"/>
        <v>453.75</v>
      </c>
      <c r="AE217" s="449">
        <f t="shared" si="228"/>
        <v>453.75</v>
      </c>
      <c r="AF217" s="449">
        <f t="shared" si="228"/>
        <v>453.75</v>
      </c>
      <c r="AG217" s="449">
        <f t="shared" si="228"/>
        <v>453.75</v>
      </c>
      <c r="AH217" s="449">
        <f t="shared" si="228"/>
        <v>453.75</v>
      </c>
      <c r="AI217" s="449">
        <f t="shared" si="228"/>
        <v>453.75</v>
      </c>
      <c r="AJ217" s="449">
        <f t="shared" si="228"/>
        <v>453.75</v>
      </c>
      <c r="AK217" s="449">
        <f t="shared" si="228"/>
        <v>453.75</v>
      </c>
      <c r="AL217" s="449">
        <f t="shared" si="228"/>
        <v>453.75</v>
      </c>
      <c r="AN217" s="500">
        <f t="shared" si="219"/>
        <v>5445</v>
      </c>
      <c r="AO217" s="449">
        <f t="shared" si="194"/>
        <v>13180.161190000004</v>
      </c>
      <c r="AP217" s="449">
        <f t="shared" si="225"/>
        <v>7735.1611900000044</v>
      </c>
      <c r="AQ217" s="453">
        <f t="shared" si="226"/>
        <v>1.4205989329660247</v>
      </c>
      <c r="AR217" s="449">
        <f t="shared" si="210"/>
        <v>13180.161190000004</v>
      </c>
      <c r="AS217" s="449">
        <f t="shared" si="227"/>
        <v>0</v>
      </c>
      <c r="AT217" s="426">
        <f t="shared" si="199"/>
        <v>0</v>
      </c>
      <c r="AU217" s="421"/>
      <c r="AV217" s="449">
        <f t="shared" si="204"/>
        <v>0</v>
      </c>
      <c r="AW217" s="449">
        <f t="shared" si="204"/>
        <v>1098.3467658333336</v>
      </c>
      <c r="AX217" s="449">
        <f t="shared" si="204"/>
        <v>1098.3467658333336</v>
      </c>
      <c r="AY217" s="449">
        <f t="shared" si="204"/>
        <v>1098.3467658333336</v>
      </c>
      <c r="AZ217" s="449">
        <f t="shared" si="204"/>
        <v>1098.3467658333336</v>
      </c>
      <c r="BA217" s="449">
        <f t="shared" si="204"/>
        <v>1098.3467658333336</v>
      </c>
      <c r="BB217" s="449">
        <f t="shared" si="221"/>
        <v>1098.3467658333336</v>
      </c>
      <c r="BC217" s="449">
        <f t="shared" si="221"/>
        <v>1098.3467658333336</v>
      </c>
      <c r="BD217" s="449">
        <f t="shared" si="221"/>
        <v>1098.3467658333336</v>
      </c>
      <c r="BE217" s="449">
        <f t="shared" si="221"/>
        <v>1098.3467658333336</v>
      </c>
      <c r="BF217" s="449">
        <f t="shared" si="221"/>
        <v>1098.3467658333336</v>
      </c>
      <c r="BG217" s="449">
        <f t="shared" si="221"/>
        <v>2196.6935316666672</v>
      </c>
      <c r="BH217" s="400"/>
      <c r="BI217" s="449">
        <v>0</v>
      </c>
      <c r="BJ217" s="449">
        <f>SUM('FY19 Staffing V1-1 (3)'!$W$113:$W$114)/12</f>
        <v>1098.3467658333336</v>
      </c>
      <c r="BK217" s="449">
        <f>SUM('FY19 Staffing V1-1 (3)'!$W$113:$W$114)/12</f>
        <v>1098.3467658333336</v>
      </c>
      <c r="BL217" s="449">
        <f>SUM('FY19 Staffing V1-1 (3)'!$W$113:$W$114)/12</f>
        <v>1098.3467658333336</v>
      </c>
      <c r="BM217" s="449">
        <f>SUM('FY19 Staffing V1-1 (3)'!$W$113:$W$114)/12</f>
        <v>1098.3467658333336</v>
      </c>
      <c r="BN217" s="449">
        <f>SUM('FY19 Staffing V1-1 (3)'!$W$113:$W$114)/12</f>
        <v>1098.3467658333336</v>
      </c>
      <c r="BO217" s="449">
        <f>SUM('FY19 Staffing V1-1 (3)'!$W$113:$W$114)/12</f>
        <v>1098.3467658333336</v>
      </c>
      <c r="BP217" s="449">
        <f>SUM('FY19 Staffing V1-1 (3)'!$W$113:$W$114)/12</f>
        <v>1098.3467658333336</v>
      </c>
      <c r="BQ217" s="449">
        <f>SUM('FY19 Staffing V1-1 (3)'!$W$113:$W$114)/12</f>
        <v>1098.3467658333336</v>
      </c>
      <c r="BR217" s="449">
        <f>SUM('FY19 Staffing V1-1 (3)'!$W$113:$W$114)/12</f>
        <v>1098.3467658333336</v>
      </c>
      <c r="BS217" s="449">
        <f>SUM('FY19 Staffing V1-1 (3)'!$W$113:$W$114)/12</f>
        <v>1098.3467658333336</v>
      </c>
      <c r="BT217" s="449">
        <f>SUM('FY19 Staffing V1-1 (3)'!$W$113:$W$114)/12*2</f>
        <v>2196.6935316666672</v>
      </c>
    </row>
    <row r="218" spans="1:72" ht="15" x14ac:dyDescent="0.25">
      <c r="A218" s="502" t="s">
        <v>364</v>
      </c>
      <c r="B218" s="502" t="s">
        <v>365</v>
      </c>
      <c r="C218" s="541"/>
      <c r="D218" s="500">
        <f t="shared" si="186"/>
        <v>1539.12</v>
      </c>
      <c r="E218" s="449">
        <v>1745</v>
      </c>
      <c r="F218" s="449">
        <f t="shared" si="224"/>
        <v>-205.88000000000011</v>
      </c>
      <c r="G218" s="421">
        <f t="shared" si="188"/>
        <v>-0.1179828080229227</v>
      </c>
      <c r="H218" s="449">
        <v>1300</v>
      </c>
      <c r="I218" s="449">
        <f t="shared" si="189"/>
        <v>239.11999999999989</v>
      </c>
      <c r="J218" s="426">
        <f t="shared" si="190"/>
        <v>0.18393846153846147</v>
      </c>
      <c r="K218" s="421"/>
      <c r="L218" s="449">
        <v>0</v>
      </c>
      <c r="M218" s="449">
        <v>309.63</v>
      </c>
      <c r="N218" s="449">
        <v>270.91999999999996</v>
      </c>
      <c r="O218" s="449">
        <v>378.0200000000001</v>
      </c>
      <c r="P218" s="449">
        <v>258.01999999999987</v>
      </c>
      <c r="Q218" s="449">
        <v>322.52999999999997</v>
      </c>
      <c r="R218" s="449">
        <v>0</v>
      </c>
      <c r="S218" s="449">
        <v>0</v>
      </c>
      <c r="T218" s="449">
        <v>0</v>
      </c>
      <c r="U218" s="449">
        <v>0</v>
      </c>
      <c r="V218" s="449">
        <v>0</v>
      </c>
      <c r="W218" s="449">
        <v>0</v>
      </c>
      <c r="X218" s="449"/>
      <c r="Y218" s="449">
        <f t="shared" si="191"/>
        <v>1539.12</v>
      </c>
      <c r="Z218" s="531"/>
      <c r="AA218" s="449">
        <f t="shared" si="228"/>
        <v>108.33333333333333</v>
      </c>
      <c r="AB218" s="449">
        <f t="shared" si="228"/>
        <v>108.33333333333333</v>
      </c>
      <c r="AC218" s="449">
        <f t="shared" si="228"/>
        <v>108.33333333333333</v>
      </c>
      <c r="AD218" s="449">
        <f t="shared" si="228"/>
        <v>108.33333333333333</v>
      </c>
      <c r="AE218" s="449">
        <f t="shared" si="228"/>
        <v>108.33333333333333</v>
      </c>
      <c r="AF218" s="449">
        <f t="shared" si="228"/>
        <v>108.33333333333333</v>
      </c>
      <c r="AG218" s="449">
        <f t="shared" si="228"/>
        <v>108.33333333333333</v>
      </c>
      <c r="AH218" s="449">
        <f t="shared" si="228"/>
        <v>108.33333333333333</v>
      </c>
      <c r="AI218" s="449">
        <f t="shared" si="228"/>
        <v>108.33333333333333</v>
      </c>
      <c r="AJ218" s="449">
        <f t="shared" si="228"/>
        <v>108.33333333333333</v>
      </c>
      <c r="AK218" s="449">
        <f t="shared" si="228"/>
        <v>108.33333333333333</v>
      </c>
      <c r="AL218" s="449">
        <f t="shared" si="228"/>
        <v>108.33333333333333</v>
      </c>
      <c r="AN218" s="500">
        <f t="shared" si="219"/>
        <v>1539.12</v>
      </c>
      <c r="AO218" s="449">
        <f t="shared" si="194"/>
        <v>1339.0000000000002</v>
      </c>
      <c r="AP218" s="449">
        <f t="shared" si="225"/>
        <v>-200.11999999999966</v>
      </c>
      <c r="AQ218" s="453">
        <f t="shared" si="226"/>
        <v>-0.13002235043401403</v>
      </c>
      <c r="AR218" s="449">
        <f t="shared" si="210"/>
        <v>1339.0000000000002</v>
      </c>
      <c r="AS218" s="449">
        <f t="shared" si="227"/>
        <v>0</v>
      </c>
      <c r="AT218" s="426">
        <f t="shared" si="199"/>
        <v>0</v>
      </c>
      <c r="AU218" s="421"/>
      <c r="AV218" s="449">
        <f t="shared" si="204"/>
        <v>0</v>
      </c>
      <c r="AW218" s="449">
        <f t="shared" si="204"/>
        <v>111.58333333333333</v>
      </c>
      <c r="AX218" s="449">
        <f t="shared" si="204"/>
        <v>111.58333333333333</v>
      </c>
      <c r="AY218" s="449">
        <f t="shared" si="204"/>
        <v>111.58333333333333</v>
      </c>
      <c r="AZ218" s="449">
        <f t="shared" si="204"/>
        <v>111.58333333333333</v>
      </c>
      <c r="BA218" s="449">
        <f t="shared" si="204"/>
        <v>111.58333333333333</v>
      </c>
      <c r="BB218" s="449">
        <f t="shared" si="221"/>
        <v>111.58333333333333</v>
      </c>
      <c r="BC218" s="449">
        <f t="shared" si="221"/>
        <v>111.58333333333333</v>
      </c>
      <c r="BD218" s="449">
        <f t="shared" si="221"/>
        <v>111.58333333333333</v>
      </c>
      <c r="BE218" s="449">
        <f t="shared" si="221"/>
        <v>111.58333333333333</v>
      </c>
      <c r="BF218" s="449">
        <f t="shared" si="221"/>
        <v>111.58333333333333</v>
      </c>
      <c r="BG218" s="449">
        <f t="shared" si="221"/>
        <v>223.16666666666666</v>
      </c>
      <c r="BH218" s="400"/>
      <c r="BI218" s="449">
        <v>0</v>
      </c>
      <c r="BJ218" s="449">
        <f>SUM('FY19 Staffing V1-1 (3)'!$S$115)/12</f>
        <v>111.58333333333333</v>
      </c>
      <c r="BK218" s="449">
        <f>SUM('FY19 Staffing V1-1 (3)'!$S$115)/12</f>
        <v>111.58333333333333</v>
      </c>
      <c r="BL218" s="449">
        <f>SUM('FY19 Staffing V1-1 (3)'!$S$115)/12</f>
        <v>111.58333333333333</v>
      </c>
      <c r="BM218" s="449">
        <f>SUM('FY19 Staffing V1-1 (3)'!$S$115)/12</f>
        <v>111.58333333333333</v>
      </c>
      <c r="BN218" s="449">
        <f>SUM('FY19 Staffing V1-1 (3)'!$S$115)/12</f>
        <v>111.58333333333333</v>
      </c>
      <c r="BO218" s="449">
        <f>SUM('FY19 Staffing V1-1 (3)'!$S$115)/12</f>
        <v>111.58333333333333</v>
      </c>
      <c r="BP218" s="449">
        <f>SUM('FY19 Staffing V1-1 (3)'!$S$115)/12</f>
        <v>111.58333333333333</v>
      </c>
      <c r="BQ218" s="449">
        <f>SUM('FY19 Staffing V1-1 (3)'!$S$115)/12</f>
        <v>111.58333333333333</v>
      </c>
      <c r="BR218" s="449">
        <f>SUM('FY19 Staffing V1-1 (3)'!$S$115)/12</f>
        <v>111.58333333333333</v>
      </c>
      <c r="BS218" s="449">
        <f>SUM('FY19 Staffing V1-1 (3)'!$S$115)/12</f>
        <v>111.58333333333333</v>
      </c>
      <c r="BT218" s="449">
        <f>SUM('FY19 Staffing V1-1 (3)'!$S$115)/12*2</f>
        <v>223.16666666666666</v>
      </c>
    </row>
    <row r="219" spans="1:72" ht="15" x14ac:dyDescent="0.25">
      <c r="A219" s="502" t="s">
        <v>366</v>
      </c>
      <c r="B219" s="502" t="s">
        <v>367</v>
      </c>
      <c r="C219" s="541"/>
      <c r="D219" s="500">
        <f t="shared" si="186"/>
        <v>3354</v>
      </c>
      <c r="E219" s="449">
        <v>3490</v>
      </c>
      <c r="F219" s="449">
        <f t="shared" si="224"/>
        <v>-136</v>
      </c>
      <c r="G219" s="421">
        <f t="shared" si="188"/>
        <v>-3.8968481375358167E-2</v>
      </c>
      <c r="H219" s="449">
        <v>3354</v>
      </c>
      <c r="I219" s="449">
        <f t="shared" si="189"/>
        <v>0</v>
      </c>
      <c r="J219" s="426">
        <f t="shared" si="190"/>
        <v>0</v>
      </c>
      <c r="K219" s="421"/>
      <c r="L219" s="449">
        <v>0</v>
      </c>
      <c r="M219" s="449">
        <v>0</v>
      </c>
      <c r="N219" s="449">
        <v>0</v>
      </c>
      <c r="O219" s="449">
        <v>0</v>
      </c>
      <c r="P219" s="449">
        <v>0</v>
      </c>
      <c r="Q219" s="449">
        <v>0</v>
      </c>
      <c r="R219" s="449">
        <f>($H219-SUM($L219:Q219))/R$694</f>
        <v>559</v>
      </c>
      <c r="S219" s="449">
        <f>($H219-SUM($L219:R219))/S$694</f>
        <v>559</v>
      </c>
      <c r="T219" s="449">
        <f>($H219-SUM($L219:S219))/T$694</f>
        <v>559</v>
      </c>
      <c r="U219" s="449">
        <f>($H219-SUM($L219:T219))/U$694</f>
        <v>559</v>
      </c>
      <c r="V219" s="449">
        <f>($H219-SUM($L219:U219))/V$694</f>
        <v>559</v>
      </c>
      <c r="W219" s="449">
        <f>($H219-SUM($L219:V219))/W$694</f>
        <v>559</v>
      </c>
      <c r="X219" s="449"/>
      <c r="Y219" s="449">
        <f t="shared" si="191"/>
        <v>3354</v>
      </c>
      <c r="Z219" s="531"/>
      <c r="AA219" s="449">
        <f t="shared" si="228"/>
        <v>279.5</v>
      </c>
      <c r="AB219" s="449">
        <f t="shared" si="228"/>
        <v>279.5</v>
      </c>
      <c r="AC219" s="449">
        <f t="shared" si="228"/>
        <v>279.5</v>
      </c>
      <c r="AD219" s="449">
        <f t="shared" si="228"/>
        <v>279.5</v>
      </c>
      <c r="AE219" s="449">
        <f t="shared" si="228"/>
        <v>279.5</v>
      </c>
      <c r="AF219" s="449">
        <f t="shared" si="228"/>
        <v>279.5</v>
      </c>
      <c r="AG219" s="449">
        <f t="shared" si="228"/>
        <v>279.5</v>
      </c>
      <c r="AH219" s="449">
        <f t="shared" si="228"/>
        <v>279.5</v>
      </c>
      <c r="AI219" s="449">
        <f t="shared" si="228"/>
        <v>279.5</v>
      </c>
      <c r="AJ219" s="449">
        <f t="shared" si="228"/>
        <v>279.5</v>
      </c>
      <c r="AK219" s="449">
        <f t="shared" si="228"/>
        <v>279.5</v>
      </c>
      <c r="AL219" s="449">
        <f t="shared" si="228"/>
        <v>279.5</v>
      </c>
      <c r="AN219" s="500">
        <f t="shared" si="219"/>
        <v>3354</v>
      </c>
      <c r="AO219" s="449">
        <f t="shared" si="194"/>
        <v>3454.83</v>
      </c>
      <c r="AP219" s="449">
        <f t="shared" si="225"/>
        <v>100.82999999999993</v>
      </c>
      <c r="AQ219" s="453">
        <f t="shared" si="226"/>
        <v>3.0062611806797833E-2</v>
      </c>
      <c r="AR219" s="449">
        <f t="shared" si="210"/>
        <v>3454.83</v>
      </c>
      <c r="AS219" s="449">
        <f t="shared" si="227"/>
        <v>0</v>
      </c>
      <c r="AT219" s="426">
        <f t="shared" si="199"/>
        <v>0</v>
      </c>
      <c r="AU219" s="421"/>
      <c r="AV219" s="449">
        <f t="shared" si="204"/>
        <v>0</v>
      </c>
      <c r="AW219" s="449">
        <f t="shared" si="204"/>
        <v>287.90249999999997</v>
      </c>
      <c r="AX219" s="449">
        <f t="shared" si="204"/>
        <v>287.90249999999997</v>
      </c>
      <c r="AY219" s="449">
        <f t="shared" si="204"/>
        <v>287.90249999999997</v>
      </c>
      <c r="AZ219" s="449">
        <f t="shared" si="204"/>
        <v>287.90249999999997</v>
      </c>
      <c r="BA219" s="449">
        <f t="shared" si="204"/>
        <v>287.90249999999997</v>
      </c>
      <c r="BB219" s="449">
        <f t="shared" si="221"/>
        <v>287.90249999999997</v>
      </c>
      <c r="BC219" s="449">
        <f t="shared" si="221"/>
        <v>287.90249999999997</v>
      </c>
      <c r="BD219" s="449">
        <f t="shared" si="221"/>
        <v>287.90249999999997</v>
      </c>
      <c r="BE219" s="449">
        <f t="shared" si="221"/>
        <v>287.90249999999997</v>
      </c>
      <c r="BF219" s="449">
        <f t="shared" si="221"/>
        <v>287.90249999999997</v>
      </c>
      <c r="BG219" s="449">
        <f t="shared" si="221"/>
        <v>575.80499999999995</v>
      </c>
      <c r="BH219" s="400"/>
      <c r="BI219" s="449">
        <v>0</v>
      </c>
      <c r="BJ219" s="449">
        <f>SUM('FY19 Staffing V1-1 (3)'!$S$113:$S$114)/12</f>
        <v>287.90249999999997</v>
      </c>
      <c r="BK219" s="449">
        <f>SUM('FY19 Staffing V1-1 (3)'!$S$113:$S$114)/12</f>
        <v>287.90249999999997</v>
      </c>
      <c r="BL219" s="449">
        <f>SUM('FY19 Staffing V1-1 (3)'!$S$113:$S$114)/12</f>
        <v>287.90249999999997</v>
      </c>
      <c r="BM219" s="449">
        <f>SUM('FY19 Staffing V1-1 (3)'!$S$113:$S$114)/12</f>
        <v>287.90249999999997</v>
      </c>
      <c r="BN219" s="449">
        <f>SUM('FY19 Staffing V1-1 (3)'!$S$113:$S$114)/12</f>
        <v>287.90249999999997</v>
      </c>
      <c r="BO219" s="449">
        <f>SUM('FY19 Staffing V1-1 (3)'!$S$113:$S$114)/12</f>
        <v>287.90249999999997</v>
      </c>
      <c r="BP219" s="449">
        <f>SUM('FY19 Staffing V1-1 (3)'!$S$113:$S$114)/12</f>
        <v>287.90249999999997</v>
      </c>
      <c r="BQ219" s="449">
        <f>SUM('FY19 Staffing V1-1 (3)'!$S$113:$S$114)/12</f>
        <v>287.90249999999997</v>
      </c>
      <c r="BR219" s="449">
        <f>SUM('FY19 Staffing V1-1 (3)'!$S$113:$S$114)/12</f>
        <v>287.90249999999997</v>
      </c>
      <c r="BS219" s="449">
        <f>SUM('FY19 Staffing V1-1 (3)'!$S$113:$S$114)/12</f>
        <v>287.90249999999997</v>
      </c>
      <c r="BT219" s="449">
        <f>SUM('FY19 Staffing V1-1 (3)'!$S$113:$S$114)/12*2</f>
        <v>575.80499999999995</v>
      </c>
    </row>
    <row r="220" spans="1:72" ht="15" hidden="1" x14ac:dyDescent="0.25">
      <c r="A220" s="614" t="s">
        <v>345</v>
      </c>
      <c r="B220" s="614" t="s">
        <v>368</v>
      </c>
      <c r="C220" s="541" t="s">
        <v>347</v>
      </c>
      <c r="D220" s="500">
        <f t="shared" si="186"/>
        <v>11968</v>
      </c>
      <c r="E220" s="449">
        <v>0</v>
      </c>
      <c r="F220" s="449">
        <f t="shared" si="224"/>
        <v>11968</v>
      </c>
      <c r="G220" s="421">
        <f t="shared" si="188"/>
        <v>0</v>
      </c>
      <c r="H220" s="449">
        <v>11968</v>
      </c>
      <c r="I220" s="449">
        <f t="shared" si="189"/>
        <v>0</v>
      </c>
      <c r="J220" s="426">
        <f t="shared" si="190"/>
        <v>0</v>
      </c>
      <c r="K220" s="421"/>
      <c r="L220" s="449">
        <v>0</v>
      </c>
      <c r="M220" s="449">
        <v>0</v>
      </c>
      <c r="N220" s="449">
        <v>0</v>
      </c>
      <c r="O220" s="449">
        <v>9552.6</v>
      </c>
      <c r="P220" s="449">
        <v>-9552.6</v>
      </c>
      <c r="Q220" s="449">
        <v>0</v>
      </c>
      <c r="R220" s="449">
        <f>($H220-SUM($L220:Q220))/R$694</f>
        <v>1994.6666666666667</v>
      </c>
      <c r="S220" s="449">
        <f>($H220-SUM($L220:R220))/S$694</f>
        <v>1994.6666666666667</v>
      </c>
      <c r="T220" s="449">
        <f>($H220-SUM($L220:S220))/T$694</f>
        <v>1994.6666666666665</v>
      </c>
      <c r="U220" s="449">
        <f>($H220-SUM($L220:T220))/U$694</f>
        <v>1994.6666666666667</v>
      </c>
      <c r="V220" s="449">
        <f>($H220-SUM($L220:U220))/V$694</f>
        <v>1994.6666666666665</v>
      </c>
      <c r="W220" s="449">
        <f>($H220-SUM($L220:V220))/W$694</f>
        <v>1994.6666666666661</v>
      </c>
      <c r="X220" s="449"/>
      <c r="Y220" s="449">
        <f t="shared" si="191"/>
        <v>11968</v>
      </c>
      <c r="Z220" s="531"/>
      <c r="AA220" s="449">
        <f t="shared" si="228"/>
        <v>997.33333333333337</v>
      </c>
      <c r="AB220" s="449">
        <f t="shared" si="228"/>
        <v>997.33333333333337</v>
      </c>
      <c r="AC220" s="449">
        <f t="shared" si="228"/>
        <v>997.33333333333337</v>
      </c>
      <c r="AD220" s="449">
        <f t="shared" si="228"/>
        <v>997.33333333333337</v>
      </c>
      <c r="AE220" s="449">
        <f t="shared" si="228"/>
        <v>997.33333333333337</v>
      </c>
      <c r="AF220" s="449">
        <f t="shared" si="228"/>
        <v>997.33333333333337</v>
      </c>
      <c r="AG220" s="449">
        <f t="shared" si="228"/>
        <v>997.33333333333337</v>
      </c>
      <c r="AH220" s="449">
        <f t="shared" si="228"/>
        <v>997.33333333333337</v>
      </c>
      <c r="AI220" s="449">
        <f t="shared" si="228"/>
        <v>997.33333333333337</v>
      </c>
      <c r="AJ220" s="449">
        <f t="shared" si="228"/>
        <v>997.33333333333337</v>
      </c>
      <c r="AK220" s="449">
        <f t="shared" si="228"/>
        <v>997.33333333333337</v>
      </c>
      <c r="AL220" s="449">
        <f t="shared" si="228"/>
        <v>997.33333333333337</v>
      </c>
      <c r="AN220" s="500">
        <f t="shared" si="219"/>
        <v>11968</v>
      </c>
      <c r="AO220" s="449">
        <f t="shared" si="194"/>
        <v>0</v>
      </c>
      <c r="AP220" s="449">
        <f t="shared" si="225"/>
        <v>-11968</v>
      </c>
      <c r="AQ220" s="453">
        <f t="shared" si="226"/>
        <v>-1</v>
      </c>
      <c r="AR220" s="449">
        <f t="shared" si="210"/>
        <v>0</v>
      </c>
      <c r="AS220" s="449">
        <f t="shared" si="227"/>
        <v>0</v>
      </c>
      <c r="AT220" s="426">
        <f t="shared" si="199"/>
        <v>0</v>
      </c>
      <c r="AU220" s="421"/>
      <c r="AV220" s="449">
        <f t="shared" si="204"/>
        <v>0</v>
      </c>
      <c r="AW220" s="449">
        <f t="shared" si="204"/>
        <v>0</v>
      </c>
      <c r="AX220" s="449">
        <f t="shared" si="204"/>
        <v>0</v>
      </c>
      <c r="AY220" s="449">
        <f t="shared" si="204"/>
        <v>0</v>
      </c>
      <c r="AZ220" s="449">
        <f t="shared" si="204"/>
        <v>0</v>
      </c>
      <c r="BA220" s="449">
        <f t="shared" si="204"/>
        <v>0</v>
      </c>
      <c r="BB220" s="449">
        <f t="shared" si="221"/>
        <v>0</v>
      </c>
      <c r="BC220" s="449">
        <f t="shared" si="221"/>
        <v>0</v>
      </c>
      <c r="BD220" s="449">
        <f t="shared" si="221"/>
        <v>0</v>
      </c>
      <c r="BE220" s="449">
        <f t="shared" si="221"/>
        <v>0</v>
      </c>
      <c r="BF220" s="449">
        <f t="shared" si="221"/>
        <v>0</v>
      </c>
      <c r="BG220" s="449">
        <f t="shared" si="221"/>
        <v>0</v>
      </c>
      <c r="BH220" s="400"/>
      <c r="BI220" s="449">
        <v>0</v>
      </c>
      <c r="BJ220" s="449">
        <v>0</v>
      </c>
      <c r="BK220" s="449">
        <v>0</v>
      </c>
      <c r="BL220" s="449">
        <v>0</v>
      </c>
      <c r="BM220" s="449">
        <v>0</v>
      </c>
      <c r="BN220" s="449">
        <v>0</v>
      </c>
      <c r="BO220" s="449">
        <v>0</v>
      </c>
      <c r="BP220" s="449">
        <v>0</v>
      </c>
      <c r="BQ220" s="449">
        <v>0</v>
      </c>
      <c r="BR220" s="449">
        <v>0</v>
      </c>
      <c r="BS220" s="449">
        <v>0</v>
      </c>
      <c r="BT220" s="449">
        <v>0</v>
      </c>
    </row>
    <row r="221" spans="1:72" ht="15" x14ac:dyDescent="0.25">
      <c r="A221" s="502" t="s">
        <v>369</v>
      </c>
      <c r="B221" s="502" t="s">
        <v>370</v>
      </c>
      <c r="C221" s="538"/>
      <c r="D221" s="500">
        <f t="shared" si="186"/>
        <v>32500</v>
      </c>
      <c r="E221" s="449">
        <v>36280</v>
      </c>
      <c r="F221" s="449">
        <f t="shared" si="224"/>
        <v>-3780</v>
      </c>
      <c r="G221" s="421">
        <f t="shared" si="188"/>
        <v>-0.10418963616317531</v>
      </c>
      <c r="H221" s="449">
        <v>32500</v>
      </c>
      <c r="I221" s="449">
        <f t="shared" si="189"/>
        <v>0</v>
      </c>
      <c r="J221" s="426">
        <f t="shared" si="190"/>
        <v>0</v>
      </c>
      <c r="K221" s="421"/>
      <c r="L221" s="449">
        <v>0</v>
      </c>
      <c r="M221" s="449">
        <v>3000</v>
      </c>
      <c r="N221" s="449">
        <v>2625</v>
      </c>
      <c r="O221" s="449">
        <v>2500</v>
      </c>
      <c r="P221" s="449">
        <v>2500</v>
      </c>
      <c r="Q221" s="449">
        <v>3125</v>
      </c>
      <c r="R221" s="449">
        <f>($H221-SUM($L221:Q221))/R$694</f>
        <v>3125</v>
      </c>
      <c r="S221" s="449">
        <f>($H221-SUM($L221:R221))/S$694</f>
        <v>3125</v>
      </c>
      <c r="T221" s="449">
        <f>($H221-SUM($L221:S221))/T$694</f>
        <v>3125</v>
      </c>
      <c r="U221" s="449">
        <f>($H221-SUM($L221:T221))/U$694</f>
        <v>3125</v>
      </c>
      <c r="V221" s="449">
        <f>($H221-SUM($L221:U221))/V$694</f>
        <v>3125</v>
      </c>
      <c r="W221" s="449">
        <f>($H221-SUM($L221:V221))/W$694</f>
        <v>3125</v>
      </c>
      <c r="X221" s="449"/>
      <c r="Y221" s="449">
        <f t="shared" si="191"/>
        <v>32500</v>
      </c>
      <c r="Z221" s="531"/>
      <c r="AA221" s="449">
        <f t="shared" si="228"/>
        <v>2708.3333333333335</v>
      </c>
      <c r="AB221" s="449">
        <f t="shared" si="228"/>
        <v>2708.3333333333335</v>
      </c>
      <c r="AC221" s="449">
        <f t="shared" si="228"/>
        <v>2708.3333333333335</v>
      </c>
      <c r="AD221" s="449">
        <f t="shared" si="228"/>
        <v>2708.3333333333335</v>
      </c>
      <c r="AE221" s="449">
        <f t="shared" si="228"/>
        <v>2708.3333333333335</v>
      </c>
      <c r="AF221" s="449">
        <f t="shared" si="228"/>
        <v>2708.3333333333335</v>
      </c>
      <c r="AG221" s="449">
        <f t="shared" si="228"/>
        <v>2708.3333333333335</v>
      </c>
      <c r="AH221" s="449">
        <f t="shared" si="228"/>
        <v>2708.3333333333335</v>
      </c>
      <c r="AI221" s="449">
        <f t="shared" si="228"/>
        <v>2708.3333333333335</v>
      </c>
      <c r="AJ221" s="449">
        <f t="shared" si="228"/>
        <v>2708.3333333333335</v>
      </c>
      <c r="AK221" s="449">
        <f t="shared" si="228"/>
        <v>2708.3333333333335</v>
      </c>
      <c r="AL221" s="449">
        <f t="shared" si="228"/>
        <v>2708.3333333333335</v>
      </c>
      <c r="AN221" s="500">
        <f t="shared" si="219"/>
        <v>32500</v>
      </c>
      <c r="AO221" s="449">
        <f t="shared" si="194"/>
        <v>33474.999999999993</v>
      </c>
      <c r="AP221" s="449">
        <f t="shared" si="225"/>
        <v>974.99999999999272</v>
      </c>
      <c r="AQ221" s="453">
        <f t="shared" si="226"/>
        <v>2.9999999999999777E-2</v>
      </c>
      <c r="AR221" s="449">
        <f t="shared" si="210"/>
        <v>33474.999999999993</v>
      </c>
      <c r="AS221" s="449">
        <f t="shared" si="227"/>
        <v>0</v>
      </c>
      <c r="AT221" s="426">
        <f t="shared" si="199"/>
        <v>0</v>
      </c>
      <c r="AU221" s="421"/>
      <c r="AV221" s="449">
        <f t="shared" si="204"/>
        <v>0</v>
      </c>
      <c r="AW221" s="449">
        <f t="shared" si="204"/>
        <v>2789.5833333333335</v>
      </c>
      <c r="AX221" s="449">
        <f t="shared" si="204"/>
        <v>2789.5833333333335</v>
      </c>
      <c r="AY221" s="449">
        <f t="shared" si="204"/>
        <v>2789.5833333333335</v>
      </c>
      <c r="AZ221" s="449">
        <f t="shared" si="204"/>
        <v>2789.5833333333335</v>
      </c>
      <c r="BA221" s="449">
        <f t="shared" si="204"/>
        <v>2789.5833333333335</v>
      </c>
      <c r="BB221" s="449">
        <f t="shared" si="221"/>
        <v>2789.5833333333335</v>
      </c>
      <c r="BC221" s="449">
        <f t="shared" si="221"/>
        <v>2789.5833333333335</v>
      </c>
      <c r="BD221" s="449">
        <f t="shared" si="221"/>
        <v>2789.5833333333335</v>
      </c>
      <c r="BE221" s="449">
        <f t="shared" si="221"/>
        <v>2789.5833333333335</v>
      </c>
      <c r="BF221" s="449">
        <f t="shared" si="221"/>
        <v>2789.5833333333335</v>
      </c>
      <c r="BG221" s="449">
        <f t="shared" si="221"/>
        <v>5579.166666666667</v>
      </c>
      <c r="BH221" s="400"/>
      <c r="BI221" s="449">
        <v>0</v>
      </c>
      <c r="BJ221" s="449">
        <f>SUM('FY19 Staffing V1-1 (3)'!$P$122)/12</f>
        <v>2789.5833333333335</v>
      </c>
      <c r="BK221" s="449">
        <f>SUM('FY19 Staffing V1-1 (3)'!$P$122)/12</f>
        <v>2789.5833333333335</v>
      </c>
      <c r="BL221" s="449">
        <f>SUM('FY19 Staffing V1-1 (3)'!$P$122)/12</f>
        <v>2789.5833333333335</v>
      </c>
      <c r="BM221" s="449">
        <f>SUM('FY19 Staffing V1-1 (3)'!$P$122)/12</f>
        <v>2789.5833333333335</v>
      </c>
      <c r="BN221" s="449">
        <f>SUM('FY19 Staffing V1-1 (3)'!$P$122)/12</f>
        <v>2789.5833333333335</v>
      </c>
      <c r="BO221" s="449">
        <f>SUM('FY19 Staffing V1-1 (3)'!$P$122)/12</f>
        <v>2789.5833333333335</v>
      </c>
      <c r="BP221" s="449">
        <f>SUM('FY19 Staffing V1-1 (3)'!$P$122)/12</f>
        <v>2789.5833333333335</v>
      </c>
      <c r="BQ221" s="449">
        <f>SUM('FY19 Staffing V1-1 (3)'!$P$122)/12</f>
        <v>2789.5833333333335</v>
      </c>
      <c r="BR221" s="449">
        <f>SUM('FY19 Staffing V1-1 (3)'!$P$122)/12</f>
        <v>2789.5833333333335</v>
      </c>
      <c r="BS221" s="449">
        <f>SUM('FY19 Staffing V1-1 (3)'!$P$122)/12</f>
        <v>2789.5833333333335</v>
      </c>
      <c r="BT221" s="449">
        <f>SUM('FY19 Staffing V1-1 (3)'!$P$122)/12*2</f>
        <v>5579.166666666667</v>
      </c>
    </row>
    <row r="222" spans="1:72" ht="15" x14ac:dyDescent="0.25">
      <c r="A222" s="502" t="s">
        <v>371</v>
      </c>
      <c r="B222" s="502" t="s">
        <v>372</v>
      </c>
      <c r="C222" s="538"/>
      <c r="D222" s="500">
        <f t="shared" si="186"/>
        <v>36281</v>
      </c>
      <c r="E222" s="449">
        <v>42328</v>
      </c>
      <c r="F222" s="449">
        <f t="shared" si="224"/>
        <v>-6047</v>
      </c>
      <c r="G222" s="421">
        <f t="shared" si="188"/>
        <v>-0.14286051786051787</v>
      </c>
      <c r="H222" s="449">
        <v>36281</v>
      </c>
      <c r="I222" s="449">
        <f t="shared" si="189"/>
        <v>0</v>
      </c>
      <c r="J222" s="426">
        <f t="shared" si="190"/>
        <v>0</v>
      </c>
      <c r="K222" s="421"/>
      <c r="L222" s="449">
        <v>0</v>
      </c>
      <c r="M222" s="449">
        <v>3349.01</v>
      </c>
      <c r="N222" s="449">
        <v>2930.38</v>
      </c>
      <c r="O222" s="449">
        <v>2790.8399999999992</v>
      </c>
      <c r="P222" s="449">
        <v>2790.84</v>
      </c>
      <c r="Q222" s="449">
        <v>3488.5500000000011</v>
      </c>
      <c r="R222" s="449">
        <f>($H222-SUM($L222:Q222))/R$694</f>
        <v>3488.563333333333</v>
      </c>
      <c r="S222" s="449">
        <f>($H222-SUM($L222:R222))/S$694</f>
        <v>3488.563333333333</v>
      </c>
      <c r="T222" s="449">
        <f>($H222-SUM($L222:S222))/T$694</f>
        <v>3488.5633333333335</v>
      </c>
      <c r="U222" s="449">
        <f>($H222-SUM($L222:T222))/U$694</f>
        <v>3488.563333333334</v>
      </c>
      <c r="V222" s="449">
        <f>($H222-SUM($L222:U222))/V$694</f>
        <v>3488.5633333333335</v>
      </c>
      <c r="W222" s="449">
        <f>($H222-SUM($L222:V222))/W$694</f>
        <v>3488.5633333333317</v>
      </c>
      <c r="X222" s="449"/>
      <c r="Y222" s="449">
        <f t="shared" si="191"/>
        <v>36281</v>
      </c>
      <c r="Z222" s="531"/>
      <c r="AA222" s="449">
        <f t="shared" si="228"/>
        <v>3023.4166666666665</v>
      </c>
      <c r="AB222" s="449">
        <f t="shared" si="228"/>
        <v>3023.4166666666665</v>
      </c>
      <c r="AC222" s="449">
        <f t="shared" si="228"/>
        <v>3023.4166666666665</v>
      </c>
      <c r="AD222" s="449">
        <f t="shared" si="228"/>
        <v>3023.4166666666665</v>
      </c>
      <c r="AE222" s="449">
        <f t="shared" si="228"/>
        <v>3023.4166666666665</v>
      </c>
      <c r="AF222" s="449">
        <f t="shared" si="228"/>
        <v>3023.4166666666665</v>
      </c>
      <c r="AG222" s="449">
        <f t="shared" si="228"/>
        <v>3023.4166666666665</v>
      </c>
      <c r="AH222" s="449">
        <f t="shared" si="228"/>
        <v>3023.4166666666665</v>
      </c>
      <c r="AI222" s="449">
        <f t="shared" si="228"/>
        <v>3023.4166666666665</v>
      </c>
      <c r="AJ222" s="449">
        <f t="shared" si="228"/>
        <v>3023.4166666666665</v>
      </c>
      <c r="AK222" s="449">
        <f t="shared" si="228"/>
        <v>3023.4166666666665</v>
      </c>
      <c r="AL222" s="449">
        <f t="shared" si="228"/>
        <v>3023.4166666666665</v>
      </c>
      <c r="AN222" s="500">
        <f t="shared" si="219"/>
        <v>36281</v>
      </c>
      <c r="AO222" s="449">
        <f t="shared" si="194"/>
        <v>37369.141599999995</v>
      </c>
      <c r="AP222" s="449">
        <f t="shared" si="225"/>
        <v>1088.1415999999954</v>
      </c>
      <c r="AQ222" s="453">
        <f t="shared" si="226"/>
        <v>2.9992050935751368E-2</v>
      </c>
      <c r="AR222" s="449">
        <f t="shared" si="210"/>
        <v>37369.141599999995</v>
      </c>
      <c r="AS222" s="449">
        <f t="shared" si="227"/>
        <v>0</v>
      </c>
      <c r="AT222" s="426">
        <f t="shared" si="199"/>
        <v>0</v>
      </c>
      <c r="AU222" s="421"/>
      <c r="AV222" s="449">
        <f t="shared" si="204"/>
        <v>0</v>
      </c>
      <c r="AW222" s="449">
        <f t="shared" si="204"/>
        <v>3114.0951333333337</v>
      </c>
      <c r="AX222" s="449">
        <f t="shared" si="204"/>
        <v>3114.0951333333337</v>
      </c>
      <c r="AY222" s="449">
        <f t="shared" si="204"/>
        <v>3114.0951333333337</v>
      </c>
      <c r="AZ222" s="449">
        <f t="shared" si="204"/>
        <v>3114.0951333333337</v>
      </c>
      <c r="BA222" s="449">
        <f t="shared" si="204"/>
        <v>3114.0951333333337</v>
      </c>
      <c r="BB222" s="449">
        <f t="shared" si="221"/>
        <v>3114.0951333333337</v>
      </c>
      <c r="BC222" s="449">
        <f t="shared" si="221"/>
        <v>3114.0951333333337</v>
      </c>
      <c r="BD222" s="449">
        <f t="shared" si="221"/>
        <v>3114.0951333333337</v>
      </c>
      <c r="BE222" s="449">
        <f t="shared" si="221"/>
        <v>3114.0951333333337</v>
      </c>
      <c r="BF222" s="449">
        <f t="shared" si="221"/>
        <v>3114.0951333333337</v>
      </c>
      <c r="BG222" s="449">
        <f t="shared" si="221"/>
        <v>6228.1902666666674</v>
      </c>
      <c r="BH222" s="400"/>
      <c r="BI222" s="449">
        <v>0</v>
      </c>
      <c r="BJ222" s="449">
        <f>SUM('FY19 Staffing V1-1 (3)'!$P$121)/12</f>
        <v>3114.0951333333337</v>
      </c>
      <c r="BK222" s="449">
        <f>SUM('FY19 Staffing V1-1 (3)'!$P$121)/12</f>
        <v>3114.0951333333337</v>
      </c>
      <c r="BL222" s="449">
        <f>SUM('FY19 Staffing V1-1 (3)'!$P$121)/12</f>
        <v>3114.0951333333337</v>
      </c>
      <c r="BM222" s="449">
        <f>SUM('FY19 Staffing V1-1 (3)'!$P$121)/12</f>
        <v>3114.0951333333337</v>
      </c>
      <c r="BN222" s="449">
        <f>SUM('FY19 Staffing V1-1 (3)'!$P$121)/12</f>
        <v>3114.0951333333337</v>
      </c>
      <c r="BO222" s="449">
        <f>SUM('FY19 Staffing V1-1 (3)'!$P$121)/12</f>
        <v>3114.0951333333337</v>
      </c>
      <c r="BP222" s="449">
        <f>SUM('FY19 Staffing V1-1 (3)'!$P$121)/12</f>
        <v>3114.0951333333337</v>
      </c>
      <c r="BQ222" s="449">
        <f>SUM('FY19 Staffing V1-1 (3)'!$P$121)/12</f>
        <v>3114.0951333333337</v>
      </c>
      <c r="BR222" s="449">
        <f>SUM('FY19 Staffing V1-1 (3)'!$P$121)/12</f>
        <v>3114.0951333333337</v>
      </c>
      <c r="BS222" s="449">
        <f>SUM('FY19 Staffing V1-1 (3)'!$P$121)/12</f>
        <v>3114.0951333333337</v>
      </c>
      <c r="BT222" s="449">
        <f>SUM('FY19 Staffing V1-1 (3)'!$P$121)/12*2</f>
        <v>6228.1902666666674</v>
      </c>
    </row>
    <row r="223" spans="1:72" ht="15" x14ac:dyDescent="0.25">
      <c r="A223" s="502" t="s">
        <v>373</v>
      </c>
      <c r="B223" s="502" t="s">
        <v>374</v>
      </c>
      <c r="C223" s="538"/>
      <c r="D223" s="500">
        <f t="shared" si="186"/>
        <v>3000</v>
      </c>
      <c r="E223" s="449">
        <v>3000</v>
      </c>
      <c r="F223" s="449">
        <f t="shared" si="224"/>
        <v>0</v>
      </c>
      <c r="G223" s="421">
        <f t="shared" si="188"/>
        <v>0</v>
      </c>
      <c r="H223" s="449">
        <v>3000</v>
      </c>
      <c r="I223" s="449">
        <f t="shared" si="189"/>
        <v>0</v>
      </c>
      <c r="J223" s="426">
        <f t="shared" si="190"/>
        <v>0</v>
      </c>
      <c r="K223" s="421"/>
      <c r="L223" s="449">
        <v>0</v>
      </c>
      <c r="M223" s="449">
        <v>0</v>
      </c>
      <c r="N223" s="449">
        <v>0</v>
      </c>
      <c r="O223" s="449">
        <v>3000</v>
      </c>
      <c r="P223" s="449">
        <v>0</v>
      </c>
      <c r="Q223" s="449">
        <v>0</v>
      </c>
      <c r="R223" s="449">
        <f>($H223-SUM($L223:Q223))/R$694</f>
        <v>0</v>
      </c>
      <c r="S223" s="449">
        <f>($H223-SUM($L223:R223))/S$694</f>
        <v>0</v>
      </c>
      <c r="T223" s="449">
        <f>($H223-SUM($L223:S223))/T$694</f>
        <v>0</v>
      </c>
      <c r="U223" s="449">
        <f>($H223-SUM($L223:T223))/U$694</f>
        <v>0</v>
      </c>
      <c r="V223" s="449">
        <f>($H223-SUM($L223:U223))/V$694</f>
        <v>0</v>
      </c>
      <c r="W223" s="449">
        <f>($H223-SUM($L223:V223))/W$694</f>
        <v>0</v>
      </c>
      <c r="X223" s="449"/>
      <c r="Y223" s="449">
        <f t="shared" si="191"/>
        <v>3000</v>
      </c>
      <c r="Z223" s="531"/>
      <c r="AA223" s="449">
        <f t="shared" si="228"/>
        <v>250</v>
      </c>
      <c r="AB223" s="449">
        <f t="shared" si="228"/>
        <v>250</v>
      </c>
      <c r="AC223" s="449">
        <f t="shared" si="228"/>
        <v>250</v>
      </c>
      <c r="AD223" s="449">
        <f t="shared" si="228"/>
        <v>250</v>
      </c>
      <c r="AE223" s="449">
        <f t="shared" si="228"/>
        <v>250</v>
      </c>
      <c r="AF223" s="449">
        <f t="shared" si="228"/>
        <v>250</v>
      </c>
      <c r="AG223" s="449">
        <f t="shared" si="228"/>
        <v>250</v>
      </c>
      <c r="AH223" s="449">
        <f t="shared" si="228"/>
        <v>250</v>
      </c>
      <c r="AI223" s="449">
        <f t="shared" si="228"/>
        <v>250</v>
      </c>
      <c r="AJ223" s="449">
        <f t="shared" si="228"/>
        <v>250</v>
      </c>
      <c r="AK223" s="449">
        <f t="shared" si="228"/>
        <v>250</v>
      </c>
      <c r="AL223" s="449">
        <f t="shared" si="228"/>
        <v>250</v>
      </c>
      <c r="AN223" s="500">
        <f t="shared" si="219"/>
        <v>3000</v>
      </c>
      <c r="AO223" s="449">
        <f t="shared" si="194"/>
        <v>3000</v>
      </c>
      <c r="AP223" s="449">
        <f t="shared" si="225"/>
        <v>0</v>
      </c>
      <c r="AQ223" s="453">
        <f t="shared" si="226"/>
        <v>0</v>
      </c>
      <c r="AR223" s="449">
        <f t="shared" si="210"/>
        <v>3000</v>
      </c>
      <c r="AS223" s="449">
        <f t="shared" si="227"/>
        <v>0</v>
      </c>
      <c r="AT223" s="426">
        <f t="shared" si="199"/>
        <v>0</v>
      </c>
      <c r="AU223" s="421"/>
      <c r="AV223" s="449">
        <f t="shared" si="204"/>
        <v>0</v>
      </c>
      <c r="AW223" s="449">
        <f t="shared" si="204"/>
        <v>0</v>
      </c>
      <c r="AX223" s="449">
        <f t="shared" si="204"/>
        <v>0</v>
      </c>
      <c r="AY223" s="449">
        <f t="shared" si="204"/>
        <v>3000</v>
      </c>
      <c r="AZ223" s="449">
        <f t="shared" si="204"/>
        <v>0</v>
      </c>
      <c r="BA223" s="449">
        <f t="shared" si="204"/>
        <v>0</v>
      </c>
      <c r="BB223" s="449">
        <f t="shared" si="221"/>
        <v>0</v>
      </c>
      <c r="BC223" s="449">
        <f t="shared" si="221"/>
        <v>0</v>
      </c>
      <c r="BD223" s="449">
        <f t="shared" si="221"/>
        <v>0</v>
      </c>
      <c r="BE223" s="449">
        <f t="shared" si="221"/>
        <v>0</v>
      </c>
      <c r="BF223" s="449">
        <f t="shared" si="221"/>
        <v>0</v>
      </c>
      <c r="BG223" s="449">
        <f t="shared" si="221"/>
        <v>0</v>
      </c>
      <c r="BH223" s="400"/>
      <c r="BI223" s="449">
        <v>0</v>
      </c>
      <c r="BJ223" s="449">
        <v>0</v>
      </c>
      <c r="BK223" s="449">
        <v>0</v>
      </c>
      <c r="BL223" s="449">
        <f>SUM('FY19 Staffing V1-1 (3)'!$J$122)</f>
        <v>3000</v>
      </c>
      <c r="BM223" s="449">
        <v>0</v>
      </c>
      <c r="BN223" s="449">
        <v>0</v>
      </c>
      <c r="BO223" s="449">
        <v>0</v>
      </c>
      <c r="BP223" s="449">
        <v>0</v>
      </c>
      <c r="BQ223" s="449">
        <v>0</v>
      </c>
      <c r="BR223" s="449">
        <v>0</v>
      </c>
      <c r="BS223" s="449">
        <v>0</v>
      </c>
      <c r="BT223" s="449">
        <v>0</v>
      </c>
    </row>
    <row r="224" spans="1:72" ht="15" x14ac:dyDescent="0.25">
      <c r="A224" s="537" t="s">
        <v>375</v>
      </c>
      <c r="B224" s="537" t="s">
        <v>376</v>
      </c>
      <c r="C224" s="541"/>
      <c r="D224" s="500">
        <f t="shared" si="186"/>
        <v>0</v>
      </c>
      <c r="E224" s="449">
        <v>0</v>
      </c>
      <c r="F224" s="449">
        <f t="shared" si="224"/>
        <v>0</v>
      </c>
      <c r="G224" s="421">
        <f t="shared" si="188"/>
        <v>0</v>
      </c>
      <c r="H224" s="449">
        <v>0</v>
      </c>
      <c r="I224" s="449">
        <f t="shared" si="189"/>
        <v>0</v>
      </c>
      <c r="J224" s="426">
        <f t="shared" si="190"/>
        <v>0</v>
      </c>
      <c r="K224" s="421"/>
      <c r="L224" s="449">
        <v>0</v>
      </c>
      <c r="M224" s="449">
        <v>0</v>
      </c>
      <c r="N224" s="449">
        <v>0</v>
      </c>
      <c r="O224" s="449">
        <v>0</v>
      </c>
      <c r="P224" s="449">
        <v>0</v>
      </c>
      <c r="Q224" s="449">
        <v>0</v>
      </c>
      <c r="R224" s="449">
        <f>($H224-SUM($L224:Q224))/R$694</f>
        <v>0</v>
      </c>
      <c r="S224" s="449">
        <f>($H224-SUM($L224:R224))/S$694</f>
        <v>0</v>
      </c>
      <c r="T224" s="449">
        <f>($H224-SUM($L224:S224))/T$694</f>
        <v>0</v>
      </c>
      <c r="U224" s="449">
        <f>($H224-SUM($L224:T224))/U$694</f>
        <v>0</v>
      </c>
      <c r="V224" s="449">
        <f>($H224-SUM($L224:U224))/V$694</f>
        <v>0</v>
      </c>
      <c r="W224" s="449">
        <f>($H224-SUM($L224:V224))/W$694</f>
        <v>0</v>
      </c>
      <c r="X224" s="449"/>
      <c r="Y224" s="449">
        <f t="shared" si="191"/>
        <v>0</v>
      </c>
      <c r="Z224" s="531"/>
      <c r="AA224" s="449">
        <f t="shared" si="228"/>
        <v>0</v>
      </c>
      <c r="AB224" s="449">
        <f t="shared" si="228"/>
        <v>0</v>
      </c>
      <c r="AC224" s="449">
        <f t="shared" si="228"/>
        <v>0</v>
      </c>
      <c r="AD224" s="449">
        <f t="shared" si="228"/>
        <v>0</v>
      </c>
      <c r="AE224" s="449">
        <f t="shared" si="228"/>
        <v>0</v>
      </c>
      <c r="AF224" s="449">
        <f t="shared" si="228"/>
        <v>0</v>
      </c>
      <c r="AG224" s="449">
        <f t="shared" si="228"/>
        <v>0</v>
      </c>
      <c r="AH224" s="449">
        <f t="shared" si="228"/>
        <v>0</v>
      </c>
      <c r="AI224" s="449">
        <f t="shared" si="228"/>
        <v>0</v>
      </c>
      <c r="AJ224" s="449">
        <f t="shared" si="228"/>
        <v>0</v>
      </c>
      <c r="AK224" s="449">
        <f t="shared" si="228"/>
        <v>0</v>
      </c>
      <c r="AL224" s="449">
        <f t="shared" si="228"/>
        <v>0</v>
      </c>
      <c r="AN224" s="500">
        <f t="shared" si="219"/>
        <v>0</v>
      </c>
      <c r="AO224" s="449">
        <f t="shared" si="194"/>
        <v>3000</v>
      </c>
      <c r="AP224" s="449">
        <f t="shared" si="225"/>
        <v>3000</v>
      </c>
      <c r="AQ224" s="453" t="str">
        <f t="shared" si="226"/>
        <v>-</v>
      </c>
      <c r="AR224" s="449">
        <f t="shared" si="210"/>
        <v>3000</v>
      </c>
      <c r="AS224" s="449">
        <f t="shared" si="227"/>
        <v>0</v>
      </c>
      <c r="AT224" s="426">
        <f t="shared" si="199"/>
        <v>0</v>
      </c>
      <c r="AU224" s="421"/>
      <c r="AV224" s="449">
        <f t="shared" si="204"/>
        <v>0</v>
      </c>
      <c r="AW224" s="449">
        <f t="shared" si="204"/>
        <v>0</v>
      </c>
      <c r="AX224" s="449">
        <f t="shared" si="204"/>
        <v>0</v>
      </c>
      <c r="AY224" s="449">
        <f t="shared" si="204"/>
        <v>3000</v>
      </c>
      <c r="AZ224" s="449">
        <f t="shared" si="204"/>
        <v>0</v>
      </c>
      <c r="BA224" s="449">
        <f t="shared" si="204"/>
        <v>0</v>
      </c>
      <c r="BB224" s="449">
        <f t="shared" si="221"/>
        <v>0</v>
      </c>
      <c r="BC224" s="449">
        <f t="shared" si="221"/>
        <v>0</v>
      </c>
      <c r="BD224" s="449">
        <f t="shared" si="221"/>
        <v>0</v>
      </c>
      <c r="BE224" s="449">
        <f t="shared" si="221"/>
        <v>0</v>
      </c>
      <c r="BF224" s="449">
        <f t="shared" si="221"/>
        <v>0</v>
      </c>
      <c r="BG224" s="449">
        <f t="shared" si="221"/>
        <v>0</v>
      </c>
      <c r="BH224" s="400"/>
      <c r="BI224" s="449">
        <v>0</v>
      </c>
      <c r="BJ224" s="449">
        <v>0</v>
      </c>
      <c r="BK224" s="449">
        <v>0</v>
      </c>
      <c r="BL224" s="449">
        <f>SUM('FY19 Staffing V1-1 (3)'!$J$122)</f>
        <v>3000</v>
      </c>
      <c r="BM224" s="449">
        <v>0</v>
      </c>
      <c r="BN224" s="449">
        <v>0</v>
      </c>
      <c r="BO224" s="449">
        <v>0</v>
      </c>
      <c r="BP224" s="449">
        <v>0</v>
      </c>
      <c r="BQ224" s="449">
        <v>0</v>
      </c>
      <c r="BR224" s="449">
        <v>0</v>
      </c>
      <c r="BS224" s="449">
        <v>0</v>
      </c>
      <c r="BT224" s="449">
        <v>0</v>
      </c>
    </row>
    <row r="225" spans="1:72" ht="15" x14ac:dyDescent="0.25">
      <c r="A225" s="502" t="s">
        <v>377</v>
      </c>
      <c r="B225" s="502" t="s">
        <v>378</v>
      </c>
      <c r="C225" s="541"/>
      <c r="D225" s="500">
        <f t="shared" si="186"/>
        <v>5508</v>
      </c>
      <c r="E225" s="449">
        <v>5797</v>
      </c>
      <c r="F225" s="449">
        <f t="shared" si="224"/>
        <v>-289</v>
      </c>
      <c r="G225" s="421">
        <f t="shared" si="188"/>
        <v>-4.9853372434017593E-2</v>
      </c>
      <c r="H225" s="449">
        <v>5508</v>
      </c>
      <c r="I225" s="449">
        <f t="shared" si="189"/>
        <v>0</v>
      </c>
      <c r="J225" s="426">
        <f t="shared" si="190"/>
        <v>0</v>
      </c>
      <c r="K225" s="421"/>
      <c r="L225" s="449">
        <v>5.84</v>
      </c>
      <c r="M225" s="449">
        <v>495.76000000000005</v>
      </c>
      <c r="N225" s="449">
        <v>316.26</v>
      </c>
      <c r="O225" s="449">
        <v>714.9899999999999</v>
      </c>
      <c r="P225" s="449">
        <v>321.24</v>
      </c>
      <c r="Q225" s="449">
        <v>336.54999999999995</v>
      </c>
      <c r="R225" s="449">
        <f>($H225-SUM($L225:Q225))/R$694</f>
        <v>552.89333333333332</v>
      </c>
      <c r="S225" s="449">
        <f>($H225-SUM($L225:R225))/S$694</f>
        <v>552.89333333333332</v>
      </c>
      <c r="T225" s="449">
        <f>($H225-SUM($L225:S225))/T$694</f>
        <v>552.89333333333332</v>
      </c>
      <c r="U225" s="449">
        <f>($H225-SUM($L225:T225))/U$694</f>
        <v>552.89333333333332</v>
      </c>
      <c r="V225" s="449">
        <f>($H225-SUM($L225:U225))/V$694</f>
        <v>552.89333333333343</v>
      </c>
      <c r="W225" s="449">
        <f>($H225-SUM($L225:V225))/W$694</f>
        <v>552.89333333333343</v>
      </c>
      <c r="X225" s="449"/>
      <c r="Y225" s="449">
        <f t="shared" si="191"/>
        <v>5508</v>
      </c>
      <c r="Z225" s="531"/>
      <c r="AA225" s="449">
        <f t="shared" si="228"/>
        <v>459</v>
      </c>
      <c r="AB225" s="449">
        <f t="shared" si="228"/>
        <v>459</v>
      </c>
      <c r="AC225" s="449">
        <f t="shared" si="228"/>
        <v>459</v>
      </c>
      <c r="AD225" s="449">
        <f t="shared" si="228"/>
        <v>459</v>
      </c>
      <c r="AE225" s="449">
        <f t="shared" si="228"/>
        <v>459</v>
      </c>
      <c r="AF225" s="449">
        <f t="shared" si="228"/>
        <v>459</v>
      </c>
      <c r="AG225" s="449">
        <f t="shared" si="228"/>
        <v>459</v>
      </c>
      <c r="AH225" s="449">
        <f t="shared" si="228"/>
        <v>459</v>
      </c>
      <c r="AI225" s="449">
        <f t="shared" si="228"/>
        <v>459</v>
      </c>
      <c r="AJ225" s="449">
        <f t="shared" si="228"/>
        <v>459</v>
      </c>
      <c r="AK225" s="449">
        <f t="shared" si="228"/>
        <v>459</v>
      </c>
      <c r="AL225" s="449">
        <f t="shared" si="228"/>
        <v>459</v>
      </c>
      <c r="AN225" s="500">
        <f t="shared" si="219"/>
        <v>5508</v>
      </c>
      <c r="AO225" s="449">
        <f t="shared" si="194"/>
        <v>4181.84</v>
      </c>
      <c r="AP225" s="449">
        <f t="shared" si="225"/>
        <v>-1326.1599999999999</v>
      </c>
      <c r="AQ225" s="453">
        <f t="shared" si="226"/>
        <v>-0.24076978939724036</v>
      </c>
      <c r="AR225" s="449">
        <f t="shared" si="210"/>
        <v>4181.84</v>
      </c>
      <c r="AS225" s="449">
        <f t="shared" si="227"/>
        <v>0</v>
      </c>
      <c r="AT225" s="426">
        <f t="shared" si="199"/>
        <v>0</v>
      </c>
      <c r="AU225" s="421"/>
      <c r="AV225" s="449">
        <f t="shared" si="204"/>
        <v>0</v>
      </c>
      <c r="AW225" s="449">
        <f t="shared" si="204"/>
        <v>348.48666666666668</v>
      </c>
      <c r="AX225" s="449">
        <f t="shared" si="204"/>
        <v>348.48666666666668</v>
      </c>
      <c r="AY225" s="449">
        <f t="shared" ref="AY225:BD240" si="229">BL225</f>
        <v>348.48666666666668</v>
      </c>
      <c r="AZ225" s="449">
        <f t="shared" si="229"/>
        <v>348.48666666666668</v>
      </c>
      <c r="BA225" s="449">
        <f t="shared" si="229"/>
        <v>348.48666666666668</v>
      </c>
      <c r="BB225" s="449">
        <f t="shared" si="221"/>
        <v>348.48666666666668</v>
      </c>
      <c r="BC225" s="449">
        <f t="shared" si="221"/>
        <v>348.48666666666668</v>
      </c>
      <c r="BD225" s="449">
        <f t="shared" si="221"/>
        <v>348.48666666666668</v>
      </c>
      <c r="BE225" s="449">
        <f t="shared" si="221"/>
        <v>348.48666666666668</v>
      </c>
      <c r="BF225" s="449">
        <f t="shared" si="221"/>
        <v>348.48666666666668</v>
      </c>
      <c r="BG225" s="449">
        <f t="shared" si="221"/>
        <v>696.97333333333336</v>
      </c>
      <c r="BH225" s="400"/>
      <c r="BI225" s="449">
        <v>0</v>
      </c>
      <c r="BJ225" s="449">
        <f>SUM('FY19 Staffing V1-1 (3)'!$Q$122:$R$122,'FY19 Staffing V1-1 (3)'!$T$122:$U$122)/12</f>
        <v>348.48666666666668</v>
      </c>
      <c r="BK225" s="449">
        <f>SUM('FY19 Staffing V1-1 (3)'!$Q$122:$R$122,'FY19 Staffing V1-1 (3)'!$T$122:$U$122)/12</f>
        <v>348.48666666666668</v>
      </c>
      <c r="BL225" s="449">
        <f>SUM('FY19 Staffing V1-1 (3)'!$Q$122:$R$122,'FY19 Staffing V1-1 (3)'!$T$122:$U$122)/12</f>
        <v>348.48666666666668</v>
      </c>
      <c r="BM225" s="449">
        <f>SUM('FY19 Staffing V1-1 (3)'!$Q$122:$R$122,'FY19 Staffing V1-1 (3)'!$T$122:$U$122)/12</f>
        <v>348.48666666666668</v>
      </c>
      <c r="BN225" s="449">
        <f>SUM('FY19 Staffing V1-1 (3)'!$Q$122:$R$122,'FY19 Staffing V1-1 (3)'!$T$122:$U$122)/12</f>
        <v>348.48666666666668</v>
      </c>
      <c r="BO225" s="449">
        <f>SUM('FY19 Staffing V1-1 (3)'!$Q$122:$R$122,'FY19 Staffing V1-1 (3)'!$T$122:$U$122)/12</f>
        <v>348.48666666666668</v>
      </c>
      <c r="BP225" s="449">
        <f>SUM('FY19 Staffing V1-1 (3)'!$Q$122:$R$122,'FY19 Staffing V1-1 (3)'!$T$122:$U$122)/12</f>
        <v>348.48666666666668</v>
      </c>
      <c r="BQ225" s="449">
        <f>SUM('FY19 Staffing V1-1 (3)'!$Q$122:$R$122,'FY19 Staffing V1-1 (3)'!$T$122:$U$122)/12</f>
        <v>348.48666666666668</v>
      </c>
      <c r="BR225" s="449">
        <f>SUM('FY19 Staffing V1-1 (3)'!$Q$122:$R$122,'FY19 Staffing V1-1 (3)'!$T$122:$U$122)/12</f>
        <v>348.48666666666668</v>
      </c>
      <c r="BS225" s="449">
        <f>SUM('FY19 Staffing V1-1 (3)'!$Q$122:$R$122,'FY19 Staffing V1-1 (3)'!$T$122:$U$122)/12</f>
        <v>348.48666666666668</v>
      </c>
      <c r="BT225" s="449">
        <f>SUM('FY19 Staffing V1-1 (3)'!$Q$122:$R$122,'FY19 Staffing V1-1 (3)'!$T$122:$U$122)/12*2</f>
        <v>696.97333333333336</v>
      </c>
    </row>
    <row r="226" spans="1:72" ht="15" x14ac:dyDescent="0.25">
      <c r="A226" s="502" t="s">
        <v>379</v>
      </c>
      <c r="B226" s="502" t="s">
        <v>380</v>
      </c>
      <c r="C226" s="541"/>
      <c r="D226" s="500">
        <f t="shared" ref="D226:D240" si="230">SUM(L226:W226)</f>
        <v>4171</v>
      </c>
      <c r="E226" s="449">
        <v>4916</v>
      </c>
      <c r="F226" s="449">
        <f t="shared" si="224"/>
        <v>-745</v>
      </c>
      <c r="G226" s="421">
        <f t="shared" ref="G226:G240" si="231">IFERROR(F226/ABS(E226),0)</f>
        <v>-0.1515459723352319</v>
      </c>
      <c r="H226" s="449">
        <v>4171</v>
      </c>
      <c r="I226" s="449">
        <f t="shared" ref="I226:I240" si="232">IFERROR(D226-H226,0)</f>
        <v>0</v>
      </c>
      <c r="J226" s="426">
        <f t="shared" ref="J226:J240" si="233">IFERROR(I226/ABS(H226),0)</f>
        <v>0</v>
      </c>
      <c r="K226" s="421"/>
      <c r="L226" s="449">
        <v>0</v>
      </c>
      <c r="M226" s="449">
        <v>542.71</v>
      </c>
      <c r="N226" s="449">
        <v>357.33999999999992</v>
      </c>
      <c r="O226" s="449">
        <v>362.94000000000005</v>
      </c>
      <c r="P226" s="449">
        <v>235.84999999999991</v>
      </c>
      <c r="Q226" s="449">
        <v>266.88000000000011</v>
      </c>
      <c r="R226" s="449">
        <f>($H226-SUM($L226:Q226))/R$694</f>
        <v>400.87999999999994</v>
      </c>
      <c r="S226" s="449">
        <f>($H226-SUM($L226:R226))/S$694</f>
        <v>400.88</v>
      </c>
      <c r="T226" s="449">
        <f>($H226-SUM($L226:S226))/T$694</f>
        <v>400.88</v>
      </c>
      <c r="U226" s="449">
        <f>($H226-SUM($L226:T226))/U$694</f>
        <v>400.87999999999994</v>
      </c>
      <c r="V226" s="449">
        <f>($H226-SUM($L226:U226))/V$694</f>
        <v>400.87999999999988</v>
      </c>
      <c r="W226" s="449">
        <f>($H226-SUM($L226:V226))/W$694</f>
        <v>400.88000000000011</v>
      </c>
      <c r="X226" s="449"/>
      <c r="Y226" s="449">
        <f t="shared" ref="Y226:Y240" si="234">SUM(L226:W226)</f>
        <v>4171</v>
      </c>
      <c r="Z226" s="531"/>
      <c r="AA226" s="449">
        <f t="shared" si="228"/>
        <v>347.58333333333331</v>
      </c>
      <c r="AB226" s="449">
        <f t="shared" si="228"/>
        <v>347.58333333333331</v>
      </c>
      <c r="AC226" s="449">
        <f t="shared" si="228"/>
        <v>347.58333333333331</v>
      </c>
      <c r="AD226" s="449">
        <f t="shared" si="228"/>
        <v>347.58333333333331</v>
      </c>
      <c r="AE226" s="449">
        <f t="shared" si="228"/>
        <v>347.58333333333331</v>
      </c>
      <c r="AF226" s="449">
        <f t="shared" si="228"/>
        <v>347.58333333333331</v>
      </c>
      <c r="AG226" s="449">
        <f t="shared" si="228"/>
        <v>347.58333333333331</v>
      </c>
      <c r="AH226" s="449">
        <f t="shared" si="228"/>
        <v>347.58333333333331</v>
      </c>
      <c r="AI226" s="449">
        <f t="shared" si="228"/>
        <v>347.58333333333331</v>
      </c>
      <c r="AJ226" s="449">
        <f t="shared" si="228"/>
        <v>347.58333333333331</v>
      </c>
      <c r="AK226" s="449">
        <f t="shared" si="228"/>
        <v>347.58333333333331</v>
      </c>
      <c r="AL226" s="449">
        <f t="shared" si="228"/>
        <v>347.58333333333331</v>
      </c>
      <c r="AN226" s="500">
        <f t="shared" ref="AN226:AN240" si="235">SUM(L226:W226)</f>
        <v>4171</v>
      </c>
      <c r="AO226" s="449">
        <f t="shared" ref="AO226:AO240" si="236">SUM(BI226:BT226)</f>
        <v>4479.7399999999989</v>
      </c>
      <c r="AP226" s="449">
        <f t="shared" si="225"/>
        <v>308.73999999999887</v>
      </c>
      <c r="AQ226" s="453">
        <f t="shared" si="226"/>
        <v>7.4020618556700765E-2</v>
      </c>
      <c r="AR226" s="449">
        <f t="shared" si="210"/>
        <v>4479.7399999999989</v>
      </c>
      <c r="AS226" s="449">
        <f t="shared" si="227"/>
        <v>0</v>
      </c>
      <c r="AT226" s="426">
        <f t="shared" ref="AT226:AT240" si="237">IFERROR(AS226/ABS(AR226),0)</f>
        <v>0</v>
      </c>
      <c r="AU226" s="421"/>
      <c r="AV226" s="449">
        <f t="shared" ref="AV226:AX240" si="238">BI226</f>
        <v>0</v>
      </c>
      <c r="AW226" s="449">
        <f t="shared" si="238"/>
        <v>373.31166666666667</v>
      </c>
      <c r="AX226" s="449">
        <f t="shared" si="238"/>
        <v>373.31166666666667</v>
      </c>
      <c r="AY226" s="449">
        <f t="shared" si="229"/>
        <v>373.31166666666667</v>
      </c>
      <c r="AZ226" s="449">
        <f t="shared" si="229"/>
        <v>373.31166666666667</v>
      </c>
      <c r="BA226" s="449">
        <f t="shared" si="229"/>
        <v>373.31166666666667</v>
      </c>
      <c r="BB226" s="449">
        <f t="shared" si="221"/>
        <v>373.31166666666667</v>
      </c>
      <c r="BC226" s="449">
        <f t="shared" si="221"/>
        <v>373.31166666666667</v>
      </c>
      <c r="BD226" s="449">
        <f t="shared" si="221"/>
        <v>373.31166666666667</v>
      </c>
      <c r="BE226" s="449">
        <f t="shared" si="221"/>
        <v>373.31166666666667</v>
      </c>
      <c r="BF226" s="449">
        <f t="shared" si="221"/>
        <v>373.31166666666667</v>
      </c>
      <c r="BG226" s="449">
        <f t="shared" si="221"/>
        <v>746.62333333333333</v>
      </c>
      <c r="BH226" s="400"/>
      <c r="BI226" s="449">
        <v>0</v>
      </c>
      <c r="BJ226" s="449">
        <f>SUM('FY19 Staffing V1-1 (3)'!$Q$121:$R$121,'FY19 Staffing V1-1 (3)'!$T$121:$U$121)/12</f>
        <v>373.31166666666667</v>
      </c>
      <c r="BK226" s="449">
        <f>SUM('FY19 Staffing V1-1 (3)'!$Q$121:$R$121,'FY19 Staffing V1-1 (3)'!$T$121:$U$121)/12</f>
        <v>373.31166666666667</v>
      </c>
      <c r="BL226" s="449">
        <f>SUM('FY19 Staffing V1-1 (3)'!$Q$121:$R$121,'FY19 Staffing V1-1 (3)'!$T$121:$U$121)/12</f>
        <v>373.31166666666667</v>
      </c>
      <c r="BM226" s="449">
        <f>SUM('FY19 Staffing V1-1 (3)'!$Q$121:$R$121,'FY19 Staffing V1-1 (3)'!$T$121:$U$121)/12</f>
        <v>373.31166666666667</v>
      </c>
      <c r="BN226" s="449">
        <f>SUM('FY19 Staffing V1-1 (3)'!$Q$121:$R$121,'FY19 Staffing V1-1 (3)'!$T$121:$U$121)/12</f>
        <v>373.31166666666667</v>
      </c>
      <c r="BO226" s="449">
        <f>SUM('FY19 Staffing V1-1 (3)'!$Q$121:$R$121,'FY19 Staffing V1-1 (3)'!$T$121:$U$121)/12</f>
        <v>373.31166666666667</v>
      </c>
      <c r="BP226" s="449">
        <f>SUM('FY19 Staffing V1-1 (3)'!$Q$121:$R$121,'FY19 Staffing V1-1 (3)'!$T$121:$U$121)/12</f>
        <v>373.31166666666667</v>
      </c>
      <c r="BQ226" s="449">
        <f>SUM('FY19 Staffing V1-1 (3)'!$Q$121:$R$121,'FY19 Staffing V1-1 (3)'!$T$121:$U$121)/12</f>
        <v>373.31166666666667</v>
      </c>
      <c r="BR226" s="449">
        <f>SUM('FY19 Staffing V1-1 (3)'!$Q$121:$R$121,'FY19 Staffing V1-1 (3)'!$T$121:$U$121)/12</f>
        <v>373.31166666666667</v>
      </c>
      <c r="BS226" s="449">
        <f>SUM('FY19 Staffing V1-1 (3)'!$Q$121:$R$121,'FY19 Staffing V1-1 (3)'!$T$121:$U$121)/12</f>
        <v>373.31166666666667</v>
      </c>
      <c r="BT226" s="449">
        <f>SUM('FY19 Staffing V1-1 (3)'!$Q$121:$R$121,'FY19 Staffing V1-1 (3)'!$T$121:$U$121)/12*2</f>
        <v>746.62333333333333</v>
      </c>
    </row>
    <row r="227" spans="1:72" ht="15" x14ac:dyDescent="0.25">
      <c r="A227" s="502" t="s">
        <v>381</v>
      </c>
      <c r="B227" s="502" t="s">
        <v>382</v>
      </c>
      <c r="C227" s="541"/>
      <c r="D227" s="500">
        <f t="shared" si="230"/>
        <v>5044</v>
      </c>
      <c r="E227" s="449">
        <v>5044</v>
      </c>
      <c r="F227" s="449">
        <f t="shared" si="224"/>
        <v>0</v>
      </c>
      <c r="G227" s="421">
        <f t="shared" si="231"/>
        <v>0</v>
      </c>
      <c r="H227" s="449">
        <v>5044</v>
      </c>
      <c r="I227" s="449">
        <f t="shared" si="232"/>
        <v>0</v>
      </c>
      <c r="J227" s="426">
        <f t="shared" si="233"/>
        <v>0</v>
      </c>
      <c r="K227" s="421"/>
      <c r="L227" s="449">
        <v>26.89</v>
      </c>
      <c r="M227" s="449">
        <v>511.89</v>
      </c>
      <c r="N227" s="449">
        <v>838.15000000000009</v>
      </c>
      <c r="O227" s="449">
        <v>2150.0500000000002</v>
      </c>
      <c r="P227" s="449">
        <v>817.17999999999938</v>
      </c>
      <c r="Q227" s="449">
        <v>567.13000000000011</v>
      </c>
      <c r="R227" s="449">
        <f>($H227-SUM($L227:Q227))/R$694</f>
        <v>22.118333333333339</v>
      </c>
      <c r="S227" s="449">
        <f>($H227-SUM($L227:R227))/S$694</f>
        <v>22.118333333333432</v>
      </c>
      <c r="T227" s="449">
        <f>($H227-SUM($L227:S227))/T$694</f>
        <v>22.118333333333339</v>
      </c>
      <c r="U227" s="449">
        <f>($H227-SUM($L227:T227))/U$694</f>
        <v>22.118333333333187</v>
      </c>
      <c r="V227" s="449">
        <f>($H227-SUM($L227:U227))/V$694</f>
        <v>22.118333333333339</v>
      </c>
      <c r="W227" s="449">
        <f>($H227-SUM($L227:V227))/W$694</f>
        <v>22.118333333333794</v>
      </c>
      <c r="X227" s="449"/>
      <c r="Y227" s="449">
        <f t="shared" si="234"/>
        <v>5044</v>
      </c>
      <c r="Z227" s="531"/>
      <c r="AA227" s="449">
        <f t="shared" si="228"/>
        <v>420.33333333333331</v>
      </c>
      <c r="AB227" s="449">
        <f t="shared" si="228"/>
        <v>420.33333333333331</v>
      </c>
      <c r="AC227" s="449">
        <f t="shared" si="228"/>
        <v>420.33333333333331</v>
      </c>
      <c r="AD227" s="449">
        <f t="shared" si="228"/>
        <v>420.33333333333331</v>
      </c>
      <c r="AE227" s="449">
        <f t="shared" si="228"/>
        <v>420.33333333333331</v>
      </c>
      <c r="AF227" s="449">
        <f t="shared" si="228"/>
        <v>420.33333333333331</v>
      </c>
      <c r="AG227" s="449">
        <f t="shared" si="228"/>
        <v>420.33333333333331</v>
      </c>
      <c r="AH227" s="449">
        <f t="shared" si="228"/>
        <v>420.33333333333331</v>
      </c>
      <c r="AI227" s="449">
        <f t="shared" si="228"/>
        <v>420.33333333333331</v>
      </c>
      <c r="AJ227" s="449">
        <f t="shared" si="228"/>
        <v>420.33333333333331</v>
      </c>
      <c r="AK227" s="449">
        <f t="shared" si="228"/>
        <v>420.33333333333331</v>
      </c>
      <c r="AL227" s="449">
        <f t="shared" si="228"/>
        <v>420.33333333333331</v>
      </c>
      <c r="AN227" s="500">
        <f t="shared" si="235"/>
        <v>5044</v>
      </c>
      <c r="AO227" s="449">
        <f t="shared" si="236"/>
        <v>5108.2850000000008</v>
      </c>
      <c r="AP227" s="449">
        <f t="shared" si="225"/>
        <v>64.285000000000764</v>
      </c>
      <c r="AQ227" s="453">
        <f t="shared" si="226"/>
        <v>1.2744845360824894E-2</v>
      </c>
      <c r="AR227" s="449">
        <f t="shared" si="210"/>
        <v>5108.2850000000008</v>
      </c>
      <c r="AS227" s="449">
        <f t="shared" si="227"/>
        <v>0</v>
      </c>
      <c r="AT227" s="426">
        <f t="shared" si="237"/>
        <v>0</v>
      </c>
      <c r="AU227" s="421"/>
      <c r="AV227" s="449">
        <f t="shared" si="238"/>
        <v>0</v>
      </c>
      <c r="AW227" s="449">
        <f t="shared" si="238"/>
        <v>425.69041666666675</v>
      </c>
      <c r="AX227" s="449">
        <f t="shared" si="238"/>
        <v>425.69041666666675</v>
      </c>
      <c r="AY227" s="449">
        <f t="shared" si="229"/>
        <v>425.69041666666675</v>
      </c>
      <c r="AZ227" s="449">
        <f t="shared" si="229"/>
        <v>425.69041666666675</v>
      </c>
      <c r="BA227" s="449">
        <f t="shared" si="229"/>
        <v>425.69041666666675</v>
      </c>
      <c r="BB227" s="449">
        <f t="shared" si="221"/>
        <v>425.69041666666675</v>
      </c>
      <c r="BC227" s="449">
        <f t="shared" si="221"/>
        <v>425.69041666666675</v>
      </c>
      <c r="BD227" s="449">
        <f t="shared" si="221"/>
        <v>425.69041666666675</v>
      </c>
      <c r="BE227" s="449">
        <f t="shared" si="221"/>
        <v>425.69041666666675</v>
      </c>
      <c r="BF227" s="449">
        <f t="shared" si="221"/>
        <v>425.69041666666675</v>
      </c>
      <c r="BG227" s="449">
        <f t="shared" si="221"/>
        <v>851.3808333333335</v>
      </c>
      <c r="BH227" s="400"/>
      <c r="BI227" s="449">
        <v>0</v>
      </c>
      <c r="BJ227" s="449">
        <f>SUM('FY19 Staffing V1-1 (3)'!$W$122)/12</f>
        <v>425.69041666666675</v>
      </c>
      <c r="BK227" s="449">
        <f>SUM('FY19 Staffing V1-1 (3)'!$W$122)/12</f>
        <v>425.69041666666675</v>
      </c>
      <c r="BL227" s="449">
        <f>SUM('FY19 Staffing V1-1 (3)'!$W$122)/12</f>
        <v>425.69041666666675</v>
      </c>
      <c r="BM227" s="449">
        <f>SUM('FY19 Staffing V1-1 (3)'!$W$122)/12</f>
        <v>425.69041666666675</v>
      </c>
      <c r="BN227" s="449">
        <f>SUM('FY19 Staffing V1-1 (3)'!$W$122)/12</f>
        <v>425.69041666666675</v>
      </c>
      <c r="BO227" s="449">
        <f>SUM('FY19 Staffing V1-1 (3)'!$W$122)/12</f>
        <v>425.69041666666675</v>
      </c>
      <c r="BP227" s="449">
        <f>SUM('FY19 Staffing V1-1 (3)'!$W$122)/12</f>
        <v>425.69041666666675</v>
      </c>
      <c r="BQ227" s="449">
        <f>SUM('FY19 Staffing V1-1 (3)'!$W$122)/12</f>
        <v>425.69041666666675</v>
      </c>
      <c r="BR227" s="449">
        <f>SUM('FY19 Staffing V1-1 (3)'!$W$122)/12</f>
        <v>425.69041666666675</v>
      </c>
      <c r="BS227" s="449">
        <f>SUM('FY19 Staffing V1-1 (3)'!$W$122)/12</f>
        <v>425.69041666666675</v>
      </c>
      <c r="BT227" s="449">
        <f>SUM('FY19 Staffing V1-1 (3)'!$W$122)/12*2</f>
        <v>851.3808333333335</v>
      </c>
    </row>
    <row r="228" spans="1:72" ht="15" hidden="1" x14ac:dyDescent="0.25">
      <c r="A228" s="502" t="s">
        <v>383</v>
      </c>
      <c r="B228" s="502" t="s">
        <v>384</v>
      </c>
      <c r="C228" s="541"/>
      <c r="D228" s="500">
        <f t="shared" si="230"/>
        <v>0</v>
      </c>
      <c r="E228" s="449">
        <v>0</v>
      </c>
      <c r="F228" s="449">
        <f t="shared" si="224"/>
        <v>0</v>
      </c>
      <c r="G228" s="421">
        <f t="shared" si="231"/>
        <v>0</v>
      </c>
      <c r="H228" s="449">
        <v>0</v>
      </c>
      <c r="I228" s="449">
        <f t="shared" si="232"/>
        <v>0</v>
      </c>
      <c r="J228" s="426">
        <f t="shared" si="233"/>
        <v>0</v>
      </c>
      <c r="K228" s="421"/>
      <c r="L228" s="449">
        <v>0</v>
      </c>
      <c r="M228" s="449">
        <v>0</v>
      </c>
      <c r="N228" s="449">
        <v>0</v>
      </c>
      <c r="O228" s="449">
        <v>0</v>
      </c>
      <c r="P228" s="449">
        <v>0</v>
      </c>
      <c r="Q228" s="449">
        <v>0</v>
      </c>
      <c r="R228" s="449">
        <f>($H228-SUM($L228:Q228))/R$694</f>
        <v>0</v>
      </c>
      <c r="S228" s="449">
        <f>($H228-SUM($L228:R228))/S$694</f>
        <v>0</v>
      </c>
      <c r="T228" s="449">
        <f>($H228-SUM($L228:S228))/T$694</f>
        <v>0</v>
      </c>
      <c r="U228" s="449">
        <f>($H228-SUM($L228:T228))/U$694</f>
        <v>0</v>
      </c>
      <c r="V228" s="449">
        <f>($H228-SUM($L228:U228))/V$694</f>
        <v>0</v>
      </c>
      <c r="W228" s="449">
        <f>($H228-SUM($L228:V228))/W$694</f>
        <v>0</v>
      </c>
      <c r="X228" s="449"/>
      <c r="Y228" s="449">
        <f t="shared" si="234"/>
        <v>0</v>
      </c>
      <c r="Z228" s="531"/>
      <c r="AA228" s="449">
        <f t="shared" si="228"/>
        <v>0</v>
      </c>
      <c r="AB228" s="449">
        <f t="shared" si="228"/>
        <v>0</v>
      </c>
      <c r="AC228" s="449">
        <f t="shared" si="228"/>
        <v>0</v>
      </c>
      <c r="AD228" s="449">
        <f t="shared" si="228"/>
        <v>0</v>
      </c>
      <c r="AE228" s="449">
        <f t="shared" si="228"/>
        <v>0</v>
      </c>
      <c r="AF228" s="449">
        <f t="shared" si="228"/>
        <v>0</v>
      </c>
      <c r="AG228" s="449">
        <f t="shared" si="228"/>
        <v>0</v>
      </c>
      <c r="AH228" s="449">
        <f t="shared" si="228"/>
        <v>0</v>
      </c>
      <c r="AI228" s="449">
        <f t="shared" si="228"/>
        <v>0</v>
      </c>
      <c r="AJ228" s="449">
        <f t="shared" si="228"/>
        <v>0</v>
      </c>
      <c r="AK228" s="449">
        <f t="shared" si="228"/>
        <v>0</v>
      </c>
      <c r="AL228" s="449">
        <f t="shared" si="228"/>
        <v>0</v>
      </c>
      <c r="AN228" s="500">
        <f t="shared" si="235"/>
        <v>0</v>
      </c>
      <c r="AO228" s="449">
        <f t="shared" si="236"/>
        <v>0</v>
      </c>
      <c r="AP228" s="449">
        <f t="shared" si="225"/>
        <v>0</v>
      </c>
      <c r="AQ228" s="453" t="str">
        <f t="shared" si="226"/>
        <v>-</v>
      </c>
      <c r="AR228" s="449">
        <f t="shared" si="210"/>
        <v>0</v>
      </c>
      <c r="AS228" s="449">
        <f t="shared" si="227"/>
        <v>0</v>
      </c>
      <c r="AT228" s="426">
        <f t="shared" si="237"/>
        <v>0</v>
      </c>
      <c r="AU228" s="421"/>
      <c r="AV228" s="449">
        <f t="shared" si="238"/>
        <v>0</v>
      </c>
      <c r="AW228" s="449">
        <f t="shared" si="238"/>
        <v>0</v>
      </c>
      <c r="AX228" s="449">
        <f t="shared" si="238"/>
        <v>0</v>
      </c>
      <c r="AY228" s="449">
        <f t="shared" si="229"/>
        <v>0</v>
      </c>
      <c r="AZ228" s="449">
        <f t="shared" si="229"/>
        <v>0</v>
      </c>
      <c r="BA228" s="449">
        <f t="shared" si="229"/>
        <v>0</v>
      </c>
      <c r="BB228" s="449">
        <f t="shared" si="221"/>
        <v>0</v>
      </c>
      <c r="BC228" s="449">
        <f t="shared" si="221"/>
        <v>0</v>
      </c>
      <c r="BD228" s="449">
        <f t="shared" si="221"/>
        <v>0</v>
      </c>
      <c r="BE228" s="449">
        <f t="shared" si="221"/>
        <v>0</v>
      </c>
      <c r="BF228" s="449">
        <f t="shared" si="221"/>
        <v>0</v>
      </c>
      <c r="BG228" s="449">
        <f t="shared" si="221"/>
        <v>0</v>
      </c>
      <c r="BH228" s="400"/>
      <c r="BI228" s="449">
        <v>0</v>
      </c>
      <c r="BJ228" s="449">
        <v>0</v>
      </c>
      <c r="BK228" s="449">
        <v>0</v>
      </c>
      <c r="BL228" s="449">
        <v>0</v>
      </c>
      <c r="BM228" s="449">
        <v>0</v>
      </c>
      <c r="BN228" s="449">
        <v>0</v>
      </c>
      <c r="BO228" s="449">
        <v>0</v>
      </c>
      <c r="BP228" s="449">
        <v>0</v>
      </c>
      <c r="BQ228" s="449">
        <v>0</v>
      </c>
      <c r="BR228" s="449">
        <v>0</v>
      </c>
      <c r="BS228" s="449">
        <v>0</v>
      </c>
      <c r="BT228" s="449">
        <v>0</v>
      </c>
    </row>
    <row r="229" spans="1:72" ht="15" hidden="1" x14ac:dyDescent="0.25">
      <c r="A229" s="502" t="s">
        <v>385</v>
      </c>
      <c r="B229" s="502" t="s">
        <v>386</v>
      </c>
      <c r="C229" s="541"/>
      <c r="D229" s="500">
        <f t="shared" si="230"/>
        <v>0</v>
      </c>
      <c r="E229" s="449">
        <v>0</v>
      </c>
      <c r="F229" s="449">
        <f t="shared" si="224"/>
        <v>0</v>
      </c>
      <c r="G229" s="421">
        <f t="shared" si="231"/>
        <v>0</v>
      </c>
      <c r="H229" s="449">
        <v>0</v>
      </c>
      <c r="I229" s="449">
        <f t="shared" si="232"/>
        <v>0</v>
      </c>
      <c r="J229" s="426">
        <f t="shared" si="233"/>
        <v>0</v>
      </c>
      <c r="K229" s="421"/>
      <c r="L229" s="449">
        <v>0</v>
      </c>
      <c r="M229" s="449">
        <v>0</v>
      </c>
      <c r="N229" s="449">
        <v>0</v>
      </c>
      <c r="O229" s="449">
        <v>0</v>
      </c>
      <c r="P229" s="449">
        <v>0</v>
      </c>
      <c r="Q229" s="449">
        <v>0</v>
      </c>
      <c r="R229" s="449">
        <f>($H229-SUM($L229:Q229))/R$694</f>
        <v>0</v>
      </c>
      <c r="S229" s="449">
        <f>($H229-SUM($L229:R229))/S$694</f>
        <v>0</v>
      </c>
      <c r="T229" s="449">
        <f>($H229-SUM($L229:S229))/T$694</f>
        <v>0</v>
      </c>
      <c r="U229" s="449">
        <f>($H229-SUM($L229:T229))/U$694</f>
        <v>0</v>
      </c>
      <c r="V229" s="449">
        <f>($H229-SUM($L229:U229))/V$694</f>
        <v>0</v>
      </c>
      <c r="W229" s="449">
        <f>($H229-SUM($L229:V229))/W$694</f>
        <v>0</v>
      </c>
      <c r="X229" s="449"/>
      <c r="Y229" s="449">
        <f t="shared" si="234"/>
        <v>0</v>
      </c>
      <c r="Z229" s="531"/>
      <c r="AA229" s="449">
        <f t="shared" si="228"/>
        <v>0</v>
      </c>
      <c r="AB229" s="449">
        <f t="shared" si="228"/>
        <v>0</v>
      </c>
      <c r="AC229" s="449">
        <f t="shared" si="228"/>
        <v>0</v>
      </c>
      <c r="AD229" s="449">
        <f t="shared" si="228"/>
        <v>0</v>
      </c>
      <c r="AE229" s="449">
        <f t="shared" si="228"/>
        <v>0</v>
      </c>
      <c r="AF229" s="449">
        <f t="shared" si="228"/>
        <v>0</v>
      </c>
      <c r="AG229" s="449">
        <f t="shared" si="228"/>
        <v>0</v>
      </c>
      <c r="AH229" s="449">
        <f t="shared" si="228"/>
        <v>0</v>
      </c>
      <c r="AI229" s="449">
        <f t="shared" si="228"/>
        <v>0</v>
      </c>
      <c r="AJ229" s="449">
        <f t="shared" si="228"/>
        <v>0</v>
      </c>
      <c r="AK229" s="449">
        <f t="shared" si="228"/>
        <v>0</v>
      </c>
      <c r="AL229" s="449">
        <f t="shared" si="228"/>
        <v>0</v>
      </c>
      <c r="AN229" s="500">
        <f t="shared" si="235"/>
        <v>0</v>
      </c>
      <c r="AO229" s="449">
        <f t="shared" si="236"/>
        <v>0</v>
      </c>
      <c r="AP229" s="449">
        <f t="shared" si="225"/>
        <v>0</v>
      </c>
      <c r="AQ229" s="453" t="str">
        <f t="shared" si="226"/>
        <v>-</v>
      </c>
      <c r="AR229" s="449">
        <f t="shared" si="210"/>
        <v>0</v>
      </c>
      <c r="AS229" s="449">
        <f t="shared" si="227"/>
        <v>0</v>
      </c>
      <c r="AT229" s="426">
        <f t="shared" si="237"/>
        <v>0</v>
      </c>
      <c r="AU229" s="421"/>
      <c r="AV229" s="449">
        <f t="shared" si="238"/>
        <v>0</v>
      </c>
      <c r="AW229" s="449">
        <f t="shared" si="238"/>
        <v>0</v>
      </c>
      <c r="AX229" s="449">
        <f t="shared" si="238"/>
        <v>0</v>
      </c>
      <c r="AY229" s="449">
        <f t="shared" si="229"/>
        <v>0</v>
      </c>
      <c r="AZ229" s="449">
        <f t="shared" si="229"/>
        <v>0</v>
      </c>
      <c r="BA229" s="449">
        <f t="shared" si="229"/>
        <v>0</v>
      </c>
      <c r="BB229" s="449">
        <f t="shared" si="221"/>
        <v>0</v>
      </c>
      <c r="BC229" s="449">
        <f t="shared" si="221"/>
        <v>0</v>
      </c>
      <c r="BD229" s="449">
        <f t="shared" si="221"/>
        <v>0</v>
      </c>
      <c r="BE229" s="449">
        <f t="shared" si="221"/>
        <v>0</v>
      </c>
      <c r="BF229" s="449">
        <f t="shared" si="221"/>
        <v>0</v>
      </c>
      <c r="BG229" s="449">
        <f t="shared" si="221"/>
        <v>0</v>
      </c>
      <c r="BH229" s="400"/>
      <c r="BI229" s="449">
        <v>0</v>
      </c>
      <c r="BJ229" s="449">
        <v>0</v>
      </c>
      <c r="BK229" s="449">
        <v>0</v>
      </c>
      <c r="BL229" s="449">
        <v>0</v>
      </c>
      <c r="BM229" s="449">
        <v>0</v>
      </c>
      <c r="BN229" s="449">
        <v>0</v>
      </c>
      <c r="BO229" s="449">
        <v>0</v>
      </c>
      <c r="BP229" s="449">
        <v>0</v>
      </c>
      <c r="BQ229" s="449">
        <v>0</v>
      </c>
      <c r="BR229" s="449">
        <v>0</v>
      </c>
      <c r="BS229" s="449">
        <v>0</v>
      </c>
      <c r="BT229" s="449">
        <v>0</v>
      </c>
    </row>
    <row r="230" spans="1:72" ht="15" x14ac:dyDescent="0.25">
      <c r="A230" s="502" t="s">
        <v>387</v>
      </c>
      <c r="B230" s="502" t="s">
        <v>388</v>
      </c>
      <c r="C230" s="541"/>
      <c r="D230" s="500">
        <f t="shared" si="230"/>
        <v>5044</v>
      </c>
      <c r="E230" s="449">
        <v>5885</v>
      </c>
      <c r="F230" s="449">
        <f t="shared" si="224"/>
        <v>-841</v>
      </c>
      <c r="G230" s="421">
        <f t="shared" si="231"/>
        <v>-0.14290569243840273</v>
      </c>
      <c r="H230" s="449">
        <v>5044</v>
      </c>
      <c r="I230" s="449">
        <f t="shared" si="232"/>
        <v>0</v>
      </c>
      <c r="J230" s="426">
        <f t="shared" si="233"/>
        <v>0</v>
      </c>
      <c r="K230" s="421"/>
      <c r="L230" s="449">
        <v>0</v>
      </c>
      <c r="M230" s="449">
        <v>0</v>
      </c>
      <c r="N230" s="449">
        <v>0</v>
      </c>
      <c r="O230" s="449">
        <v>1875.87</v>
      </c>
      <c r="P230" s="449">
        <v>607.82999999999993</v>
      </c>
      <c r="Q230" s="449">
        <v>511.39000000000033</v>
      </c>
      <c r="R230" s="449">
        <f>($H230-SUM($L230:Q230))/R$694</f>
        <v>341.48499999999996</v>
      </c>
      <c r="S230" s="449">
        <f>($H230-SUM($L230:R230))/S$694</f>
        <v>341.48499999999996</v>
      </c>
      <c r="T230" s="449">
        <f>($H230-SUM($L230:S230))/T$694</f>
        <v>341.4849999999999</v>
      </c>
      <c r="U230" s="449">
        <f>($H230-SUM($L230:T230))/U$694</f>
        <v>341.48499999999996</v>
      </c>
      <c r="V230" s="449">
        <f>($H230-SUM($L230:U230))/V$694</f>
        <v>341.48500000000013</v>
      </c>
      <c r="W230" s="449">
        <f>($H230-SUM($L230:V230))/W$694</f>
        <v>341.48500000000058</v>
      </c>
      <c r="X230" s="449"/>
      <c r="Y230" s="449">
        <f t="shared" si="234"/>
        <v>5044</v>
      </c>
      <c r="Z230" s="531"/>
      <c r="AA230" s="449">
        <f t="shared" ref="AA230:AL240" si="239">IFERROR($H230/12,0)</f>
        <v>420.33333333333331</v>
      </c>
      <c r="AB230" s="449">
        <f t="shared" si="239"/>
        <v>420.33333333333331</v>
      </c>
      <c r="AC230" s="449">
        <f t="shared" si="239"/>
        <v>420.33333333333331</v>
      </c>
      <c r="AD230" s="449">
        <f t="shared" si="239"/>
        <v>420.33333333333331</v>
      </c>
      <c r="AE230" s="449">
        <f t="shared" si="239"/>
        <v>420.33333333333331</v>
      </c>
      <c r="AF230" s="449">
        <f t="shared" si="239"/>
        <v>420.33333333333331</v>
      </c>
      <c r="AG230" s="449">
        <f t="shared" si="239"/>
        <v>420.33333333333331</v>
      </c>
      <c r="AH230" s="449">
        <f t="shared" si="239"/>
        <v>420.33333333333331</v>
      </c>
      <c r="AI230" s="449">
        <f t="shared" si="239"/>
        <v>420.33333333333331</v>
      </c>
      <c r="AJ230" s="449">
        <f t="shared" si="239"/>
        <v>420.33333333333331</v>
      </c>
      <c r="AK230" s="449">
        <f t="shared" si="239"/>
        <v>420.33333333333331</v>
      </c>
      <c r="AL230" s="449">
        <f t="shared" si="239"/>
        <v>420.33333333333331</v>
      </c>
      <c r="AN230" s="500">
        <f t="shared" si="235"/>
        <v>5044</v>
      </c>
      <c r="AO230" s="449">
        <f t="shared" si="236"/>
        <v>5702.5310081600019</v>
      </c>
      <c r="AP230" s="449">
        <f t="shared" si="225"/>
        <v>658.53100816000187</v>
      </c>
      <c r="AQ230" s="453">
        <f t="shared" si="226"/>
        <v>0.13055729741475058</v>
      </c>
      <c r="AR230" s="449">
        <f t="shared" si="210"/>
        <v>5702.5310081600019</v>
      </c>
      <c r="AS230" s="449">
        <f t="shared" si="227"/>
        <v>0</v>
      </c>
      <c r="AT230" s="426">
        <f t="shared" si="237"/>
        <v>0</v>
      </c>
      <c r="AU230" s="421"/>
      <c r="AV230" s="449">
        <f t="shared" si="238"/>
        <v>0</v>
      </c>
      <c r="AW230" s="449">
        <f t="shared" si="238"/>
        <v>475.21091734666675</v>
      </c>
      <c r="AX230" s="449">
        <f t="shared" si="238"/>
        <v>475.21091734666675</v>
      </c>
      <c r="AY230" s="449">
        <f t="shared" si="229"/>
        <v>475.21091734666675</v>
      </c>
      <c r="AZ230" s="449">
        <f t="shared" si="229"/>
        <v>475.21091734666675</v>
      </c>
      <c r="BA230" s="449">
        <f t="shared" si="229"/>
        <v>475.21091734666675</v>
      </c>
      <c r="BB230" s="449">
        <f t="shared" si="221"/>
        <v>475.21091734666675</v>
      </c>
      <c r="BC230" s="449">
        <f t="shared" si="221"/>
        <v>475.21091734666675</v>
      </c>
      <c r="BD230" s="449">
        <f t="shared" si="221"/>
        <v>475.21091734666675</v>
      </c>
      <c r="BE230" s="449">
        <f t="shared" si="221"/>
        <v>475.21091734666675</v>
      </c>
      <c r="BF230" s="449">
        <f t="shared" si="221"/>
        <v>475.21091734666675</v>
      </c>
      <c r="BG230" s="449">
        <f t="shared" si="221"/>
        <v>950.42183469333349</v>
      </c>
      <c r="BH230" s="400"/>
      <c r="BI230" s="449">
        <v>0</v>
      </c>
      <c r="BJ230" s="449">
        <f>SUM('FY19 Staffing V1-1 (3)'!$W$121)/12</f>
        <v>475.21091734666675</v>
      </c>
      <c r="BK230" s="449">
        <f>SUM('FY19 Staffing V1-1 (3)'!$W$121)/12</f>
        <v>475.21091734666675</v>
      </c>
      <c r="BL230" s="449">
        <f>SUM('FY19 Staffing V1-1 (3)'!$W$121)/12</f>
        <v>475.21091734666675</v>
      </c>
      <c r="BM230" s="449">
        <f>SUM('FY19 Staffing V1-1 (3)'!$W$121)/12</f>
        <v>475.21091734666675</v>
      </c>
      <c r="BN230" s="449">
        <f>SUM('FY19 Staffing V1-1 (3)'!$W$121)/12</f>
        <v>475.21091734666675</v>
      </c>
      <c r="BO230" s="449">
        <f>SUM('FY19 Staffing V1-1 (3)'!$W$121)/12</f>
        <v>475.21091734666675</v>
      </c>
      <c r="BP230" s="449">
        <f>SUM('FY19 Staffing V1-1 (3)'!$W$121)/12</f>
        <v>475.21091734666675</v>
      </c>
      <c r="BQ230" s="449">
        <f>SUM('FY19 Staffing V1-1 (3)'!$W$121)/12</f>
        <v>475.21091734666675</v>
      </c>
      <c r="BR230" s="449">
        <f>SUM('FY19 Staffing V1-1 (3)'!$W$121)/12</f>
        <v>475.21091734666675</v>
      </c>
      <c r="BS230" s="449">
        <f>SUM('FY19 Staffing V1-1 (3)'!$W$121)/12</f>
        <v>475.21091734666675</v>
      </c>
      <c r="BT230" s="449">
        <f>SUM('FY19 Staffing V1-1 (3)'!$W$121)/12*2</f>
        <v>950.42183469333349</v>
      </c>
    </row>
    <row r="231" spans="1:72" ht="15" customHeight="1" x14ac:dyDescent="0.25">
      <c r="A231" s="502" t="s">
        <v>389</v>
      </c>
      <c r="B231" s="502" t="s">
        <v>390</v>
      </c>
      <c r="C231" s="541"/>
      <c r="D231" s="500">
        <f t="shared" si="230"/>
        <v>1300</v>
      </c>
      <c r="E231" s="449">
        <v>1450</v>
      </c>
      <c r="F231" s="449">
        <f t="shared" si="224"/>
        <v>-150</v>
      </c>
      <c r="G231" s="421">
        <f t="shared" si="231"/>
        <v>-0.10344827586206896</v>
      </c>
      <c r="H231" s="449">
        <v>1300</v>
      </c>
      <c r="I231" s="449">
        <f t="shared" si="232"/>
        <v>0</v>
      </c>
      <c r="J231" s="426">
        <f t="shared" si="233"/>
        <v>0</v>
      </c>
      <c r="K231" s="421"/>
      <c r="L231" s="449">
        <v>0</v>
      </c>
      <c r="M231" s="449">
        <v>120</v>
      </c>
      <c r="N231" s="449">
        <v>105</v>
      </c>
      <c r="O231" s="449">
        <v>220</v>
      </c>
      <c r="P231" s="449">
        <v>100</v>
      </c>
      <c r="Q231" s="449">
        <v>125</v>
      </c>
      <c r="R231" s="449">
        <f>($H231-SUM($L231:Q231))/R$694</f>
        <v>105</v>
      </c>
      <c r="S231" s="449">
        <f>($H231-SUM($L231:R231))/S$694</f>
        <v>105</v>
      </c>
      <c r="T231" s="449">
        <f>($H231-SUM($L231:S231))/T$694</f>
        <v>105</v>
      </c>
      <c r="U231" s="449">
        <f>($H231-SUM($L231:T231))/U$694</f>
        <v>105</v>
      </c>
      <c r="V231" s="449">
        <f>($H231-SUM($L231:U231))/V$694</f>
        <v>105</v>
      </c>
      <c r="W231" s="449">
        <f>($H231-SUM($L231:V231))/W$694</f>
        <v>105</v>
      </c>
      <c r="X231" s="449"/>
      <c r="Y231" s="449">
        <f t="shared" si="234"/>
        <v>1300</v>
      </c>
      <c r="Z231" s="531"/>
      <c r="AA231" s="449">
        <f t="shared" si="239"/>
        <v>108.33333333333333</v>
      </c>
      <c r="AB231" s="449">
        <f t="shared" si="239"/>
        <v>108.33333333333333</v>
      </c>
      <c r="AC231" s="449">
        <f t="shared" si="239"/>
        <v>108.33333333333333</v>
      </c>
      <c r="AD231" s="449">
        <f t="shared" si="239"/>
        <v>108.33333333333333</v>
      </c>
      <c r="AE231" s="449">
        <f t="shared" si="239"/>
        <v>108.33333333333333</v>
      </c>
      <c r="AF231" s="449">
        <f t="shared" si="239"/>
        <v>108.33333333333333</v>
      </c>
      <c r="AG231" s="449">
        <f t="shared" si="239"/>
        <v>108.33333333333333</v>
      </c>
      <c r="AH231" s="449">
        <f t="shared" si="239"/>
        <v>108.33333333333333</v>
      </c>
      <c r="AI231" s="449">
        <f t="shared" si="239"/>
        <v>108.33333333333333</v>
      </c>
      <c r="AJ231" s="449">
        <f t="shared" si="239"/>
        <v>108.33333333333333</v>
      </c>
      <c r="AK231" s="449">
        <f t="shared" si="239"/>
        <v>108.33333333333333</v>
      </c>
      <c r="AL231" s="449">
        <f t="shared" si="239"/>
        <v>108.33333333333333</v>
      </c>
      <c r="AN231" s="500">
        <f t="shared" si="235"/>
        <v>1300</v>
      </c>
      <c r="AO231" s="449">
        <f t="shared" si="236"/>
        <v>1339.0000000000002</v>
      </c>
      <c r="AP231" s="449">
        <f t="shared" si="225"/>
        <v>39.000000000000227</v>
      </c>
      <c r="AQ231" s="453">
        <f t="shared" si="226"/>
        <v>3.0000000000000176E-2</v>
      </c>
      <c r="AR231" s="449">
        <f t="shared" si="210"/>
        <v>1339.0000000000002</v>
      </c>
      <c r="AS231" s="449">
        <f t="shared" si="227"/>
        <v>0</v>
      </c>
      <c r="AT231" s="426">
        <f t="shared" si="237"/>
        <v>0</v>
      </c>
      <c r="AU231" s="421"/>
      <c r="AV231" s="449">
        <f t="shared" si="238"/>
        <v>0</v>
      </c>
      <c r="AW231" s="449">
        <f t="shared" si="238"/>
        <v>111.58333333333333</v>
      </c>
      <c r="AX231" s="449">
        <f t="shared" si="238"/>
        <v>111.58333333333333</v>
      </c>
      <c r="AY231" s="449">
        <f t="shared" si="229"/>
        <v>111.58333333333333</v>
      </c>
      <c r="AZ231" s="449">
        <f t="shared" si="229"/>
        <v>111.58333333333333</v>
      </c>
      <c r="BA231" s="449">
        <f t="shared" si="229"/>
        <v>111.58333333333333</v>
      </c>
      <c r="BB231" s="449">
        <f t="shared" si="221"/>
        <v>111.58333333333333</v>
      </c>
      <c r="BC231" s="449">
        <f t="shared" si="221"/>
        <v>111.58333333333333</v>
      </c>
      <c r="BD231" s="449">
        <f t="shared" si="221"/>
        <v>111.58333333333333</v>
      </c>
      <c r="BE231" s="449">
        <f t="shared" si="221"/>
        <v>111.58333333333333</v>
      </c>
      <c r="BF231" s="449">
        <f t="shared" si="221"/>
        <v>111.58333333333333</v>
      </c>
      <c r="BG231" s="449">
        <f t="shared" si="221"/>
        <v>223.16666666666666</v>
      </c>
      <c r="BH231" s="400"/>
      <c r="BI231" s="449">
        <v>0</v>
      </c>
      <c r="BJ231" s="449">
        <f>SUM('FY19 Staffing V1-1 (3)'!$S$122)/12</f>
        <v>111.58333333333333</v>
      </c>
      <c r="BK231" s="449">
        <f>SUM('FY19 Staffing V1-1 (3)'!$S$122)/12</f>
        <v>111.58333333333333</v>
      </c>
      <c r="BL231" s="449">
        <f>SUM('FY19 Staffing V1-1 (3)'!$S$122)/12</f>
        <v>111.58333333333333</v>
      </c>
      <c r="BM231" s="449">
        <f>SUM('FY19 Staffing V1-1 (3)'!$S$122)/12</f>
        <v>111.58333333333333</v>
      </c>
      <c r="BN231" s="449">
        <f>SUM('FY19 Staffing V1-1 (3)'!$S$122)/12</f>
        <v>111.58333333333333</v>
      </c>
      <c r="BO231" s="449">
        <f>SUM('FY19 Staffing V1-1 (3)'!$S$122)/12</f>
        <v>111.58333333333333</v>
      </c>
      <c r="BP231" s="449">
        <f>SUM('FY19 Staffing V1-1 (3)'!$S$122)/12</f>
        <v>111.58333333333333</v>
      </c>
      <c r="BQ231" s="449">
        <f>SUM('FY19 Staffing V1-1 (3)'!$S$122)/12</f>
        <v>111.58333333333333</v>
      </c>
      <c r="BR231" s="449">
        <f>SUM('FY19 Staffing V1-1 (3)'!$S$122)/12</f>
        <v>111.58333333333333</v>
      </c>
      <c r="BS231" s="449">
        <f>SUM('FY19 Staffing V1-1 (3)'!$S$122)/12</f>
        <v>111.58333333333333</v>
      </c>
      <c r="BT231" s="449">
        <f>SUM('FY19 Staffing V1-1 (3)'!$S$122)/12*2</f>
        <v>223.16666666666666</v>
      </c>
    </row>
    <row r="232" spans="1:72" ht="15" customHeight="1" x14ac:dyDescent="0.25">
      <c r="A232" s="502" t="s">
        <v>391</v>
      </c>
      <c r="B232" s="502" t="s">
        <v>392</v>
      </c>
      <c r="C232" s="541"/>
      <c r="D232" s="500">
        <f t="shared" si="230"/>
        <v>1451</v>
      </c>
      <c r="E232" s="449">
        <v>1693</v>
      </c>
      <c r="F232" s="449">
        <f t="shared" si="224"/>
        <v>-242</v>
      </c>
      <c r="G232" s="421">
        <f t="shared" si="231"/>
        <v>-0.14294152392203188</v>
      </c>
      <c r="H232" s="449">
        <v>1451</v>
      </c>
      <c r="I232" s="449">
        <f t="shared" si="232"/>
        <v>0</v>
      </c>
      <c r="J232" s="426">
        <f t="shared" si="233"/>
        <v>0</v>
      </c>
      <c r="K232" s="421"/>
      <c r="L232" s="449">
        <v>0</v>
      </c>
      <c r="M232" s="449">
        <v>133.97</v>
      </c>
      <c r="N232" s="449">
        <v>117.22</v>
      </c>
      <c r="O232" s="449">
        <v>111.63999999999999</v>
      </c>
      <c r="P232" s="449">
        <v>111.64000000000004</v>
      </c>
      <c r="Q232" s="449">
        <v>139.54999999999995</v>
      </c>
      <c r="R232" s="449">
        <f>($H232-SUM($L232:Q232))/R$694</f>
        <v>139.49666666666667</v>
      </c>
      <c r="S232" s="449">
        <f>($H232-SUM($L232:R232))/S$694</f>
        <v>139.49666666666667</v>
      </c>
      <c r="T232" s="449">
        <f>($H232-SUM($L232:S232))/T$694</f>
        <v>139.49666666666667</v>
      </c>
      <c r="U232" s="449">
        <f>($H232-SUM($L232:T232))/U$694</f>
        <v>139.49666666666667</v>
      </c>
      <c r="V232" s="449">
        <f>($H232-SUM($L232:U232))/V$694</f>
        <v>139.49666666666667</v>
      </c>
      <c r="W232" s="449">
        <f>($H232-SUM($L232:V232))/W$694</f>
        <v>139.49666666666667</v>
      </c>
      <c r="X232" s="449"/>
      <c r="Y232" s="449">
        <f t="shared" si="234"/>
        <v>1451</v>
      </c>
      <c r="Z232" s="531"/>
      <c r="AA232" s="449">
        <f t="shared" si="239"/>
        <v>120.91666666666667</v>
      </c>
      <c r="AB232" s="449">
        <f t="shared" si="239"/>
        <v>120.91666666666667</v>
      </c>
      <c r="AC232" s="449">
        <f t="shared" si="239"/>
        <v>120.91666666666667</v>
      </c>
      <c r="AD232" s="449">
        <f t="shared" si="239"/>
        <v>120.91666666666667</v>
      </c>
      <c r="AE232" s="449">
        <f t="shared" si="239"/>
        <v>120.91666666666667</v>
      </c>
      <c r="AF232" s="449">
        <f t="shared" si="239"/>
        <v>120.91666666666667</v>
      </c>
      <c r="AG232" s="449">
        <f t="shared" si="239"/>
        <v>120.91666666666667</v>
      </c>
      <c r="AH232" s="449">
        <f t="shared" si="239"/>
        <v>120.91666666666667</v>
      </c>
      <c r="AI232" s="449">
        <f t="shared" si="239"/>
        <v>120.91666666666667</v>
      </c>
      <c r="AJ232" s="449">
        <f t="shared" si="239"/>
        <v>120.91666666666667</v>
      </c>
      <c r="AK232" s="449">
        <f t="shared" si="239"/>
        <v>120.91666666666667</v>
      </c>
      <c r="AL232" s="449">
        <f t="shared" si="239"/>
        <v>120.91666666666667</v>
      </c>
      <c r="AN232" s="500">
        <f t="shared" si="235"/>
        <v>1451</v>
      </c>
      <c r="AO232" s="449">
        <f t="shared" si="236"/>
        <v>1494.7699999999998</v>
      </c>
      <c r="AP232" s="449">
        <f t="shared" si="225"/>
        <v>43.769999999999754</v>
      </c>
      <c r="AQ232" s="453">
        <f t="shared" si="226"/>
        <v>3.016540317022726E-2</v>
      </c>
      <c r="AR232" s="449">
        <f t="shared" si="210"/>
        <v>1494.7699999999998</v>
      </c>
      <c r="AS232" s="449">
        <f t="shared" si="227"/>
        <v>0</v>
      </c>
      <c r="AT232" s="426">
        <f t="shared" si="237"/>
        <v>0</v>
      </c>
      <c r="AU232" s="421"/>
      <c r="AV232" s="449">
        <f t="shared" si="238"/>
        <v>0</v>
      </c>
      <c r="AW232" s="449">
        <f t="shared" si="238"/>
        <v>124.56416666666667</v>
      </c>
      <c r="AX232" s="449">
        <f t="shared" si="238"/>
        <v>124.56416666666667</v>
      </c>
      <c r="AY232" s="449">
        <f t="shared" si="229"/>
        <v>124.56416666666667</v>
      </c>
      <c r="AZ232" s="449">
        <f t="shared" si="229"/>
        <v>124.56416666666667</v>
      </c>
      <c r="BA232" s="449">
        <f t="shared" si="229"/>
        <v>124.56416666666667</v>
      </c>
      <c r="BB232" s="449">
        <f t="shared" si="221"/>
        <v>124.56416666666667</v>
      </c>
      <c r="BC232" s="449">
        <f t="shared" si="221"/>
        <v>124.56416666666667</v>
      </c>
      <c r="BD232" s="449">
        <f t="shared" si="221"/>
        <v>124.56416666666667</v>
      </c>
      <c r="BE232" s="449">
        <f t="shared" si="221"/>
        <v>124.56416666666667</v>
      </c>
      <c r="BF232" s="449">
        <f t="shared" si="221"/>
        <v>124.56416666666667</v>
      </c>
      <c r="BG232" s="449">
        <f t="shared" si="221"/>
        <v>249.12833333333333</v>
      </c>
      <c r="BH232" s="400"/>
      <c r="BI232" s="449">
        <v>0</v>
      </c>
      <c r="BJ232" s="449">
        <f>SUM('FY19 Staffing V1-1 (3)'!$S$121)/12</f>
        <v>124.56416666666667</v>
      </c>
      <c r="BK232" s="449">
        <f>SUM('FY19 Staffing V1-1 (3)'!$S$121)/12</f>
        <v>124.56416666666667</v>
      </c>
      <c r="BL232" s="449">
        <f>SUM('FY19 Staffing V1-1 (3)'!$S$121)/12</f>
        <v>124.56416666666667</v>
      </c>
      <c r="BM232" s="449">
        <f>SUM('FY19 Staffing V1-1 (3)'!$S$121)/12</f>
        <v>124.56416666666667</v>
      </c>
      <c r="BN232" s="449">
        <f>SUM('FY19 Staffing V1-1 (3)'!$S$121)/12</f>
        <v>124.56416666666667</v>
      </c>
      <c r="BO232" s="449">
        <f>SUM('FY19 Staffing V1-1 (3)'!$S$121)/12</f>
        <v>124.56416666666667</v>
      </c>
      <c r="BP232" s="449">
        <f>SUM('FY19 Staffing V1-1 (3)'!$S$121)/12</f>
        <v>124.56416666666667</v>
      </c>
      <c r="BQ232" s="449">
        <f>SUM('FY19 Staffing V1-1 (3)'!$S$121)/12</f>
        <v>124.56416666666667</v>
      </c>
      <c r="BR232" s="449">
        <f>SUM('FY19 Staffing V1-1 (3)'!$S$121)/12</f>
        <v>124.56416666666667</v>
      </c>
      <c r="BS232" s="449">
        <f>SUM('FY19 Staffing V1-1 (3)'!$S$121)/12</f>
        <v>124.56416666666667</v>
      </c>
      <c r="BT232" s="449">
        <f>SUM('FY19 Staffing V1-1 (3)'!$S$121)/12*2</f>
        <v>249.12833333333333</v>
      </c>
    </row>
    <row r="233" spans="1:72" ht="15" x14ac:dyDescent="0.25">
      <c r="A233" s="612" t="s">
        <v>393</v>
      </c>
      <c r="B233" s="612" t="s">
        <v>394</v>
      </c>
      <c r="C233" s="538"/>
      <c r="D233" s="500">
        <f t="shared" si="230"/>
        <v>0</v>
      </c>
      <c r="E233" s="449">
        <v>0</v>
      </c>
      <c r="F233" s="449">
        <f t="shared" si="224"/>
        <v>0</v>
      </c>
      <c r="G233" s="421">
        <f t="shared" si="231"/>
        <v>0</v>
      </c>
      <c r="H233" s="449">
        <v>0</v>
      </c>
      <c r="I233" s="449">
        <f t="shared" si="232"/>
        <v>0</v>
      </c>
      <c r="J233" s="426">
        <f t="shared" si="233"/>
        <v>0</v>
      </c>
      <c r="K233" s="421"/>
      <c r="L233" s="449">
        <v>0</v>
      </c>
      <c r="M233" s="449">
        <v>0</v>
      </c>
      <c r="N233" s="449">
        <v>0</v>
      </c>
      <c r="O233" s="449">
        <v>0</v>
      </c>
      <c r="P233" s="449">
        <v>0</v>
      </c>
      <c r="Q233" s="449">
        <v>0</v>
      </c>
      <c r="R233" s="449">
        <f>($H233-SUM($L233:Q233))/R$694</f>
        <v>0</v>
      </c>
      <c r="S233" s="449">
        <f>($H233-SUM($L233:R233))/S$694</f>
        <v>0</v>
      </c>
      <c r="T233" s="449">
        <f>($H233-SUM($L233:S233))/T$694</f>
        <v>0</v>
      </c>
      <c r="U233" s="449">
        <f>($H233-SUM($L233:T233))/U$694</f>
        <v>0</v>
      </c>
      <c r="V233" s="449">
        <f>($H233-SUM($L233:U233))/V$694</f>
        <v>0</v>
      </c>
      <c r="W233" s="449">
        <f>($H233-SUM($L233:V233))/W$694</f>
        <v>0</v>
      </c>
      <c r="X233" s="449"/>
      <c r="Y233" s="449">
        <f t="shared" si="234"/>
        <v>0</v>
      </c>
      <c r="Z233" s="531"/>
      <c r="AA233" s="449">
        <f t="shared" si="239"/>
        <v>0</v>
      </c>
      <c r="AB233" s="449">
        <f t="shared" si="239"/>
        <v>0</v>
      </c>
      <c r="AC233" s="449">
        <f t="shared" si="239"/>
        <v>0</v>
      </c>
      <c r="AD233" s="449">
        <f t="shared" si="239"/>
        <v>0</v>
      </c>
      <c r="AE233" s="449">
        <f t="shared" si="239"/>
        <v>0</v>
      </c>
      <c r="AF233" s="449">
        <f t="shared" si="239"/>
        <v>0</v>
      </c>
      <c r="AG233" s="449">
        <f t="shared" si="239"/>
        <v>0</v>
      </c>
      <c r="AH233" s="449">
        <f t="shared" si="239"/>
        <v>0</v>
      </c>
      <c r="AI233" s="449">
        <f t="shared" si="239"/>
        <v>0</v>
      </c>
      <c r="AJ233" s="449">
        <f t="shared" si="239"/>
        <v>0</v>
      </c>
      <c r="AK233" s="449">
        <f t="shared" si="239"/>
        <v>0</v>
      </c>
      <c r="AL233" s="449">
        <f t="shared" si="239"/>
        <v>0</v>
      </c>
      <c r="AN233" s="500">
        <f t="shared" si="235"/>
        <v>0</v>
      </c>
      <c r="AO233" s="449">
        <f t="shared" si="236"/>
        <v>0</v>
      </c>
      <c r="AP233" s="449">
        <f t="shared" si="225"/>
        <v>0</v>
      </c>
      <c r="AQ233" s="453" t="str">
        <f t="shared" si="226"/>
        <v>-</v>
      </c>
      <c r="AR233" s="449">
        <f t="shared" si="210"/>
        <v>0</v>
      </c>
      <c r="AS233" s="449">
        <f t="shared" si="227"/>
        <v>0</v>
      </c>
      <c r="AT233" s="426">
        <f t="shared" si="237"/>
        <v>0</v>
      </c>
      <c r="AU233" s="421"/>
      <c r="AV233" s="449">
        <f t="shared" si="238"/>
        <v>0</v>
      </c>
      <c r="AW233" s="449">
        <f t="shared" si="238"/>
        <v>0</v>
      </c>
      <c r="AX233" s="449">
        <f t="shared" si="238"/>
        <v>0</v>
      </c>
      <c r="AY233" s="449">
        <f t="shared" si="229"/>
        <v>0</v>
      </c>
      <c r="AZ233" s="449">
        <f t="shared" si="229"/>
        <v>0</v>
      </c>
      <c r="BA233" s="449">
        <f t="shared" si="229"/>
        <v>0</v>
      </c>
      <c r="BB233" s="449">
        <f t="shared" si="221"/>
        <v>0</v>
      </c>
      <c r="BC233" s="449">
        <f t="shared" si="221"/>
        <v>0</v>
      </c>
      <c r="BD233" s="449">
        <f t="shared" si="221"/>
        <v>0</v>
      </c>
      <c r="BE233" s="449">
        <f t="shared" si="221"/>
        <v>0</v>
      </c>
      <c r="BF233" s="449">
        <f t="shared" si="221"/>
        <v>0</v>
      </c>
      <c r="BG233" s="449">
        <f t="shared" si="221"/>
        <v>0</v>
      </c>
      <c r="BH233" s="400"/>
      <c r="BI233" s="449">
        <f t="shared" ref="BI233:BT234" si="240">(IFERROR((($H233/$H$5)*BI$5),0))*BI$696</f>
        <v>0</v>
      </c>
      <c r="BJ233" s="449">
        <f t="shared" si="240"/>
        <v>0</v>
      </c>
      <c r="BK233" s="449">
        <f t="shared" si="240"/>
        <v>0</v>
      </c>
      <c r="BL233" s="449">
        <f t="shared" si="240"/>
        <v>0</v>
      </c>
      <c r="BM233" s="449">
        <f t="shared" si="240"/>
        <v>0</v>
      </c>
      <c r="BN233" s="449">
        <f t="shared" si="240"/>
        <v>0</v>
      </c>
      <c r="BO233" s="449">
        <f t="shared" si="240"/>
        <v>0</v>
      </c>
      <c r="BP233" s="449">
        <f t="shared" si="240"/>
        <v>0</v>
      </c>
      <c r="BQ233" s="449">
        <f t="shared" si="240"/>
        <v>0</v>
      </c>
      <c r="BR233" s="449">
        <f t="shared" si="240"/>
        <v>0</v>
      </c>
      <c r="BS233" s="449">
        <f t="shared" si="240"/>
        <v>0</v>
      </c>
      <c r="BT233" s="449">
        <f t="shared" si="240"/>
        <v>0</v>
      </c>
    </row>
    <row r="234" spans="1:72" ht="15" x14ac:dyDescent="0.25">
      <c r="A234" s="612" t="s">
        <v>395</v>
      </c>
      <c r="B234" s="612" t="s">
        <v>396</v>
      </c>
      <c r="C234" s="541"/>
      <c r="D234" s="500">
        <f t="shared" si="230"/>
        <v>0</v>
      </c>
      <c r="E234" s="449">
        <v>0</v>
      </c>
      <c r="F234" s="449">
        <f t="shared" si="224"/>
        <v>0</v>
      </c>
      <c r="G234" s="421">
        <f t="shared" si="231"/>
        <v>0</v>
      </c>
      <c r="H234" s="449">
        <v>0</v>
      </c>
      <c r="I234" s="449">
        <f t="shared" si="232"/>
        <v>0</v>
      </c>
      <c r="J234" s="426">
        <f t="shared" si="233"/>
        <v>0</v>
      </c>
      <c r="K234" s="421"/>
      <c r="L234" s="449">
        <v>0</v>
      </c>
      <c r="M234" s="449">
        <v>0</v>
      </c>
      <c r="N234" s="449">
        <v>0</v>
      </c>
      <c r="O234" s="449">
        <v>0</v>
      </c>
      <c r="P234" s="449">
        <v>0</v>
      </c>
      <c r="Q234" s="449">
        <v>0</v>
      </c>
      <c r="R234" s="449">
        <f>($H234-SUM($L234:Q234))/R$694</f>
        <v>0</v>
      </c>
      <c r="S234" s="449">
        <f>($H234-SUM($L234:R234))/S$694</f>
        <v>0</v>
      </c>
      <c r="T234" s="449">
        <f>($H234-SUM($L234:S234))/T$694</f>
        <v>0</v>
      </c>
      <c r="U234" s="449">
        <f>($H234-SUM($L234:T234))/U$694</f>
        <v>0</v>
      </c>
      <c r="V234" s="449">
        <f>($H234-SUM($L234:U234))/V$694</f>
        <v>0</v>
      </c>
      <c r="W234" s="449">
        <f>($H234-SUM($L234:V234))/W$694</f>
        <v>0</v>
      </c>
      <c r="X234" s="449"/>
      <c r="Y234" s="449">
        <f t="shared" si="234"/>
        <v>0</v>
      </c>
      <c r="Z234" s="531"/>
      <c r="AA234" s="449">
        <f t="shared" si="239"/>
        <v>0</v>
      </c>
      <c r="AB234" s="449">
        <f t="shared" si="239"/>
        <v>0</v>
      </c>
      <c r="AC234" s="449">
        <f t="shared" si="239"/>
        <v>0</v>
      </c>
      <c r="AD234" s="449">
        <f t="shared" si="239"/>
        <v>0</v>
      </c>
      <c r="AE234" s="449">
        <f t="shared" si="239"/>
        <v>0</v>
      </c>
      <c r="AF234" s="449">
        <f t="shared" si="239"/>
        <v>0</v>
      </c>
      <c r="AG234" s="449">
        <f t="shared" si="239"/>
        <v>0</v>
      </c>
      <c r="AH234" s="449">
        <f t="shared" si="239"/>
        <v>0</v>
      </c>
      <c r="AI234" s="449">
        <f t="shared" si="239"/>
        <v>0</v>
      </c>
      <c r="AJ234" s="449">
        <f t="shared" si="239"/>
        <v>0</v>
      </c>
      <c r="AK234" s="449">
        <f t="shared" si="239"/>
        <v>0</v>
      </c>
      <c r="AL234" s="449">
        <f t="shared" si="239"/>
        <v>0</v>
      </c>
      <c r="AN234" s="500">
        <f>SUM(L234:W234)</f>
        <v>0</v>
      </c>
      <c r="AO234" s="449">
        <f t="shared" si="236"/>
        <v>0</v>
      </c>
      <c r="AP234" s="449">
        <f t="shared" si="225"/>
        <v>0</v>
      </c>
      <c r="AQ234" s="453" t="str">
        <f t="shared" si="226"/>
        <v>-</v>
      </c>
      <c r="AR234" s="449">
        <f t="shared" si="210"/>
        <v>0</v>
      </c>
      <c r="AS234" s="449">
        <f t="shared" si="227"/>
        <v>0</v>
      </c>
      <c r="AT234" s="426">
        <f t="shared" si="237"/>
        <v>0</v>
      </c>
      <c r="AU234" s="421"/>
      <c r="AV234" s="449">
        <f t="shared" si="238"/>
        <v>0</v>
      </c>
      <c r="AW234" s="449">
        <f t="shared" si="238"/>
        <v>0</v>
      </c>
      <c r="AX234" s="449">
        <f t="shared" si="238"/>
        <v>0</v>
      </c>
      <c r="AY234" s="449">
        <f t="shared" si="229"/>
        <v>0</v>
      </c>
      <c r="AZ234" s="449">
        <f t="shared" si="229"/>
        <v>0</v>
      </c>
      <c r="BA234" s="449">
        <f t="shared" si="229"/>
        <v>0</v>
      </c>
      <c r="BB234" s="449">
        <f t="shared" si="221"/>
        <v>0</v>
      </c>
      <c r="BC234" s="449">
        <f t="shared" si="221"/>
        <v>0</v>
      </c>
      <c r="BD234" s="449">
        <f t="shared" si="221"/>
        <v>0</v>
      </c>
      <c r="BE234" s="449">
        <f t="shared" si="221"/>
        <v>0</v>
      </c>
      <c r="BF234" s="449">
        <f t="shared" si="221"/>
        <v>0</v>
      </c>
      <c r="BG234" s="449">
        <f t="shared" si="221"/>
        <v>0</v>
      </c>
      <c r="BH234" s="400"/>
      <c r="BI234" s="449">
        <f t="shared" si="240"/>
        <v>0</v>
      </c>
      <c r="BJ234" s="449">
        <f t="shared" si="240"/>
        <v>0</v>
      </c>
      <c r="BK234" s="449">
        <f t="shared" si="240"/>
        <v>0</v>
      </c>
      <c r="BL234" s="449">
        <f t="shared" si="240"/>
        <v>0</v>
      </c>
      <c r="BM234" s="449">
        <f t="shared" si="240"/>
        <v>0</v>
      </c>
      <c r="BN234" s="449">
        <f t="shared" si="240"/>
        <v>0</v>
      </c>
      <c r="BO234" s="449">
        <f t="shared" si="240"/>
        <v>0</v>
      </c>
      <c r="BP234" s="449">
        <f t="shared" si="240"/>
        <v>0</v>
      </c>
      <c r="BQ234" s="449">
        <f t="shared" si="240"/>
        <v>0</v>
      </c>
      <c r="BR234" s="449">
        <f t="shared" si="240"/>
        <v>0</v>
      </c>
      <c r="BS234" s="449">
        <f t="shared" si="240"/>
        <v>0</v>
      </c>
      <c r="BT234" s="449">
        <f t="shared" si="240"/>
        <v>0</v>
      </c>
    </row>
    <row r="235" spans="1:72" ht="15" x14ac:dyDescent="0.25">
      <c r="A235" s="502" t="s">
        <v>397</v>
      </c>
      <c r="B235" s="502" t="s">
        <v>398</v>
      </c>
      <c r="C235" s="538"/>
      <c r="D235" s="500">
        <f t="shared" si="230"/>
        <v>0</v>
      </c>
      <c r="E235" s="449">
        <v>6430</v>
      </c>
      <c r="F235" s="449">
        <f t="shared" si="224"/>
        <v>-6430</v>
      </c>
      <c r="G235" s="421">
        <f t="shared" si="231"/>
        <v>-1</v>
      </c>
      <c r="H235" s="449">
        <v>0</v>
      </c>
      <c r="I235" s="449">
        <f t="shared" si="232"/>
        <v>0</v>
      </c>
      <c r="J235" s="426">
        <f t="shared" si="233"/>
        <v>0</v>
      </c>
      <c r="K235" s="421"/>
      <c r="L235" s="449">
        <v>0</v>
      </c>
      <c r="M235" s="449">
        <v>0</v>
      </c>
      <c r="N235" s="449">
        <v>0</v>
      </c>
      <c r="O235" s="449">
        <v>0</v>
      </c>
      <c r="P235" s="449">
        <v>0</v>
      </c>
      <c r="Q235" s="449">
        <v>0</v>
      </c>
      <c r="R235" s="449">
        <f>($H235-SUM($L235:Q235))/R$694</f>
        <v>0</v>
      </c>
      <c r="S235" s="449">
        <f>($H235-SUM($L235:R235))/S$694</f>
        <v>0</v>
      </c>
      <c r="T235" s="449">
        <f>($H235-SUM($L235:S235))/T$694</f>
        <v>0</v>
      </c>
      <c r="U235" s="449">
        <f>($H235-SUM($L235:T235))/U$694</f>
        <v>0</v>
      </c>
      <c r="V235" s="449">
        <f>($H235-SUM($L235:U235))/V$694</f>
        <v>0</v>
      </c>
      <c r="W235" s="449">
        <f>($H235-SUM($L235:V235))/W$694</f>
        <v>0</v>
      </c>
      <c r="X235" s="449"/>
      <c r="Y235" s="449">
        <f t="shared" si="234"/>
        <v>0</v>
      </c>
      <c r="Z235" s="531"/>
      <c r="AA235" s="449">
        <f t="shared" si="239"/>
        <v>0</v>
      </c>
      <c r="AB235" s="449">
        <f t="shared" si="239"/>
        <v>0</v>
      </c>
      <c r="AC235" s="449">
        <f t="shared" si="239"/>
        <v>0</v>
      </c>
      <c r="AD235" s="449">
        <f t="shared" si="239"/>
        <v>0</v>
      </c>
      <c r="AE235" s="449">
        <f t="shared" si="239"/>
        <v>0</v>
      </c>
      <c r="AF235" s="449">
        <f t="shared" si="239"/>
        <v>0</v>
      </c>
      <c r="AG235" s="449">
        <f t="shared" si="239"/>
        <v>0</v>
      </c>
      <c r="AH235" s="449">
        <f t="shared" si="239"/>
        <v>0</v>
      </c>
      <c r="AI235" s="449">
        <f t="shared" si="239"/>
        <v>0</v>
      </c>
      <c r="AJ235" s="449">
        <f t="shared" si="239"/>
        <v>0</v>
      </c>
      <c r="AK235" s="449">
        <f t="shared" si="239"/>
        <v>0</v>
      </c>
      <c r="AL235" s="449">
        <f t="shared" si="239"/>
        <v>0</v>
      </c>
      <c r="AN235" s="500">
        <f t="shared" si="235"/>
        <v>0</v>
      </c>
      <c r="AO235" s="449">
        <f t="shared" si="236"/>
        <v>0</v>
      </c>
      <c r="AP235" s="449">
        <f t="shared" si="225"/>
        <v>0</v>
      </c>
      <c r="AQ235" s="453" t="str">
        <f t="shared" si="226"/>
        <v>-</v>
      </c>
      <c r="AR235" s="449">
        <f t="shared" si="210"/>
        <v>0</v>
      </c>
      <c r="AS235" s="449">
        <f t="shared" si="227"/>
        <v>0</v>
      </c>
      <c r="AT235" s="426">
        <f t="shared" si="237"/>
        <v>0</v>
      </c>
      <c r="AU235" s="421"/>
      <c r="AV235" s="449">
        <f t="shared" si="238"/>
        <v>0</v>
      </c>
      <c r="AW235" s="449">
        <f t="shared" si="238"/>
        <v>0</v>
      </c>
      <c r="AX235" s="449">
        <f t="shared" si="238"/>
        <v>0</v>
      </c>
      <c r="AY235" s="449">
        <f t="shared" si="229"/>
        <v>0</v>
      </c>
      <c r="AZ235" s="449">
        <f t="shared" si="229"/>
        <v>0</v>
      </c>
      <c r="BA235" s="449">
        <f t="shared" si="229"/>
        <v>0</v>
      </c>
      <c r="BB235" s="449">
        <f t="shared" si="221"/>
        <v>0</v>
      </c>
      <c r="BC235" s="449">
        <f t="shared" si="221"/>
        <v>0</v>
      </c>
      <c r="BD235" s="449">
        <f t="shared" si="221"/>
        <v>0</v>
      </c>
      <c r="BE235" s="449">
        <f t="shared" si="221"/>
        <v>0</v>
      </c>
      <c r="BF235" s="449">
        <f t="shared" si="221"/>
        <v>0</v>
      </c>
      <c r="BG235" s="449">
        <f t="shared" si="221"/>
        <v>0</v>
      </c>
      <c r="BH235" s="400"/>
      <c r="BI235" s="449">
        <f t="shared" ref="BI235:BT235" si="241">IFERROR((($H235/$H$5)*BI$5)/12,0)</f>
        <v>0</v>
      </c>
      <c r="BJ235" s="449">
        <f t="shared" si="241"/>
        <v>0</v>
      </c>
      <c r="BK235" s="449">
        <f t="shared" si="241"/>
        <v>0</v>
      </c>
      <c r="BL235" s="449">
        <f t="shared" si="241"/>
        <v>0</v>
      </c>
      <c r="BM235" s="449">
        <f t="shared" si="241"/>
        <v>0</v>
      </c>
      <c r="BN235" s="449">
        <f t="shared" si="241"/>
        <v>0</v>
      </c>
      <c r="BO235" s="449">
        <f t="shared" si="241"/>
        <v>0</v>
      </c>
      <c r="BP235" s="449">
        <f t="shared" si="241"/>
        <v>0</v>
      </c>
      <c r="BQ235" s="449">
        <f t="shared" si="241"/>
        <v>0</v>
      </c>
      <c r="BR235" s="449">
        <f t="shared" si="241"/>
        <v>0</v>
      </c>
      <c r="BS235" s="449">
        <f t="shared" si="241"/>
        <v>0</v>
      </c>
      <c r="BT235" s="449">
        <f t="shared" si="241"/>
        <v>0</v>
      </c>
    </row>
    <row r="236" spans="1:72" ht="15" x14ac:dyDescent="0.25">
      <c r="A236" s="502" t="s">
        <v>399</v>
      </c>
      <c r="B236" s="502" t="s">
        <v>400</v>
      </c>
      <c r="C236" s="538"/>
      <c r="D236" s="500">
        <f t="shared" si="230"/>
        <v>8000</v>
      </c>
      <c r="E236" s="449">
        <v>0</v>
      </c>
      <c r="F236" s="449">
        <f t="shared" si="224"/>
        <v>8000</v>
      </c>
      <c r="G236" s="421">
        <f t="shared" si="231"/>
        <v>0</v>
      </c>
      <c r="H236" s="449">
        <v>8000</v>
      </c>
      <c r="I236" s="449">
        <f t="shared" si="232"/>
        <v>0</v>
      </c>
      <c r="J236" s="426">
        <f t="shared" si="233"/>
        <v>0</v>
      </c>
      <c r="K236" s="421"/>
      <c r="L236" s="449">
        <v>0</v>
      </c>
      <c r="M236" s="449">
        <v>848</v>
      </c>
      <c r="N236" s="449">
        <v>1140</v>
      </c>
      <c r="O236" s="449">
        <v>2425</v>
      </c>
      <c r="P236" s="449">
        <v>75</v>
      </c>
      <c r="Q236" s="449">
        <v>2060</v>
      </c>
      <c r="R236" s="449">
        <f>($H236-SUM($L236:Q236))/R$694</f>
        <v>242</v>
      </c>
      <c r="S236" s="449">
        <f>($H236-SUM($L236:R236))/S$694</f>
        <v>242</v>
      </c>
      <c r="T236" s="449">
        <f>($H236-SUM($L236:S236))/T$694</f>
        <v>242</v>
      </c>
      <c r="U236" s="449">
        <f>($H236-SUM($L236:T236))/U$694</f>
        <v>242</v>
      </c>
      <c r="V236" s="449">
        <f>($H236-SUM($L236:U236))/V$694</f>
        <v>242</v>
      </c>
      <c r="W236" s="449">
        <f>($H236-SUM($L236:V236))/W$694</f>
        <v>242</v>
      </c>
      <c r="X236" s="449"/>
      <c r="Y236" s="449">
        <f t="shared" si="234"/>
        <v>8000</v>
      </c>
      <c r="Z236" s="531"/>
      <c r="AA236" s="449">
        <f t="shared" si="239"/>
        <v>666.66666666666663</v>
      </c>
      <c r="AB236" s="449">
        <f t="shared" si="239"/>
        <v>666.66666666666663</v>
      </c>
      <c r="AC236" s="449">
        <f t="shared" si="239"/>
        <v>666.66666666666663</v>
      </c>
      <c r="AD236" s="449">
        <f t="shared" si="239"/>
        <v>666.66666666666663</v>
      </c>
      <c r="AE236" s="449">
        <f t="shared" si="239"/>
        <v>666.66666666666663</v>
      </c>
      <c r="AF236" s="449">
        <f t="shared" si="239"/>
        <v>666.66666666666663</v>
      </c>
      <c r="AG236" s="449">
        <f t="shared" si="239"/>
        <v>666.66666666666663</v>
      </c>
      <c r="AH236" s="449">
        <f t="shared" si="239"/>
        <v>666.66666666666663</v>
      </c>
      <c r="AI236" s="449">
        <f t="shared" si="239"/>
        <v>666.66666666666663</v>
      </c>
      <c r="AJ236" s="449">
        <f t="shared" si="239"/>
        <v>666.66666666666663</v>
      </c>
      <c r="AK236" s="449">
        <f t="shared" si="239"/>
        <v>666.66666666666663</v>
      </c>
      <c r="AL236" s="449">
        <f t="shared" si="239"/>
        <v>666.66666666666663</v>
      </c>
      <c r="AN236" s="500">
        <f t="shared" si="235"/>
        <v>8000</v>
      </c>
      <c r="AO236" s="449">
        <f t="shared" si="236"/>
        <v>12000</v>
      </c>
      <c r="AP236" s="449">
        <f t="shared" si="225"/>
        <v>4000</v>
      </c>
      <c r="AQ236" s="453">
        <f t="shared" si="226"/>
        <v>0.5</v>
      </c>
      <c r="AR236" s="449">
        <f t="shared" si="210"/>
        <v>12000</v>
      </c>
      <c r="AS236" s="449">
        <f t="shared" si="227"/>
        <v>0</v>
      </c>
      <c r="AT236" s="426">
        <f t="shared" si="237"/>
        <v>0</v>
      </c>
      <c r="AU236" s="421"/>
      <c r="AV236" s="449">
        <f t="shared" si="238"/>
        <v>1000</v>
      </c>
      <c r="AW236" s="449">
        <f t="shared" si="238"/>
        <v>1000</v>
      </c>
      <c r="AX236" s="449">
        <f t="shared" si="238"/>
        <v>1000</v>
      </c>
      <c r="AY236" s="449">
        <f t="shared" si="229"/>
        <v>1000</v>
      </c>
      <c r="AZ236" s="449">
        <f t="shared" si="229"/>
        <v>1000</v>
      </c>
      <c r="BA236" s="449">
        <f t="shared" si="229"/>
        <v>1000</v>
      </c>
      <c r="BB236" s="449">
        <f t="shared" si="221"/>
        <v>1000</v>
      </c>
      <c r="BC236" s="449">
        <f t="shared" si="221"/>
        <v>1000</v>
      </c>
      <c r="BD236" s="449">
        <f t="shared" si="221"/>
        <v>1000</v>
      </c>
      <c r="BE236" s="449">
        <f t="shared" si="221"/>
        <v>1000</v>
      </c>
      <c r="BF236" s="449">
        <f t="shared" si="221"/>
        <v>1000</v>
      </c>
      <c r="BG236" s="449">
        <f t="shared" si="221"/>
        <v>1000</v>
      </c>
      <c r="BH236" s="400"/>
      <c r="BI236" s="449">
        <f>IFERROR((12000)/12,0)</f>
        <v>1000</v>
      </c>
      <c r="BJ236" s="449">
        <f t="shared" ref="BJ236:BT236" si="242">IFERROR((12000)/12,0)</f>
        <v>1000</v>
      </c>
      <c r="BK236" s="449">
        <f t="shared" si="242"/>
        <v>1000</v>
      </c>
      <c r="BL236" s="449">
        <f t="shared" si="242"/>
        <v>1000</v>
      </c>
      <c r="BM236" s="449">
        <f t="shared" si="242"/>
        <v>1000</v>
      </c>
      <c r="BN236" s="449">
        <f t="shared" si="242"/>
        <v>1000</v>
      </c>
      <c r="BO236" s="449">
        <f t="shared" si="242"/>
        <v>1000</v>
      </c>
      <c r="BP236" s="449">
        <f t="shared" si="242"/>
        <v>1000</v>
      </c>
      <c r="BQ236" s="449">
        <f t="shared" si="242"/>
        <v>1000</v>
      </c>
      <c r="BR236" s="449">
        <f t="shared" si="242"/>
        <v>1000</v>
      </c>
      <c r="BS236" s="449">
        <f t="shared" si="242"/>
        <v>1000</v>
      </c>
      <c r="BT236" s="449">
        <f t="shared" si="242"/>
        <v>1000</v>
      </c>
    </row>
    <row r="237" spans="1:72" ht="15" x14ac:dyDescent="0.25">
      <c r="A237" s="502" t="s">
        <v>401</v>
      </c>
      <c r="B237" s="502" t="s">
        <v>402</v>
      </c>
      <c r="C237" s="538"/>
      <c r="D237" s="500">
        <f t="shared" si="230"/>
        <v>5000</v>
      </c>
      <c r="E237" s="449">
        <v>0</v>
      </c>
      <c r="F237" s="449">
        <f t="shared" si="224"/>
        <v>5000</v>
      </c>
      <c r="G237" s="421">
        <f t="shared" si="231"/>
        <v>0</v>
      </c>
      <c r="H237" s="449">
        <v>5000</v>
      </c>
      <c r="I237" s="449">
        <f t="shared" si="232"/>
        <v>0</v>
      </c>
      <c r="J237" s="426">
        <f t="shared" si="233"/>
        <v>0</v>
      </c>
      <c r="K237" s="421"/>
      <c r="L237" s="449">
        <v>0</v>
      </c>
      <c r="M237" s="449">
        <v>3500.75</v>
      </c>
      <c r="N237" s="449">
        <v>0</v>
      </c>
      <c r="O237" s="449">
        <v>0</v>
      </c>
      <c r="P237" s="449">
        <v>0</v>
      </c>
      <c r="Q237" s="449">
        <v>0</v>
      </c>
      <c r="R237" s="449">
        <f>($H237-SUM($L237:Q237))/R$694</f>
        <v>249.875</v>
      </c>
      <c r="S237" s="449">
        <f>($H237-SUM($L237:R237))/S$694</f>
        <v>249.875</v>
      </c>
      <c r="T237" s="449">
        <f>($H237-SUM($L237:S237))/T$694</f>
        <v>249.875</v>
      </c>
      <c r="U237" s="449">
        <f>($H237-SUM($L237:T237))/U$694</f>
        <v>249.875</v>
      </c>
      <c r="V237" s="449">
        <f>($H237-SUM($L237:U237))/V$694</f>
        <v>249.875</v>
      </c>
      <c r="W237" s="449">
        <f>($H237-SUM($L237:V237))/W$694</f>
        <v>249.875</v>
      </c>
      <c r="X237" s="449"/>
      <c r="Y237" s="449">
        <f t="shared" si="234"/>
        <v>5000</v>
      </c>
      <c r="Z237" s="531"/>
      <c r="AA237" s="449">
        <f t="shared" si="239"/>
        <v>416.66666666666669</v>
      </c>
      <c r="AB237" s="449">
        <f t="shared" si="239"/>
        <v>416.66666666666669</v>
      </c>
      <c r="AC237" s="449">
        <f t="shared" si="239"/>
        <v>416.66666666666669</v>
      </c>
      <c r="AD237" s="449">
        <f t="shared" si="239"/>
        <v>416.66666666666669</v>
      </c>
      <c r="AE237" s="449">
        <f t="shared" si="239"/>
        <v>416.66666666666669</v>
      </c>
      <c r="AF237" s="449">
        <f t="shared" si="239"/>
        <v>416.66666666666669</v>
      </c>
      <c r="AG237" s="449">
        <f t="shared" si="239"/>
        <v>416.66666666666669</v>
      </c>
      <c r="AH237" s="449">
        <f t="shared" si="239"/>
        <v>416.66666666666669</v>
      </c>
      <c r="AI237" s="449">
        <f t="shared" si="239"/>
        <v>416.66666666666669</v>
      </c>
      <c r="AJ237" s="449">
        <f t="shared" si="239"/>
        <v>416.66666666666669</v>
      </c>
      <c r="AK237" s="449">
        <f t="shared" si="239"/>
        <v>416.66666666666669</v>
      </c>
      <c r="AL237" s="449">
        <f t="shared" si="239"/>
        <v>416.66666666666669</v>
      </c>
      <c r="AN237" s="500">
        <f t="shared" si="235"/>
        <v>5000</v>
      </c>
      <c r="AO237" s="449">
        <f t="shared" si="236"/>
        <v>2000.0000000000002</v>
      </c>
      <c r="AP237" s="449">
        <f t="shared" si="225"/>
        <v>-3000</v>
      </c>
      <c r="AQ237" s="453">
        <f t="shared" si="226"/>
        <v>-0.6</v>
      </c>
      <c r="AR237" s="449">
        <f t="shared" si="210"/>
        <v>2000.0000000000002</v>
      </c>
      <c r="AS237" s="449">
        <f t="shared" si="227"/>
        <v>0</v>
      </c>
      <c r="AT237" s="426">
        <f t="shared" si="237"/>
        <v>0</v>
      </c>
      <c r="AU237" s="421"/>
      <c r="AV237" s="449">
        <f t="shared" si="238"/>
        <v>166.66666666666666</v>
      </c>
      <c r="AW237" s="449">
        <f t="shared" si="238"/>
        <v>166.66666666666666</v>
      </c>
      <c r="AX237" s="449">
        <f t="shared" si="238"/>
        <v>166.66666666666666</v>
      </c>
      <c r="AY237" s="449">
        <f t="shared" si="229"/>
        <v>166.66666666666666</v>
      </c>
      <c r="AZ237" s="449">
        <f t="shared" si="229"/>
        <v>166.66666666666666</v>
      </c>
      <c r="BA237" s="449">
        <f t="shared" si="229"/>
        <v>166.66666666666666</v>
      </c>
      <c r="BB237" s="449">
        <f t="shared" si="221"/>
        <v>166.66666666666666</v>
      </c>
      <c r="BC237" s="449">
        <f t="shared" si="221"/>
        <v>166.66666666666666</v>
      </c>
      <c r="BD237" s="449">
        <f t="shared" si="221"/>
        <v>166.66666666666666</v>
      </c>
      <c r="BE237" s="449">
        <f t="shared" si="221"/>
        <v>166.66666666666666</v>
      </c>
      <c r="BF237" s="449">
        <f t="shared" si="221"/>
        <v>166.66666666666666</v>
      </c>
      <c r="BG237" s="449">
        <f t="shared" si="221"/>
        <v>166.66666666666666</v>
      </c>
      <c r="BH237" s="400"/>
      <c r="BI237" s="449">
        <f>IFERROR((2000)/12,0)</f>
        <v>166.66666666666666</v>
      </c>
      <c r="BJ237" s="449">
        <f t="shared" ref="BJ237:BT237" si="243">IFERROR((2000)/12,0)</f>
        <v>166.66666666666666</v>
      </c>
      <c r="BK237" s="449">
        <f t="shared" si="243"/>
        <v>166.66666666666666</v>
      </c>
      <c r="BL237" s="449">
        <f t="shared" si="243"/>
        <v>166.66666666666666</v>
      </c>
      <c r="BM237" s="449">
        <f t="shared" si="243"/>
        <v>166.66666666666666</v>
      </c>
      <c r="BN237" s="449">
        <f t="shared" si="243"/>
        <v>166.66666666666666</v>
      </c>
      <c r="BO237" s="449">
        <f t="shared" si="243"/>
        <v>166.66666666666666</v>
      </c>
      <c r="BP237" s="449">
        <f t="shared" si="243"/>
        <v>166.66666666666666</v>
      </c>
      <c r="BQ237" s="449">
        <f t="shared" si="243"/>
        <v>166.66666666666666</v>
      </c>
      <c r="BR237" s="449">
        <f t="shared" si="243"/>
        <v>166.66666666666666</v>
      </c>
      <c r="BS237" s="449">
        <f t="shared" si="243"/>
        <v>166.66666666666666</v>
      </c>
      <c r="BT237" s="449">
        <f t="shared" si="243"/>
        <v>166.66666666666666</v>
      </c>
    </row>
    <row r="238" spans="1:72" ht="15" x14ac:dyDescent="0.25">
      <c r="A238" s="502" t="s">
        <v>403</v>
      </c>
      <c r="B238" s="502" t="s">
        <v>1431</v>
      </c>
      <c r="C238" s="538"/>
      <c r="D238" s="500">
        <f t="shared" si="230"/>
        <v>7000</v>
      </c>
      <c r="E238" s="449">
        <v>0</v>
      </c>
      <c r="F238" s="449">
        <f t="shared" si="224"/>
        <v>7000</v>
      </c>
      <c r="G238" s="421">
        <f t="shared" si="231"/>
        <v>0</v>
      </c>
      <c r="H238" s="449">
        <v>7000</v>
      </c>
      <c r="I238" s="449">
        <f t="shared" si="232"/>
        <v>0</v>
      </c>
      <c r="J238" s="426">
        <f t="shared" si="233"/>
        <v>0</v>
      </c>
      <c r="K238" s="421"/>
      <c r="L238" s="449">
        <v>0</v>
      </c>
      <c r="M238" s="449">
        <v>5320.35</v>
      </c>
      <c r="N238" s="449">
        <v>0</v>
      </c>
      <c r="O238" s="449">
        <v>0</v>
      </c>
      <c r="P238" s="449">
        <v>0</v>
      </c>
      <c r="Q238" s="449">
        <v>0</v>
      </c>
      <c r="R238" s="449">
        <f>($H238-SUM($L238:Q238))/R$694</f>
        <v>279.94166666666661</v>
      </c>
      <c r="S238" s="449">
        <f>($H238-SUM($L238:R238))/S$694</f>
        <v>279.94166666666661</v>
      </c>
      <c r="T238" s="449">
        <f>($H238-SUM($L238:S238))/T$694</f>
        <v>279.94166666666661</v>
      </c>
      <c r="U238" s="449">
        <f>($H238-SUM($L238:T238))/U$694</f>
        <v>279.94166666666661</v>
      </c>
      <c r="V238" s="449">
        <f>($H238-SUM($L238:U238))/V$694</f>
        <v>279.94166666666661</v>
      </c>
      <c r="W238" s="449">
        <f>($H238-SUM($L238:V238))/W$694</f>
        <v>279.94166666666661</v>
      </c>
      <c r="X238" s="449"/>
      <c r="Y238" s="449">
        <f t="shared" si="234"/>
        <v>7000</v>
      </c>
      <c r="Z238" s="531"/>
      <c r="AA238" s="449">
        <f t="shared" si="239"/>
        <v>583.33333333333337</v>
      </c>
      <c r="AB238" s="449">
        <f t="shared" si="239"/>
        <v>583.33333333333337</v>
      </c>
      <c r="AC238" s="449">
        <f t="shared" si="239"/>
        <v>583.33333333333337</v>
      </c>
      <c r="AD238" s="449">
        <f t="shared" si="239"/>
        <v>583.33333333333337</v>
      </c>
      <c r="AE238" s="449">
        <f t="shared" si="239"/>
        <v>583.33333333333337</v>
      </c>
      <c r="AF238" s="449">
        <f t="shared" si="239"/>
        <v>583.33333333333337</v>
      </c>
      <c r="AG238" s="449">
        <f t="shared" si="239"/>
        <v>583.33333333333337</v>
      </c>
      <c r="AH238" s="449">
        <f t="shared" si="239"/>
        <v>583.33333333333337</v>
      </c>
      <c r="AI238" s="449">
        <f t="shared" si="239"/>
        <v>583.33333333333337</v>
      </c>
      <c r="AJ238" s="449">
        <f t="shared" si="239"/>
        <v>583.33333333333337</v>
      </c>
      <c r="AK238" s="449">
        <f t="shared" si="239"/>
        <v>583.33333333333337</v>
      </c>
      <c r="AL238" s="449">
        <f t="shared" si="239"/>
        <v>583.33333333333337</v>
      </c>
      <c r="AN238" s="500">
        <f t="shared" si="235"/>
        <v>7000</v>
      </c>
      <c r="AO238" s="449">
        <f t="shared" si="236"/>
        <v>6999.9999999999991</v>
      </c>
      <c r="AP238" s="449">
        <f t="shared" si="225"/>
        <v>-9.0949470177292824E-13</v>
      </c>
      <c r="AQ238" s="453">
        <f t="shared" si="226"/>
        <v>-1.2992781453898976E-16</v>
      </c>
      <c r="AR238" s="449">
        <f t="shared" si="210"/>
        <v>6999.9999999999991</v>
      </c>
      <c r="AS238" s="449">
        <f t="shared" si="227"/>
        <v>0</v>
      </c>
      <c r="AT238" s="426">
        <f t="shared" si="237"/>
        <v>0</v>
      </c>
      <c r="AU238" s="421"/>
      <c r="AV238" s="449">
        <f t="shared" si="238"/>
        <v>583.33333333333337</v>
      </c>
      <c r="AW238" s="449">
        <f t="shared" si="238"/>
        <v>583.33333333333337</v>
      </c>
      <c r="AX238" s="449">
        <f t="shared" si="238"/>
        <v>583.33333333333337</v>
      </c>
      <c r="AY238" s="449">
        <f t="shared" si="229"/>
        <v>583.33333333333337</v>
      </c>
      <c r="AZ238" s="449">
        <f t="shared" si="229"/>
        <v>583.33333333333337</v>
      </c>
      <c r="BA238" s="449">
        <f t="shared" si="229"/>
        <v>583.33333333333337</v>
      </c>
      <c r="BB238" s="449">
        <f t="shared" si="221"/>
        <v>583.33333333333337</v>
      </c>
      <c r="BC238" s="449">
        <f t="shared" si="221"/>
        <v>583.33333333333337</v>
      </c>
      <c r="BD238" s="449">
        <f t="shared" si="221"/>
        <v>583.33333333333337</v>
      </c>
      <c r="BE238" s="449">
        <f t="shared" ref="BE238:BG240" si="244">BR238</f>
        <v>583.33333333333337</v>
      </c>
      <c r="BF238" s="449">
        <f t="shared" si="244"/>
        <v>583.33333333333337</v>
      </c>
      <c r="BG238" s="449">
        <f t="shared" si="244"/>
        <v>583.33333333333337</v>
      </c>
      <c r="BH238" s="400"/>
      <c r="BI238" s="449">
        <f>IFERROR(($H238)/12,0)</f>
        <v>583.33333333333337</v>
      </c>
      <c r="BJ238" s="449">
        <f t="shared" ref="BJ238:BT238" si="245">IFERROR(($H238)/12,0)</f>
        <v>583.33333333333337</v>
      </c>
      <c r="BK238" s="449">
        <f t="shared" si="245"/>
        <v>583.33333333333337</v>
      </c>
      <c r="BL238" s="449">
        <f t="shared" si="245"/>
        <v>583.33333333333337</v>
      </c>
      <c r="BM238" s="449">
        <f t="shared" si="245"/>
        <v>583.33333333333337</v>
      </c>
      <c r="BN238" s="449">
        <f t="shared" si="245"/>
        <v>583.33333333333337</v>
      </c>
      <c r="BO238" s="449">
        <f t="shared" si="245"/>
        <v>583.33333333333337</v>
      </c>
      <c r="BP238" s="449">
        <f t="shared" si="245"/>
        <v>583.33333333333337</v>
      </c>
      <c r="BQ238" s="449">
        <f t="shared" si="245"/>
        <v>583.33333333333337</v>
      </c>
      <c r="BR238" s="449">
        <f t="shared" si="245"/>
        <v>583.33333333333337</v>
      </c>
      <c r="BS238" s="449">
        <f t="shared" si="245"/>
        <v>583.33333333333337</v>
      </c>
      <c r="BT238" s="449">
        <f t="shared" si="245"/>
        <v>583.33333333333337</v>
      </c>
    </row>
    <row r="239" spans="1:72" ht="15" x14ac:dyDescent="0.25">
      <c r="A239" s="502" t="s">
        <v>404</v>
      </c>
      <c r="B239" s="502" t="s">
        <v>1430</v>
      </c>
      <c r="C239" s="538"/>
      <c r="D239" s="500">
        <f t="shared" si="230"/>
        <v>28000</v>
      </c>
      <c r="E239" s="449">
        <v>0</v>
      </c>
      <c r="F239" s="449">
        <f t="shared" si="224"/>
        <v>28000</v>
      </c>
      <c r="G239" s="421">
        <f t="shared" si="231"/>
        <v>0</v>
      </c>
      <c r="H239" s="449">
        <f>35000-7000</f>
        <v>28000</v>
      </c>
      <c r="I239" s="449">
        <f t="shared" si="232"/>
        <v>0</v>
      </c>
      <c r="J239" s="426">
        <f t="shared" si="233"/>
        <v>0</v>
      </c>
      <c r="K239" s="421"/>
      <c r="L239" s="449">
        <v>10293.34</v>
      </c>
      <c r="M239" s="449">
        <v>508.01000000000022</v>
      </c>
      <c r="N239" s="449">
        <v>-7430.1900000000005</v>
      </c>
      <c r="O239" s="449">
        <v>407.5</v>
      </c>
      <c r="P239" s="449">
        <v>9908.3700000000008</v>
      </c>
      <c r="Q239" s="449">
        <v>112.95999999999913</v>
      </c>
      <c r="R239" s="449">
        <f>($H239-SUM($L239:Q239))/R$694</f>
        <v>2366.6683333333335</v>
      </c>
      <c r="S239" s="449">
        <f>($H239-SUM($L239:R239))/S$694</f>
        <v>2366.6683333333335</v>
      </c>
      <c r="T239" s="449">
        <f>($H239-SUM($L239:S239))/T$694</f>
        <v>2366.6683333333331</v>
      </c>
      <c r="U239" s="449">
        <f>($H239-SUM($L239:T239))/U$694</f>
        <v>2366.6683333333326</v>
      </c>
      <c r="V239" s="449">
        <f>($H239-SUM($L239:U239))/V$694</f>
        <v>2366.6683333333331</v>
      </c>
      <c r="W239" s="449">
        <f>($H239-SUM($L239:V239))/W$694</f>
        <v>2366.6683333333349</v>
      </c>
      <c r="X239" s="449"/>
      <c r="Y239" s="449">
        <f t="shared" si="234"/>
        <v>28000</v>
      </c>
      <c r="Z239" s="531"/>
      <c r="AA239" s="449">
        <f t="shared" si="239"/>
        <v>2333.3333333333335</v>
      </c>
      <c r="AB239" s="449">
        <f t="shared" si="239"/>
        <v>2333.3333333333335</v>
      </c>
      <c r="AC239" s="449">
        <f t="shared" si="239"/>
        <v>2333.3333333333335</v>
      </c>
      <c r="AD239" s="449">
        <f t="shared" si="239"/>
        <v>2333.3333333333335</v>
      </c>
      <c r="AE239" s="449">
        <f t="shared" si="239"/>
        <v>2333.3333333333335</v>
      </c>
      <c r="AF239" s="449">
        <f t="shared" si="239"/>
        <v>2333.3333333333335</v>
      </c>
      <c r="AG239" s="449">
        <f t="shared" si="239"/>
        <v>2333.3333333333335</v>
      </c>
      <c r="AH239" s="449">
        <f t="shared" si="239"/>
        <v>2333.3333333333335</v>
      </c>
      <c r="AI239" s="449">
        <f t="shared" si="239"/>
        <v>2333.3333333333335</v>
      </c>
      <c r="AJ239" s="449">
        <f t="shared" si="239"/>
        <v>2333.3333333333335</v>
      </c>
      <c r="AK239" s="449">
        <f t="shared" si="239"/>
        <v>2333.3333333333335</v>
      </c>
      <c r="AL239" s="449">
        <f t="shared" si="239"/>
        <v>2333.3333333333335</v>
      </c>
      <c r="AN239" s="500">
        <f t="shared" si="235"/>
        <v>28000</v>
      </c>
      <c r="AO239" s="449">
        <f t="shared" si="236"/>
        <v>60000</v>
      </c>
      <c r="AP239" s="449">
        <f t="shared" si="225"/>
        <v>32000</v>
      </c>
      <c r="AQ239" s="453">
        <f t="shared" si="226"/>
        <v>1.1428571428571428</v>
      </c>
      <c r="AR239" s="449">
        <f t="shared" si="210"/>
        <v>60000</v>
      </c>
      <c r="AS239" s="449">
        <f t="shared" si="227"/>
        <v>0</v>
      </c>
      <c r="AT239" s="426">
        <f t="shared" si="237"/>
        <v>0</v>
      </c>
      <c r="AU239" s="421"/>
      <c r="AV239" s="449">
        <f t="shared" si="238"/>
        <v>5000</v>
      </c>
      <c r="AW239" s="449">
        <f t="shared" si="238"/>
        <v>5000</v>
      </c>
      <c r="AX239" s="449">
        <f t="shared" si="238"/>
        <v>5000</v>
      </c>
      <c r="AY239" s="449">
        <f t="shared" si="229"/>
        <v>5000</v>
      </c>
      <c r="AZ239" s="449">
        <f t="shared" si="229"/>
        <v>5000</v>
      </c>
      <c r="BA239" s="449">
        <f t="shared" si="229"/>
        <v>5000</v>
      </c>
      <c r="BB239" s="449">
        <f t="shared" si="229"/>
        <v>5000</v>
      </c>
      <c r="BC239" s="449">
        <f t="shared" si="229"/>
        <v>5000</v>
      </c>
      <c r="BD239" s="449">
        <f t="shared" si="229"/>
        <v>5000</v>
      </c>
      <c r="BE239" s="449">
        <f t="shared" si="244"/>
        <v>5000</v>
      </c>
      <c r="BF239" s="449">
        <f t="shared" si="244"/>
        <v>5000</v>
      </c>
      <c r="BG239" s="449">
        <f t="shared" si="244"/>
        <v>5000</v>
      </c>
      <c r="BH239" s="400"/>
      <c r="BI239" s="449">
        <f>IFERROR(60000/12,0)</f>
        <v>5000</v>
      </c>
      <c r="BJ239" s="449">
        <f t="shared" ref="BJ239:BT239" si="246">IFERROR(60000/12,0)</f>
        <v>5000</v>
      </c>
      <c r="BK239" s="449">
        <f t="shared" si="246"/>
        <v>5000</v>
      </c>
      <c r="BL239" s="449">
        <f t="shared" si="246"/>
        <v>5000</v>
      </c>
      <c r="BM239" s="449">
        <f t="shared" si="246"/>
        <v>5000</v>
      </c>
      <c r="BN239" s="449">
        <f t="shared" si="246"/>
        <v>5000</v>
      </c>
      <c r="BO239" s="449">
        <f t="shared" si="246"/>
        <v>5000</v>
      </c>
      <c r="BP239" s="449">
        <f t="shared" si="246"/>
        <v>5000</v>
      </c>
      <c r="BQ239" s="449">
        <f t="shared" si="246"/>
        <v>5000</v>
      </c>
      <c r="BR239" s="449">
        <f t="shared" si="246"/>
        <v>5000</v>
      </c>
      <c r="BS239" s="449">
        <f t="shared" si="246"/>
        <v>5000</v>
      </c>
      <c r="BT239" s="449">
        <f t="shared" si="246"/>
        <v>5000</v>
      </c>
    </row>
    <row r="240" spans="1:72" ht="15" x14ac:dyDescent="0.25">
      <c r="A240" s="502" t="s">
        <v>406</v>
      </c>
      <c r="B240" s="502" t="s">
        <v>405</v>
      </c>
      <c r="C240" s="538"/>
      <c r="D240" s="500">
        <f t="shared" si="230"/>
        <v>5000</v>
      </c>
      <c r="E240" s="449">
        <v>40000</v>
      </c>
      <c r="F240" s="449">
        <f t="shared" si="224"/>
        <v>-35000</v>
      </c>
      <c r="G240" s="421">
        <f t="shared" si="231"/>
        <v>-0.875</v>
      </c>
      <c r="H240" s="449">
        <f>10000-5000</f>
        <v>5000</v>
      </c>
      <c r="I240" s="449">
        <f t="shared" si="232"/>
        <v>0</v>
      </c>
      <c r="J240" s="426">
        <f t="shared" si="233"/>
        <v>0</v>
      </c>
      <c r="K240" s="421"/>
      <c r="L240" s="449">
        <v>465.33</v>
      </c>
      <c r="M240" s="449">
        <v>0</v>
      </c>
      <c r="N240" s="449">
        <v>0</v>
      </c>
      <c r="O240" s="449">
        <v>90.000000000000057</v>
      </c>
      <c r="P240" s="449">
        <v>0</v>
      </c>
      <c r="Q240" s="449">
        <v>0</v>
      </c>
      <c r="R240" s="449">
        <f>($H240-SUM($L240:Q240))/R$694</f>
        <v>740.77833333333331</v>
      </c>
      <c r="S240" s="449">
        <f>($H240-SUM($L240:R240))/S$694</f>
        <v>740.77833333333331</v>
      </c>
      <c r="T240" s="449">
        <f>($H240-SUM($L240:S240))/T$694</f>
        <v>740.77833333333331</v>
      </c>
      <c r="U240" s="449">
        <f>($H240-SUM($L240:T240))/U$694</f>
        <v>740.77833333333331</v>
      </c>
      <c r="V240" s="449">
        <f>($H240-SUM($L240:U240))/V$694</f>
        <v>740.77833333333342</v>
      </c>
      <c r="W240" s="449">
        <f>($H240-SUM($L240:V240))/W$694</f>
        <v>740.77833333333365</v>
      </c>
      <c r="X240" s="449"/>
      <c r="Y240" s="449">
        <f t="shared" si="234"/>
        <v>5000</v>
      </c>
      <c r="Z240" s="531"/>
      <c r="AA240" s="449">
        <f t="shared" si="239"/>
        <v>416.66666666666669</v>
      </c>
      <c r="AB240" s="449">
        <f t="shared" si="239"/>
        <v>416.66666666666669</v>
      </c>
      <c r="AC240" s="449">
        <f t="shared" si="239"/>
        <v>416.66666666666669</v>
      </c>
      <c r="AD240" s="449">
        <f t="shared" si="239"/>
        <v>416.66666666666669</v>
      </c>
      <c r="AE240" s="449">
        <f t="shared" si="239"/>
        <v>416.66666666666669</v>
      </c>
      <c r="AF240" s="449">
        <f t="shared" si="239"/>
        <v>416.66666666666669</v>
      </c>
      <c r="AG240" s="449">
        <f t="shared" si="239"/>
        <v>416.66666666666669</v>
      </c>
      <c r="AH240" s="449">
        <f t="shared" si="239"/>
        <v>416.66666666666669</v>
      </c>
      <c r="AI240" s="449">
        <f t="shared" si="239"/>
        <v>416.66666666666669</v>
      </c>
      <c r="AJ240" s="449">
        <f t="shared" si="239"/>
        <v>416.66666666666669</v>
      </c>
      <c r="AK240" s="449">
        <f t="shared" si="239"/>
        <v>416.66666666666669</v>
      </c>
      <c r="AL240" s="449">
        <f t="shared" si="239"/>
        <v>416.66666666666669</v>
      </c>
      <c r="AN240" s="500">
        <f t="shared" si="235"/>
        <v>5000</v>
      </c>
      <c r="AO240" s="449">
        <f t="shared" si="236"/>
        <v>0</v>
      </c>
      <c r="AP240" s="449">
        <f t="shared" si="225"/>
        <v>-5000</v>
      </c>
      <c r="AQ240" s="453">
        <f t="shared" si="226"/>
        <v>-1</v>
      </c>
      <c r="AR240" s="449">
        <f t="shared" si="210"/>
        <v>0</v>
      </c>
      <c r="AS240" s="449">
        <f t="shared" si="227"/>
        <v>0</v>
      </c>
      <c r="AT240" s="426">
        <f t="shared" si="237"/>
        <v>0</v>
      </c>
      <c r="AU240" s="421"/>
      <c r="AV240" s="449">
        <f t="shared" si="238"/>
        <v>0</v>
      </c>
      <c r="AW240" s="449">
        <f t="shared" si="238"/>
        <v>0</v>
      </c>
      <c r="AX240" s="449">
        <f t="shared" si="238"/>
        <v>0</v>
      </c>
      <c r="AY240" s="449">
        <f t="shared" si="229"/>
        <v>0</v>
      </c>
      <c r="AZ240" s="449">
        <f t="shared" si="229"/>
        <v>0</v>
      </c>
      <c r="BA240" s="449">
        <f t="shared" si="229"/>
        <v>0</v>
      </c>
      <c r="BB240" s="449">
        <f t="shared" si="229"/>
        <v>0</v>
      </c>
      <c r="BC240" s="449">
        <f t="shared" si="229"/>
        <v>0</v>
      </c>
      <c r="BD240" s="449">
        <f t="shared" si="229"/>
        <v>0</v>
      </c>
      <c r="BE240" s="449">
        <f t="shared" si="244"/>
        <v>0</v>
      </c>
      <c r="BF240" s="449">
        <f t="shared" si="244"/>
        <v>0</v>
      </c>
      <c r="BG240" s="449">
        <f t="shared" si="244"/>
        <v>0</v>
      </c>
      <c r="BH240" s="400"/>
      <c r="BI240" s="449">
        <f>IFERROR((($H240/$H$5)*BI$5)/12,0)*0</f>
        <v>0</v>
      </c>
      <c r="BJ240" s="449">
        <f t="shared" ref="BJ240:BT240" si="247">IFERROR((($H240/$H$5)*BJ$5)/12,0)*0</f>
        <v>0</v>
      </c>
      <c r="BK240" s="449">
        <f t="shared" si="247"/>
        <v>0</v>
      </c>
      <c r="BL240" s="449">
        <f t="shared" si="247"/>
        <v>0</v>
      </c>
      <c r="BM240" s="449">
        <f t="shared" si="247"/>
        <v>0</v>
      </c>
      <c r="BN240" s="449">
        <f t="shared" si="247"/>
        <v>0</v>
      </c>
      <c r="BO240" s="449">
        <f t="shared" si="247"/>
        <v>0</v>
      </c>
      <c r="BP240" s="449">
        <f t="shared" si="247"/>
        <v>0</v>
      </c>
      <c r="BQ240" s="449">
        <f t="shared" si="247"/>
        <v>0</v>
      </c>
      <c r="BR240" s="449">
        <f t="shared" si="247"/>
        <v>0</v>
      </c>
      <c r="BS240" s="449">
        <f t="shared" si="247"/>
        <v>0</v>
      </c>
      <c r="BT240" s="449">
        <f t="shared" si="247"/>
        <v>0</v>
      </c>
    </row>
    <row r="241" spans="1:74" ht="9.75" customHeight="1" x14ac:dyDescent="0.25">
      <c r="A241" s="502"/>
      <c r="B241" s="502"/>
      <c r="C241" s="541"/>
      <c r="D241" s="500"/>
      <c r="E241" s="449"/>
      <c r="F241" s="449"/>
      <c r="G241" s="421"/>
      <c r="H241" s="449"/>
      <c r="I241" s="449"/>
      <c r="J241" s="426"/>
      <c r="K241" s="421"/>
      <c r="L241" s="449"/>
      <c r="M241" s="449"/>
      <c r="N241" s="449"/>
      <c r="O241" s="449"/>
      <c r="P241" s="449"/>
      <c r="Q241" s="449"/>
      <c r="R241" s="449"/>
      <c r="S241" s="449"/>
      <c r="T241" s="449"/>
      <c r="U241" s="449"/>
      <c r="V241" s="449"/>
      <c r="W241" s="449"/>
      <c r="X241" s="449"/>
      <c r="Y241" s="449"/>
      <c r="Z241" s="531"/>
      <c r="AA241" s="449"/>
      <c r="AB241" s="449"/>
      <c r="AC241" s="449"/>
      <c r="AD241" s="449"/>
      <c r="AE241" s="449"/>
      <c r="AF241" s="449"/>
      <c r="AG241" s="449"/>
      <c r="AH241" s="449"/>
      <c r="AI241" s="449"/>
      <c r="AJ241" s="449"/>
      <c r="AK241" s="449"/>
      <c r="AL241" s="449"/>
      <c r="AN241" s="500"/>
      <c r="AO241" s="449"/>
      <c r="AP241" s="449"/>
      <c r="AQ241" s="453"/>
      <c r="AR241" s="449"/>
      <c r="AS241" s="449"/>
      <c r="AT241" s="426"/>
      <c r="AU241" s="421"/>
      <c r="AV241" s="449"/>
      <c r="AW241" s="449"/>
      <c r="AX241" s="449"/>
      <c r="AY241" s="449"/>
      <c r="AZ241" s="449"/>
      <c r="BA241" s="449"/>
      <c r="BB241" s="449"/>
      <c r="BC241" s="449"/>
      <c r="BD241" s="449"/>
      <c r="BE241" s="449"/>
      <c r="BF241" s="449"/>
      <c r="BG241" s="449"/>
      <c r="BH241" s="531"/>
      <c r="BI241" s="449"/>
      <c r="BJ241" s="449"/>
      <c r="BK241" s="449"/>
      <c r="BL241" s="449"/>
      <c r="BM241" s="449"/>
      <c r="BN241" s="449"/>
      <c r="BO241" s="449"/>
      <c r="BP241" s="449"/>
      <c r="BQ241" s="449"/>
      <c r="BR241" s="449"/>
      <c r="BS241" s="449"/>
      <c r="BT241" s="449"/>
    </row>
    <row r="242" spans="1:74" s="536" customFormat="1" ht="15" customHeight="1" thickBot="1" x14ac:dyDescent="0.3">
      <c r="A242" s="524"/>
      <c r="B242" s="524" t="s">
        <v>407</v>
      </c>
      <c r="C242" s="539"/>
      <c r="D242" s="532">
        <f>SUM(D147:D241)</f>
        <v>1153198.18</v>
      </c>
      <c r="E242" s="533">
        <f>SUM(E147:E241)</f>
        <v>1018157</v>
      </c>
      <c r="F242" s="533">
        <f>IFERROR(D242-E242,0)</f>
        <v>135041.17999999993</v>
      </c>
      <c r="G242" s="520">
        <f>IFERROR(F242/ABS(E242),0)</f>
        <v>0.13263296328562288</v>
      </c>
      <c r="H242" s="533">
        <f>SUM(H147:H240)</f>
        <v>1098858</v>
      </c>
      <c r="I242" s="533">
        <f>IFERROR(D242-H242,0)</f>
        <v>54340.179999999935</v>
      </c>
      <c r="J242" s="521">
        <f>IFERROR(I242/ABS(H242),0)</f>
        <v>4.9451503287958894E-2</v>
      </c>
      <c r="K242" s="507"/>
      <c r="L242" s="533">
        <f t="shared" ref="L242:W242" si="248">SUM(L147:L241)</f>
        <v>116313.13</v>
      </c>
      <c r="M242" s="533">
        <f t="shared" si="248"/>
        <v>92756.52</v>
      </c>
      <c r="N242" s="533">
        <f t="shared" si="248"/>
        <v>39029.919999999998</v>
      </c>
      <c r="O242" s="533">
        <f t="shared" si="248"/>
        <v>131938.66000000003</v>
      </c>
      <c r="P242" s="533">
        <f t="shared" si="248"/>
        <v>74352.770000000033</v>
      </c>
      <c r="Q242" s="533">
        <f t="shared" si="248"/>
        <v>46001.899999999994</v>
      </c>
      <c r="R242" s="533">
        <f t="shared" si="248"/>
        <v>108800.88000000002</v>
      </c>
      <c r="S242" s="533">
        <f t="shared" si="248"/>
        <v>108800.88000000002</v>
      </c>
      <c r="T242" s="533">
        <f t="shared" si="248"/>
        <v>108800.88</v>
      </c>
      <c r="U242" s="533">
        <f t="shared" si="248"/>
        <v>108800.88</v>
      </c>
      <c r="V242" s="533">
        <f t="shared" si="248"/>
        <v>108800.88</v>
      </c>
      <c r="W242" s="533">
        <f t="shared" si="248"/>
        <v>108800.88</v>
      </c>
      <c r="X242" s="533"/>
      <c r="Y242" s="533">
        <f>SUM(L242:W242)</f>
        <v>1153198.1800000002</v>
      </c>
      <c r="Z242" s="508"/>
      <c r="AA242" s="533">
        <f t="shared" ref="AA242:AL242" si="249">SUM(AA147:AA241)</f>
        <v>91571.499999999971</v>
      </c>
      <c r="AB242" s="533">
        <f t="shared" si="249"/>
        <v>91571.499999999971</v>
      </c>
      <c r="AC242" s="533">
        <f t="shared" si="249"/>
        <v>91571.499999999971</v>
      </c>
      <c r="AD242" s="533">
        <f t="shared" si="249"/>
        <v>91571.499999999971</v>
      </c>
      <c r="AE242" s="533">
        <f t="shared" si="249"/>
        <v>91571.499999999971</v>
      </c>
      <c r="AF242" s="533">
        <f t="shared" si="249"/>
        <v>91571.499999999971</v>
      </c>
      <c r="AG242" s="533">
        <f t="shared" si="249"/>
        <v>91571.499999999971</v>
      </c>
      <c r="AH242" s="533">
        <f t="shared" si="249"/>
        <v>91571.499999999971</v>
      </c>
      <c r="AI242" s="533">
        <f t="shared" si="249"/>
        <v>91571.499999999971</v>
      </c>
      <c r="AJ242" s="533">
        <f t="shared" si="249"/>
        <v>91571.499999999971</v>
      </c>
      <c r="AK242" s="533">
        <f t="shared" si="249"/>
        <v>91571.499999999971</v>
      </c>
      <c r="AL242" s="533">
        <f t="shared" si="249"/>
        <v>91571.499999999971</v>
      </c>
      <c r="AN242" s="532">
        <f>SUM(AN147:AN241)</f>
        <v>1153198.18</v>
      </c>
      <c r="AO242" s="533">
        <f>SUM(AO147:AO241)</f>
        <v>1259728.99501975</v>
      </c>
      <c r="AP242" s="533">
        <f>IFERROR(AO242-AN242,0)</f>
        <v>106530.81501975004</v>
      </c>
      <c r="AQ242" s="523">
        <f>IFERROR(AP242/ABS(AN242),"-")</f>
        <v>9.2378584069348804E-2</v>
      </c>
      <c r="AR242" s="533">
        <f>SUM(AR147:AR240)</f>
        <v>1259728.99501975</v>
      </c>
      <c r="AS242" s="533">
        <f>IFERROR(AO242-AR242,0)</f>
        <v>0</v>
      </c>
      <c r="AT242" s="521">
        <f>IFERROR(AS242/ABS(AR242),0)</f>
        <v>0</v>
      </c>
      <c r="AU242" s="507"/>
      <c r="AV242" s="533">
        <f t="shared" ref="AV242:BG242" si="250">SUM(AV147:AV241)</f>
        <v>28993.954771619818</v>
      </c>
      <c r="AW242" s="533">
        <f t="shared" si="250"/>
        <v>104150.70050987875</v>
      </c>
      <c r="AX242" s="533">
        <f t="shared" si="250"/>
        <v>98173.633314698032</v>
      </c>
      <c r="AY242" s="533">
        <f t="shared" si="250"/>
        <v>186893.13331469812</v>
      </c>
      <c r="AZ242" s="533">
        <f t="shared" si="250"/>
        <v>98173.633314698032</v>
      </c>
      <c r="BA242" s="533">
        <f t="shared" si="250"/>
        <v>88781.099150842609</v>
      </c>
      <c r="BB242" s="533">
        <f t="shared" si="250"/>
        <v>88781.099150842609</v>
      </c>
      <c r="BC242" s="533">
        <f t="shared" si="250"/>
        <v>88781.099150842609</v>
      </c>
      <c r="BD242" s="533">
        <f t="shared" si="250"/>
        <v>88781.099150842609</v>
      </c>
      <c r="BE242" s="533">
        <f t="shared" si="250"/>
        <v>135500.59915084258</v>
      </c>
      <c r="BF242" s="533">
        <f t="shared" si="250"/>
        <v>88781.099150842609</v>
      </c>
      <c r="BG242" s="533">
        <f t="shared" si="250"/>
        <v>163937.84488910154</v>
      </c>
      <c r="BH242" s="508"/>
      <c r="BI242" s="533">
        <f t="shared" ref="BI242:BT242" si="251">SUM(BI147:BI241)</f>
        <v>28993.954771619818</v>
      </c>
      <c r="BJ242" s="533">
        <f t="shared" si="251"/>
        <v>104150.70050987875</v>
      </c>
      <c r="BK242" s="533">
        <f t="shared" si="251"/>
        <v>98173.633314698032</v>
      </c>
      <c r="BL242" s="533">
        <f t="shared" si="251"/>
        <v>186893.13331469812</v>
      </c>
      <c r="BM242" s="533">
        <f t="shared" si="251"/>
        <v>98173.633314698032</v>
      </c>
      <c r="BN242" s="533">
        <f t="shared" si="251"/>
        <v>88781.099150842609</v>
      </c>
      <c r="BO242" s="533">
        <f t="shared" si="251"/>
        <v>88781.099150842609</v>
      </c>
      <c r="BP242" s="533">
        <f t="shared" si="251"/>
        <v>88781.099150842609</v>
      </c>
      <c r="BQ242" s="533">
        <f t="shared" si="251"/>
        <v>88781.099150842609</v>
      </c>
      <c r="BR242" s="533">
        <f t="shared" si="251"/>
        <v>135500.59915084258</v>
      </c>
      <c r="BS242" s="533">
        <f t="shared" si="251"/>
        <v>88781.099150842609</v>
      </c>
      <c r="BT242" s="533">
        <f t="shared" si="251"/>
        <v>163937.84488910154</v>
      </c>
      <c r="BV242" s="400"/>
    </row>
    <row r="243" spans="1:74" ht="15" customHeight="1" thickTop="1" x14ac:dyDescent="0.25">
      <c r="A243" s="502"/>
      <c r="B243" s="502"/>
      <c r="C243" s="541"/>
      <c r="D243" s="500"/>
      <c r="E243" s="449"/>
      <c r="F243" s="449"/>
      <c r="G243" s="421"/>
      <c r="H243" s="449"/>
      <c r="I243" s="449"/>
      <c r="J243" s="426"/>
      <c r="K243" s="421"/>
      <c r="L243" s="449"/>
      <c r="M243" s="449"/>
      <c r="N243" s="449"/>
      <c r="O243" s="449"/>
      <c r="P243" s="449"/>
      <c r="Q243" s="449"/>
      <c r="R243" s="449"/>
      <c r="S243" s="449"/>
      <c r="T243" s="449"/>
      <c r="U243" s="449"/>
      <c r="V243" s="449"/>
      <c r="W243" s="449"/>
      <c r="X243" s="449"/>
      <c r="Y243" s="449"/>
      <c r="Z243" s="531"/>
      <c r="AA243" s="449"/>
      <c r="AB243" s="449"/>
      <c r="AC243" s="449"/>
      <c r="AD243" s="449"/>
      <c r="AE243" s="449"/>
      <c r="AF243" s="449"/>
      <c r="AG243" s="449"/>
      <c r="AH243" s="449"/>
      <c r="AI243" s="449"/>
      <c r="AJ243" s="449"/>
      <c r="AK243" s="449"/>
      <c r="AL243" s="449"/>
      <c r="AN243" s="500"/>
      <c r="AO243" s="449"/>
      <c r="AP243" s="449">
        <f>SUM(AO236:AO240)</f>
        <v>81000</v>
      </c>
      <c r="AQ243" s="453"/>
      <c r="AR243" s="449"/>
      <c r="AS243" s="449"/>
      <c r="AT243" s="426"/>
      <c r="AU243" s="421"/>
      <c r="AV243" s="449"/>
      <c r="AW243" s="449"/>
      <c r="AX243" s="449"/>
      <c r="AY243" s="449"/>
      <c r="AZ243" s="449"/>
      <c r="BA243" s="449"/>
      <c r="BB243" s="449"/>
      <c r="BC243" s="449"/>
      <c r="BD243" s="449"/>
      <c r="BE243" s="449"/>
      <c r="BF243" s="449"/>
      <c r="BG243" s="449"/>
      <c r="BH243" s="531"/>
      <c r="BI243" s="449"/>
      <c r="BJ243" s="449"/>
      <c r="BK243" s="449"/>
      <c r="BL243" s="449"/>
      <c r="BM243" s="449"/>
      <c r="BN243" s="449"/>
      <c r="BO243" s="449"/>
      <c r="BP243" s="449"/>
      <c r="BQ243" s="449"/>
      <c r="BR243" s="449"/>
      <c r="BS243" s="449"/>
      <c r="BT243" s="449"/>
    </row>
    <row r="244" spans="1:74" ht="15" customHeight="1" x14ac:dyDescent="0.25">
      <c r="A244" s="502"/>
      <c r="B244" s="525" t="s">
        <v>408</v>
      </c>
      <c r="C244" s="541"/>
      <c r="D244" s="500"/>
      <c r="E244" s="449"/>
      <c r="F244" s="449"/>
      <c r="G244" s="421"/>
      <c r="H244" s="449"/>
      <c r="I244" s="449"/>
      <c r="J244" s="426"/>
      <c r="K244" s="421"/>
      <c r="L244" s="449"/>
      <c r="M244" s="449"/>
      <c r="N244" s="449"/>
      <c r="O244" s="449"/>
      <c r="P244" s="449"/>
      <c r="Q244" s="449"/>
      <c r="R244" s="449"/>
      <c r="S244" s="449"/>
      <c r="T244" s="449"/>
      <c r="U244" s="449"/>
      <c r="V244" s="449"/>
      <c r="W244" s="449"/>
      <c r="X244" s="449"/>
      <c r="Y244" s="449"/>
      <c r="Z244" s="531"/>
      <c r="AA244" s="449"/>
      <c r="AB244" s="449"/>
      <c r="AC244" s="449"/>
      <c r="AD244" s="449"/>
      <c r="AE244" s="449"/>
      <c r="AF244" s="449"/>
      <c r="AG244" s="449"/>
      <c r="AH244" s="449"/>
      <c r="AI244" s="449"/>
      <c r="AJ244" s="449"/>
      <c r="AK244" s="449"/>
      <c r="AL244" s="449"/>
      <c r="AN244" s="500"/>
      <c r="AO244" s="449"/>
      <c r="AP244" s="449"/>
      <c r="AQ244" s="453"/>
      <c r="AR244" s="449"/>
      <c r="AS244" s="449"/>
      <c r="AT244" s="426"/>
      <c r="AU244" s="421"/>
      <c r="AV244" s="449"/>
      <c r="AW244" s="449"/>
      <c r="AX244" s="449"/>
      <c r="AY244" s="449"/>
      <c r="AZ244" s="449"/>
      <c r="BA244" s="449"/>
      <c r="BB244" s="449"/>
      <c r="BC244" s="449"/>
      <c r="BD244" s="449"/>
      <c r="BE244" s="449"/>
      <c r="BF244" s="449"/>
      <c r="BG244" s="449"/>
      <c r="BH244" s="531"/>
      <c r="BI244" s="449"/>
      <c r="BJ244" s="449"/>
      <c r="BK244" s="449"/>
      <c r="BL244" s="449"/>
      <c r="BM244" s="449"/>
      <c r="BN244" s="449"/>
      <c r="BO244" s="449"/>
      <c r="BP244" s="449"/>
      <c r="BQ244" s="449"/>
      <c r="BR244" s="449"/>
      <c r="BS244" s="449"/>
      <c r="BT244" s="449"/>
    </row>
    <row r="245" spans="1:74" ht="6" customHeight="1" x14ac:dyDescent="0.25">
      <c r="A245" s="502"/>
      <c r="B245" s="502"/>
      <c r="C245" s="541"/>
      <c r="D245" s="500"/>
      <c r="E245" s="449"/>
      <c r="F245" s="449"/>
      <c r="G245" s="421"/>
      <c r="H245" s="449"/>
      <c r="I245" s="449"/>
      <c r="J245" s="426"/>
      <c r="K245" s="421"/>
      <c r="L245" s="449"/>
      <c r="M245" s="449"/>
      <c r="N245" s="449"/>
      <c r="O245" s="449"/>
      <c r="P245" s="449"/>
      <c r="Q245" s="449"/>
      <c r="R245" s="449"/>
      <c r="S245" s="449"/>
      <c r="T245" s="449"/>
      <c r="U245" s="449"/>
      <c r="V245" s="449"/>
      <c r="W245" s="449"/>
      <c r="X245" s="449"/>
      <c r="Y245" s="449"/>
      <c r="Z245" s="531"/>
      <c r="AA245" s="449"/>
      <c r="AB245" s="449"/>
      <c r="AC245" s="449"/>
      <c r="AD245" s="449"/>
      <c r="AE245" s="449"/>
      <c r="AF245" s="449"/>
      <c r="AG245" s="449"/>
      <c r="AH245" s="449"/>
      <c r="AI245" s="449"/>
      <c r="AJ245" s="449"/>
      <c r="AK245" s="449"/>
      <c r="AL245" s="449"/>
      <c r="AN245" s="500"/>
      <c r="AO245" s="449"/>
      <c r="AP245" s="449"/>
      <c r="AQ245" s="453"/>
      <c r="AR245" s="449"/>
      <c r="AS245" s="449"/>
      <c r="AT245" s="426"/>
      <c r="AU245" s="421"/>
      <c r="AV245" s="449"/>
      <c r="AW245" s="449"/>
      <c r="AX245" s="449"/>
      <c r="AY245" s="449"/>
      <c r="AZ245" s="449"/>
      <c r="BA245" s="449"/>
      <c r="BB245" s="449"/>
      <c r="BC245" s="449"/>
      <c r="BD245" s="449"/>
      <c r="BE245" s="449"/>
      <c r="BF245" s="449"/>
      <c r="BG245" s="449"/>
      <c r="BH245" s="531"/>
      <c r="BI245" s="449"/>
      <c r="BJ245" s="449"/>
      <c r="BK245" s="449"/>
      <c r="BL245" s="449"/>
      <c r="BM245" s="449"/>
      <c r="BN245" s="449"/>
      <c r="BO245" s="449"/>
      <c r="BP245" s="449"/>
      <c r="BQ245" s="449"/>
      <c r="BR245" s="449"/>
      <c r="BS245" s="449"/>
      <c r="BT245" s="449"/>
    </row>
    <row r="246" spans="1:74" s="536" customFormat="1" ht="15" hidden="1" x14ac:dyDescent="0.25">
      <c r="A246" s="524" t="s">
        <v>409</v>
      </c>
      <c r="B246" s="524" t="s">
        <v>410</v>
      </c>
      <c r="C246" s="595"/>
      <c r="D246" s="527"/>
      <c r="E246" s="528">
        <v>0</v>
      </c>
      <c r="F246" s="528"/>
      <c r="G246" s="507"/>
      <c r="H246" s="528">
        <v>0</v>
      </c>
      <c r="I246" s="528"/>
      <c r="J246" s="529"/>
      <c r="K246" s="507"/>
      <c r="L246" s="528"/>
      <c r="M246" s="528"/>
      <c r="N246" s="528"/>
      <c r="O246" s="528"/>
      <c r="P246" s="528"/>
      <c r="Q246" s="528"/>
      <c r="R246" s="528"/>
      <c r="S246" s="528"/>
      <c r="T246" s="528"/>
      <c r="U246" s="528"/>
      <c r="V246" s="528"/>
      <c r="W246" s="528"/>
      <c r="X246" s="528"/>
      <c r="Y246" s="528">
        <v>0</v>
      </c>
      <c r="Z246" s="530"/>
      <c r="AA246" s="528"/>
      <c r="AB246" s="528"/>
      <c r="AC246" s="528"/>
      <c r="AD246" s="528"/>
      <c r="AE246" s="528"/>
      <c r="AF246" s="528"/>
      <c r="AG246" s="528"/>
      <c r="AH246" s="528"/>
      <c r="AI246" s="528"/>
      <c r="AJ246" s="528"/>
      <c r="AK246" s="528"/>
      <c r="AL246" s="528"/>
      <c r="AN246" s="527"/>
      <c r="AO246" s="528"/>
      <c r="AP246" s="528"/>
      <c r="AQ246" s="499"/>
      <c r="AR246" s="528">
        <v>0</v>
      </c>
      <c r="AS246" s="528"/>
      <c r="AT246" s="529"/>
      <c r="AU246" s="507"/>
      <c r="AV246" s="528"/>
      <c r="AW246" s="528"/>
      <c r="AX246" s="528"/>
      <c r="AY246" s="528"/>
      <c r="AZ246" s="528"/>
      <c r="BA246" s="528"/>
      <c r="BB246" s="528"/>
      <c r="BC246" s="528"/>
      <c r="BD246" s="528"/>
      <c r="BE246" s="528"/>
      <c r="BF246" s="528"/>
      <c r="BG246" s="528"/>
      <c r="BH246" s="530"/>
      <c r="BI246" s="528"/>
      <c r="BJ246" s="528"/>
      <c r="BK246" s="528"/>
      <c r="BL246" s="528"/>
      <c r="BM246" s="528"/>
      <c r="BN246" s="528"/>
      <c r="BO246" s="528"/>
      <c r="BP246" s="528"/>
      <c r="BQ246" s="528"/>
      <c r="BR246" s="528"/>
      <c r="BS246" s="528"/>
      <c r="BT246" s="528"/>
      <c r="BV246" s="400"/>
    </row>
    <row r="247" spans="1:74" s="536" customFormat="1" ht="15" hidden="1" x14ac:dyDescent="0.25">
      <c r="A247" s="524" t="s">
        <v>411</v>
      </c>
      <c r="B247" s="524" t="s">
        <v>412</v>
      </c>
      <c r="C247" s="595"/>
      <c r="D247" s="527"/>
      <c r="E247" s="528">
        <v>0</v>
      </c>
      <c r="F247" s="528"/>
      <c r="G247" s="507"/>
      <c r="H247" s="528">
        <v>0</v>
      </c>
      <c r="I247" s="528"/>
      <c r="J247" s="529"/>
      <c r="K247" s="507"/>
      <c r="L247" s="528"/>
      <c r="M247" s="528"/>
      <c r="N247" s="528"/>
      <c r="O247" s="528"/>
      <c r="P247" s="528"/>
      <c r="Q247" s="528"/>
      <c r="R247" s="528"/>
      <c r="S247" s="528"/>
      <c r="T247" s="528"/>
      <c r="U247" s="528"/>
      <c r="V247" s="528"/>
      <c r="W247" s="528"/>
      <c r="X247" s="528"/>
      <c r="Y247" s="528">
        <v>0</v>
      </c>
      <c r="Z247" s="530"/>
      <c r="AA247" s="528"/>
      <c r="AB247" s="528"/>
      <c r="AC247" s="528"/>
      <c r="AD247" s="528"/>
      <c r="AE247" s="528"/>
      <c r="AF247" s="528"/>
      <c r="AG247" s="528"/>
      <c r="AH247" s="528"/>
      <c r="AI247" s="528"/>
      <c r="AJ247" s="528"/>
      <c r="AK247" s="528"/>
      <c r="AL247" s="528"/>
      <c r="AN247" s="527"/>
      <c r="AO247" s="528"/>
      <c r="AP247" s="528"/>
      <c r="AQ247" s="499"/>
      <c r="AR247" s="528">
        <v>0</v>
      </c>
      <c r="AS247" s="528"/>
      <c r="AT247" s="529"/>
      <c r="AU247" s="507"/>
      <c r="AV247" s="528"/>
      <c r="AW247" s="528"/>
      <c r="AX247" s="528"/>
      <c r="AY247" s="528"/>
      <c r="AZ247" s="528"/>
      <c r="BA247" s="528"/>
      <c r="BB247" s="528"/>
      <c r="BC247" s="528"/>
      <c r="BD247" s="528"/>
      <c r="BE247" s="528"/>
      <c r="BF247" s="528"/>
      <c r="BG247" s="528"/>
      <c r="BH247" s="530"/>
      <c r="BI247" s="528"/>
      <c r="BJ247" s="528"/>
      <c r="BK247" s="528"/>
      <c r="BL247" s="528"/>
      <c r="BM247" s="528"/>
      <c r="BN247" s="528"/>
      <c r="BO247" s="528"/>
      <c r="BP247" s="528"/>
      <c r="BQ247" s="528"/>
      <c r="BR247" s="528"/>
      <c r="BS247" s="528"/>
      <c r="BT247" s="528"/>
      <c r="BV247" s="400"/>
    </row>
    <row r="248" spans="1:74" ht="15" hidden="1" x14ac:dyDescent="0.25">
      <c r="A248" s="502" t="s">
        <v>413</v>
      </c>
      <c r="B248" s="502" t="s">
        <v>414</v>
      </c>
      <c r="C248" s="541"/>
      <c r="D248" s="500"/>
      <c r="E248" s="449">
        <v>0</v>
      </c>
      <c r="F248" s="449"/>
      <c r="G248" s="421"/>
      <c r="H248" s="449">
        <v>0</v>
      </c>
      <c r="I248" s="449"/>
      <c r="J248" s="426"/>
      <c r="K248" s="421"/>
      <c r="L248" s="449"/>
      <c r="M248" s="449"/>
      <c r="N248" s="449"/>
      <c r="O248" s="449"/>
      <c r="P248" s="449"/>
      <c r="Q248" s="449"/>
      <c r="R248" s="449"/>
      <c r="S248" s="449"/>
      <c r="T248" s="449"/>
      <c r="U248" s="449"/>
      <c r="V248" s="449"/>
      <c r="W248" s="449"/>
      <c r="X248" s="449"/>
      <c r="Y248" s="449">
        <v>0</v>
      </c>
      <c r="Z248" s="531"/>
      <c r="AA248" s="449"/>
      <c r="AB248" s="449"/>
      <c r="AC248" s="449"/>
      <c r="AD248" s="449"/>
      <c r="AE248" s="449"/>
      <c r="AF248" s="449"/>
      <c r="AG248" s="449"/>
      <c r="AH248" s="449"/>
      <c r="AI248" s="449"/>
      <c r="AJ248" s="449"/>
      <c r="AK248" s="449"/>
      <c r="AL248" s="449"/>
      <c r="AN248" s="500"/>
      <c r="AO248" s="449"/>
      <c r="AP248" s="449"/>
      <c r="AQ248" s="453"/>
      <c r="AR248" s="449">
        <v>0</v>
      </c>
      <c r="AS248" s="449"/>
      <c r="AT248" s="426"/>
      <c r="AU248" s="421"/>
      <c r="AV248" s="449"/>
      <c r="AW248" s="449"/>
      <c r="AX248" s="449"/>
      <c r="AY248" s="449"/>
      <c r="AZ248" s="449"/>
      <c r="BA248" s="449"/>
      <c r="BB248" s="449"/>
      <c r="BC248" s="449"/>
      <c r="BD248" s="449"/>
      <c r="BE248" s="449"/>
      <c r="BF248" s="449"/>
      <c r="BG248" s="449"/>
      <c r="BH248" s="531"/>
      <c r="BI248" s="449"/>
      <c r="BJ248" s="449"/>
      <c r="BK248" s="449"/>
      <c r="BL248" s="449"/>
      <c r="BM248" s="449"/>
      <c r="BN248" s="449"/>
      <c r="BO248" s="449"/>
      <c r="BP248" s="449"/>
      <c r="BQ248" s="449"/>
      <c r="BR248" s="449"/>
      <c r="BS248" s="449"/>
      <c r="BT248" s="449"/>
    </row>
    <row r="249" spans="1:74" ht="15" hidden="1" x14ac:dyDescent="0.25">
      <c r="A249" s="502" t="s">
        <v>415</v>
      </c>
      <c r="B249" s="502" t="s">
        <v>416</v>
      </c>
      <c r="C249" s="541"/>
      <c r="D249" s="500"/>
      <c r="E249" s="449">
        <v>0</v>
      </c>
      <c r="F249" s="449"/>
      <c r="G249" s="421"/>
      <c r="H249" s="449">
        <v>0</v>
      </c>
      <c r="I249" s="449"/>
      <c r="J249" s="426"/>
      <c r="K249" s="421"/>
      <c r="L249" s="449"/>
      <c r="M249" s="449"/>
      <c r="N249" s="449"/>
      <c r="O249" s="449"/>
      <c r="P249" s="449"/>
      <c r="Q249" s="449"/>
      <c r="R249" s="449"/>
      <c r="S249" s="449"/>
      <c r="T249" s="449"/>
      <c r="U249" s="449"/>
      <c r="V249" s="449"/>
      <c r="W249" s="449"/>
      <c r="X249" s="449"/>
      <c r="Y249" s="449">
        <v>0</v>
      </c>
      <c r="Z249" s="531"/>
      <c r="AA249" s="449"/>
      <c r="AB249" s="449"/>
      <c r="AC249" s="449"/>
      <c r="AD249" s="449"/>
      <c r="AE249" s="449"/>
      <c r="AF249" s="449"/>
      <c r="AG249" s="449"/>
      <c r="AH249" s="449"/>
      <c r="AI249" s="449"/>
      <c r="AJ249" s="449"/>
      <c r="AK249" s="449"/>
      <c r="AL249" s="449"/>
      <c r="AN249" s="500"/>
      <c r="AO249" s="449"/>
      <c r="AP249" s="449"/>
      <c r="AQ249" s="453"/>
      <c r="AR249" s="449">
        <v>0</v>
      </c>
      <c r="AS249" s="449"/>
      <c r="AT249" s="426"/>
      <c r="AU249" s="421"/>
      <c r="AV249" s="449"/>
      <c r="AW249" s="449"/>
      <c r="AX249" s="449"/>
      <c r="AY249" s="449"/>
      <c r="AZ249" s="449"/>
      <c r="BA249" s="449"/>
      <c r="BB249" s="449"/>
      <c r="BC249" s="449"/>
      <c r="BD249" s="449"/>
      <c r="BE249" s="449"/>
      <c r="BF249" s="449"/>
      <c r="BG249" s="449"/>
      <c r="BH249" s="531"/>
      <c r="BI249" s="449"/>
      <c r="BJ249" s="449"/>
      <c r="BK249" s="449"/>
      <c r="BL249" s="449"/>
      <c r="BM249" s="449"/>
      <c r="BN249" s="449"/>
      <c r="BO249" s="449"/>
      <c r="BP249" s="449"/>
      <c r="BQ249" s="449"/>
      <c r="BR249" s="449"/>
      <c r="BS249" s="449"/>
      <c r="BT249" s="449"/>
    </row>
    <row r="250" spans="1:74" ht="15" hidden="1" x14ac:dyDescent="0.25">
      <c r="A250" s="502" t="s">
        <v>417</v>
      </c>
      <c r="B250" s="502" t="s">
        <v>418</v>
      </c>
      <c r="C250" s="541"/>
      <c r="D250" s="500"/>
      <c r="E250" s="449">
        <v>0</v>
      </c>
      <c r="F250" s="449"/>
      <c r="G250" s="421"/>
      <c r="H250" s="449">
        <v>0</v>
      </c>
      <c r="I250" s="449"/>
      <c r="J250" s="426"/>
      <c r="K250" s="421"/>
      <c r="L250" s="449"/>
      <c r="M250" s="449"/>
      <c r="N250" s="449"/>
      <c r="O250" s="449"/>
      <c r="P250" s="449"/>
      <c r="Q250" s="449"/>
      <c r="R250" s="449"/>
      <c r="S250" s="449"/>
      <c r="T250" s="449"/>
      <c r="U250" s="449"/>
      <c r="V250" s="449"/>
      <c r="W250" s="449"/>
      <c r="X250" s="449"/>
      <c r="Y250" s="449">
        <v>0</v>
      </c>
      <c r="Z250" s="531"/>
      <c r="AA250" s="449"/>
      <c r="AB250" s="449"/>
      <c r="AC250" s="449"/>
      <c r="AD250" s="449"/>
      <c r="AE250" s="449"/>
      <c r="AF250" s="449"/>
      <c r="AG250" s="449"/>
      <c r="AH250" s="449"/>
      <c r="AI250" s="449"/>
      <c r="AJ250" s="449"/>
      <c r="AK250" s="449"/>
      <c r="AL250" s="449"/>
      <c r="AN250" s="500"/>
      <c r="AO250" s="449"/>
      <c r="AP250" s="449"/>
      <c r="AQ250" s="453"/>
      <c r="AR250" s="449">
        <v>0</v>
      </c>
      <c r="AS250" s="449"/>
      <c r="AT250" s="426"/>
      <c r="AU250" s="421"/>
      <c r="AV250" s="449"/>
      <c r="AW250" s="449"/>
      <c r="AX250" s="449"/>
      <c r="AY250" s="449"/>
      <c r="AZ250" s="449"/>
      <c r="BA250" s="449"/>
      <c r="BB250" s="449"/>
      <c r="BC250" s="449"/>
      <c r="BD250" s="449"/>
      <c r="BE250" s="449"/>
      <c r="BF250" s="449"/>
      <c r="BG250" s="449"/>
      <c r="BH250" s="531"/>
      <c r="BI250" s="449"/>
      <c r="BJ250" s="449"/>
      <c r="BK250" s="449"/>
      <c r="BL250" s="449"/>
      <c r="BM250" s="449"/>
      <c r="BN250" s="449"/>
      <c r="BO250" s="449"/>
      <c r="BP250" s="449"/>
      <c r="BQ250" s="449"/>
      <c r="BR250" s="449"/>
      <c r="BS250" s="449"/>
      <c r="BT250" s="449"/>
    </row>
    <row r="251" spans="1:74" ht="15" hidden="1" x14ac:dyDescent="0.25">
      <c r="A251" s="502" t="s">
        <v>419</v>
      </c>
      <c r="B251" s="502" t="s">
        <v>420</v>
      </c>
      <c r="C251" s="541"/>
      <c r="D251" s="500"/>
      <c r="E251" s="449">
        <v>0</v>
      </c>
      <c r="F251" s="449"/>
      <c r="G251" s="421"/>
      <c r="H251" s="449">
        <v>0</v>
      </c>
      <c r="I251" s="449"/>
      <c r="J251" s="426"/>
      <c r="K251" s="421"/>
      <c r="L251" s="449"/>
      <c r="M251" s="449"/>
      <c r="N251" s="449"/>
      <c r="O251" s="449"/>
      <c r="P251" s="449"/>
      <c r="Q251" s="449"/>
      <c r="R251" s="449"/>
      <c r="S251" s="449"/>
      <c r="T251" s="449"/>
      <c r="U251" s="449"/>
      <c r="V251" s="449"/>
      <c r="W251" s="449"/>
      <c r="X251" s="449"/>
      <c r="Y251" s="449">
        <v>0</v>
      </c>
      <c r="Z251" s="531"/>
      <c r="AA251" s="449"/>
      <c r="AB251" s="449"/>
      <c r="AC251" s="449"/>
      <c r="AD251" s="449"/>
      <c r="AE251" s="449"/>
      <c r="AF251" s="449"/>
      <c r="AG251" s="449"/>
      <c r="AH251" s="449"/>
      <c r="AI251" s="449"/>
      <c r="AJ251" s="449"/>
      <c r="AK251" s="449"/>
      <c r="AL251" s="449"/>
      <c r="AN251" s="500"/>
      <c r="AO251" s="449"/>
      <c r="AP251" s="449"/>
      <c r="AQ251" s="453"/>
      <c r="AR251" s="449">
        <v>0</v>
      </c>
      <c r="AS251" s="449"/>
      <c r="AT251" s="426"/>
      <c r="AU251" s="421"/>
      <c r="AV251" s="449"/>
      <c r="AW251" s="449"/>
      <c r="AX251" s="449"/>
      <c r="AY251" s="449"/>
      <c r="AZ251" s="449"/>
      <c r="BA251" s="449"/>
      <c r="BB251" s="449"/>
      <c r="BC251" s="449"/>
      <c r="BD251" s="449"/>
      <c r="BE251" s="449"/>
      <c r="BF251" s="449"/>
      <c r="BG251" s="449"/>
      <c r="BH251" s="531"/>
      <c r="BI251" s="449"/>
      <c r="BJ251" s="449"/>
      <c r="BK251" s="449"/>
      <c r="BL251" s="449"/>
      <c r="BM251" s="449"/>
      <c r="BN251" s="449"/>
      <c r="BO251" s="449"/>
      <c r="BP251" s="449"/>
      <c r="BQ251" s="449"/>
      <c r="BR251" s="449"/>
      <c r="BS251" s="449"/>
      <c r="BT251" s="449"/>
    </row>
    <row r="252" spans="1:74" ht="15" hidden="1" x14ac:dyDescent="0.25">
      <c r="A252" s="587" t="s">
        <v>421</v>
      </c>
      <c r="B252" s="502" t="s">
        <v>422</v>
      </c>
      <c r="C252" s="541"/>
      <c r="D252" s="500"/>
      <c r="E252" s="449">
        <v>0</v>
      </c>
      <c r="F252" s="449"/>
      <c r="G252" s="421"/>
      <c r="H252" s="449">
        <v>0</v>
      </c>
      <c r="I252" s="449"/>
      <c r="J252" s="426"/>
      <c r="K252" s="421"/>
      <c r="L252" s="449"/>
      <c r="M252" s="449"/>
      <c r="N252" s="449"/>
      <c r="O252" s="449"/>
      <c r="P252" s="449"/>
      <c r="Q252" s="449"/>
      <c r="R252" s="449"/>
      <c r="S252" s="449"/>
      <c r="T252" s="449"/>
      <c r="U252" s="449"/>
      <c r="V252" s="449"/>
      <c r="W252" s="449"/>
      <c r="X252" s="449"/>
      <c r="Y252" s="449">
        <v>0</v>
      </c>
      <c r="Z252" s="531"/>
      <c r="AA252" s="449"/>
      <c r="AB252" s="449"/>
      <c r="AC252" s="449"/>
      <c r="AD252" s="449"/>
      <c r="AE252" s="449"/>
      <c r="AF252" s="449"/>
      <c r="AG252" s="449"/>
      <c r="AH252" s="449"/>
      <c r="AI252" s="449"/>
      <c r="AJ252" s="449"/>
      <c r="AK252" s="449"/>
      <c r="AL252" s="449"/>
      <c r="AN252" s="500"/>
      <c r="AO252" s="449"/>
      <c r="AP252" s="449"/>
      <c r="AQ252" s="453"/>
      <c r="AR252" s="449">
        <v>0</v>
      </c>
      <c r="AS252" s="449"/>
      <c r="AT252" s="426"/>
      <c r="AU252" s="421"/>
      <c r="AV252" s="449"/>
      <c r="AW252" s="449"/>
      <c r="AX252" s="449"/>
      <c r="AY252" s="449"/>
      <c r="AZ252" s="449"/>
      <c r="BA252" s="449"/>
      <c r="BB252" s="449"/>
      <c r="BC252" s="449"/>
      <c r="BD252" s="449"/>
      <c r="BE252" s="449"/>
      <c r="BF252" s="449"/>
      <c r="BG252" s="449"/>
      <c r="BH252" s="531"/>
      <c r="BI252" s="449"/>
      <c r="BJ252" s="449"/>
      <c r="BK252" s="449"/>
      <c r="BL252" s="449"/>
      <c r="BM252" s="449"/>
      <c r="BN252" s="449"/>
      <c r="BO252" s="449"/>
      <c r="BP252" s="449"/>
      <c r="BQ252" s="449"/>
      <c r="BR252" s="449"/>
      <c r="BS252" s="449"/>
      <c r="BT252" s="449"/>
    </row>
    <row r="253" spans="1:74" ht="15" hidden="1" x14ac:dyDescent="0.25">
      <c r="A253" s="587" t="s">
        <v>423</v>
      </c>
      <c r="B253" s="502" t="s">
        <v>424</v>
      </c>
      <c r="C253" s="541"/>
      <c r="D253" s="500"/>
      <c r="E253" s="449">
        <v>0</v>
      </c>
      <c r="F253" s="449"/>
      <c r="G253" s="421"/>
      <c r="H253" s="449">
        <v>0</v>
      </c>
      <c r="I253" s="449"/>
      <c r="J253" s="426"/>
      <c r="K253" s="421"/>
      <c r="L253" s="449"/>
      <c r="M253" s="449"/>
      <c r="N253" s="449"/>
      <c r="O253" s="449"/>
      <c r="P253" s="449"/>
      <c r="Q253" s="449"/>
      <c r="R253" s="449"/>
      <c r="S253" s="449"/>
      <c r="T253" s="449"/>
      <c r="U253" s="449"/>
      <c r="V253" s="449"/>
      <c r="W253" s="449"/>
      <c r="X253" s="449"/>
      <c r="Y253" s="449">
        <v>0</v>
      </c>
      <c r="Z253" s="531"/>
      <c r="AA253" s="449"/>
      <c r="AB253" s="449"/>
      <c r="AC253" s="449"/>
      <c r="AD253" s="449"/>
      <c r="AE253" s="449"/>
      <c r="AF253" s="449"/>
      <c r="AG253" s="449"/>
      <c r="AH253" s="449"/>
      <c r="AI253" s="449"/>
      <c r="AJ253" s="449"/>
      <c r="AK253" s="449"/>
      <c r="AL253" s="449"/>
      <c r="AN253" s="500"/>
      <c r="AO253" s="449"/>
      <c r="AP253" s="449"/>
      <c r="AQ253" s="453"/>
      <c r="AR253" s="449">
        <v>0</v>
      </c>
      <c r="AS253" s="449"/>
      <c r="AT253" s="426"/>
      <c r="AU253" s="421"/>
      <c r="AV253" s="449"/>
      <c r="AW253" s="449"/>
      <c r="AX253" s="449"/>
      <c r="AY253" s="449"/>
      <c r="AZ253" s="449"/>
      <c r="BA253" s="449"/>
      <c r="BB253" s="449"/>
      <c r="BC253" s="449"/>
      <c r="BD253" s="449"/>
      <c r="BE253" s="449"/>
      <c r="BF253" s="449"/>
      <c r="BG253" s="449"/>
      <c r="BH253" s="531"/>
      <c r="BI253" s="449"/>
      <c r="BJ253" s="449"/>
      <c r="BK253" s="449"/>
      <c r="BL253" s="449"/>
      <c r="BM253" s="449"/>
      <c r="BN253" s="449"/>
      <c r="BO253" s="449"/>
      <c r="BP253" s="449"/>
      <c r="BQ253" s="449"/>
      <c r="BR253" s="449"/>
      <c r="BS253" s="449"/>
      <c r="BT253" s="449"/>
    </row>
    <row r="254" spans="1:74" ht="15" hidden="1" x14ac:dyDescent="0.25">
      <c r="A254" s="502" t="s">
        <v>425</v>
      </c>
      <c r="B254" s="502" t="s">
        <v>426</v>
      </c>
      <c r="C254" s="541"/>
      <c r="D254" s="500"/>
      <c r="E254" s="449">
        <v>0</v>
      </c>
      <c r="F254" s="449"/>
      <c r="G254" s="421"/>
      <c r="H254" s="449">
        <v>0</v>
      </c>
      <c r="I254" s="449"/>
      <c r="J254" s="426"/>
      <c r="K254" s="421"/>
      <c r="L254" s="449"/>
      <c r="M254" s="449"/>
      <c r="N254" s="449"/>
      <c r="O254" s="449"/>
      <c r="P254" s="449"/>
      <c r="Q254" s="449"/>
      <c r="R254" s="449"/>
      <c r="S254" s="449"/>
      <c r="T254" s="449"/>
      <c r="U254" s="449"/>
      <c r="V254" s="449"/>
      <c r="W254" s="449"/>
      <c r="X254" s="449"/>
      <c r="Y254" s="449">
        <v>0</v>
      </c>
      <c r="Z254" s="531"/>
      <c r="AA254" s="449"/>
      <c r="AB254" s="449"/>
      <c r="AC254" s="449"/>
      <c r="AD254" s="449"/>
      <c r="AE254" s="449"/>
      <c r="AF254" s="449"/>
      <c r="AG254" s="449"/>
      <c r="AH254" s="449"/>
      <c r="AI254" s="449"/>
      <c r="AJ254" s="449"/>
      <c r="AK254" s="449"/>
      <c r="AL254" s="449"/>
      <c r="AN254" s="500"/>
      <c r="AO254" s="449"/>
      <c r="AP254" s="449"/>
      <c r="AQ254" s="453"/>
      <c r="AR254" s="449">
        <v>0</v>
      </c>
      <c r="AS254" s="449"/>
      <c r="AT254" s="426"/>
      <c r="AU254" s="421"/>
      <c r="AV254" s="449"/>
      <c r="AW254" s="449"/>
      <c r="AX254" s="449"/>
      <c r="AY254" s="449"/>
      <c r="AZ254" s="449"/>
      <c r="BA254" s="449"/>
      <c r="BB254" s="449"/>
      <c r="BC254" s="449"/>
      <c r="BD254" s="449"/>
      <c r="BE254" s="449"/>
      <c r="BF254" s="449"/>
      <c r="BG254" s="449"/>
      <c r="BH254" s="531"/>
      <c r="BI254" s="449"/>
      <c r="BJ254" s="449"/>
      <c r="BK254" s="449"/>
      <c r="BL254" s="449"/>
      <c r="BM254" s="449"/>
      <c r="BN254" s="449"/>
      <c r="BO254" s="449"/>
      <c r="BP254" s="449"/>
      <c r="BQ254" s="449"/>
      <c r="BR254" s="449"/>
      <c r="BS254" s="449"/>
      <c r="BT254" s="449"/>
    </row>
    <row r="255" spans="1:74" ht="15" hidden="1" x14ac:dyDescent="0.25">
      <c r="A255" s="502" t="s">
        <v>427</v>
      </c>
      <c r="B255" s="502" t="s">
        <v>428</v>
      </c>
      <c r="C255" s="541"/>
      <c r="D255" s="500"/>
      <c r="E255" s="449">
        <v>0</v>
      </c>
      <c r="F255" s="449"/>
      <c r="G255" s="421"/>
      <c r="H255" s="449">
        <v>0</v>
      </c>
      <c r="I255" s="449"/>
      <c r="J255" s="426"/>
      <c r="K255" s="421"/>
      <c r="L255" s="449"/>
      <c r="M255" s="449"/>
      <c r="N255" s="449"/>
      <c r="O255" s="449"/>
      <c r="P255" s="449"/>
      <c r="Q255" s="449"/>
      <c r="R255" s="449"/>
      <c r="S255" s="449"/>
      <c r="T255" s="449"/>
      <c r="U255" s="449"/>
      <c r="V255" s="449"/>
      <c r="W255" s="449"/>
      <c r="X255" s="449"/>
      <c r="Y255" s="449">
        <v>0</v>
      </c>
      <c r="Z255" s="531"/>
      <c r="AA255" s="449"/>
      <c r="AB255" s="449"/>
      <c r="AC255" s="449"/>
      <c r="AD255" s="449"/>
      <c r="AE255" s="449"/>
      <c r="AF255" s="449"/>
      <c r="AG255" s="449"/>
      <c r="AH255" s="449"/>
      <c r="AI255" s="449"/>
      <c r="AJ255" s="449"/>
      <c r="AK255" s="449"/>
      <c r="AL255" s="449"/>
      <c r="AN255" s="500"/>
      <c r="AO255" s="449"/>
      <c r="AP255" s="449"/>
      <c r="AQ255" s="453"/>
      <c r="AR255" s="449">
        <v>0</v>
      </c>
      <c r="AS255" s="449"/>
      <c r="AT255" s="426"/>
      <c r="AU255" s="421"/>
      <c r="AV255" s="449"/>
      <c r="AW255" s="449"/>
      <c r="AX255" s="449"/>
      <c r="AY255" s="449"/>
      <c r="AZ255" s="449"/>
      <c r="BA255" s="449"/>
      <c r="BB255" s="449"/>
      <c r="BC255" s="449"/>
      <c r="BD255" s="449"/>
      <c r="BE255" s="449"/>
      <c r="BF255" s="449"/>
      <c r="BG255" s="449"/>
      <c r="BH255" s="531"/>
      <c r="BI255" s="449"/>
      <c r="BJ255" s="449"/>
      <c r="BK255" s="449"/>
      <c r="BL255" s="449"/>
      <c r="BM255" s="449"/>
      <c r="BN255" s="449"/>
      <c r="BO255" s="449"/>
      <c r="BP255" s="449"/>
      <c r="BQ255" s="449"/>
      <c r="BR255" s="449"/>
      <c r="BS255" s="449"/>
      <c r="BT255" s="449"/>
    </row>
    <row r="256" spans="1:74" ht="15" hidden="1" x14ac:dyDescent="0.25">
      <c r="A256" s="502" t="s">
        <v>429</v>
      </c>
      <c r="B256" s="502" t="s">
        <v>430</v>
      </c>
      <c r="C256" s="541"/>
      <c r="D256" s="500"/>
      <c r="E256" s="449">
        <v>0</v>
      </c>
      <c r="F256" s="449"/>
      <c r="G256" s="421"/>
      <c r="H256" s="449">
        <v>0</v>
      </c>
      <c r="I256" s="449"/>
      <c r="J256" s="426"/>
      <c r="K256" s="421"/>
      <c r="L256" s="449"/>
      <c r="M256" s="449"/>
      <c r="N256" s="449"/>
      <c r="O256" s="449"/>
      <c r="P256" s="449"/>
      <c r="Q256" s="449"/>
      <c r="R256" s="449"/>
      <c r="S256" s="449"/>
      <c r="T256" s="449"/>
      <c r="U256" s="449"/>
      <c r="V256" s="449"/>
      <c r="W256" s="449"/>
      <c r="X256" s="449"/>
      <c r="Y256" s="449">
        <v>0</v>
      </c>
      <c r="Z256" s="531"/>
      <c r="AA256" s="449"/>
      <c r="AB256" s="449"/>
      <c r="AC256" s="449"/>
      <c r="AD256" s="449"/>
      <c r="AE256" s="449"/>
      <c r="AF256" s="449"/>
      <c r="AG256" s="449"/>
      <c r="AH256" s="449"/>
      <c r="AI256" s="449"/>
      <c r="AJ256" s="449"/>
      <c r="AK256" s="449"/>
      <c r="AL256" s="449"/>
      <c r="AN256" s="500"/>
      <c r="AO256" s="449"/>
      <c r="AP256" s="449"/>
      <c r="AQ256" s="453"/>
      <c r="AR256" s="449">
        <v>0</v>
      </c>
      <c r="AS256" s="449"/>
      <c r="AT256" s="426"/>
      <c r="AU256" s="421"/>
      <c r="AV256" s="449"/>
      <c r="AW256" s="449"/>
      <c r="AX256" s="449"/>
      <c r="AY256" s="449"/>
      <c r="AZ256" s="449"/>
      <c r="BA256" s="449"/>
      <c r="BB256" s="449"/>
      <c r="BC256" s="449"/>
      <c r="BD256" s="449"/>
      <c r="BE256" s="449"/>
      <c r="BF256" s="449"/>
      <c r="BG256" s="449"/>
      <c r="BH256" s="531"/>
      <c r="BI256" s="449"/>
      <c r="BJ256" s="449"/>
      <c r="BK256" s="449"/>
      <c r="BL256" s="449"/>
      <c r="BM256" s="449"/>
      <c r="BN256" s="449"/>
      <c r="BO256" s="449"/>
      <c r="BP256" s="449"/>
      <c r="BQ256" s="449"/>
      <c r="BR256" s="449"/>
      <c r="BS256" s="449"/>
      <c r="BT256" s="449"/>
    </row>
    <row r="257" spans="1:74" ht="15" hidden="1" x14ac:dyDescent="0.25">
      <c r="A257" s="502" t="s">
        <v>431</v>
      </c>
      <c r="B257" s="502" t="s">
        <v>432</v>
      </c>
      <c r="C257" s="541"/>
      <c r="D257" s="500"/>
      <c r="E257" s="449">
        <v>0</v>
      </c>
      <c r="F257" s="449"/>
      <c r="G257" s="421"/>
      <c r="H257" s="449">
        <v>0</v>
      </c>
      <c r="I257" s="449"/>
      <c r="J257" s="426"/>
      <c r="K257" s="421"/>
      <c r="L257" s="449"/>
      <c r="M257" s="449"/>
      <c r="N257" s="449"/>
      <c r="O257" s="449"/>
      <c r="P257" s="449"/>
      <c r="Q257" s="449"/>
      <c r="R257" s="449"/>
      <c r="S257" s="449"/>
      <c r="T257" s="449"/>
      <c r="U257" s="449"/>
      <c r="V257" s="449"/>
      <c r="W257" s="449"/>
      <c r="X257" s="449"/>
      <c r="Y257" s="449">
        <v>0</v>
      </c>
      <c r="Z257" s="531"/>
      <c r="AA257" s="449"/>
      <c r="AB257" s="449"/>
      <c r="AC257" s="449"/>
      <c r="AD257" s="449"/>
      <c r="AE257" s="449"/>
      <c r="AF257" s="449"/>
      <c r="AG257" s="449"/>
      <c r="AH257" s="449"/>
      <c r="AI257" s="449"/>
      <c r="AJ257" s="449"/>
      <c r="AK257" s="449"/>
      <c r="AL257" s="449"/>
      <c r="AN257" s="500"/>
      <c r="AO257" s="449"/>
      <c r="AP257" s="449"/>
      <c r="AQ257" s="453"/>
      <c r="AR257" s="449">
        <v>0</v>
      </c>
      <c r="AS257" s="449"/>
      <c r="AT257" s="426"/>
      <c r="AU257" s="421"/>
      <c r="AV257" s="449"/>
      <c r="AW257" s="449"/>
      <c r="AX257" s="449"/>
      <c r="AY257" s="449"/>
      <c r="AZ257" s="449"/>
      <c r="BA257" s="449"/>
      <c r="BB257" s="449"/>
      <c r="BC257" s="449"/>
      <c r="BD257" s="449"/>
      <c r="BE257" s="449"/>
      <c r="BF257" s="449"/>
      <c r="BG257" s="449"/>
      <c r="BH257" s="531"/>
      <c r="BI257" s="449"/>
      <c r="BJ257" s="449"/>
      <c r="BK257" s="449"/>
      <c r="BL257" s="449"/>
      <c r="BM257" s="449"/>
      <c r="BN257" s="449"/>
      <c r="BO257" s="449"/>
      <c r="BP257" s="449"/>
      <c r="BQ257" s="449"/>
      <c r="BR257" s="449"/>
      <c r="BS257" s="449"/>
      <c r="BT257" s="449"/>
    </row>
    <row r="258" spans="1:74" ht="15" hidden="1" x14ac:dyDescent="0.25">
      <c r="A258" s="502" t="s">
        <v>433</v>
      </c>
      <c r="B258" s="502" t="s">
        <v>434</v>
      </c>
      <c r="C258" s="541"/>
      <c r="D258" s="500"/>
      <c r="E258" s="449">
        <v>0</v>
      </c>
      <c r="F258" s="449"/>
      <c r="G258" s="421"/>
      <c r="H258" s="449">
        <v>0</v>
      </c>
      <c r="I258" s="449"/>
      <c r="J258" s="426"/>
      <c r="K258" s="421"/>
      <c r="L258" s="449"/>
      <c r="M258" s="449"/>
      <c r="N258" s="449"/>
      <c r="O258" s="449"/>
      <c r="P258" s="449"/>
      <c r="Q258" s="449"/>
      <c r="R258" s="449"/>
      <c r="S258" s="449"/>
      <c r="T258" s="449"/>
      <c r="U258" s="449"/>
      <c r="V258" s="449"/>
      <c r="W258" s="449"/>
      <c r="X258" s="449"/>
      <c r="Y258" s="449">
        <v>0</v>
      </c>
      <c r="Z258" s="531"/>
      <c r="AA258" s="449"/>
      <c r="AB258" s="449"/>
      <c r="AC258" s="449"/>
      <c r="AD258" s="449"/>
      <c r="AE258" s="449"/>
      <c r="AF258" s="449"/>
      <c r="AG258" s="449"/>
      <c r="AH258" s="449"/>
      <c r="AI258" s="449"/>
      <c r="AJ258" s="449"/>
      <c r="AK258" s="449"/>
      <c r="AL258" s="449"/>
      <c r="AN258" s="500"/>
      <c r="AO258" s="449"/>
      <c r="AP258" s="449"/>
      <c r="AQ258" s="453"/>
      <c r="AR258" s="449">
        <v>0</v>
      </c>
      <c r="AS258" s="449"/>
      <c r="AT258" s="426"/>
      <c r="AU258" s="421"/>
      <c r="AV258" s="449"/>
      <c r="AW258" s="449"/>
      <c r="AX258" s="449"/>
      <c r="AY258" s="449"/>
      <c r="AZ258" s="449"/>
      <c r="BA258" s="449"/>
      <c r="BB258" s="449"/>
      <c r="BC258" s="449"/>
      <c r="BD258" s="449"/>
      <c r="BE258" s="449"/>
      <c r="BF258" s="449"/>
      <c r="BG258" s="449"/>
      <c r="BH258" s="531"/>
      <c r="BI258" s="449"/>
      <c r="BJ258" s="449"/>
      <c r="BK258" s="449"/>
      <c r="BL258" s="449"/>
      <c r="BM258" s="449"/>
      <c r="BN258" s="449"/>
      <c r="BO258" s="449"/>
      <c r="BP258" s="449"/>
      <c r="BQ258" s="449"/>
      <c r="BR258" s="449"/>
      <c r="BS258" s="449"/>
      <c r="BT258" s="449"/>
    </row>
    <row r="259" spans="1:74" ht="15" hidden="1" x14ac:dyDescent="0.25">
      <c r="A259" s="502" t="s">
        <v>435</v>
      </c>
      <c r="B259" s="502" t="s">
        <v>436</v>
      </c>
      <c r="C259" s="541"/>
      <c r="D259" s="500"/>
      <c r="E259" s="449">
        <v>0</v>
      </c>
      <c r="F259" s="449"/>
      <c r="G259" s="421"/>
      <c r="H259" s="449">
        <v>0</v>
      </c>
      <c r="I259" s="449"/>
      <c r="J259" s="426"/>
      <c r="K259" s="421"/>
      <c r="L259" s="449"/>
      <c r="M259" s="449"/>
      <c r="N259" s="449"/>
      <c r="O259" s="449"/>
      <c r="P259" s="449"/>
      <c r="Q259" s="449"/>
      <c r="R259" s="449"/>
      <c r="S259" s="449"/>
      <c r="T259" s="449"/>
      <c r="U259" s="449"/>
      <c r="V259" s="449"/>
      <c r="W259" s="449"/>
      <c r="X259" s="449"/>
      <c r="Y259" s="449">
        <v>0</v>
      </c>
      <c r="Z259" s="531"/>
      <c r="AA259" s="449"/>
      <c r="AB259" s="449"/>
      <c r="AC259" s="449"/>
      <c r="AD259" s="449"/>
      <c r="AE259" s="449"/>
      <c r="AF259" s="449"/>
      <c r="AG259" s="449"/>
      <c r="AH259" s="449"/>
      <c r="AI259" s="449"/>
      <c r="AJ259" s="449"/>
      <c r="AK259" s="449"/>
      <c r="AL259" s="449"/>
      <c r="AN259" s="500"/>
      <c r="AO259" s="449"/>
      <c r="AP259" s="449"/>
      <c r="AQ259" s="453"/>
      <c r="AR259" s="449">
        <v>0</v>
      </c>
      <c r="AS259" s="449"/>
      <c r="AT259" s="426"/>
      <c r="AU259" s="421"/>
      <c r="AV259" s="449"/>
      <c r="AW259" s="449"/>
      <c r="AX259" s="449"/>
      <c r="AY259" s="449"/>
      <c r="AZ259" s="449"/>
      <c r="BA259" s="449"/>
      <c r="BB259" s="449"/>
      <c r="BC259" s="449"/>
      <c r="BD259" s="449"/>
      <c r="BE259" s="449"/>
      <c r="BF259" s="449"/>
      <c r="BG259" s="449"/>
      <c r="BH259" s="531"/>
      <c r="BI259" s="449"/>
      <c r="BJ259" s="449"/>
      <c r="BK259" s="449"/>
      <c r="BL259" s="449"/>
      <c r="BM259" s="449"/>
      <c r="BN259" s="449"/>
      <c r="BO259" s="449"/>
      <c r="BP259" s="449"/>
      <c r="BQ259" s="449"/>
      <c r="BR259" s="449"/>
      <c r="BS259" s="449"/>
      <c r="BT259" s="449"/>
    </row>
    <row r="260" spans="1:74" ht="15" x14ac:dyDescent="0.25">
      <c r="A260" s="502" t="s">
        <v>437</v>
      </c>
      <c r="B260" s="502" t="s">
        <v>438</v>
      </c>
      <c r="C260" s="538"/>
      <c r="D260" s="500">
        <f>SUM(L260:W260)</f>
        <v>0</v>
      </c>
      <c r="E260" s="449">
        <v>0</v>
      </c>
      <c r="F260" s="449">
        <f>IFERROR(D260-E260,0)</f>
        <v>0</v>
      </c>
      <c r="G260" s="421">
        <f>IFERROR(F260/ABS(E260),0)</f>
        <v>0</v>
      </c>
      <c r="H260" s="449">
        <v>0</v>
      </c>
      <c r="I260" s="449">
        <f>IFERROR(D260-H260,0)</f>
        <v>0</v>
      </c>
      <c r="J260" s="426">
        <f>IFERROR(I260/ABS(H260),0)</f>
        <v>0</v>
      </c>
      <c r="K260" s="421"/>
      <c r="L260" s="449">
        <v>0</v>
      </c>
      <c r="M260" s="449">
        <v>0</v>
      </c>
      <c r="N260" s="449">
        <v>0</v>
      </c>
      <c r="O260" s="449">
        <v>0</v>
      </c>
      <c r="P260" s="449">
        <v>0</v>
      </c>
      <c r="Q260" s="449">
        <v>0</v>
      </c>
      <c r="R260" s="449">
        <f>($H260-SUM($L260:Q260))/R$694</f>
        <v>0</v>
      </c>
      <c r="S260" s="449">
        <f>($H260-SUM($L260:R260))/S$694</f>
        <v>0</v>
      </c>
      <c r="T260" s="449">
        <f>($H260-SUM($L260:S260))/T$694</f>
        <v>0</v>
      </c>
      <c r="U260" s="449">
        <f>($H260-SUM($L260:T260))/U$694</f>
        <v>0</v>
      </c>
      <c r="V260" s="449">
        <f>($H260-SUM($L260:U260))/V$694</f>
        <v>0</v>
      </c>
      <c r="W260" s="449">
        <f>($H260-SUM($L260:V260))/W$694</f>
        <v>0</v>
      </c>
      <c r="X260" s="449"/>
      <c r="Y260" s="449">
        <f>SUM(L260:W260)</f>
        <v>0</v>
      </c>
      <c r="Z260" s="531"/>
      <c r="AA260" s="449">
        <f t="shared" ref="AA260:AL262" si="252">IFERROR($H260/12,0)</f>
        <v>0</v>
      </c>
      <c r="AB260" s="449">
        <f t="shared" si="252"/>
        <v>0</v>
      </c>
      <c r="AC260" s="449">
        <f t="shared" si="252"/>
        <v>0</v>
      </c>
      <c r="AD260" s="449">
        <f t="shared" si="252"/>
        <v>0</v>
      </c>
      <c r="AE260" s="449">
        <f t="shared" si="252"/>
        <v>0</v>
      </c>
      <c r="AF260" s="449">
        <f t="shared" si="252"/>
        <v>0</v>
      </c>
      <c r="AG260" s="449">
        <f t="shared" si="252"/>
        <v>0</v>
      </c>
      <c r="AH260" s="449">
        <f t="shared" si="252"/>
        <v>0</v>
      </c>
      <c r="AI260" s="449">
        <f t="shared" si="252"/>
        <v>0</v>
      </c>
      <c r="AJ260" s="449">
        <f t="shared" si="252"/>
        <v>0</v>
      </c>
      <c r="AK260" s="449">
        <f t="shared" si="252"/>
        <v>0</v>
      </c>
      <c r="AL260" s="449">
        <f t="shared" si="252"/>
        <v>0</v>
      </c>
      <c r="AN260" s="500">
        <f>SUM(L260:W260)</f>
        <v>0</v>
      </c>
      <c r="AO260" s="449">
        <f>SUM(BI260:BT260)</f>
        <v>0</v>
      </c>
      <c r="AP260" s="449">
        <f>IFERROR(AO260-AN260,0)</f>
        <v>0</v>
      </c>
      <c r="AQ260" s="453" t="str">
        <f>IFERROR(AP260/ABS(AN260),"-")</f>
        <v>-</v>
      </c>
      <c r="AR260" s="449">
        <f>SUM(BI260:BT260)</f>
        <v>0</v>
      </c>
      <c r="AS260" s="449">
        <f>IFERROR(AO260-AR260,0)</f>
        <v>0</v>
      </c>
      <c r="AT260" s="426">
        <f>IFERROR(AS260/ABS(AR260),0)</f>
        <v>0</v>
      </c>
      <c r="AU260" s="421"/>
      <c r="AV260" s="449">
        <f t="shared" ref="AV260:BG262" si="253">BI260</f>
        <v>0</v>
      </c>
      <c r="AW260" s="449">
        <f t="shared" si="253"/>
        <v>0</v>
      </c>
      <c r="AX260" s="449">
        <f t="shared" si="253"/>
        <v>0</v>
      </c>
      <c r="AY260" s="449">
        <f t="shared" si="253"/>
        <v>0</v>
      </c>
      <c r="AZ260" s="449">
        <f t="shared" si="253"/>
        <v>0</v>
      </c>
      <c r="BA260" s="449">
        <f t="shared" si="253"/>
        <v>0</v>
      </c>
      <c r="BB260" s="449">
        <f t="shared" si="253"/>
        <v>0</v>
      </c>
      <c r="BC260" s="449">
        <f t="shared" si="253"/>
        <v>0</v>
      </c>
      <c r="BD260" s="449">
        <f t="shared" si="253"/>
        <v>0</v>
      </c>
      <c r="BE260" s="449">
        <f t="shared" si="253"/>
        <v>0</v>
      </c>
      <c r="BF260" s="449">
        <f t="shared" si="253"/>
        <v>0</v>
      </c>
      <c r="BG260" s="449">
        <f t="shared" si="253"/>
        <v>0</v>
      </c>
      <c r="BH260" s="400"/>
      <c r="BI260" s="449">
        <f t="shared" ref="BI260:BT262" si="254">IFERROR((($H260/$H$5)*BI$5)/12,0)</f>
        <v>0</v>
      </c>
      <c r="BJ260" s="449">
        <f t="shared" si="254"/>
        <v>0</v>
      </c>
      <c r="BK260" s="449">
        <f t="shared" si="254"/>
        <v>0</v>
      </c>
      <c r="BL260" s="449">
        <f t="shared" si="254"/>
        <v>0</v>
      </c>
      <c r="BM260" s="449">
        <f t="shared" si="254"/>
        <v>0</v>
      </c>
      <c r="BN260" s="449">
        <f t="shared" si="254"/>
        <v>0</v>
      </c>
      <c r="BO260" s="449">
        <f t="shared" si="254"/>
        <v>0</v>
      </c>
      <c r="BP260" s="449">
        <f t="shared" si="254"/>
        <v>0</v>
      </c>
      <c r="BQ260" s="449">
        <f t="shared" si="254"/>
        <v>0</v>
      </c>
      <c r="BR260" s="449">
        <f t="shared" si="254"/>
        <v>0</v>
      </c>
      <c r="BS260" s="449">
        <f t="shared" si="254"/>
        <v>0</v>
      </c>
      <c r="BT260" s="449">
        <f t="shared" si="254"/>
        <v>0</v>
      </c>
    </row>
    <row r="261" spans="1:74" ht="15" x14ac:dyDescent="0.25">
      <c r="A261" s="615" t="s">
        <v>439</v>
      </c>
      <c r="B261" s="502" t="s">
        <v>440</v>
      </c>
      <c r="C261" s="538" t="s">
        <v>441</v>
      </c>
      <c r="D261" s="500">
        <f>SUM(L261:W261)</f>
        <v>731800</v>
      </c>
      <c r="E261" s="449">
        <v>722424.58169999986</v>
      </c>
      <c r="F261" s="449">
        <f>IFERROR(D261-E261,0)</f>
        <v>9375.4183000001358</v>
      </c>
      <c r="G261" s="421">
        <f>IFERROR(F261/ABS(E261),0)</f>
        <v>1.2977712189607428E-2</v>
      </c>
      <c r="H261" s="449">
        <v>731800</v>
      </c>
      <c r="I261" s="449">
        <f>IFERROR(D261-H261,0)</f>
        <v>0</v>
      </c>
      <c r="J261" s="426">
        <f>IFERROR(I261/ABS(H261),0)</f>
        <v>0</v>
      </c>
      <c r="K261" s="421"/>
      <c r="L261" s="449">
        <v>58221.4</v>
      </c>
      <c r="M261" s="449">
        <v>58221.4</v>
      </c>
      <c r="N261" s="449">
        <v>66502.749999999985</v>
      </c>
      <c r="O261" s="449">
        <v>67135.97</v>
      </c>
      <c r="P261" s="449">
        <v>59755.98000000001</v>
      </c>
      <c r="Q261" s="449">
        <v>61166.119999999995</v>
      </c>
      <c r="R261" s="449">
        <f>($H261-SUM($L261:Q261))/R$694</f>
        <v>60132.73</v>
      </c>
      <c r="S261" s="449">
        <f>($H261-SUM($L261:R261))/S$694</f>
        <v>60132.73</v>
      </c>
      <c r="T261" s="449">
        <f>($H261-SUM($L261:S261))/T$694</f>
        <v>60132.73000000001</v>
      </c>
      <c r="U261" s="449">
        <f>($H261-SUM($L261:T261))/U$694</f>
        <v>60132.730000000018</v>
      </c>
      <c r="V261" s="449">
        <f>($H261-SUM($L261:U261))/V$694</f>
        <v>60132.73000000004</v>
      </c>
      <c r="W261" s="449">
        <f>($H261-SUM($L261:V261))/W$694</f>
        <v>60132.729999999981</v>
      </c>
      <c r="X261" s="449"/>
      <c r="Y261" s="449">
        <f>SUM(L261:W261)</f>
        <v>731800</v>
      </c>
      <c r="Z261" s="531"/>
      <c r="AA261" s="449">
        <f t="shared" si="252"/>
        <v>60983.333333333336</v>
      </c>
      <c r="AB261" s="449">
        <f t="shared" si="252"/>
        <v>60983.333333333336</v>
      </c>
      <c r="AC261" s="449">
        <f t="shared" si="252"/>
        <v>60983.333333333336</v>
      </c>
      <c r="AD261" s="449">
        <f t="shared" si="252"/>
        <v>60983.333333333336</v>
      </c>
      <c r="AE261" s="449">
        <f t="shared" si="252"/>
        <v>60983.333333333336</v>
      </c>
      <c r="AF261" s="449">
        <f t="shared" si="252"/>
        <v>60983.333333333336</v>
      </c>
      <c r="AG261" s="449">
        <f t="shared" si="252"/>
        <v>60983.333333333336</v>
      </c>
      <c r="AH261" s="449">
        <f t="shared" si="252"/>
        <v>60983.333333333336</v>
      </c>
      <c r="AI261" s="449">
        <f t="shared" si="252"/>
        <v>60983.333333333336</v>
      </c>
      <c r="AJ261" s="449">
        <f t="shared" si="252"/>
        <v>60983.333333333336</v>
      </c>
      <c r="AK261" s="449">
        <f t="shared" si="252"/>
        <v>60983.333333333336</v>
      </c>
      <c r="AL261" s="449">
        <f t="shared" si="252"/>
        <v>60983.333333333336</v>
      </c>
      <c r="AN261" s="500">
        <f>SUM(L261:W261)</f>
        <v>731800</v>
      </c>
      <c r="AO261" s="449">
        <f>SUM(BI261:BT261)</f>
        <v>804686.10441767098</v>
      </c>
      <c r="AP261" s="449">
        <f>IFERROR(AO261-AN261,0)</f>
        <v>72886.104417670984</v>
      </c>
      <c r="AQ261" s="453">
        <f>IFERROR(AP261/ABS(AN261),"-")</f>
        <v>9.9598393574297603E-2</v>
      </c>
      <c r="AR261" s="449">
        <f>SUM(BI261:BT261)</f>
        <v>804686.10441767098</v>
      </c>
      <c r="AS261" s="449">
        <f>IFERROR(AO261-AR261,0)</f>
        <v>0</v>
      </c>
      <c r="AT261" s="426">
        <f>IFERROR(AS261/ABS(AR261),0)</f>
        <v>0</v>
      </c>
      <c r="AU261" s="421"/>
      <c r="AV261" s="449">
        <f t="shared" si="253"/>
        <v>67057.175368139229</v>
      </c>
      <c r="AW261" s="449">
        <f t="shared" si="253"/>
        <v>67057.175368139229</v>
      </c>
      <c r="AX261" s="449">
        <f t="shared" si="253"/>
        <v>67057.175368139229</v>
      </c>
      <c r="AY261" s="449">
        <f t="shared" si="253"/>
        <v>67057.175368139229</v>
      </c>
      <c r="AZ261" s="449">
        <f t="shared" si="253"/>
        <v>67057.175368139229</v>
      </c>
      <c r="BA261" s="449">
        <f t="shared" si="253"/>
        <v>67057.175368139229</v>
      </c>
      <c r="BB261" s="449">
        <f t="shared" si="253"/>
        <v>67057.175368139229</v>
      </c>
      <c r="BC261" s="449">
        <f t="shared" si="253"/>
        <v>67057.175368139229</v>
      </c>
      <c r="BD261" s="449">
        <f t="shared" si="253"/>
        <v>67057.175368139229</v>
      </c>
      <c r="BE261" s="449">
        <f t="shared" si="253"/>
        <v>67057.175368139229</v>
      </c>
      <c r="BF261" s="449">
        <f t="shared" si="253"/>
        <v>67057.175368139229</v>
      </c>
      <c r="BG261" s="449">
        <f t="shared" si="253"/>
        <v>67057.175368139229</v>
      </c>
      <c r="BH261" s="400"/>
      <c r="BI261" s="449">
        <f t="shared" si="254"/>
        <v>67057.175368139229</v>
      </c>
      <c r="BJ261" s="449">
        <f t="shared" si="254"/>
        <v>67057.175368139229</v>
      </c>
      <c r="BK261" s="449">
        <f t="shared" si="254"/>
        <v>67057.175368139229</v>
      </c>
      <c r="BL261" s="449">
        <f t="shared" si="254"/>
        <v>67057.175368139229</v>
      </c>
      <c r="BM261" s="449">
        <f t="shared" si="254"/>
        <v>67057.175368139229</v>
      </c>
      <c r="BN261" s="449">
        <f t="shared" si="254"/>
        <v>67057.175368139229</v>
      </c>
      <c r="BO261" s="449">
        <f t="shared" si="254"/>
        <v>67057.175368139229</v>
      </c>
      <c r="BP261" s="449">
        <f t="shared" si="254"/>
        <v>67057.175368139229</v>
      </c>
      <c r="BQ261" s="449">
        <f t="shared" si="254"/>
        <v>67057.175368139229</v>
      </c>
      <c r="BR261" s="449">
        <f t="shared" si="254"/>
        <v>67057.175368139229</v>
      </c>
      <c r="BS261" s="449">
        <f t="shared" si="254"/>
        <v>67057.175368139229</v>
      </c>
      <c r="BT261" s="449">
        <f t="shared" si="254"/>
        <v>67057.175368139229</v>
      </c>
    </row>
    <row r="262" spans="1:74" ht="15" x14ac:dyDescent="0.25">
      <c r="A262" s="502" t="s">
        <v>442</v>
      </c>
      <c r="B262" s="612" t="s">
        <v>443</v>
      </c>
      <c r="C262" s="596"/>
      <c r="D262" s="500">
        <f>SUM(L262:W262)</f>
        <v>0</v>
      </c>
      <c r="E262" s="449">
        <v>0</v>
      </c>
      <c r="F262" s="449">
        <f>IFERROR(D262-E262,0)</f>
        <v>0</v>
      </c>
      <c r="G262" s="421">
        <f>IFERROR(F262/ABS(E262),0)</f>
        <v>0</v>
      </c>
      <c r="H262" s="449">
        <v>0</v>
      </c>
      <c r="I262" s="449">
        <f>IFERROR(D262-H262,0)</f>
        <v>0</v>
      </c>
      <c r="J262" s="426">
        <f>IFERROR(I262/ABS(H262),0)</f>
        <v>0</v>
      </c>
      <c r="K262" s="421"/>
      <c r="L262" s="449">
        <v>0</v>
      </c>
      <c r="M262" s="449">
        <v>0</v>
      </c>
      <c r="N262" s="449">
        <v>0</v>
      </c>
      <c r="O262" s="449">
        <v>0</v>
      </c>
      <c r="P262" s="449">
        <v>0</v>
      </c>
      <c r="Q262" s="449">
        <v>0</v>
      </c>
      <c r="R262" s="449">
        <f>($H262-SUM($L262:Q262))/R$694</f>
        <v>0</v>
      </c>
      <c r="S262" s="449">
        <f>($H262-SUM($L262:R262))/S$694</f>
        <v>0</v>
      </c>
      <c r="T262" s="449">
        <f>($H262-SUM($L262:S262))/T$694</f>
        <v>0</v>
      </c>
      <c r="U262" s="449">
        <f>($H262-SUM($L262:T262))/U$694</f>
        <v>0</v>
      </c>
      <c r="V262" s="449">
        <f>($H262-SUM($L262:U262))/V$694</f>
        <v>0</v>
      </c>
      <c r="W262" s="449">
        <f>($H262-SUM($L262:V262))/W$694</f>
        <v>0</v>
      </c>
      <c r="X262" s="449"/>
      <c r="Y262" s="449">
        <f>SUM(L262:W262)</f>
        <v>0</v>
      </c>
      <c r="Z262" s="531"/>
      <c r="AA262" s="449">
        <f t="shared" si="252"/>
        <v>0</v>
      </c>
      <c r="AB262" s="449">
        <f t="shared" si="252"/>
        <v>0</v>
      </c>
      <c r="AC262" s="449">
        <f t="shared" si="252"/>
        <v>0</v>
      </c>
      <c r="AD262" s="449">
        <f t="shared" si="252"/>
        <v>0</v>
      </c>
      <c r="AE262" s="449">
        <f t="shared" si="252"/>
        <v>0</v>
      </c>
      <c r="AF262" s="449">
        <f t="shared" si="252"/>
        <v>0</v>
      </c>
      <c r="AG262" s="449">
        <f t="shared" si="252"/>
        <v>0</v>
      </c>
      <c r="AH262" s="449">
        <f t="shared" si="252"/>
        <v>0</v>
      </c>
      <c r="AI262" s="449">
        <f t="shared" si="252"/>
        <v>0</v>
      </c>
      <c r="AJ262" s="449">
        <f t="shared" si="252"/>
        <v>0</v>
      </c>
      <c r="AK262" s="449">
        <f t="shared" si="252"/>
        <v>0</v>
      </c>
      <c r="AL262" s="449">
        <f t="shared" si="252"/>
        <v>0</v>
      </c>
      <c r="AN262" s="500">
        <f>SUM(L262:W262)</f>
        <v>0</v>
      </c>
      <c r="AO262" s="449">
        <f>SUM(BI262:BT262)</f>
        <v>0</v>
      </c>
      <c r="AP262" s="449">
        <f>IFERROR(AO262-AN262,0)</f>
        <v>0</v>
      </c>
      <c r="AQ262" s="453" t="str">
        <f>IFERROR(AP262/ABS(AN262),"-")</f>
        <v>-</v>
      </c>
      <c r="AR262" s="449">
        <f>SUM(BI262:BT262)</f>
        <v>0</v>
      </c>
      <c r="AS262" s="449">
        <f>IFERROR(AO262-AR262,0)</f>
        <v>0</v>
      </c>
      <c r="AT262" s="426">
        <f>IFERROR(AS262/ABS(AR262),0)</f>
        <v>0</v>
      </c>
      <c r="AU262" s="421"/>
      <c r="AV262" s="449">
        <f t="shared" si="253"/>
        <v>0</v>
      </c>
      <c r="AW262" s="449">
        <f t="shared" si="253"/>
        <v>0</v>
      </c>
      <c r="AX262" s="449">
        <f t="shared" si="253"/>
        <v>0</v>
      </c>
      <c r="AY262" s="449">
        <f t="shared" si="253"/>
        <v>0</v>
      </c>
      <c r="AZ262" s="449">
        <f t="shared" si="253"/>
        <v>0</v>
      </c>
      <c r="BA262" s="449">
        <f t="shared" si="253"/>
        <v>0</v>
      </c>
      <c r="BB262" s="449">
        <f t="shared" si="253"/>
        <v>0</v>
      </c>
      <c r="BC262" s="449">
        <f t="shared" si="253"/>
        <v>0</v>
      </c>
      <c r="BD262" s="449">
        <f t="shared" si="253"/>
        <v>0</v>
      </c>
      <c r="BE262" s="449">
        <f t="shared" si="253"/>
        <v>0</v>
      </c>
      <c r="BF262" s="449">
        <f t="shared" si="253"/>
        <v>0</v>
      </c>
      <c r="BG262" s="449">
        <f t="shared" si="253"/>
        <v>0</v>
      </c>
      <c r="BH262" s="400"/>
      <c r="BI262" s="449">
        <f t="shared" si="254"/>
        <v>0</v>
      </c>
      <c r="BJ262" s="449">
        <f t="shared" si="254"/>
        <v>0</v>
      </c>
      <c r="BK262" s="449">
        <f t="shared" si="254"/>
        <v>0</v>
      </c>
      <c r="BL262" s="449">
        <f t="shared" si="254"/>
        <v>0</v>
      </c>
      <c r="BM262" s="449">
        <f t="shared" si="254"/>
        <v>0</v>
      </c>
      <c r="BN262" s="449">
        <f t="shared" si="254"/>
        <v>0</v>
      </c>
      <c r="BO262" s="449">
        <f t="shared" si="254"/>
        <v>0</v>
      </c>
      <c r="BP262" s="449">
        <f t="shared" si="254"/>
        <v>0</v>
      </c>
      <c r="BQ262" s="449">
        <f t="shared" si="254"/>
        <v>0</v>
      </c>
      <c r="BR262" s="449">
        <f t="shared" si="254"/>
        <v>0</v>
      </c>
      <c r="BS262" s="449">
        <f t="shared" si="254"/>
        <v>0</v>
      </c>
      <c r="BT262" s="449">
        <f t="shared" si="254"/>
        <v>0</v>
      </c>
    </row>
    <row r="263" spans="1:74" ht="10.5" customHeight="1" x14ac:dyDescent="0.25">
      <c r="A263" s="587"/>
      <c r="B263" s="612"/>
      <c r="C263" s="596"/>
      <c r="D263" s="500"/>
      <c r="E263" s="449"/>
      <c r="F263" s="449"/>
      <c r="G263" s="421"/>
      <c r="H263" s="449"/>
      <c r="I263" s="449"/>
      <c r="J263" s="426"/>
      <c r="K263" s="421"/>
      <c r="L263" s="449"/>
      <c r="M263" s="449"/>
      <c r="N263" s="449"/>
      <c r="O263" s="449"/>
      <c r="P263" s="449"/>
      <c r="Q263" s="449"/>
      <c r="R263" s="449"/>
      <c r="S263" s="449"/>
      <c r="T263" s="449"/>
      <c r="U263" s="449"/>
      <c r="V263" s="449"/>
      <c r="W263" s="449"/>
      <c r="X263" s="449"/>
      <c r="Y263" s="449"/>
      <c r="Z263" s="531"/>
      <c r="AA263" s="449"/>
      <c r="AB263" s="449"/>
      <c r="AC263" s="449"/>
      <c r="AD263" s="449"/>
      <c r="AE263" s="449"/>
      <c r="AF263" s="449"/>
      <c r="AG263" s="449"/>
      <c r="AH263" s="449"/>
      <c r="AI263" s="449"/>
      <c r="AJ263" s="449"/>
      <c r="AK263" s="449"/>
      <c r="AL263" s="449"/>
      <c r="AN263" s="500"/>
      <c r="AO263" s="449"/>
      <c r="AP263" s="449"/>
      <c r="AQ263" s="453"/>
      <c r="AR263" s="449"/>
      <c r="AS263" s="449"/>
      <c r="AT263" s="426"/>
      <c r="AU263" s="421"/>
      <c r="AV263" s="449"/>
      <c r="AW263" s="449"/>
      <c r="AX263" s="449"/>
      <c r="AY263" s="449"/>
      <c r="AZ263" s="449"/>
      <c r="BA263" s="449"/>
      <c r="BB263" s="449"/>
      <c r="BC263" s="449"/>
      <c r="BD263" s="449"/>
      <c r="BE263" s="449"/>
      <c r="BF263" s="449"/>
      <c r="BG263" s="449"/>
      <c r="BH263" s="531"/>
      <c r="BI263" s="449"/>
      <c r="BJ263" s="449"/>
      <c r="BK263" s="449"/>
      <c r="BL263" s="449"/>
      <c r="BM263" s="449"/>
      <c r="BN263" s="449"/>
      <c r="BO263" s="449"/>
      <c r="BP263" s="449"/>
      <c r="BQ263" s="449"/>
      <c r="BR263" s="449"/>
      <c r="BS263" s="449"/>
      <c r="BT263" s="449"/>
    </row>
    <row r="264" spans="1:74" s="536" customFormat="1" ht="15.75" thickBot="1" x14ac:dyDescent="0.3">
      <c r="A264" s="526"/>
      <c r="B264" s="611" t="s">
        <v>444</v>
      </c>
      <c r="C264" s="598"/>
      <c r="D264" s="532">
        <f>SUM(D246:D263)</f>
        <v>731800</v>
      </c>
      <c r="E264" s="533">
        <f>SUM(E246:E263)</f>
        <v>722424.58169999986</v>
      </c>
      <c r="F264" s="533">
        <f>IFERROR(D264-E264,0)</f>
        <v>9375.4183000001358</v>
      </c>
      <c r="G264" s="520">
        <f>IFERROR(F264/ABS(E264),0)</f>
        <v>1.2977712189607428E-2</v>
      </c>
      <c r="H264" s="533">
        <f>SUM(H260:H262)</f>
        <v>731800</v>
      </c>
      <c r="I264" s="533">
        <f>IFERROR(D264-H264,0)</f>
        <v>0</v>
      </c>
      <c r="J264" s="521">
        <f>IFERROR(I264/ABS(H264),0)</f>
        <v>0</v>
      </c>
      <c r="K264" s="507"/>
      <c r="L264" s="533">
        <f>SUM(L246:L263)</f>
        <v>58221.4</v>
      </c>
      <c r="M264" s="533">
        <f t="shared" ref="M264:W264" si="255">SUM(M246:M263)</f>
        <v>58221.4</v>
      </c>
      <c r="N264" s="533">
        <f t="shared" si="255"/>
        <v>66502.749999999985</v>
      </c>
      <c r="O264" s="533">
        <f t="shared" si="255"/>
        <v>67135.97</v>
      </c>
      <c r="P264" s="533">
        <f t="shared" si="255"/>
        <v>59755.98000000001</v>
      </c>
      <c r="Q264" s="533">
        <f t="shared" si="255"/>
        <v>61166.119999999995</v>
      </c>
      <c r="R264" s="533">
        <f t="shared" si="255"/>
        <v>60132.73</v>
      </c>
      <c r="S264" s="533">
        <f t="shared" si="255"/>
        <v>60132.73</v>
      </c>
      <c r="T264" s="533">
        <f t="shared" si="255"/>
        <v>60132.73000000001</v>
      </c>
      <c r="U264" s="533">
        <f t="shared" si="255"/>
        <v>60132.730000000018</v>
      </c>
      <c r="V264" s="533">
        <f t="shared" si="255"/>
        <v>60132.73000000004</v>
      </c>
      <c r="W264" s="533">
        <f t="shared" si="255"/>
        <v>60132.729999999981</v>
      </c>
      <c r="X264" s="533"/>
      <c r="Y264" s="533">
        <f>SUM(L264:W264)</f>
        <v>731800</v>
      </c>
      <c r="Z264" s="508"/>
      <c r="AA264" s="533">
        <f t="shared" ref="AA264:AL264" si="256">SUM(AA246:AA263)</f>
        <v>60983.333333333336</v>
      </c>
      <c r="AB264" s="533">
        <f t="shared" si="256"/>
        <v>60983.333333333336</v>
      </c>
      <c r="AC264" s="533">
        <f t="shared" si="256"/>
        <v>60983.333333333336</v>
      </c>
      <c r="AD264" s="533">
        <f t="shared" si="256"/>
        <v>60983.333333333336</v>
      </c>
      <c r="AE264" s="533">
        <f t="shared" si="256"/>
        <v>60983.333333333336</v>
      </c>
      <c r="AF264" s="533">
        <f t="shared" si="256"/>
        <v>60983.333333333336</v>
      </c>
      <c r="AG264" s="533">
        <f t="shared" si="256"/>
        <v>60983.333333333336</v>
      </c>
      <c r="AH264" s="533">
        <f t="shared" si="256"/>
        <v>60983.333333333336</v>
      </c>
      <c r="AI264" s="533">
        <f t="shared" si="256"/>
        <v>60983.333333333336</v>
      </c>
      <c r="AJ264" s="533">
        <f t="shared" si="256"/>
        <v>60983.333333333336</v>
      </c>
      <c r="AK264" s="533">
        <f t="shared" si="256"/>
        <v>60983.333333333336</v>
      </c>
      <c r="AL264" s="533">
        <f t="shared" si="256"/>
        <v>60983.333333333336</v>
      </c>
      <c r="AN264" s="532">
        <f>SUM(AN246:AN263)</f>
        <v>731800</v>
      </c>
      <c r="AO264" s="533">
        <f>SUM(AO246:AO263)</f>
        <v>804686.10441767098</v>
      </c>
      <c r="AP264" s="533">
        <f>IFERROR(AO264-AN264,0)</f>
        <v>72886.104417670984</v>
      </c>
      <c r="AQ264" s="523">
        <f>IFERROR(AP264/ABS(AN264),"-")</f>
        <v>9.9598393574297603E-2</v>
      </c>
      <c r="AR264" s="533">
        <f>SUM(AR260:AR262)</f>
        <v>804686.10441767098</v>
      </c>
      <c r="AS264" s="533">
        <f>IFERROR(AO264-AR264,0)</f>
        <v>0</v>
      </c>
      <c r="AT264" s="521">
        <f>IFERROR(AS264/ABS(AR264),0)</f>
        <v>0</v>
      </c>
      <c r="AU264" s="507"/>
      <c r="AV264" s="533">
        <f>SUM(AV246:AV263)</f>
        <v>67057.175368139229</v>
      </c>
      <c r="AW264" s="533">
        <f t="shared" ref="AW264:BG264" si="257">SUM(AW246:AW263)</f>
        <v>67057.175368139229</v>
      </c>
      <c r="AX264" s="533">
        <f t="shared" si="257"/>
        <v>67057.175368139229</v>
      </c>
      <c r="AY264" s="533">
        <f t="shared" si="257"/>
        <v>67057.175368139229</v>
      </c>
      <c r="AZ264" s="533">
        <f t="shared" si="257"/>
        <v>67057.175368139229</v>
      </c>
      <c r="BA264" s="533">
        <f t="shared" si="257"/>
        <v>67057.175368139229</v>
      </c>
      <c r="BB264" s="533">
        <f t="shared" si="257"/>
        <v>67057.175368139229</v>
      </c>
      <c r="BC264" s="533">
        <f t="shared" si="257"/>
        <v>67057.175368139229</v>
      </c>
      <c r="BD264" s="533">
        <f t="shared" si="257"/>
        <v>67057.175368139229</v>
      </c>
      <c r="BE264" s="533">
        <f t="shared" si="257"/>
        <v>67057.175368139229</v>
      </c>
      <c r="BF264" s="533">
        <f t="shared" si="257"/>
        <v>67057.175368139229</v>
      </c>
      <c r="BG264" s="533">
        <f t="shared" si="257"/>
        <v>67057.175368139229</v>
      </c>
      <c r="BH264" s="508"/>
      <c r="BI264" s="533">
        <f t="shared" ref="BI264:BT264" si="258">SUM(BI246:BI263)</f>
        <v>67057.175368139229</v>
      </c>
      <c r="BJ264" s="533">
        <f t="shared" si="258"/>
        <v>67057.175368139229</v>
      </c>
      <c r="BK264" s="533">
        <f t="shared" si="258"/>
        <v>67057.175368139229</v>
      </c>
      <c r="BL264" s="533">
        <f t="shared" si="258"/>
        <v>67057.175368139229</v>
      </c>
      <c r="BM264" s="533">
        <f t="shared" si="258"/>
        <v>67057.175368139229</v>
      </c>
      <c r="BN264" s="533">
        <f t="shared" si="258"/>
        <v>67057.175368139229</v>
      </c>
      <c r="BO264" s="533">
        <f t="shared" si="258"/>
        <v>67057.175368139229</v>
      </c>
      <c r="BP264" s="533">
        <f t="shared" si="258"/>
        <v>67057.175368139229</v>
      </c>
      <c r="BQ264" s="533">
        <f t="shared" si="258"/>
        <v>67057.175368139229</v>
      </c>
      <c r="BR264" s="533">
        <f t="shared" si="258"/>
        <v>67057.175368139229</v>
      </c>
      <c r="BS264" s="533">
        <f t="shared" si="258"/>
        <v>67057.175368139229</v>
      </c>
      <c r="BT264" s="533">
        <f t="shared" si="258"/>
        <v>67057.175368139229</v>
      </c>
      <c r="BV264" s="400"/>
    </row>
    <row r="265" spans="1:74" ht="15.75" thickTop="1" x14ac:dyDescent="0.25">
      <c r="A265" s="587"/>
      <c r="B265" s="612"/>
      <c r="C265" s="596"/>
      <c r="D265" s="500"/>
      <c r="E265" s="449"/>
      <c r="F265" s="449"/>
      <c r="G265" s="421"/>
      <c r="H265" s="449"/>
      <c r="I265" s="449"/>
      <c r="J265" s="426"/>
      <c r="K265" s="421"/>
      <c r="L265" s="449"/>
      <c r="M265" s="449"/>
      <c r="N265" s="449"/>
      <c r="O265" s="449"/>
      <c r="P265" s="449"/>
      <c r="Q265" s="449"/>
      <c r="R265" s="449"/>
      <c r="S265" s="449"/>
      <c r="T265" s="449"/>
      <c r="U265" s="449"/>
      <c r="V265" s="449"/>
      <c r="W265" s="449"/>
      <c r="X265" s="449"/>
      <c r="Y265" s="449"/>
      <c r="Z265" s="531"/>
      <c r="AA265" s="449"/>
      <c r="AB265" s="449"/>
      <c r="AC265" s="449"/>
      <c r="AD265" s="449"/>
      <c r="AE265" s="449"/>
      <c r="AF265" s="449"/>
      <c r="AG265" s="449"/>
      <c r="AH265" s="449"/>
      <c r="AI265" s="449"/>
      <c r="AJ265" s="449"/>
      <c r="AK265" s="449"/>
      <c r="AL265" s="449"/>
      <c r="AN265" s="500"/>
      <c r="AO265" s="449"/>
      <c r="AP265" s="449"/>
      <c r="AQ265" s="453"/>
      <c r="AR265" s="449"/>
      <c r="AS265" s="449"/>
      <c r="AT265" s="426"/>
      <c r="AU265" s="421"/>
      <c r="AV265" s="449"/>
      <c r="AW265" s="449"/>
      <c r="AX265" s="449"/>
      <c r="AY265" s="449"/>
      <c r="AZ265" s="449"/>
      <c r="BA265" s="449"/>
      <c r="BB265" s="449"/>
      <c r="BC265" s="449"/>
      <c r="BD265" s="449"/>
      <c r="BE265" s="449"/>
      <c r="BF265" s="449"/>
      <c r="BG265" s="449"/>
      <c r="BH265" s="531"/>
      <c r="BI265" s="449"/>
      <c r="BJ265" s="449"/>
      <c r="BK265" s="449"/>
      <c r="BL265" s="449"/>
      <c r="BM265" s="449"/>
      <c r="BN265" s="449"/>
      <c r="BO265" s="449"/>
      <c r="BP265" s="449"/>
      <c r="BQ265" s="449"/>
      <c r="BR265" s="449"/>
      <c r="BS265" s="449"/>
      <c r="BT265" s="449"/>
    </row>
    <row r="266" spans="1:74" ht="15.75" x14ac:dyDescent="0.25">
      <c r="A266" s="587"/>
      <c r="B266" s="525" t="s">
        <v>445</v>
      </c>
      <c r="C266" s="538"/>
      <c r="D266" s="500"/>
      <c r="E266" s="449"/>
      <c r="F266" s="449"/>
      <c r="G266" s="421"/>
      <c r="H266" s="449"/>
      <c r="I266" s="449"/>
      <c r="J266" s="426"/>
      <c r="K266" s="421"/>
      <c r="L266" s="449"/>
      <c r="M266" s="449"/>
      <c r="N266" s="449"/>
      <c r="O266" s="449"/>
      <c r="P266" s="449"/>
      <c r="Q266" s="449"/>
      <c r="R266" s="449"/>
      <c r="S266" s="449"/>
      <c r="T266" s="449"/>
      <c r="U266" s="449"/>
      <c r="V266" s="449"/>
      <c r="W266" s="449"/>
      <c r="X266" s="449"/>
      <c r="Y266" s="449"/>
      <c r="Z266" s="531"/>
      <c r="AA266" s="449"/>
      <c r="AB266" s="449"/>
      <c r="AC266" s="449"/>
      <c r="AD266" s="449"/>
      <c r="AE266" s="449"/>
      <c r="AF266" s="449"/>
      <c r="AG266" s="449"/>
      <c r="AH266" s="449"/>
      <c r="AI266" s="449"/>
      <c r="AJ266" s="449"/>
      <c r="AK266" s="449"/>
      <c r="AL266" s="449"/>
      <c r="AN266" s="500"/>
      <c r="AO266" s="449"/>
      <c r="AP266" s="449"/>
      <c r="AQ266" s="453"/>
      <c r="AR266" s="449"/>
      <c r="AS266" s="449"/>
      <c r="AT266" s="426"/>
      <c r="AU266" s="421"/>
      <c r="AV266" s="449"/>
      <c r="AW266" s="449"/>
      <c r="AX266" s="449"/>
      <c r="AY266" s="449"/>
      <c r="AZ266" s="449"/>
      <c r="BA266" s="449"/>
      <c r="BB266" s="449"/>
      <c r="BC266" s="449"/>
      <c r="BD266" s="449"/>
      <c r="BE266" s="449"/>
      <c r="BF266" s="449"/>
      <c r="BG266" s="449"/>
      <c r="BH266" s="531"/>
      <c r="BI266" s="449"/>
      <c r="BJ266" s="449"/>
      <c r="BK266" s="449"/>
      <c r="BL266" s="449"/>
      <c r="BM266" s="449"/>
      <c r="BN266" s="449"/>
      <c r="BO266" s="449"/>
      <c r="BP266" s="449"/>
      <c r="BQ266" s="449"/>
      <c r="BR266" s="449"/>
      <c r="BS266" s="449"/>
      <c r="BT266" s="449"/>
    </row>
    <row r="267" spans="1:74" ht="6.75" customHeight="1" x14ac:dyDescent="0.25">
      <c r="A267" s="587"/>
      <c r="B267" s="502"/>
      <c r="C267" s="538"/>
      <c r="D267" s="500"/>
      <c r="E267" s="449"/>
      <c r="F267" s="449"/>
      <c r="G267" s="421"/>
      <c r="H267" s="449"/>
      <c r="I267" s="449"/>
      <c r="J267" s="426"/>
      <c r="K267" s="421"/>
      <c r="L267" s="449"/>
      <c r="M267" s="449"/>
      <c r="N267" s="449"/>
      <c r="O267" s="449"/>
      <c r="P267" s="449"/>
      <c r="Q267" s="449"/>
      <c r="R267" s="449"/>
      <c r="S267" s="449"/>
      <c r="T267" s="449"/>
      <c r="U267" s="449"/>
      <c r="V267" s="449"/>
      <c r="W267" s="449"/>
      <c r="X267" s="449"/>
      <c r="Y267" s="449"/>
      <c r="Z267" s="531"/>
      <c r="AA267" s="449"/>
      <c r="AB267" s="449"/>
      <c r="AC267" s="449"/>
      <c r="AD267" s="449"/>
      <c r="AE267" s="449"/>
      <c r="AF267" s="449"/>
      <c r="AG267" s="449"/>
      <c r="AH267" s="449"/>
      <c r="AI267" s="449"/>
      <c r="AJ267" s="449"/>
      <c r="AK267" s="449"/>
      <c r="AL267" s="449"/>
      <c r="AN267" s="500"/>
      <c r="AO267" s="449"/>
      <c r="AP267" s="449"/>
      <c r="AQ267" s="453"/>
      <c r="AR267" s="449"/>
      <c r="AS267" s="449"/>
      <c r="AT267" s="426"/>
      <c r="AU267" s="421"/>
      <c r="AV267" s="449"/>
      <c r="AW267" s="449"/>
      <c r="AX267" s="449"/>
      <c r="AY267" s="449"/>
      <c r="AZ267" s="449"/>
      <c r="BA267" s="449"/>
      <c r="BB267" s="449"/>
      <c r="BC267" s="449"/>
      <c r="BD267" s="449"/>
      <c r="BE267" s="449"/>
      <c r="BF267" s="449"/>
      <c r="BG267" s="449"/>
      <c r="BH267" s="531"/>
      <c r="BI267" s="449"/>
      <c r="BJ267" s="449"/>
      <c r="BK267" s="449"/>
      <c r="BL267" s="449"/>
      <c r="BM267" s="449"/>
      <c r="BN267" s="449"/>
      <c r="BO267" s="449"/>
      <c r="BP267" s="449"/>
      <c r="BQ267" s="449"/>
      <c r="BR267" s="449"/>
      <c r="BS267" s="449"/>
      <c r="BT267" s="449"/>
    </row>
    <row r="268" spans="1:74" ht="15" x14ac:dyDescent="0.25">
      <c r="A268" s="502" t="s">
        <v>446</v>
      </c>
      <c r="B268" s="502" t="s">
        <v>447</v>
      </c>
      <c r="C268" s="630"/>
      <c r="D268" s="500">
        <f t="shared" ref="D268:D329" si="259">SUM(L268:W268)</f>
        <v>39923</v>
      </c>
      <c r="E268" s="449">
        <v>39923</v>
      </c>
      <c r="F268" s="449">
        <f t="shared" ref="F268:F329" si="260">IFERROR(D268-E268,0)</f>
        <v>0</v>
      </c>
      <c r="G268" s="421">
        <f t="shared" ref="G268:G329" si="261">IFERROR(F268/ABS(E268),0)</f>
        <v>0</v>
      </c>
      <c r="H268" s="449">
        <v>39923</v>
      </c>
      <c r="I268" s="449">
        <f t="shared" ref="I268:I329" si="262">IFERROR(D268-H268,0)</f>
        <v>0</v>
      </c>
      <c r="J268" s="426">
        <f t="shared" ref="J268:J329" si="263">IFERROR(I268/ABS(H268),0)</f>
        <v>0</v>
      </c>
      <c r="K268" s="421"/>
      <c r="L268" s="449">
        <v>0.01</v>
      </c>
      <c r="M268" s="449">
        <v>8116.34</v>
      </c>
      <c r="N268" s="449">
        <v>7101.91</v>
      </c>
      <c r="O268" s="449">
        <v>6763.7199999999993</v>
      </c>
      <c r="P268" s="449">
        <v>6763.7200000000012</v>
      </c>
      <c r="Q268" s="449">
        <v>8454.6499999999978</v>
      </c>
      <c r="R268" s="449">
        <f>($H268-SUM($L268:Q268))/R$694</f>
        <v>453.77500000000026</v>
      </c>
      <c r="S268" s="449">
        <f>($H268-SUM($L268:R268))/S$694</f>
        <v>453.77499999999998</v>
      </c>
      <c r="T268" s="449">
        <f>($H268-SUM($L268:S268))/T$694</f>
        <v>453.77499999999964</v>
      </c>
      <c r="U268" s="449">
        <f>($H268-SUM($L268:T268))/U$694</f>
        <v>453.77499999999901</v>
      </c>
      <c r="V268" s="449">
        <f>($H268-SUM($L268:U268))/V$694</f>
        <v>453.77499999999782</v>
      </c>
      <c r="W268" s="449">
        <f>($H268-SUM($L268:V268))/W$694</f>
        <v>453.77499999999418</v>
      </c>
      <c r="X268" s="449"/>
      <c r="Y268" s="449">
        <f t="shared" ref="Y268:Y329" si="264">SUM(L268:W268)</f>
        <v>39923</v>
      </c>
      <c r="Z268" s="531"/>
      <c r="AA268" s="449">
        <f t="shared" ref="AA268:AL283" si="265">IFERROR($H268/12,0)</f>
        <v>3326.9166666666665</v>
      </c>
      <c r="AB268" s="449">
        <f t="shared" si="265"/>
        <v>3326.9166666666665</v>
      </c>
      <c r="AC268" s="449">
        <f t="shared" si="265"/>
        <v>3326.9166666666665</v>
      </c>
      <c r="AD268" s="449">
        <f t="shared" si="265"/>
        <v>3326.9166666666665</v>
      </c>
      <c r="AE268" s="449">
        <f t="shared" si="265"/>
        <v>3326.9166666666665</v>
      </c>
      <c r="AF268" s="449">
        <f t="shared" si="265"/>
        <v>3326.9166666666665</v>
      </c>
      <c r="AG268" s="449">
        <f t="shared" si="265"/>
        <v>3326.9166666666665</v>
      </c>
      <c r="AH268" s="449">
        <f t="shared" si="265"/>
        <v>3326.9166666666665</v>
      </c>
      <c r="AI268" s="449">
        <f t="shared" si="265"/>
        <v>3326.9166666666665</v>
      </c>
      <c r="AJ268" s="449">
        <f t="shared" si="265"/>
        <v>3326.9166666666665</v>
      </c>
      <c r="AK268" s="449">
        <f t="shared" si="265"/>
        <v>3326.9166666666665</v>
      </c>
      <c r="AL268" s="449">
        <f t="shared" si="265"/>
        <v>3326.9166666666665</v>
      </c>
      <c r="AN268" s="500">
        <f t="shared" ref="AN268:AN303" si="266">SUM(L268:W268)</f>
        <v>39923</v>
      </c>
      <c r="AO268" s="449">
        <f t="shared" ref="AO268:AO329" si="267">SUM(BI268:BT268)</f>
        <v>41119.660000000003</v>
      </c>
      <c r="AP268" s="449">
        <f t="shared" ref="AP268:AP329" si="268">IFERROR(AO268-AN268,0)</f>
        <v>1196.6600000000035</v>
      </c>
      <c r="AQ268" s="453">
        <f t="shared" ref="AQ268:AQ329" si="269">IFERROR(AP268/ABS(AN268),"-")</f>
        <v>2.9974200335646205E-2</v>
      </c>
      <c r="AR268" s="449">
        <f t="shared" ref="AR268:AR329" si="270">SUM(BI268:BT268)</f>
        <v>41119.660000000003</v>
      </c>
      <c r="AS268" s="449">
        <f t="shared" ref="AS268:AS329" si="271">IFERROR(AO268-AR268,0)</f>
        <v>0</v>
      </c>
      <c r="AT268" s="426">
        <f t="shared" ref="AT268:AT329" si="272">IFERROR(AS268/ABS(AR268),0)</f>
        <v>0</v>
      </c>
      <c r="AU268" s="421"/>
      <c r="AV268" s="449">
        <f t="shared" ref="AV268:BG289" si="273">BI268</f>
        <v>3426.6383333333338</v>
      </c>
      <c r="AW268" s="449">
        <f t="shared" si="273"/>
        <v>3426.6383333333338</v>
      </c>
      <c r="AX268" s="449">
        <f t="shared" si="273"/>
        <v>3426.6383333333338</v>
      </c>
      <c r="AY268" s="449">
        <f t="shared" si="273"/>
        <v>3426.6383333333338</v>
      </c>
      <c r="AZ268" s="449">
        <f t="shared" si="273"/>
        <v>3426.6383333333338</v>
      </c>
      <c r="BA268" s="449">
        <f t="shared" si="273"/>
        <v>3426.6383333333338</v>
      </c>
      <c r="BB268" s="449">
        <f t="shared" si="273"/>
        <v>3426.6383333333338</v>
      </c>
      <c r="BC268" s="449">
        <f t="shared" si="273"/>
        <v>3426.6383333333338</v>
      </c>
      <c r="BD268" s="449">
        <f t="shared" si="273"/>
        <v>3426.6383333333338</v>
      </c>
      <c r="BE268" s="449">
        <f t="shared" si="273"/>
        <v>3426.6383333333338</v>
      </c>
      <c r="BF268" s="449">
        <f t="shared" si="273"/>
        <v>3426.6383333333338</v>
      </c>
      <c r="BG268" s="449">
        <f t="shared" si="273"/>
        <v>3426.6383333333338</v>
      </c>
      <c r="BH268" s="400"/>
      <c r="BI268" s="449">
        <f>SUM('FY19 Staffing V1-1 (3)'!$P$226)/12</f>
        <v>3426.6383333333338</v>
      </c>
      <c r="BJ268" s="449">
        <f>SUM('FY19 Staffing V1-1 (3)'!$P$226)/12</f>
        <v>3426.6383333333338</v>
      </c>
      <c r="BK268" s="449">
        <f>SUM('FY19 Staffing V1-1 (3)'!$P$226)/12</f>
        <v>3426.6383333333338</v>
      </c>
      <c r="BL268" s="449">
        <f>SUM('FY19 Staffing V1-1 (3)'!$P$226)/12</f>
        <v>3426.6383333333338</v>
      </c>
      <c r="BM268" s="449">
        <f>SUM('FY19 Staffing V1-1 (3)'!$P$226)/12</f>
        <v>3426.6383333333338</v>
      </c>
      <c r="BN268" s="449">
        <f>SUM('FY19 Staffing V1-1 (3)'!$P$226)/12</f>
        <v>3426.6383333333338</v>
      </c>
      <c r="BO268" s="449">
        <f>SUM('FY19 Staffing V1-1 (3)'!$P$226)/12</f>
        <v>3426.6383333333338</v>
      </c>
      <c r="BP268" s="449">
        <f>SUM('FY19 Staffing V1-1 (3)'!$P$226)/12</f>
        <v>3426.6383333333338</v>
      </c>
      <c r="BQ268" s="449">
        <f>SUM('FY19 Staffing V1-1 (3)'!$P$226)/12</f>
        <v>3426.6383333333338</v>
      </c>
      <c r="BR268" s="449">
        <f>SUM('FY19 Staffing V1-1 (3)'!$P$226)/12</f>
        <v>3426.6383333333338</v>
      </c>
      <c r="BS268" s="449">
        <f>SUM('FY19 Staffing V1-1 (3)'!$P$226)/12</f>
        <v>3426.6383333333338</v>
      </c>
      <c r="BT268" s="449">
        <f>SUM('FY19 Staffing V1-1 (3)'!$P$226)/12</f>
        <v>3426.6383333333338</v>
      </c>
    </row>
    <row r="269" spans="1:74" ht="15" x14ac:dyDescent="0.25">
      <c r="A269" s="502" t="s">
        <v>448</v>
      </c>
      <c r="B269" s="502" t="s">
        <v>449</v>
      </c>
      <c r="C269" s="630"/>
      <c r="D269" s="500">
        <f t="shared" si="259"/>
        <v>48000</v>
      </c>
      <c r="E269" s="449">
        <v>94880</v>
      </c>
      <c r="F269" s="449">
        <f t="shared" si="260"/>
        <v>-46880</v>
      </c>
      <c r="G269" s="421">
        <f t="shared" si="261"/>
        <v>-0.49409780775716694</v>
      </c>
      <c r="H269" s="449">
        <v>48000</v>
      </c>
      <c r="I269" s="449">
        <f t="shared" si="262"/>
        <v>0</v>
      </c>
      <c r="J269" s="426">
        <f t="shared" si="263"/>
        <v>0</v>
      </c>
      <c r="K269" s="421"/>
      <c r="L269" s="449">
        <v>0</v>
      </c>
      <c r="M269" s="449">
        <v>4384.6099999999997</v>
      </c>
      <c r="N269" s="449">
        <v>3836.5299999999997</v>
      </c>
      <c r="O269" s="449">
        <v>3653.84</v>
      </c>
      <c r="P269" s="449">
        <v>3653.84</v>
      </c>
      <c r="Q269" s="449">
        <v>4567.2999999999993</v>
      </c>
      <c r="R269" s="449">
        <f>($H269-SUM($L269:Q269))/R$694</f>
        <v>4650.6466666666665</v>
      </c>
      <c r="S269" s="449">
        <f>($H269-SUM($L269:R269))/S$694</f>
        <v>4650.6466666666665</v>
      </c>
      <c r="T269" s="449">
        <f>($H269-SUM($L269:S269))/T$694</f>
        <v>4650.6466666666665</v>
      </c>
      <c r="U269" s="449">
        <f>($H269-SUM($L269:T269))/U$694</f>
        <v>4650.6466666666674</v>
      </c>
      <c r="V269" s="449">
        <f>($H269-SUM($L269:U269))/V$694</f>
        <v>4650.6466666666674</v>
      </c>
      <c r="W269" s="449">
        <f>($H269-SUM($L269:V269))/W$694</f>
        <v>4650.6466666666674</v>
      </c>
      <c r="X269" s="449"/>
      <c r="Y269" s="449">
        <f t="shared" si="264"/>
        <v>48000</v>
      </c>
      <c r="Z269" s="531"/>
      <c r="AA269" s="449">
        <f t="shared" si="265"/>
        <v>4000</v>
      </c>
      <c r="AB269" s="449">
        <f t="shared" si="265"/>
        <v>4000</v>
      </c>
      <c r="AC269" s="449">
        <f t="shared" si="265"/>
        <v>4000</v>
      </c>
      <c r="AD269" s="449">
        <f t="shared" si="265"/>
        <v>4000</v>
      </c>
      <c r="AE269" s="449">
        <f t="shared" si="265"/>
        <v>4000</v>
      </c>
      <c r="AF269" s="449">
        <f t="shared" si="265"/>
        <v>4000</v>
      </c>
      <c r="AG269" s="449">
        <f t="shared" si="265"/>
        <v>4000</v>
      </c>
      <c r="AH269" s="449">
        <f t="shared" si="265"/>
        <v>4000</v>
      </c>
      <c r="AI269" s="449">
        <f t="shared" si="265"/>
        <v>4000</v>
      </c>
      <c r="AJ269" s="449">
        <f t="shared" si="265"/>
        <v>4000</v>
      </c>
      <c r="AK269" s="449">
        <f t="shared" si="265"/>
        <v>4000</v>
      </c>
      <c r="AL269" s="449">
        <f t="shared" si="265"/>
        <v>4000</v>
      </c>
      <c r="AN269" s="500">
        <f t="shared" si="266"/>
        <v>48000</v>
      </c>
      <c r="AO269" s="449">
        <f t="shared" si="267"/>
        <v>95934.886666666658</v>
      </c>
      <c r="AP269" s="449">
        <f t="shared" si="268"/>
        <v>47934.886666666658</v>
      </c>
      <c r="AQ269" s="453">
        <f t="shared" si="269"/>
        <v>0.99864347222222205</v>
      </c>
      <c r="AR269" s="449">
        <f t="shared" si="270"/>
        <v>95934.886666666658</v>
      </c>
      <c r="AS269" s="449">
        <f t="shared" si="271"/>
        <v>0</v>
      </c>
      <c r="AT269" s="426">
        <f t="shared" si="272"/>
        <v>0</v>
      </c>
      <c r="AU269" s="421"/>
      <c r="AV269" s="449">
        <f t="shared" si="273"/>
        <v>7994.5738888888882</v>
      </c>
      <c r="AW269" s="449">
        <f t="shared" si="273"/>
        <v>7994.5738888888882</v>
      </c>
      <c r="AX269" s="449">
        <f t="shared" si="273"/>
        <v>7994.5738888888882</v>
      </c>
      <c r="AY269" s="449">
        <f t="shared" si="273"/>
        <v>7994.5738888888882</v>
      </c>
      <c r="AZ269" s="449">
        <f t="shared" si="273"/>
        <v>7994.5738888888882</v>
      </c>
      <c r="BA269" s="449">
        <f t="shared" si="273"/>
        <v>7994.5738888888882</v>
      </c>
      <c r="BB269" s="449">
        <f t="shared" si="273"/>
        <v>7994.5738888888882</v>
      </c>
      <c r="BC269" s="449">
        <f t="shared" si="273"/>
        <v>7994.5738888888882</v>
      </c>
      <c r="BD269" s="449">
        <f t="shared" si="273"/>
        <v>7994.5738888888882</v>
      </c>
      <c r="BE269" s="449">
        <f t="shared" si="273"/>
        <v>7994.5738888888882</v>
      </c>
      <c r="BF269" s="449">
        <f t="shared" si="273"/>
        <v>7994.5738888888882</v>
      </c>
      <c r="BG269" s="449">
        <f t="shared" si="273"/>
        <v>7994.5738888888882</v>
      </c>
      <c r="BH269" s="400"/>
      <c r="BI269" s="449">
        <f>SUM('FY19 Staffing V1-1 (3)'!$P$227,'FY19 Staffing V1-1 (3)'!$P$229)/12</f>
        <v>7994.5738888888882</v>
      </c>
      <c r="BJ269" s="449">
        <f>SUM('FY19 Staffing V1-1 (3)'!$P$227,'FY19 Staffing V1-1 (3)'!$P$229)/12</f>
        <v>7994.5738888888882</v>
      </c>
      <c r="BK269" s="449">
        <f>SUM('FY19 Staffing V1-1 (3)'!$P$227,'FY19 Staffing V1-1 (3)'!$P$229)/12</f>
        <v>7994.5738888888882</v>
      </c>
      <c r="BL269" s="449">
        <f>SUM('FY19 Staffing V1-1 (3)'!$P$227,'FY19 Staffing V1-1 (3)'!$P$229)/12</f>
        <v>7994.5738888888882</v>
      </c>
      <c r="BM269" s="449">
        <f>SUM('FY19 Staffing V1-1 (3)'!$P$227,'FY19 Staffing V1-1 (3)'!$P$229)/12</f>
        <v>7994.5738888888882</v>
      </c>
      <c r="BN269" s="449">
        <f>SUM('FY19 Staffing V1-1 (3)'!$P$227,'FY19 Staffing V1-1 (3)'!$P$229)/12</f>
        <v>7994.5738888888882</v>
      </c>
      <c r="BO269" s="449">
        <f>SUM('FY19 Staffing V1-1 (3)'!$P$227,'FY19 Staffing V1-1 (3)'!$P$229)/12</f>
        <v>7994.5738888888882</v>
      </c>
      <c r="BP269" s="449">
        <f>SUM('FY19 Staffing V1-1 (3)'!$P$227,'FY19 Staffing V1-1 (3)'!$P$229)/12</f>
        <v>7994.5738888888882</v>
      </c>
      <c r="BQ269" s="449">
        <f>SUM('FY19 Staffing V1-1 (3)'!$P$227,'FY19 Staffing V1-1 (3)'!$P$229)/12</f>
        <v>7994.5738888888882</v>
      </c>
      <c r="BR269" s="449">
        <f>SUM('FY19 Staffing V1-1 (3)'!$P$227,'FY19 Staffing V1-1 (3)'!$P$229)/12</f>
        <v>7994.5738888888882</v>
      </c>
      <c r="BS269" s="449">
        <f>SUM('FY19 Staffing V1-1 (3)'!$P$227,'FY19 Staffing V1-1 (3)'!$P$229)/12</f>
        <v>7994.5738888888882</v>
      </c>
      <c r="BT269" s="449">
        <f>SUM('FY19 Staffing V1-1 (3)'!$P$227,'FY19 Staffing V1-1 (3)'!$P$229)/12</f>
        <v>7994.5738888888882</v>
      </c>
    </row>
    <row r="270" spans="1:74" ht="15" x14ac:dyDescent="0.25">
      <c r="A270" s="537" t="s">
        <v>450</v>
      </c>
      <c r="B270" s="537" t="s">
        <v>451</v>
      </c>
      <c r="C270" s="630"/>
      <c r="D270" s="500">
        <f t="shared" si="259"/>
        <v>47500</v>
      </c>
      <c r="E270" s="449">
        <v>0</v>
      </c>
      <c r="F270" s="449">
        <f t="shared" si="260"/>
        <v>47500</v>
      </c>
      <c r="G270" s="421">
        <f t="shared" si="261"/>
        <v>0</v>
      </c>
      <c r="H270" s="449">
        <v>47500</v>
      </c>
      <c r="I270" s="449">
        <f t="shared" si="262"/>
        <v>0</v>
      </c>
      <c r="J270" s="426">
        <f t="shared" si="263"/>
        <v>0</v>
      </c>
      <c r="K270" s="421"/>
      <c r="L270" s="449">
        <v>0</v>
      </c>
      <c r="M270" s="449">
        <v>0</v>
      </c>
      <c r="N270" s="449">
        <v>0</v>
      </c>
      <c r="O270" s="449">
        <v>0</v>
      </c>
      <c r="P270" s="449">
        <v>0</v>
      </c>
      <c r="Q270" s="449">
        <v>0</v>
      </c>
      <c r="R270" s="449">
        <f>($H270-SUM($L270:Q270))/R$694</f>
        <v>7916.666666666667</v>
      </c>
      <c r="S270" s="449">
        <f>($H270-SUM($L270:R270))/S$694</f>
        <v>7916.666666666667</v>
      </c>
      <c r="T270" s="449">
        <f>($H270-SUM($L270:S270))/T$694</f>
        <v>7916.6666666666661</v>
      </c>
      <c r="U270" s="449">
        <f>($H270-SUM($L270:T270))/U$694</f>
        <v>7916.666666666667</v>
      </c>
      <c r="V270" s="449">
        <f>($H270-SUM($L270:U270))/V$694</f>
        <v>7916.6666666666661</v>
      </c>
      <c r="W270" s="449">
        <f>($H270-SUM($L270:V270))/W$694</f>
        <v>7916.6666666666642</v>
      </c>
      <c r="X270" s="449"/>
      <c r="Y270" s="449">
        <f t="shared" si="264"/>
        <v>47500</v>
      </c>
      <c r="Z270" s="531"/>
      <c r="AA270" s="449">
        <f t="shared" si="265"/>
        <v>3958.3333333333335</v>
      </c>
      <c r="AB270" s="449">
        <f t="shared" si="265"/>
        <v>3958.3333333333335</v>
      </c>
      <c r="AC270" s="449">
        <f t="shared" si="265"/>
        <v>3958.3333333333335</v>
      </c>
      <c r="AD270" s="449">
        <f t="shared" si="265"/>
        <v>3958.3333333333335</v>
      </c>
      <c r="AE270" s="449">
        <f t="shared" si="265"/>
        <v>3958.3333333333335</v>
      </c>
      <c r="AF270" s="449">
        <f t="shared" si="265"/>
        <v>3958.3333333333335</v>
      </c>
      <c r="AG270" s="449">
        <f t="shared" si="265"/>
        <v>3958.3333333333335</v>
      </c>
      <c r="AH270" s="449">
        <f t="shared" si="265"/>
        <v>3958.3333333333335</v>
      </c>
      <c r="AI270" s="449">
        <f t="shared" si="265"/>
        <v>3958.3333333333335</v>
      </c>
      <c r="AJ270" s="449">
        <f t="shared" si="265"/>
        <v>3958.3333333333335</v>
      </c>
      <c r="AK270" s="449">
        <f t="shared" si="265"/>
        <v>3958.3333333333335</v>
      </c>
      <c r="AL270" s="449">
        <f t="shared" si="265"/>
        <v>3958.3333333333335</v>
      </c>
      <c r="AN270" s="500">
        <f t="shared" si="266"/>
        <v>47500</v>
      </c>
      <c r="AO270" s="449">
        <f t="shared" si="267"/>
        <v>48925.000000000007</v>
      </c>
      <c r="AP270" s="449">
        <f t="shared" si="268"/>
        <v>1425.0000000000073</v>
      </c>
      <c r="AQ270" s="453">
        <f t="shared" si="269"/>
        <v>3.0000000000000152E-2</v>
      </c>
      <c r="AR270" s="449">
        <f t="shared" si="270"/>
        <v>48925.000000000007</v>
      </c>
      <c r="AS270" s="449">
        <f t="shared" si="271"/>
        <v>0</v>
      </c>
      <c r="AT270" s="426">
        <f t="shared" si="272"/>
        <v>0</v>
      </c>
      <c r="AU270" s="421"/>
      <c r="AV270" s="449">
        <f t="shared" si="273"/>
        <v>4077.0833333333335</v>
      </c>
      <c r="AW270" s="449">
        <f t="shared" si="273"/>
        <v>4077.0833333333335</v>
      </c>
      <c r="AX270" s="449">
        <f t="shared" si="273"/>
        <v>4077.0833333333335</v>
      </c>
      <c r="AY270" s="449">
        <f t="shared" si="273"/>
        <v>4077.0833333333335</v>
      </c>
      <c r="AZ270" s="449">
        <f t="shared" si="273"/>
        <v>4077.0833333333335</v>
      </c>
      <c r="BA270" s="449">
        <f t="shared" si="273"/>
        <v>4077.0833333333335</v>
      </c>
      <c r="BB270" s="449">
        <f t="shared" si="273"/>
        <v>4077.0833333333335</v>
      </c>
      <c r="BC270" s="449">
        <f t="shared" si="273"/>
        <v>4077.0833333333335</v>
      </c>
      <c r="BD270" s="449">
        <f t="shared" si="273"/>
        <v>4077.0833333333335</v>
      </c>
      <c r="BE270" s="449">
        <f t="shared" si="273"/>
        <v>4077.0833333333335</v>
      </c>
      <c r="BF270" s="449">
        <f t="shared" si="273"/>
        <v>4077.0833333333335</v>
      </c>
      <c r="BG270" s="449">
        <f t="shared" si="273"/>
        <v>4077.0833333333335</v>
      </c>
      <c r="BH270" s="400"/>
      <c r="BI270" s="449">
        <f>SUM('FY19 Staffing V1-1 (3)'!$P$228)/12</f>
        <v>4077.0833333333335</v>
      </c>
      <c r="BJ270" s="449">
        <f>SUM('FY19 Staffing V1-1 (3)'!$P$228)/12</f>
        <v>4077.0833333333335</v>
      </c>
      <c r="BK270" s="449">
        <f>SUM('FY19 Staffing V1-1 (3)'!$P$228)/12</f>
        <v>4077.0833333333335</v>
      </c>
      <c r="BL270" s="449">
        <f>SUM('FY19 Staffing V1-1 (3)'!$P$228)/12</f>
        <v>4077.0833333333335</v>
      </c>
      <c r="BM270" s="449">
        <f>SUM('FY19 Staffing V1-1 (3)'!$P$228)/12</f>
        <v>4077.0833333333335</v>
      </c>
      <c r="BN270" s="449">
        <f>SUM('FY19 Staffing V1-1 (3)'!$P$228)/12</f>
        <v>4077.0833333333335</v>
      </c>
      <c r="BO270" s="449">
        <f>SUM('FY19 Staffing V1-1 (3)'!$P$228)/12</f>
        <v>4077.0833333333335</v>
      </c>
      <c r="BP270" s="449">
        <f>SUM('FY19 Staffing V1-1 (3)'!$P$228)/12</f>
        <v>4077.0833333333335</v>
      </c>
      <c r="BQ270" s="449">
        <f>SUM('FY19 Staffing V1-1 (3)'!$P$228)/12</f>
        <v>4077.0833333333335</v>
      </c>
      <c r="BR270" s="449">
        <f>SUM('FY19 Staffing V1-1 (3)'!$P$228)/12</f>
        <v>4077.0833333333335</v>
      </c>
      <c r="BS270" s="449">
        <f>SUM('FY19 Staffing V1-1 (3)'!$P$228)/12</f>
        <v>4077.0833333333335</v>
      </c>
      <c r="BT270" s="449">
        <f>SUM('FY19 Staffing V1-1 (3)'!$P$228)/12</f>
        <v>4077.0833333333335</v>
      </c>
    </row>
    <row r="271" spans="1:74" ht="15" x14ac:dyDescent="0.25">
      <c r="A271" s="502" t="s">
        <v>452</v>
      </c>
      <c r="B271" s="502" t="s">
        <v>453</v>
      </c>
      <c r="C271" s="630"/>
      <c r="D271" s="500">
        <f t="shared" si="259"/>
        <v>0</v>
      </c>
      <c r="E271" s="449">
        <v>0</v>
      </c>
      <c r="F271" s="449">
        <f t="shared" si="260"/>
        <v>0</v>
      </c>
      <c r="G271" s="421">
        <f t="shared" si="261"/>
        <v>0</v>
      </c>
      <c r="H271" s="449">
        <v>0</v>
      </c>
      <c r="I271" s="449">
        <f t="shared" si="262"/>
        <v>0</v>
      </c>
      <c r="J271" s="426">
        <f t="shared" si="263"/>
        <v>0</v>
      </c>
      <c r="K271" s="421"/>
      <c r="L271" s="449">
        <v>0</v>
      </c>
      <c r="M271" s="449">
        <v>0</v>
      </c>
      <c r="N271" s="449">
        <v>0</v>
      </c>
      <c r="O271" s="449">
        <v>0</v>
      </c>
      <c r="P271" s="449">
        <v>0</v>
      </c>
      <c r="Q271" s="449">
        <v>0</v>
      </c>
      <c r="R271" s="449">
        <f>($H271-SUM($L271:Q271))/R$694</f>
        <v>0</v>
      </c>
      <c r="S271" s="449">
        <f>($H271-SUM($L271:R271))/S$694</f>
        <v>0</v>
      </c>
      <c r="T271" s="449">
        <f>($H271-SUM($L271:S271))/T$694</f>
        <v>0</v>
      </c>
      <c r="U271" s="449">
        <f>($H271-SUM($L271:T271))/U$694</f>
        <v>0</v>
      </c>
      <c r="V271" s="449">
        <f>($H271-SUM($L271:U271))/V$694</f>
        <v>0</v>
      </c>
      <c r="W271" s="449">
        <f>($H271-SUM($L271:V271))/W$694</f>
        <v>0</v>
      </c>
      <c r="X271" s="449"/>
      <c r="Y271" s="449">
        <f t="shared" si="264"/>
        <v>0</v>
      </c>
      <c r="Z271" s="531"/>
      <c r="AA271" s="449">
        <f t="shared" si="265"/>
        <v>0</v>
      </c>
      <c r="AB271" s="449">
        <f t="shared" si="265"/>
        <v>0</v>
      </c>
      <c r="AC271" s="449">
        <f t="shared" si="265"/>
        <v>0</v>
      </c>
      <c r="AD271" s="449">
        <f t="shared" si="265"/>
        <v>0</v>
      </c>
      <c r="AE271" s="449">
        <f t="shared" si="265"/>
        <v>0</v>
      </c>
      <c r="AF271" s="449">
        <f t="shared" si="265"/>
        <v>0</v>
      </c>
      <c r="AG271" s="449">
        <f t="shared" si="265"/>
        <v>0</v>
      </c>
      <c r="AH271" s="449">
        <f t="shared" si="265"/>
        <v>0</v>
      </c>
      <c r="AI271" s="449">
        <f t="shared" si="265"/>
        <v>0</v>
      </c>
      <c r="AJ271" s="449">
        <f t="shared" si="265"/>
        <v>0</v>
      </c>
      <c r="AK271" s="449">
        <f t="shared" si="265"/>
        <v>0</v>
      </c>
      <c r="AL271" s="449">
        <f t="shared" si="265"/>
        <v>0</v>
      </c>
      <c r="AN271" s="500">
        <f t="shared" si="266"/>
        <v>0</v>
      </c>
      <c r="AO271" s="449">
        <f t="shared" si="267"/>
        <v>0</v>
      </c>
      <c r="AP271" s="449">
        <f t="shared" si="268"/>
        <v>0</v>
      </c>
      <c r="AQ271" s="453" t="str">
        <f t="shared" si="269"/>
        <v>-</v>
      </c>
      <c r="AR271" s="449">
        <f t="shared" si="270"/>
        <v>0</v>
      </c>
      <c r="AS271" s="449">
        <f t="shared" si="271"/>
        <v>0</v>
      </c>
      <c r="AT271" s="426">
        <f t="shared" si="272"/>
        <v>0</v>
      </c>
      <c r="AU271" s="421"/>
      <c r="AV271" s="449">
        <f t="shared" si="273"/>
        <v>0</v>
      </c>
      <c r="AW271" s="449">
        <f t="shared" si="273"/>
        <v>0</v>
      </c>
      <c r="AX271" s="449">
        <f t="shared" si="273"/>
        <v>0</v>
      </c>
      <c r="AY271" s="449">
        <f t="shared" si="273"/>
        <v>0</v>
      </c>
      <c r="AZ271" s="449">
        <f t="shared" si="273"/>
        <v>0</v>
      </c>
      <c r="BA271" s="449">
        <f t="shared" si="273"/>
        <v>0</v>
      </c>
      <c r="BB271" s="449">
        <f t="shared" si="273"/>
        <v>0</v>
      </c>
      <c r="BC271" s="449">
        <f t="shared" si="273"/>
        <v>0</v>
      </c>
      <c r="BD271" s="449">
        <f t="shared" si="273"/>
        <v>0</v>
      </c>
      <c r="BE271" s="449">
        <f t="shared" si="273"/>
        <v>0</v>
      </c>
      <c r="BF271" s="449">
        <f t="shared" si="273"/>
        <v>0</v>
      </c>
      <c r="BG271" s="449">
        <f t="shared" si="273"/>
        <v>0</v>
      </c>
      <c r="BH271" s="400"/>
      <c r="BI271" s="449">
        <v>0</v>
      </c>
      <c r="BJ271" s="449">
        <v>0</v>
      </c>
      <c r="BK271" s="449">
        <v>0</v>
      </c>
      <c r="BL271" s="449">
        <v>0</v>
      </c>
      <c r="BM271" s="449">
        <v>0</v>
      </c>
      <c r="BN271" s="449">
        <v>0</v>
      </c>
      <c r="BO271" s="449">
        <v>0</v>
      </c>
      <c r="BP271" s="449">
        <v>0</v>
      </c>
      <c r="BQ271" s="449">
        <v>0</v>
      </c>
      <c r="BR271" s="449">
        <v>0</v>
      </c>
      <c r="BS271" s="449">
        <v>0</v>
      </c>
      <c r="BT271" s="449">
        <v>0</v>
      </c>
    </row>
    <row r="272" spans="1:74" ht="15" x14ac:dyDescent="0.25">
      <c r="A272" s="502" t="s">
        <v>454</v>
      </c>
      <c r="B272" s="502" t="s">
        <v>455</v>
      </c>
      <c r="C272" s="630"/>
      <c r="D272" s="500">
        <f t="shared" si="259"/>
        <v>30900</v>
      </c>
      <c r="E272" s="449">
        <v>34027</v>
      </c>
      <c r="F272" s="449">
        <f t="shared" si="260"/>
        <v>-3127</v>
      </c>
      <c r="G272" s="421">
        <f t="shared" si="261"/>
        <v>-9.189761072089811E-2</v>
      </c>
      <c r="H272" s="449">
        <v>30900</v>
      </c>
      <c r="I272" s="449">
        <f t="shared" si="262"/>
        <v>0</v>
      </c>
      <c r="J272" s="426">
        <f t="shared" si="263"/>
        <v>0</v>
      </c>
      <c r="K272" s="421"/>
      <c r="L272" s="449">
        <v>0</v>
      </c>
      <c r="M272" s="449">
        <v>2819.19</v>
      </c>
      <c r="N272" s="449">
        <v>2459.4900000000002</v>
      </c>
      <c r="O272" s="449">
        <v>2347.79</v>
      </c>
      <c r="P272" s="449">
        <v>2244.6400000000003</v>
      </c>
      <c r="Q272" s="449">
        <v>2971.3199999999997</v>
      </c>
      <c r="R272" s="449">
        <f>($H272-SUM($L272:Q272))/R$694</f>
        <v>3009.5949999999998</v>
      </c>
      <c r="S272" s="449">
        <f>($H272-SUM($L272:R272))/S$694</f>
        <v>3009.5950000000003</v>
      </c>
      <c r="T272" s="449">
        <f>($H272-SUM($L272:S272))/T$694</f>
        <v>3009.5950000000003</v>
      </c>
      <c r="U272" s="449">
        <f>($H272-SUM($L272:T272))/U$694</f>
        <v>3009.5949999999998</v>
      </c>
      <c r="V272" s="449">
        <f>($H272-SUM($L272:U272))/V$694</f>
        <v>3009.5949999999993</v>
      </c>
      <c r="W272" s="449">
        <f>($H272-SUM($L272:V272))/W$694</f>
        <v>3009.5950000000012</v>
      </c>
      <c r="X272" s="449"/>
      <c r="Y272" s="449">
        <f t="shared" si="264"/>
        <v>30900</v>
      </c>
      <c r="Z272" s="531"/>
      <c r="AA272" s="449">
        <f t="shared" si="265"/>
        <v>2575</v>
      </c>
      <c r="AB272" s="449">
        <f t="shared" si="265"/>
        <v>2575</v>
      </c>
      <c r="AC272" s="449">
        <f t="shared" si="265"/>
        <v>2575</v>
      </c>
      <c r="AD272" s="449">
        <f t="shared" si="265"/>
        <v>2575</v>
      </c>
      <c r="AE272" s="449">
        <f t="shared" si="265"/>
        <v>2575</v>
      </c>
      <c r="AF272" s="449">
        <f t="shared" si="265"/>
        <v>2575</v>
      </c>
      <c r="AG272" s="449">
        <f t="shared" si="265"/>
        <v>2575</v>
      </c>
      <c r="AH272" s="449">
        <f t="shared" si="265"/>
        <v>2575</v>
      </c>
      <c r="AI272" s="449">
        <f t="shared" si="265"/>
        <v>2575</v>
      </c>
      <c r="AJ272" s="449">
        <f t="shared" si="265"/>
        <v>2575</v>
      </c>
      <c r="AK272" s="449">
        <f t="shared" si="265"/>
        <v>2575</v>
      </c>
      <c r="AL272" s="449">
        <f t="shared" si="265"/>
        <v>2575</v>
      </c>
      <c r="AN272" s="500">
        <f t="shared" si="266"/>
        <v>30900</v>
      </c>
      <c r="AO272" s="449">
        <f t="shared" si="267"/>
        <v>34669.80000000001</v>
      </c>
      <c r="AP272" s="449">
        <f t="shared" si="268"/>
        <v>3769.8000000000102</v>
      </c>
      <c r="AQ272" s="453">
        <f t="shared" si="269"/>
        <v>0.12200000000000033</v>
      </c>
      <c r="AR272" s="449">
        <f t="shared" si="270"/>
        <v>34669.80000000001</v>
      </c>
      <c r="AS272" s="449">
        <f t="shared" si="271"/>
        <v>0</v>
      </c>
      <c r="AT272" s="426">
        <f t="shared" si="272"/>
        <v>0</v>
      </c>
      <c r="AU272" s="421"/>
      <c r="AV272" s="449">
        <f t="shared" si="273"/>
        <v>2889.15</v>
      </c>
      <c r="AW272" s="449">
        <f t="shared" si="273"/>
        <v>2889.15</v>
      </c>
      <c r="AX272" s="449">
        <f t="shared" si="273"/>
        <v>2889.15</v>
      </c>
      <c r="AY272" s="449">
        <f t="shared" si="273"/>
        <v>2889.15</v>
      </c>
      <c r="AZ272" s="449">
        <f t="shared" si="273"/>
        <v>2889.15</v>
      </c>
      <c r="BA272" s="449">
        <f t="shared" si="273"/>
        <v>2889.15</v>
      </c>
      <c r="BB272" s="449">
        <f t="shared" si="273"/>
        <v>2889.15</v>
      </c>
      <c r="BC272" s="449">
        <f t="shared" si="273"/>
        <v>2889.15</v>
      </c>
      <c r="BD272" s="449">
        <f t="shared" si="273"/>
        <v>2889.15</v>
      </c>
      <c r="BE272" s="449">
        <f t="shared" si="273"/>
        <v>2889.15</v>
      </c>
      <c r="BF272" s="449">
        <f t="shared" si="273"/>
        <v>2889.15</v>
      </c>
      <c r="BG272" s="449">
        <f t="shared" si="273"/>
        <v>2889.15</v>
      </c>
      <c r="BH272" s="400"/>
      <c r="BI272" s="449">
        <f>SUM('FY19 Staffing V1-1 (3)'!$P$269)/12</f>
        <v>2889.15</v>
      </c>
      <c r="BJ272" s="449">
        <f>SUM('FY19 Staffing V1-1 (3)'!$P$269)/12</f>
        <v>2889.15</v>
      </c>
      <c r="BK272" s="449">
        <f>SUM('FY19 Staffing V1-1 (3)'!$P$269)/12</f>
        <v>2889.15</v>
      </c>
      <c r="BL272" s="449">
        <f>SUM('FY19 Staffing V1-1 (3)'!$P$269)/12</f>
        <v>2889.15</v>
      </c>
      <c r="BM272" s="449">
        <f>SUM('FY19 Staffing V1-1 (3)'!$P$269)/12</f>
        <v>2889.15</v>
      </c>
      <c r="BN272" s="449">
        <f>SUM('FY19 Staffing V1-1 (3)'!$P$269)/12</f>
        <v>2889.15</v>
      </c>
      <c r="BO272" s="449">
        <f>SUM('FY19 Staffing V1-1 (3)'!$P$269)/12</f>
        <v>2889.15</v>
      </c>
      <c r="BP272" s="449">
        <f>SUM('FY19 Staffing V1-1 (3)'!$P$269)/12</f>
        <v>2889.15</v>
      </c>
      <c r="BQ272" s="449">
        <f>SUM('FY19 Staffing V1-1 (3)'!$P$269)/12</f>
        <v>2889.15</v>
      </c>
      <c r="BR272" s="449">
        <f>SUM('FY19 Staffing V1-1 (3)'!$P$269)/12</f>
        <v>2889.15</v>
      </c>
      <c r="BS272" s="449">
        <f>SUM('FY19 Staffing V1-1 (3)'!$P$269)/12</f>
        <v>2889.15</v>
      </c>
      <c r="BT272" s="449">
        <f>SUM('FY19 Staffing V1-1 (3)'!$P$269)/12</f>
        <v>2889.15</v>
      </c>
    </row>
    <row r="273" spans="1:72" ht="15" x14ac:dyDescent="0.25">
      <c r="A273" s="502" t="s">
        <v>456</v>
      </c>
      <c r="B273" s="502" t="s">
        <v>457</v>
      </c>
      <c r="C273" s="630"/>
      <c r="D273" s="500">
        <f t="shared" si="259"/>
        <v>3000</v>
      </c>
      <c r="E273" s="449">
        <v>34027</v>
      </c>
      <c r="F273" s="449">
        <f t="shared" si="260"/>
        <v>-31027</v>
      </c>
      <c r="G273" s="421">
        <f t="shared" si="261"/>
        <v>-0.91183471948746586</v>
      </c>
      <c r="H273" s="449">
        <v>3000</v>
      </c>
      <c r="I273" s="449">
        <f t="shared" si="262"/>
        <v>0</v>
      </c>
      <c r="J273" s="426">
        <f t="shared" si="263"/>
        <v>0</v>
      </c>
      <c r="K273" s="421"/>
      <c r="L273" s="449">
        <v>0</v>
      </c>
      <c r="M273" s="449">
        <v>0</v>
      </c>
      <c r="N273" s="449">
        <v>0</v>
      </c>
      <c r="O273" s="449">
        <v>0</v>
      </c>
      <c r="P273" s="449">
        <v>0</v>
      </c>
      <c r="Q273" s="449">
        <v>0</v>
      </c>
      <c r="R273" s="449">
        <f>($H273-SUM($L273:Q273))/R$694</f>
        <v>500</v>
      </c>
      <c r="S273" s="449">
        <f>($H273-SUM($L273:R273))/S$694</f>
        <v>500</v>
      </c>
      <c r="T273" s="449">
        <f>($H273-SUM($L273:S273))/T$694</f>
        <v>500</v>
      </c>
      <c r="U273" s="449">
        <f>($H273-SUM($L273:T273))/U$694</f>
        <v>500</v>
      </c>
      <c r="V273" s="449">
        <f>($H273-SUM($L273:U273))/V$694</f>
        <v>500</v>
      </c>
      <c r="W273" s="449">
        <f>($H273-SUM($L273:V273))/W$694</f>
        <v>500</v>
      </c>
      <c r="X273" s="449"/>
      <c r="Y273" s="449">
        <f t="shared" si="264"/>
        <v>3000</v>
      </c>
      <c r="Z273" s="531"/>
      <c r="AA273" s="449">
        <f t="shared" si="265"/>
        <v>250</v>
      </c>
      <c r="AB273" s="449">
        <f t="shared" si="265"/>
        <v>250</v>
      </c>
      <c r="AC273" s="449">
        <f t="shared" si="265"/>
        <v>250</v>
      </c>
      <c r="AD273" s="449">
        <f t="shared" si="265"/>
        <v>250</v>
      </c>
      <c r="AE273" s="449">
        <f t="shared" si="265"/>
        <v>250</v>
      </c>
      <c r="AF273" s="449">
        <f t="shared" si="265"/>
        <v>250</v>
      </c>
      <c r="AG273" s="449">
        <f t="shared" si="265"/>
        <v>250</v>
      </c>
      <c r="AH273" s="449">
        <f t="shared" si="265"/>
        <v>250</v>
      </c>
      <c r="AI273" s="449">
        <f t="shared" si="265"/>
        <v>250</v>
      </c>
      <c r="AJ273" s="449">
        <f t="shared" si="265"/>
        <v>250</v>
      </c>
      <c r="AK273" s="449">
        <f t="shared" si="265"/>
        <v>250</v>
      </c>
      <c r="AL273" s="449">
        <f t="shared" si="265"/>
        <v>250</v>
      </c>
      <c r="AN273" s="500">
        <f t="shared" si="266"/>
        <v>3000</v>
      </c>
      <c r="AO273" s="449">
        <f t="shared" si="267"/>
        <v>0</v>
      </c>
      <c r="AP273" s="449">
        <f t="shared" si="268"/>
        <v>-3000</v>
      </c>
      <c r="AQ273" s="453">
        <f t="shared" si="269"/>
        <v>-1</v>
      </c>
      <c r="AR273" s="449">
        <f t="shared" si="270"/>
        <v>0</v>
      </c>
      <c r="AS273" s="449">
        <f t="shared" si="271"/>
        <v>0</v>
      </c>
      <c r="AT273" s="426">
        <f t="shared" si="272"/>
        <v>0</v>
      </c>
      <c r="AU273" s="421"/>
      <c r="AV273" s="449">
        <f t="shared" si="273"/>
        <v>0</v>
      </c>
      <c r="AW273" s="449">
        <f t="shared" si="273"/>
        <v>0</v>
      </c>
      <c r="AX273" s="449">
        <f t="shared" si="273"/>
        <v>0</v>
      </c>
      <c r="AY273" s="449">
        <f t="shared" si="273"/>
        <v>0</v>
      </c>
      <c r="AZ273" s="449">
        <f t="shared" si="273"/>
        <v>0</v>
      </c>
      <c r="BA273" s="449">
        <f t="shared" si="273"/>
        <v>0</v>
      </c>
      <c r="BB273" s="449">
        <f t="shared" si="273"/>
        <v>0</v>
      </c>
      <c r="BC273" s="449">
        <f t="shared" si="273"/>
        <v>0</v>
      </c>
      <c r="BD273" s="449">
        <f t="shared" si="273"/>
        <v>0</v>
      </c>
      <c r="BE273" s="449">
        <f t="shared" si="273"/>
        <v>0</v>
      </c>
      <c r="BF273" s="449">
        <f t="shared" si="273"/>
        <v>0</v>
      </c>
      <c r="BG273" s="449">
        <f t="shared" si="273"/>
        <v>0</v>
      </c>
      <c r="BH273" s="400"/>
      <c r="BI273" s="449">
        <v>0</v>
      </c>
      <c r="BJ273" s="449">
        <v>0</v>
      </c>
      <c r="BK273" s="449">
        <v>0</v>
      </c>
      <c r="BL273" s="449">
        <v>0</v>
      </c>
      <c r="BM273" s="449">
        <v>0</v>
      </c>
      <c r="BN273" s="449">
        <v>0</v>
      </c>
      <c r="BO273" s="449">
        <v>0</v>
      </c>
      <c r="BP273" s="449">
        <v>0</v>
      </c>
      <c r="BQ273" s="449">
        <v>0</v>
      </c>
      <c r="BR273" s="449">
        <v>0</v>
      </c>
      <c r="BS273" s="449">
        <v>0</v>
      </c>
      <c r="BT273" s="449">
        <v>0</v>
      </c>
    </row>
    <row r="274" spans="1:72" ht="15" x14ac:dyDescent="0.25">
      <c r="A274" s="502" t="s">
        <v>458</v>
      </c>
      <c r="B274" s="502" t="s">
        <v>459</v>
      </c>
      <c r="C274" s="630"/>
      <c r="D274" s="500">
        <f t="shared" si="259"/>
        <v>0</v>
      </c>
      <c r="E274" s="449">
        <v>0</v>
      </c>
      <c r="F274" s="449">
        <f t="shared" si="260"/>
        <v>0</v>
      </c>
      <c r="G274" s="421">
        <f t="shared" si="261"/>
        <v>0</v>
      </c>
      <c r="H274" s="449">
        <v>0</v>
      </c>
      <c r="I274" s="449">
        <f t="shared" si="262"/>
        <v>0</v>
      </c>
      <c r="J274" s="426">
        <f t="shared" si="263"/>
        <v>0</v>
      </c>
      <c r="K274" s="421"/>
      <c r="L274" s="449">
        <v>0</v>
      </c>
      <c r="M274" s="449">
        <v>0</v>
      </c>
      <c r="N274" s="449">
        <v>0</v>
      </c>
      <c r="O274" s="449">
        <v>0</v>
      </c>
      <c r="P274" s="449">
        <v>0</v>
      </c>
      <c r="Q274" s="449">
        <v>0</v>
      </c>
      <c r="R274" s="449">
        <f>($H274-SUM($L274:Q274))/R$694</f>
        <v>0</v>
      </c>
      <c r="S274" s="449">
        <f>($H274-SUM($L274:R274))/S$694</f>
        <v>0</v>
      </c>
      <c r="T274" s="449">
        <f>($H274-SUM($L274:S274))/T$694</f>
        <v>0</v>
      </c>
      <c r="U274" s="449">
        <f>($H274-SUM($L274:T274))/U$694</f>
        <v>0</v>
      </c>
      <c r="V274" s="449">
        <f>($H274-SUM($L274:U274))/V$694</f>
        <v>0</v>
      </c>
      <c r="W274" s="449">
        <f>($H274-SUM($L274:V274))/W$694</f>
        <v>0</v>
      </c>
      <c r="X274" s="449"/>
      <c r="Y274" s="449">
        <f t="shared" si="264"/>
        <v>0</v>
      </c>
      <c r="Z274" s="531"/>
      <c r="AA274" s="449">
        <f t="shared" si="265"/>
        <v>0</v>
      </c>
      <c r="AB274" s="449">
        <f t="shared" si="265"/>
        <v>0</v>
      </c>
      <c r="AC274" s="449">
        <f t="shared" si="265"/>
        <v>0</v>
      </c>
      <c r="AD274" s="449">
        <f t="shared" si="265"/>
        <v>0</v>
      </c>
      <c r="AE274" s="449">
        <f t="shared" si="265"/>
        <v>0</v>
      </c>
      <c r="AF274" s="449">
        <f t="shared" si="265"/>
        <v>0</v>
      </c>
      <c r="AG274" s="449">
        <f t="shared" si="265"/>
        <v>0</v>
      </c>
      <c r="AH274" s="449">
        <f t="shared" si="265"/>
        <v>0</v>
      </c>
      <c r="AI274" s="449">
        <f t="shared" si="265"/>
        <v>0</v>
      </c>
      <c r="AJ274" s="449">
        <f t="shared" si="265"/>
        <v>0</v>
      </c>
      <c r="AK274" s="449">
        <f t="shared" si="265"/>
        <v>0</v>
      </c>
      <c r="AL274" s="449">
        <f t="shared" si="265"/>
        <v>0</v>
      </c>
      <c r="AN274" s="500">
        <f t="shared" si="266"/>
        <v>0</v>
      </c>
      <c r="AO274" s="449">
        <f t="shared" si="267"/>
        <v>0</v>
      </c>
      <c r="AP274" s="449">
        <f t="shared" si="268"/>
        <v>0</v>
      </c>
      <c r="AQ274" s="453" t="str">
        <f t="shared" si="269"/>
        <v>-</v>
      </c>
      <c r="AR274" s="449">
        <f t="shared" si="270"/>
        <v>0</v>
      </c>
      <c r="AS274" s="449">
        <f t="shared" si="271"/>
        <v>0</v>
      </c>
      <c r="AT274" s="426">
        <f t="shared" si="272"/>
        <v>0</v>
      </c>
      <c r="AU274" s="421"/>
      <c r="AV274" s="449">
        <f t="shared" si="273"/>
        <v>0</v>
      </c>
      <c r="AW274" s="449">
        <f t="shared" si="273"/>
        <v>0</v>
      </c>
      <c r="AX274" s="449">
        <f t="shared" si="273"/>
        <v>0</v>
      </c>
      <c r="AY274" s="449">
        <f t="shared" si="273"/>
        <v>0</v>
      </c>
      <c r="AZ274" s="449">
        <f t="shared" si="273"/>
        <v>0</v>
      </c>
      <c r="BA274" s="449">
        <f t="shared" si="273"/>
        <v>0</v>
      </c>
      <c r="BB274" s="449">
        <f t="shared" si="273"/>
        <v>0</v>
      </c>
      <c r="BC274" s="449">
        <f t="shared" si="273"/>
        <v>0</v>
      </c>
      <c r="BD274" s="449">
        <f t="shared" si="273"/>
        <v>0</v>
      </c>
      <c r="BE274" s="449">
        <f t="shared" si="273"/>
        <v>0</v>
      </c>
      <c r="BF274" s="449">
        <f t="shared" si="273"/>
        <v>0</v>
      </c>
      <c r="BG274" s="449">
        <f t="shared" si="273"/>
        <v>0</v>
      </c>
      <c r="BH274" s="400"/>
      <c r="BI274" s="449">
        <v>0</v>
      </c>
      <c r="BJ274" s="449">
        <v>0</v>
      </c>
      <c r="BK274" s="449">
        <v>0</v>
      </c>
      <c r="BL274" s="449">
        <v>0</v>
      </c>
      <c r="BM274" s="449">
        <v>0</v>
      </c>
      <c r="BN274" s="449">
        <v>0</v>
      </c>
      <c r="BO274" s="449">
        <v>0</v>
      </c>
      <c r="BP274" s="449">
        <v>0</v>
      </c>
      <c r="BQ274" s="449">
        <v>0</v>
      </c>
      <c r="BR274" s="449">
        <v>0</v>
      </c>
      <c r="BS274" s="449">
        <v>0</v>
      </c>
      <c r="BT274" s="449">
        <v>0</v>
      </c>
    </row>
    <row r="275" spans="1:72" ht="15" x14ac:dyDescent="0.25">
      <c r="A275" s="537" t="s">
        <v>460</v>
      </c>
      <c r="B275" s="537" t="s">
        <v>461</v>
      </c>
      <c r="C275" s="630"/>
      <c r="D275" s="500">
        <f>SUM(L275:W275)</f>
        <v>0</v>
      </c>
      <c r="E275" s="449">
        <v>0</v>
      </c>
      <c r="F275" s="449">
        <f t="shared" si="260"/>
        <v>0</v>
      </c>
      <c r="G275" s="421">
        <f t="shared" si="261"/>
        <v>0</v>
      </c>
      <c r="H275" s="449">
        <v>0</v>
      </c>
      <c r="I275" s="449">
        <f t="shared" si="262"/>
        <v>0</v>
      </c>
      <c r="J275" s="426">
        <f t="shared" si="263"/>
        <v>0</v>
      </c>
      <c r="K275" s="421"/>
      <c r="L275" s="449">
        <v>0</v>
      </c>
      <c r="M275" s="449">
        <v>0</v>
      </c>
      <c r="N275" s="449">
        <v>0</v>
      </c>
      <c r="O275" s="449">
        <v>0</v>
      </c>
      <c r="P275" s="449">
        <v>0</v>
      </c>
      <c r="Q275" s="449">
        <v>0</v>
      </c>
      <c r="R275" s="449">
        <f>($H275-SUM($L275:Q275))/R$694</f>
        <v>0</v>
      </c>
      <c r="S275" s="449">
        <f>($H275-SUM($L275:R275))/S$694</f>
        <v>0</v>
      </c>
      <c r="T275" s="449">
        <f>($H275-SUM($L275:S275))/T$694</f>
        <v>0</v>
      </c>
      <c r="U275" s="449">
        <f>($H275-SUM($L275:T275))/U$694</f>
        <v>0</v>
      </c>
      <c r="V275" s="449">
        <f>($H275-SUM($L275:U275))/V$694</f>
        <v>0</v>
      </c>
      <c r="W275" s="449">
        <f>($H275-SUM($L275:V275))/W$694</f>
        <v>0</v>
      </c>
      <c r="X275" s="449"/>
      <c r="Y275" s="449">
        <f t="shared" si="264"/>
        <v>0</v>
      </c>
      <c r="Z275" s="531"/>
      <c r="AA275" s="449">
        <f t="shared" si="265"/>
        <v>0</v>
      </c>
      <c r="AB275" s="449">
        <f t="shared" si="265"/>
        <v>0</v>
      </c>
      <c r="AC275" s="449">
        <f t="shared" si="265"/>
        <v>0</v>
      </c>
      <c r="AD275" s="449">
        <f t="shared" si="265"/>
        <v>0</v>
      </c>
      <c r="AE275" s="449">
        <f t="shared" si="265"/>
        <v>0</v>
      </c>
      <c r="AF275" s="449">
        <f t="shared" si="265"/>
        <v>0</v>
      </c>
      <c r="AG275" s="449">
        <f t="shared" si="265"/>
        <v>0</v>
      </c>
      <c r="AH275" s="449">
        <f t="shared" si="265"/>
        <v>0</v>
      </c>
      <c r="AI275" s="449">
        <f t="shared" si="265"/>
        <v>0</v>
      </c>
      <c r="AJ275" s="449">
        <f t="shared" si="265"/>
        <v>0</v>
      </c>
      <c r="AK275" s="449">
        <f t="shared" si="265"/>
        <v>0</v>
      </c>
      <c r="AL275" s="449">
        <f t="shared" si="265"/>
        <v>0</v>
      </c>
      <c r="AN275" s="500">
        <f>SUM(L275:W275)</f>
        <v>0</v>
      </c>
      <c r="AO275" s="449">
        <f>SUM(BI275:BT275)</f>
        <v>0</v>
      </c>
      <c r="AP275" s="449">
        <f t="shared" si="268"/>
        <v>0</v>
      </c>
      <c r="AQ275" s="453" t="str">
        <f t="shared" si="269"/>
        <v>-</v>
      </c>
      <c r="AR275" s="449">
        <f t="shared" si="270"/>
        <v>0</v>
      </c>
      <c r="AS275" s="449">
        <f t="shared" si="271"/>
        <v>0</v>
      </c>
      <c r="AT275" s="426">
        <f t="shared" si="272"/>
        <v>0</v>
      </c>
      <c r="AU275" s="421"/>
      <c r="AV275" s="449">
        <f t="shared" si="273"/>
        <v>0</v>
      </c>
      <c r="AW275" s="449">
        <f t="shared" si="273"/>
        <v>0</v>
      </c>
      <c r="AX275" s="449">
        <f t="shared" si="273"/>
        <v>0</v>
      </c>
      <c r="AY275" s="449">
        <f t="shared" si="273"/>
        <v>0</v>
      </c>
      <c r="AZ275" s="449">
        <f t="shared" si="273"/>
        <v>0</v>
      </c>
      <c r="BA275" s="449">
        <f t="shared" si="273"/>
        <v>0</v>
      </c>
      <c r="BB275" s="449">
        <f t="shared" si="273"/>
        <v>0</v>
      </c>
      <c r="BC275" s="449">
        <f t="shared" si="273"/>
        <v>0</v>
      </c>
      <c r="BD275" s="449">
        <f t="shared" si="273"/>
        <v>0</v>
      </c>
      <c r="BE275" s="449">
        <f t="shared" si="273"/>
        <v>0</v>
      </c>
      <c r="BF275" s="449">
        <f t="shared" si="273"/>
        <v>0</v>
      </c>
      <c r="BG275" s="449">
        <f t="shared" si="273"/>
        <v>0</v>
      </c>
      <c r="BH275" s="400"/>
      <c r="BI275" s="449">
        <v>0</v>
      </c>
      <c r="BJ275" s="449">
        <v>0</v>
      </c>
      <c r="BK275" s="449">
        <v>0</v>
      </c>
      <c r="BL275" s="449">
        <v>0</v>
      </c>
      <c r="BM275" s="449">
        <v>0</v>
      </c>
      <c r="BN275" s="449">
        <v>0</v>
      </c>
      <c r="BO275" s="449">
        <v>0</v>
      </c>
      <c r="BP275" s="449">
        <v>0</v>
      </c>
      <c r="BQ275" s="449">
        <v>0</v>
      </c>
      <c r="BR275" s="449">
        <v>0</v>
      </c>
      <c r="BS275" s="449">
        <v>0</v>
      </c>
      <c r="BT275" s="449">
        <v>0</v>
      </c>
    </row>
    <row r="276" spans="1:72" ht="15" x14ac:dyDescent="0.25">
      <c r="A276" s="502" t="s">
        <v>462</v>
      </c>
      <c r="B276" s="502" t="s">
        <v>463</v>
      </c>
      <c r="C276" s="630"/>
      <c r="D276" s="500">
        <f t="shared" si="259"/>
        <v>6000</v>
      </c>
      <c r="E276" s="449">
        <v>6000</v>
      </c>
      <c r="F276" s="449">
        <f t="shared" si="260"/>
        <v>0</v>
      </c>
      <c r="G276" s="421">
        <f t="shared" si="261"/>
        <v>0</v>
      </c>
      <c r="H276" s="449">
        <v>6000</v>
      </c>
      <c r="I276" s="449">
        <f t="shared" si="262"/>
        <v>0</v>
      </c>
      <c r="J276" s="426">
        <f t="shared" si="263"/>
        <v>0</v>
      </c>
      <c r="K276" s="421"/>
      <c r="L276" s="449">
        <v>0</v>
      </c>
      <c r="M276" s="449">
        <v>0</v>
      </c>
      <c r="N276" s="449">
        <v>0</v>
      </c>
      <c r="O276" s="449">
        <v>6000</v>
      </c>
      <c r="P276" s="449">
        <v>0</v>
      </c>
      <c r="Q276" s="449">
        <v>0</v>
      </c>
      <c r="R276" s="449">
        <f>($H276-SUM($L276:Q276))/R$694</f>
        <v>0</v>
      </c>
      <c r="S276" s="449">
        <f>($H276-SUM($L276:R276))/S$694</f>
        <v>0</v>
      </c>
      <c r="T276" s="449">
        <f>($H276-SUM($L276:S276))/T$694</f>
        <v>0</v>
      </c>
      <c r="U276" s="449">
        <f>($H276-SUM($L276:T276))/U$694</f>
        <v>0</v>
      </c>
      <c r="V276" s="449">
        <f>($H276-SUM($L276:U276))/V$694</f>
        <v>0</v>
      </c>
      <c r="W276" s="449">
        <f>($H276-SUM($L276:V276))/W$694</f>
        <v>0</v>
      </c>
      <c r="X276" s="449"/>
      <c r="Y276" s="449">
        <f t="shared" si="264"/>
        <v>6000</v>
      </c>
      <c r="Z276" s="531"/>
      <c r="AA276" s="449">
        <f t="shared" si="265"/>
        <v>500</v>
      </c>
      <c r="AB276" s="449">
        <f t="shared" si="265"/>
        <v>500</v>
      </c>
      <c r="AC276" s="449">
        <f t="shared" si="265"/>
        <v>500</v>
      </c>
      <c r="AD276" s="449">
        <f t="shared" si="265"/>
        <v>500</v>
      </c>
      <c r="AE276" s="449">
        <f t="shared" si="265"/>
        <v>500</v>
      </c>
      <c r="AF276" s="449">
        <f t="shared" si="265"/>
        <v>500</v>
      </c>
      <c r="AG276" s="449">
        <f t="shared" si="265"/>
        <v>500</v>
      </c>
      <c r="AH276" s="449">
        <f t="shared" si="265"/>
        <v>500</v>
      </c>
      <c r="AI276" s="449">
        <f t="shared" si="265"/>
        <v>500</v>
      </c>
      <c r="AJ276" s="449">
        <f t="shared" si="265"/>
        <v>500</v>
      </c>
      <c r="AK276" s="449">
        <f t="shared" si="265"/>
        <v>500</v>
      </c>
      <c r="AL276" s="449">
        <f t="shared" si="265"/>
        <v>500</v>
      </c>
      <c r="AN276" s="500">
        <f t="shared" si="266"/>
        <v>6000</v>
      </c>
      <c r="AO276" s="449">
        <f t="shared" si="267"/>
        <v>3000</v>
      </c>
      <c r="AP276" s="449">
        <f t="shared" si="268"/>
        <v>-3000</v>
      </c>
      <c r="AQ276" s="453">
        <f t="shared" si="269"/>
        <v>-0.5</v>
      </c>
      <c r="AR276" s="449">
        <f t="shared" si="270"/>
        <v>3000</v>
      </c>
      <c r="AS276" s="449">
        <f t="shared" si="271"/>
        <v>0</v>
      </c>
      <c r="AT276" s="426">
        <f t="shared" si="272"/>
        <v>0</v>
      </c>
      <c r="AU276" s="421"/>
      <c r="AV276" s="449">
        <f t="shared" si="273"/>
        <v>0</v>
      </c>
      <c r="AW276" s="449">
        <f t="shared" si="273"/>
        <v>0</v>
      </c>
      <c r="AX276" s="449">
        <f t="shared" si="273"/>
        <v>0</v>
      </c>
      <c r="AY276" s="449">
        <f t="shared" si="273"/>
        <v>3000</v>
      </c>
      <c r="AZ276" s="449">
        <f t="shared" si="273"/>
        <v>0</v>
      </c>
      <c r="BA276" s="449">
        <f t="shared" si="273"/>
        <v>0</v>
      </c>
      <c r="BB276" s="449">
        <f t="shared" si="273"/>
        <v>0</v>
      </c>
      <c r="BC276" s="449">
        <f t="shared" si="273"/>
        <v>0</v>
      </c>
      <c r="BD276" s="449">
        <f t="shared" si="273"/>
        <v>0</v>
      </c>
      <c r="BE276" s="449">
        <f t="shared" si="273"/>
        <v>0</v>
      </c>
      <c r="BF276" s="449">
        <f t="shared" si="273"/>
        <v>0</v>
      </c>
      <c r="BG276" s="449">
        <f t="shared" si="273"/>
        <v>0</v>
      </c>
      <c r="BH276" s="400"/>
      <c r="BI276" s="449">
        <v>0</v>
      </c>
      <c r="BJ276" s="449">
        <v>0</v>
      </c>
      <c r="BK276" s="449">
        <v>0</v>
      </c>
      <c r="BL276" s="449">
        <f>SUM('FY19 Staffing V1-1 (3)'!$J$226)</f>
        <v>3000</v>
      </c>
      <c r="BM276" s="449">
        <v>0</v>
      </c>
      <c r="BN276" s="449">
        <v>0</v>
      </c>
      <c r="BO276" s="449">
        <v>0</v>
      </c>
      <c r="BP276" s="449">
        <v>0</v>
      </c>
      <c r="BQ276" s="449">
        <v>0</v>
      </c>
      <c r="BR276" s="449">
        <v>0</v>
      </c>
      <c r="BS276" s="449">
        <v>0</v>
      </c>
      <c r="BT276" s="449">
        <v>0</v>
      </c>
    </row>
    <row r="277" spans="1:72" ht="15" x14ac:dyDescent="0.25">
      <c r="A277" s="537" t="s">
        <v>464</v>
      </c>
      <c r="B277" s="537" t="s">
        <v>465</v>
      </c>
      <c r="C277" s="630"/>
      <c r="D277" s="500">
        <f>SUM(L277:W277)</f>
        <v>0</v>
      </c>
      <c r="E277" s="449">
        <v>0</v>
      </c>
      <c r="F277" s="449">
        <f t="shared" si="260"/>
        <v>0</v>
      </c>
      <c r="G277" s="421">
        <f t="shared" si="261"/>
        <v>0</v>
      </c>
      <c r="H277" s="449">
        <v>0</v>
      </c>
      <c r="I277" s="449">
        <f t="shared" si="262"/>
        <v>0</v>
      </c>
      <c r="J277" s="426">
        <f t="shared" si="263"/>
        <v>0</v>
      </c>
      <c r="K277" s="421"/>
      <c r="L277" s="449">
        <v>0</v>
      </c>
      <c r="M277" s="449">
        <v>0</v>
      </c>
      <c r="N277" s="449">
        <v>0</v>
      </c>
      <c r="O277" s="449">
        <v>0</v>
      </c>
      <c r="P277" s="449">
        <v>0</v>
      </c>
      <c r="Q277" s="449">
        <v>0</v>
      </c>
      <c r="R277" s="449">
        <f>($H277-SUM($L277:Q277))/R$694</f>
        <v>0</v>
      </c>
      <c r="S277" s="449">
        <f>($H277-SUM($L277:R277))/S$694</f>
        <v>0</v>
      </c>
      <c r="T277" s="449">
        <f>($H277-SUM($L277:S277))/T$694</f>
        <v>0</v>
      </c>
      <c r="U277" s="449">
        <f>($H277-SUM($L277:T277))/U$694</f>
        <v>0</v>
      </c>
      <c r="V277" s="449">
        <f>($H277-SUM($L277:U277))/V$694</f>
        <v>0</v>
      </c>
      <c r="W277" s="449">
        <f>($H277-SUM($L277:V277))/W$694</f>
        <v>0</v>
      </c>
      <c r="X277" s="449"/>
      <c r="Y277" s="449">
        <f t="shared" si="264"/>
        <v>0</v>
      </c>
      <c r="Z277" s="531"/>
      <c r="AA277" s="449">
        <f t="shared" si="265"/>
        <v>0</v>
      </c>
      <c r="AB277" s="449">
        <f t="shared" si="265"/>
        <v>0</v>
      </c>
      <c r="AC277" s="449">
        <f t="shared" si="265"/>
        <v>0</v>
      </c>
      <c r="AD277" s="449">
        <f t="shared" si="265"/>
        <v>0</v>
      </c>
      <c r="AE277" s="449">
        <f t="shared" si="265"/>
        <v>0</v>
      </c>
      <c r="AF277" s="449">
        <f t="shared" si="265"/>
        <v>0</v>
      </c>
      <c r="AG277" s="449">
        <f t="shared" si="265"/>
        <v>0</v>
      </c>
      <c r="AH277" s="449">
        <f t="shared" si="265"/>
        <v>0</v>
      </c>
      <c r="AI277" s="449">
        <f t="shared" si="265"/>
        <v>0</v>
      </c>
      <c r="AJ277" s="449">
        <f t="shared" si="265"/>
        <v>0</v>
      </c>
      <c r="AK277" s="449">
        <f t="shared" si="265"/>
        <v>0</v>
      </c>
      <c r="AL277" s="449">
        <f t="shared" si="265"/>
        <v>0</v>
      </c>
      <c r="AN277" s="500">
        <f>SUM(L277:W277)</f>
        <v>0</v>
      </c>
      <c r="AO277" s="449">
        <f>SUM(BI277:BT277)</f>
        <v>3000</v>
      </c>
      <c r="AP277" s="449">
        <f t="shared" si="268"/>
        <v>3000</v>
      </c>
      <c r="AQ277" s="453" t="str">
        <f t="shared" si="269"/>
        <v>-</v>
      </c>
      <c r="AR277" s="449">
        <f t="shared" si="270"/>
        <v>3000</v>
      </c>
      <c r="AS277" s="449">
        <f t="shared" si="271"/>
        <v>0</v>
      </c>
      <c r="AT277" s="426">
        <f t="shared" si="272"/>
        <v>0</v>
      </c>
      <c r="AU277" s="421"/>
      <c r="AV277" s="449">
        <f t="shared" si="273"/>
        <v>0</v>
      </c>
      <c r="AW277" s="449">
        <f t="shared" si="273"/>
        <v>0</v>
      </c>
      <c r="AX277" s="449">
        <f t="shared" si="273"/>
        <v>0</v>
      </c>
      <c r="AY277" s="449">
        <f t="shared" si="273"/>
        <v>3000</v>
      </c>
      <c r="AZ277" s="449">
        <f t="shared" si="273"/>
        <v>0</v>
      </c>
      <c r="BA277" s="449">
        <f t="shared" si="273"/>
        <v>0</v>
      </c>
      <c r="BB277" s="449">
        <f t="shared" si="273"/>
        <v>0</v>
      </c>
      <c r="BC277" s="449">
        <f t="shared" si="273"/>
        <v>0</v>
      </c>
      <c r="BD277" s="449">
        <f t="shared" si="273"/>
        <v>0</v>
      </c>
      <c r="BE277" s="449">
        <f t="shared" si="273"/>
        <v>0</v>
      </c>
      <c r="BF277" s="449">
        <f t="shared" si="273"/>
        <v>0</v>
      </c>
      <c r="BG277" s="449">
        <f t="shared" si="273"/>
        <v>0</v>
      </c>
      <c r="BH277" s="400"/>
      <c r="BI277" s="449">
        <v>0</v>
      </c>
      <c r="BJ277" s="449">
        <v>0</v>
      </c>
      <c r="BK277" s="449">
        <v>0</v>
      </c>
      <c r="BL277" s="449">
        <f>SUM('FY19 Staffing V1-1 (3)'!$J$227,'FY19 Staffing V1-1 (3)'!$J$229)</f>
        <v>3000</v>
      </c>
      <c r="BM277" s="449">
        <v>0</v>
      </c>
      <c r="BN277" s="449">
        <v>0</v>
      </c>
      <c r="BO277" s="449">
        <v>0</v>
      </c>
      <c r="BP277" s="449">
        <v>0</v>
      </c>
      <c r="BQ277" s="449">
        <v>0</v>
      </c>
      <c r="BR277" s="449">
        <v>0</v>
      </c>
      <c r="BS277" s="449">
        <v>0</v>
      </c>
      <c r="BT277" s="449">
        <v>0</v>
      </c>
    </row>
    <row r="278" spans="1:72" ht="15" x14ac:dyDescent="0.25">
      <c r="A278" s="537" t="s">
        <v>466</v>
      </c>
      <c r="B278" s="537" t="s">
        <v>467</v>
      </c>
      <c r="C278" s="630"/>
      <c r="D278" s="500">
        <f>SUM(L278:W278)</f>
        <v>0</v>
      </c>
      <c r="E278" s="449">
        <v>0</v>
      </c>
      <c r="F278" s="449">
        <f t="shared" si="260"/>
        <v>0</v>
      </c>
      <c r="G278" s="421">
        <f t="shared" si="261"/>
        <v>0</v>
      </c>
      <c r="H278" s="449">
        <v>0</v>
      </c>
      <c r="I278" s="449">
        <f t="shared" si="262"/>
        <v>0</v>
      </c>
      <c r="J278" s="426">
        <f t="shared" si="263"/>
        <v>0</v>
      </c>
      <c r="K278" s="421"/>
      <c r="L278" s="449">
        <v>0</v>
      </c>
      <c r="M278" s="449">
        <v>0</v>
      </c>
      <c r="N278" s="449">
        <v>0</v>
      </c>
      <c r="O278" s="449">
        <v>0</v>
      </c>
      <c r="P278" s="449">
        <v>0</v>
      </c>
      <c r="Q278" s="449">
        <v>0</v>
      </c>
      <c r="R278" s="449">
        <f>($H278-SUM($L278:Q278))/R$694</f>
        <v>0</v>
      </c>
      <c r="S278" s="449">
        <f>($H278-SUM($L278:R278))/S$694</f>
        <v>0</v>
      </c>
      <c r="T278" s="449">
        <f>($H278-SUM($L278:S278))/T$694</f>
        <v>0</v>
      </c>
      <c r="U278" s="449">
        <f>($H278-SUM($L278:T278))/U$694</f>
        <v>0</v>
      </c>
      <c r="V278" s="449">
        <f>($H278-SUM($L278:U278))/V$694</f>
        <v>0</v>
      </c>
      <c r="W278" s="449">
        <f>($H278-SUM($L278:V278))/W$694</f>
        <v>0</v>
      </c>
      <c r="X278" s="449"/>
      <c r="Y278" s="449">
        <f t="shared" si="264"/>
        <v>0</v>
      </c>
      <c r="Z278" s="531"/>
      <c r="AA278" s="449">
        <f t="shared" si="265"/>
        <v>0</v>
      </c>
      <c r="AB278" s="449">
        <f t="shared" si="265"/>
        <v>0</v>
      </c>
      <c r="AC278" s="449">
        <f t="shared" si="265"/>
        <v>0</v>
      </c>
      <c r="AD278" s="449">
        <f t="shared" si="265"/>
        <v>0</v>
      </c>
      <c r="AE278" s="449">
        <f t="shared" si="265"/>
        <v>0</v>
      </c>
      <c r="AF278" s="449">
        <f t="shared" si="265"/>
        <v>0</v>
      </c>
      <c r="AG278" s="449">
        <f t="shared" si="265"/>
        <v>0</v>
      </c>
      <c r="AH278" s="449">
        <f t="shared" si="265"/>
        <v>0</v>
      </c>
      <c r="AI278" s="449">
        <f t="shared" si="265"/>
        <v>0</v>
      </c>
      <c r="AJ278" s="449">
        <f t="shared" si="265"/>
        <v>0</v>
      </c>
      <c r="AK278" s="449">
        <f t="shared" si="265"/>
        <v>0</v>
      </c>
      <c r="AL278" s="449">
        <f t="shared" si="265"/>
        <v>0</v>
      </c>
      <c r="AN278" s="500">
        <f>SUM(L278:W278)</f>
        <v>0</v>
      </c>
      <c r="AO278" s="449">
        <f>SUM(BI278:BT278)</f>
        <v>3000</v>
      </c>
      <c r="AP278" s="449">
        <f t="shared" si="268"/>
        <v>3000</v>
      </c>
      <c r="AQ278" s="453" t="str">
        <f t="shared" si="269"/>
        <v>-</v>
      </c>
      <c r="AR278" s="449">
        <f t="shared" si="270"/>
        <v>3000</v>
      </c>
      <c r="AS278" s="449">
        <f t="shared" si="271"/>
        <v>0</v>
      </c>
      <c r="AT278" s="426">
        <f t="shared" si="272"/>
        <v>0</v>
      </c>
      <c r="AU278" s="421"/>
      <c r="AV278" s="449">
        <f t="shared" si="273"/>
        <v>0</v>
      </c>
      <c r="AW278" s="449">
        <f t="shared" si="273"/>
        <v>0</v>
      </c>
      <c r="AX278" s="449">
        <f t="shared" si="273"/>
        <v>0</v>
      </c>
      <c r="AY278" s="449">
        <f t="shared" si="273"/>
        <v>3000</v>
      </c>
      <c r="AZ278" s="449">
        <f t="shared" si="273"/>
        <v>0</v>
      </c>
      <c r="BA278" s="449">
        <f t="shared" si="273"/>
        <v>0</v>
      </c>
      <c r="BB278" s="449">
        <f t="shared" si="273"/>
        <v>0</v>
      </c>
      <c r="BC278" s="449">
        <f t="shared" si="273"/>
        <v>0</v>
      </c>
      <c r="BD278" s="449">
        <f t="shared" si="273"/>
        <v>0</v>
      </c>
      <c r="BE278" s="449">
        <f t="shared" si="273"/>
        <v>0</v>
      </c>
      <c r="BF278" s="449">
        <f t="shared" si="273"/>
        <v>0</v>
      </c>
      <c r="BG278" s="449">
        <f t="shared" si="273"/>
        <v>0</v>
      </c>
      <c r="BH278" s="400"/>
      <c r="BI278" s="449">
        <v>0</v>
      </c>
      <c r="BJ278" s="449">
        <v>0</v>
      </c>
      <c r="BK278" s="449">
        <v>0</v>
      </c>
      <c r="BL278" s="449">
        <f>SUM('FY19 Staffing V1-1 (3)'!$J$228)</f>
        <v>3000</v>
      </c>
      <c r="BM278" s="449">
        <v>0</v>
      </c>
      <c r="BN278" s="449">
        <v>0</v>
      </c>
      <c r="BO278" s="449">
        <v>0</v>
      </c>
      <c r="BP278" s="449">
        <v>0</v>
      </c>
      <c r="BQ278" s="449">
        <v>0</v>
      </c>
      <c r="BR278" s="449">
        <v>0</v>
      </c>
      <c r="BS278" s="449">
        <v>0</v>
      </c>
      <c r="BT278" s="449">
        <v>0</v>
      </c>
    </row>
    <row r="279" spans="1:72" ht="15" x14ac:dyDescent="0.25">
      <c r="A279" s="502" t="s">
        <v>468</v>
      </c>
      <c r="B279" s="502" t="s">
        <v>469</v>
      </c>
      <c r="C279" s="630"/>
      <c r="D279" s="500">
        <f t="shared" si="259"/>
        <v>0</v>
      </c>
      <c r="E279" s="449">
        <v>0</v>
      </c>
      <c r="F279" s="449">
        <f t="shared" si="260"/>
        <v>0</v>
      </c>
      <c r="G279" s="421">
        <f t="shared" si="261"/>
        <v>0</v>
      </c>
      <c r="H279" s="449">
        <v>0</v>
      </c>
      <c r="I279" s="449">
        <f t="shared" si="262"/>
        <v>0</v>
      </c>
      <c r="J279" s="426">
        <f t="shared" si="263"/>
        <v>0</v>
      </c>
      <c r="K279" s="421"/>
      <c r="L279" s="449">
        <v>0</v>
      </c>
      <c r="M279" s="449">
        <v>0</v>
      </c>
      <c r="N279" s="449">
        <v>0</v>
      </c>
      <c r="O279" s="449">
        <v>0</v>
      </c>
      <c r="P279" s="449">
        <v>0</v>
      </c>
      <c r="Q279" s="449">
        <v>0</v>
      </c>
      <c r="R279" s="449">
        <f>($H279-SUM($L279:Q279))/R$694</f>
        <v>0</v>
      </c>
      <c r="S279" s="449">
        <f>($H279-SUM($L279:R279))/S$694</f>
        <v>0</v>
      </c>
      <c r="T279" s="449">
        <f>($H279-SUM($L279:S279))/T$694</f>
        <v>0</v>
      </c>
      <c r="U279" s="449">
        <f>($H279-SUM($L279:T279))/U$694</f>
        <v>0</v>
      </c>
      <c r="V279" s="449">
        <f>($H279-SUM($L279:U279))/V$694</f>
        <v>0</v>
      </c>
      <c r="W279" s="449">
        <f>($H279-SUM($L279:V279))/W$694</f>
        <v>0</v>
      </c>
      <c r="X279" s="449"/>
      <c r="Y279" s="449">
        <f t="shared" si="264"/>
        <v>0</v>
      </c>
      <c r="Z279" s="531"/>
      <c r="AA279" s="449">
        <f t="shared" si="265"/>
        <v>0</v>
      </c>
      <c r="AB279" s="449">
        <f t="shared" si="265"/>
        <v>0</v>
      </c>
      <c r="AC279" s="449">
        <f t="shared" si="265"/>
        <v>0</v>
      </c>
      <c r="AD279" s="449">
        <f t="shared" si="265"/>
        <v>0</v>
      </c>
      <c r="AE279" s="449">
        <f t="shared" si="265"/>
        <v>0</v>
      </c>
      <c r="AF279" s="449">
        <f t="shared" si="265"/>
        <v>0</v>
      </c>
      <c r="AG279" s="449">
        <f t="shared" si="265"/>
        <v>0</v>
      </c>
      <c r="AH279" s="449">
        <f t="shared" si="265"/>
        <v>0</v>
      </c>
      <c r="AI279" s="449">
        <f t="shared" si="265"/>
        <v>0</v>
      </c>
      <c r="AJ279" s="449">
        <f t="shared" si="265"/>
        <v>0</v>
      </c>
      <c r="AK279" s="449">
        <f t="shared" si="265"/>
        <v>0</v>
      </c>
      <c r="AL279" s="449">
        <f t="shared" si="265"/>
        <v>0</v>
      </c>
      <c r="AN279" s="500">
        <f t="shared" si="266"/>
        <v>0</v>
      </c>
      <c r="AO279" s="449">
        <f t="shared" si="267"/>
        <v>0</v>
      </c>
      <c r="AP279" s="449">
        <f t="shared" si="268"/>
        <v>0</v>
      </c>
      <c r="AQ279" s="453" t="str">
        <f t="shared" si="269"/>
        <v>-</v>
      </c>
      <c r="AR279" s="449">
        <f t="shared" si="270"/>
        <v>0</v>
      </c>
      <c r="AS279" s="449">
        <f t="shared" si="271"/>
        <v>0</v>
      </c>
      <c r="AT279" s="426">
        <f t="shared" si="272"/>
        <v>0</v>
      </c>
      <c r="AU279" s="421"/>
      <c r="AV279" s="449">
        <f t="shared" si="273"/>
        <v>0</v>
      </c>
      <c r="AW279" s="449">
        <f t="shared" si="273"/>
        <v>0</v>
      </c>
      <c r="AX279" s="449">
        <f t="shared" si="273"/>
        <v>0</v>
      </c>
      <c r="AY279" s="449">
        <f t="shared" si="273"/>
        <v>0</v>
      </c>
      <c r="AZ279" s="449">
        <f t="shared" si="273"/>
        <v>0</v>
      </c>
      <c r="BA279" s="449">
        <f t="shared" si="273"/>
        <v>0</v>
      </c>
      <c r="BB279" s="449">
        <f t="shared" si="273"/>
        <v>0</v>
      </c>
      <c r="BC279" s="449">
        <f t="shared" si="273"/>
        <v>0</v>
      </c>
      <c r="BD279" s="449">
        <f t="shared" si="273"/>
        <v>0</v>
      </c>
      <c r="BE279" s="449">
        <f t="shared" si="273"/>
        <v>0</v>
      </c>
      <c r="BF279" s="449">
        <f t="shared" si="273"/>
        <v>0</v>
      </c>
      <c r="BG279" s="449">
        <f t="shared" si="273"/>
        <v>0</v>
      </c>
      <c r="BH279" s="400"/>
      <c r="BI279" s="449">
        <v>0</v>
      </c>
      <c r="BJ279" s="449">
        <v>0</v>
      </c>
      <c r="BK279" s="449">
        <v>0</v>
      </c>
      <c r="BL279" s="449">
        <v>0</v>
      </c>
      <c r="BM279" s="449">
        <v>0</v>
      </c>
      <c r="BN279" s="449">
        <v>0</v>
      </c>
      <c r="BO279" s="449">
        <v>0</v>
      </c>
      <c r="BP279" s="449">
        <v>0</v>
      </c>
      <c r="BQ279" s="449">
        <v>0</v>
      </c>
      <c r="BR279" s="449">
        <v>0</v>
      </c>
      <c r="BS279" s="449">
        <v>0</v>
      </c>
      <c r="BT279" s="449">
        <v>0</v>
      </c>
    </row>
    <row r="280" spans="1:72" ht="15" x14ac:dyDescent="0.25">
      <c r="A280" s="502" t="s">
        <v>470</v>
      </c>
      <c r="B280" s="502" t="s">
        <v>471</v>
      </c>
      <c r="C280" s="630"/>
      <c r="D280" s="500">
        <f t="shared" si="259"/>
        <v>3000</v>
      </c>
      <c r="E280" s="449">
        <v>3000</v>
      </c>
      <c r="F280" s="449">
        <f t="shared" si="260"/>
        <v>0</v>
      </c>
      <c r="G280" s="421">
        <f t="shared" si="261"/>
        <v>0</v>
      </c>
      <c r="H280" s="449">
        <v>3000</v>
      </c>
      <c r="I280" s="449">
        <f t="shared" si="262"/>
        <v>0</v>
      </c>
      <c r="J280" s="426">
        <f t="shared" si="263"/>
        <v>0</v>
      </c>
      <c r="K280" s="421"/>
      <c r="L280" s="449">
        <v>0</v>
      </c>
      <c r="M280" s="449">
        <v>0</v>
      </c>
      <c r="N280" s="449">
        <v>0</v>
      </c>
      <c r="O280" s="449">
        <v>0</v>
      </c>
      <c r="P280" s="449">
        <v>0</v>
      </c>
      <c r="Q280" s="449">
        <v>0</v>
      </c>
      <c r="R280" s="449">
        <f>($H280-SUM($L280:Q280))/R$694</f>
        <v>500</v>
      </c>
      <c r="S280" s="449">
        <f>($H280-SUM($L280:R280))/S$694</f>
        <v>500</v>
      </c>
      <c r="T280" s="449">
        <f>($H280-SUM($L280:S280))/T$694</f>
        <v>500</v>
      </c>
      <c r="U280" s="449">
        <f>($H280-SUM($L280:T280))/U$694</f>
        <v>500</v>
      </c>
      <c r="V280" s="449">
        <f>($H280-SUM($L280:U280))/V$694</f>
        <v>500</v>
      </c>
      <c r="W280" s="449">
        <f>($H280-SUM($L280:V280))/W$694</f>
        <v>500</v>
      </c>
      <c r="X280" s="449"/>
      <c r="Y280" s="449">
        <f t="shared" si="264"/>
        <v>3000</v>
      </c>
      <c r="Z280" s="531"/>
      <c r="AA280" s="449">
        <f t="shared" si="265"/>
        <v>250</v>
      </c>
      <c r="AB280" s="449">
        <f t="shared" si="265"/>
        <v>250</v>
      </c>
      <c r="AC280" s="449">
        <f t="shared" si="265"/>
        <v>250</v>
      </c>
      <c r="AD280" s="449">
        <f t="shared" si="265"/>
        <v>250</v>
      </c>
      <c r="AE280" s="449">
        <f t="shared" si="265"/>
        <v>250</v>
      </c>
      <c r="AF280" s="449">
        <f t="shared" si="265"/>
        <v>250</v>
      </c>
      <c r="AG280" s="449">
        <f t="shared" si="265"/>
        <v>250</v>
      </c>
      <c r="AH280" s="449">
        <f t="shared" si="265"/>
        <v>250</v>
      </c>
      <c r="AI280" s="449">
        <f t="shared" si="265"/>
        <v>250</v>
      </c>
      <c r="AJ280" s="449">
        <f t="shared" si="265"/>
        <v>250</v>
      </c>
      <c r="AK280" s="449">
        <f t="shared" si="265"/>
        <v>250</v>
      </c>
      <c r="AL280" s="449">
        <f t="shared" si="265"/>
        <v>250</v>
      </c>
      <c r="AN280" s="500">
        <f t="shared" si="266"/>
        <v>3000</v>
      </c>
      <c r="AO280" s="449">
        <f t="shared" si="267"/>
        <v>3000</v>
      </c>
      <c r="AP280" s="449">
        <f t="shared" si="268"/>
        <v>0</v>
      </c>
      <c r="AQ280" s="453">
        <f t="shared" si="269"/>
        <v>0</v>
      </c>
      <c r="AR280" s="449">
        <f t="shared" si="270"/>
        <v>3000</v>
      </c>
      <c r="AS280" s="449">
        <f t="shared" si="271"/>
        <v>0</v>
      </c>
      <c r="AT280" s="426">
        <f t="shared" si="272"/>
        <v>0</v>
      </c>
      <c r="AU280" s="421"/>
      <c r="AV280" s="449">
        <f t="shared" si="273"/>
        <v>0</v>
      </c>
      <c r="AW280" s="449">
        <f t="shared" si="273"/>
        <v>0</v>
      </c>
      <c r="AX280" s="449">
        <f t="shared" si="273"/>
        <v>0</v>
      </c>
      <c r="AY280" s="449">
        <f t="shared" si="273"/>
        <v>3000</v>
      </c>
      <c r="AZ280" s="449">
        <f t="shared" si="273"/>
        <v>0</v>
      </c>
      <c r="BA280" s="449">
        <f t="shared" si="273"/>
        <v>0</v>
      </c>
      <c r="BB280" s="449">
        <f t="shared" si="273"/>
        <v>0</v>
      </c>
      <c r="BC280" s="449">
        <f t="shared" si="273"/>
        <v>0</v>
      </c>
      <c r="BD280" s="449">
        <f t="shared" si="273"/>
        <v>0</v>
      </c>
      <c r="BE280" s="449">
        <f t="shared" si="273"/>
        <v>0</v>
      </c>
      <c r="BF280" s="449">
        <f t="shared" si="273"/>
        <v>0</v>
      </c>
      <c r="BG280" s="449">
        <f t="shared" si="273"/>
        <v>0</v>
      </c>
      <c r="BH280" s="400"/>
      <c r="BI280" s="449">
        <v>0</v>
      </c>
      <c r="BJ280" s="449">
        <v>0</v>
      </c>
      <c r="BK280" s="449">
        <v>0</v>
      </c>
      <c r="BL280" s="449">
        <f>SUM('FY19 Staffing V1-1 (3)'!$J$269)</f>
        <v>3000</v>
      </c>
      <c r="BM280" s="449">
        <v>0</v>
      </c>
      <c r="BN280" s="449">
        <v>0</v>
      </c>
      <c r="BO280" s="449">
        <v>0</v>
      </c>
      <c r="BP280" s="449">
        <v>0</v>
      </c>
      <c r="BQ280" s="449">
        <v>0</v>
      </c>
      <c r="BR280" s="449">
        <v>0</v>
      </c>
      <c r="BS280" s="449">
        <v>0</v>
      </c>
      <c r="BT280" s="449">
        <v>0</v>
      </c>
    </row>
    <row r="281" spans="1:72" ht="15" x14ac:dyDescent="0.25">
      <c r="A281" s="537" t="s">
        <v>472</v>
      </c>
      <c r="B281" s="537" t="s">
        <v>473</v>
      </c>
      <c r="C281" s="630"/>
      <c r="D281" s="500">
        <f>SUM(L281:W281)</f>
        <v>0</v>
      </c>
      <c r="E281" s="449">
        <v>0</v>
      </c>
      <c r="F281" s="449">
        <f t="shared" si="260"/>
        <v>0</v>
      </c>
      <c r="G281" s="421">
        <f t="shared" si="261"/>
        <v>0</v>
      </c>
      <c r="H281" s="449">
        <v>0</v>
      </c>
      <c r="I281" s="449">
        <f t="shared" si="262"/>
        <v>0</v>
      </c>
      <c r="J281" s="426">
        <f t="shared" si="263"/>
        <v>0</v>
      </c>
      <c r="K281" s="421"/>
      <c r="L281" s="449">
        <v>0</v>
      </c>
      <c r="M281" s="449">
        <v>0</v>
      </c>
      <c r="N281" s="449">
        <v>0</v>
      </c>
      <c r="O281" s="449">
        <v>0</v>
      </c>
      <c r="P281" s="449">
        <v>0</v>
      </c>
      <c r="Q281" s="449">
        <v>0</v>
      </c>
      <c r="R281" s="449">
        <f>($H281-SUM($L281:Q281))/R$694</f>
        <v>0</v>
      </c>
      <c r="S281" s="449">
        <f>($H281-SUM($L281:R281))/S$694</f>
        <v>0</v>
      </c>
      <c r="T281" s="449">
        <f>($H281-SUM($L281:S281))/T$694</f>
        <v>0</v>
      </c>
      <c r="U281" s="449">
        <f>($H281-SUM($L281:T281))/U$694</f>
        <v>0</v>
      </c>
      <c r="V281" s="449">
        <f>($H281-SUM($L281:U281))/V$694</f>
        <v>0</v>
      </c>
      <c r="W281" s="449">
        <f>($H281-SUM($L281:V281))/W$694</f>
        <v>0</v>
      </c>
      <c r="X281" s="449"/>
      <c r="Y281" s="449">
        <f t="shared" si="264"/>
        <v>0</v>
      </c>
      <c r="Z281" s="531"/>
      <c r="AA281" s="449">
        <f t="shared" si="265"/>
        <v>0</v>
      </c>
      <c r="AB281" s="449">
        <f t="shared" si="265"/>
        <v>0</v>
      </c>
      <c r="AC281" s="449">
        <f t="shared" si="265"/>
        <v>0</v>
      </c>
      <c r="AD281" s="449">
        <f t="shared" si="265"/>
        <v>0</v>
      </c>
      <c r="AE281" s="449">
        <f t="shared" si="265"/>
        <v>0</v>
      </c>
      <c r="AF281" s="449">
        <f t="shared" si="265"/>
        <v>0</v>
      </c>
      <c r="AG281" s="449">
        <f t="shared" si="265"/>
        <v>0</v>
      </c>
      <c r="AH281" s="449">
        <f t="shared" si="265"/>
        <v>0</v>
      </c>
      <c r="AI281" s="449">
        <f t="shared" si="265"/>
        <v>0</v>
      </c>
      <c r="AJ281" s="449">
        <f t="shared" si="265"/>
        <v>0</v>
      </c>
      <c r="AK281" s="449">
        <f t="shared" si="265"/>
        <v>0</v>
      </c>
      <c r="AL281" s="449">
        <f t="shared" si="265"/>
        <v>0</v>
      </c>
      <c r="AN281" s="500">
        <f>SUM(L281:W281)</f>
        <v>0</v>
      </c>
      <c r="AO281" s="449">
        <f>SUM(BI281:BT281)</f>
        <v>0</v>
      </c>
      <c r="AP281" s="449">
        <f t="shared" si="268"/>
        <v>0</v>
      </c>
      <c r="AQ281" s="453" t="str">
        <f t="shared" si="269"/>
        <v>-</v>
      </c>
      <c r="AR281" s="449">
        <f t="shared" si="270"/>
        <v>0</v>
      </c>
      <c r="AS281" s="449">
        <f t="shared" si="271"/>
        <v>0</v>
      </c>
      <c r="AT281" s="426">
        <f t="shared" si="272"/>
        <v>0</v>
      </c>
      <c r="AU281" s="421"/>
      <c r="AV281" s="449">
        <f t="shared" si="273"/>
        <v>0</v>
      </c>
      <c r="AW281" s="449">
        <f t="shared" si="273"/>
        <v>0</v>
      </c>
      <c r="AX281" s="449">
        <f t="shared" si="273"/>
        <v>0</v>
      </c>
      <c r="AY281" s="449">
        <f t="shared" si="273"/>
        <v>0</v>
      </c>
      <c r="AZ281" s="449">
        <f t="shared" si="273"/>
        <v>0</v>
      </c>
      <c r="BA281" s="449">
        <f t="shared" si="273"/>
        <v>0</v>
      </c>
      <c r="BB281" s="449">
        <f t="shared" si="273"/>
        <v>0</v>
      </c>
      <c r="BC281" s="449">
        <f t="shared" si="273"/>
        <v>0</v>
      </c>
      <c r="BD281" s="449">
        <f t="shared" si="273"/>
        <v>0</v>
      </c>
      <c r="BE281" s="449">
        <f t="shared" si="273"/>
        <v>0</v>
      </c>
      <c r="BF281" s="449">
        <f t="shared" si="273"/>
        <v>0</v>
      </c>
      <c r="BG281" s="449">
        <f t="shared" si="273"/>
        <v>0</v>
      </c>
      <c r="BH281" s="400"/>
      <c r="BI281" s="449">
        <v>0</v>
      </c>
      <c r="BJ281" s="449">
        <v>0</v>
      </c>
      <c r="BK281" s="449">
        <v>0</v>
      </c>
      <c r="BL281" s="449">
        <v>0</v>
      </c>
      <c r="BM281" s="449">
        <v>0</v>
      </c>
      <c r="BN281" s="449">
        <v>0</v>
      </c>
      <c r="BO281" s="449">
        <v>0</v>
      </c>
      <c r="BP281" s="449">
        <v>0</v>
      </c>
      <c r="BQ281" s="449">
        <v>0</v>
      </c>
      <c r="BR281" s="449">
        <v>0</v>
      </c>
      <c r="BS281" s="449">
        <v>0</v>
      </c>
      <c r="BT281" s="449">
        <v>0</v>
      </c>
    </row>
    <row r="282" spans="1:72" ht="15" x14ac:dyDescent="0.25">
      <c r="A282" s="502" t="s">
        <v>474</v>
      </c>
      <c r="B282" s="502" t="s">
        <v>475</v>
      </c>
      <c r="C282" s="541"/>
      <c r="D282" s="500">
        <f t="shared" si="259"/>
        <v>4909</v>
      </c>
      <c r="E282" s="449">
        <v>4909</v>
      </c>
      <c r="F282" s="449">
        <f t="shared" si="260"/>
        <v>0</v>
      </c>
      <c r="G282" s="421">
        <f t="shared" si="261"/>
        <v>0</v>
      </c>
      <c r="H282" s="449">
        <v>4909</v>
      </c>
      <c r="I282" s="449">
        <f t="shared" si="262"/>
        <v>0</v>
      </c>
      <c r="J282" s="426">
        <f t="shared" si="263"/>
        <v>0</v>
      </c>
      <c r="K282" s="421"/>
      <c r="L282" s="449">
        <v>11.67</v>
      </c>
      <c r="M282" s="449">
        <v>1276.1699999999998</v>
      </c>
      <c r="N282" s="449">
        <v>873.75000000000023</v>
      </c>
      <c r="O282" s="449">
        <v>1485.6099999999997</v>
      </c>
      <c r="P282" s="449">
        <v>517.42000000000007</v>
      </c>
      <c r="Q282" s="449">
        <v>646.77999999999975</v>
      </c>
      <c r="R282" s="449">
        <f>($H282-SUM($L282:Q282))/R$694</f>
        <v>16.266666666666726</v>
      </c>
      <c r="S282" s="449">
        <f>($H282-SUM($L282:R282))/S$694</f>
        <v>16.266666666666787</v>
      </c>
      <c r="T282" s="449">
        <f>($H282-SUM($L282:S282))/T$694</f>
        <v>16.266666666666879</v>
      </c>
      <c r="U282" s="449">
        <f>($H282-SUM($L282:T282))/U$694</f>
        <v>16.266666666667032</v>
      </c>
      <c r="V282" s="449">
        <f>($H282-SUM($L282:U282))/V$694</f>
        <v>16.266666666666879</v>
      </c>
      <c r="W282" s="449">
        <f>($H282-SUM($L282:V282))/W$694</f>
        <v>16.266666666666424</v>
      </c>
      <c r="X282" s="449"/>
      <c r="Y282" s="449">
        <f t="shared" si="264"/>
        <v>4909</v>
      </c>
      <c r="Z282" s="531"/>
      <c r="AA282" s="449">
        <f t="shared" si="265"/>
        <v>409.08333333333331</v>
      </c>
      <c r="AB282" s="449">
        <f t="shared" si="265"/>
        <v>409.08333333333331</v>
      </c>
      <c r="AC282" s="449">
        <f t="shared" si="265"/>
        <v>409.08333333333331</v>
      </c>
      <c r="AD282" s="449">
        <f t="shared" si="265"/>
        <v>409.08333333333331</v>
      </c>
      <c r="AE282" s="449">
        <f t="shared" si="265"/>
        <v>409.08333333333331</v>
      </c>
      <c r="AF282" s="449">
        <f t="shared" si="265"/>
        <v>409.08333333333331</v>
      </c>
      <c r="AG282" s="449">
        <f t="shared" si="265"/>
        <v>409.08333333333331</v>
      </c>
      <c r="AH282" s="449">
        <f t="shared" si="265"/>
        <v>409.08333333333331</v>
      </c>
      <c r="AI282" s="449">
        <f t="shared" si="265"/>
        <v>409.08333333333331</v>
      </c>
      <c r="AJ282" s="449">
        <f t="shared" si="265"/>
        <v>409.08333333333331</v>
      </c>
      <c r="AK282" s="449">
        <f t="shared" si="265"/>
        <v>409.08333333333331</v>
      </c>
      <c r="AL282" s="449">
        <f t="shared" si="265"/>
        <v>409.08333333333331</v>
      </c>
      <c r="AN282" s="500">
        <f t="shared" si="266"/>
        <v>4909</v>
      </c>
      <c r="AO282" s="449">
        <f t="shared" si="267"/>
        <v>4766.66</v>
      </c>
      <c r="AP282" s="449">
        <f t="shared" si="268"/>
        <v>-142.34000000000015</v>
      </c>
      <c r="AQ282" s="453">
        <f t="shared" si="269"/>
        <v>-2.8995722143002677E-2</v>
      </c>
      <c r="AR282" s="449">
        <f t="shared" si="270"/>
        <v>4766.66</v>
      </c>
      <c r="AS282" s="449">
        <f t="shared" si="271"/>
        <v>0</v>
      </c>
      <c r="AT282" s="426">
        <f t="shared" si="272"/>
        <v>0</v>
      </c>
      <c r="AU282" s="421"/>
      <c r="AV282" s="449">
        <f t="shared" si="273"/>
        <v>397.22166666666664</v>
      </c>
      <c r="AW282" s="449">
        <f t="shared" si="273"/>
        <v>397.22166666666664</v>
      </c>
      <c r="AX282" s="449">
        <f t="shared" si="273"/>
        <v>397.22166666666664</v>
      </c>
      <c r="AY282" s="449">
        <f t="shared" si="273"/>
        <v>397.22166666666664</v>
      </c>
      <c r="AZ282" s="449">
        <f t="shared" si="273"/>
        <v>397.22166666666664</v>
      </c>
      <c r="BA282" s="449">
        <f t="shared" si="273"/>
        <v>397.22166666666664</v>
      </c>
      <c r="BB282" s="449">
        <f t="shared" si="273"/>
        <v>397.22166666666664</v>
      </c>
      <c r="BC282" s="449">
        <f t="shared" si="273"/>
        <v>397.22166666666664</v>
      </c>
      <c r="BD282" s="449">
        <f t="shared" si="273"/>
        <v>397.22166666666664</v>
      </c>
      <c r="BE282" s="449">
        <f t="shared" si="273"/>
        <v>397.22166666666664</v>
      </c>
      <c r="BF282" s="449">
        <f t="shared" si="273"/>
        <v>397.22166666666664</v>
      </c>
      <c r="BG282" s="449">
        <f t="shared" si="273"/>
        <v>397.22166666666664</v>
      </c>
      <c r="BH282" s="400"/>
      <c r="BI282" s="449">
        <f>SUM('FY19 Staffing V1-1 (3)'!$Q$226:$R$226,'FY19 Staffing V1-1 (3)'!$T$226:$U$226)/12</f>
        <v>397.22166666666664</v>
      </c>
      <c r="BJ282" s="449">
        <f>SUM('FY19 Staffing V1-1 (3)'!$Q$226:$R$226,'FY19 Staffing V1-1 (3)'!$T$226:$U$226)/12</f>
        <v>397.22166666666664</v>
      </c>
      <c r="BK282" s="449">
        <f>SUM('FY19 Staffing V1-1 (3)'!$Q$226:$R$226,'FY19 Staffing V1-1 (3)'!$T$226:$U$226)/12</f>
        <v>397.22166666666664</v>
      </c>
      <c r="BL282" s="449">
        <f>SUM('FY19 Staffing V1-1 (3)'!$Q$226:$R$226,'FY19 Staffing V1-1 (3)'!$T$226:$U$226)/12</f>
        <v>397.22166666666664</v>
      </c>
      <c r="BM282" s="449">
        <f>SUM('FY19 Staffing V1-1 (3)'!$Q$226:$R$226,'FY19 Staffing V1-1 (3)'!$T$226:$U$226)/12</f>
        <v>397.22166666666664</v>
      </c>
      <c r="BN282" s="449">
        <f>SUM('FY19 Staffing V1-1 (3)'!$Q$226:$R$226,'FY19 Staffing V1-1 (3)'!$T$226:$U$226)/12</f>
        <v>397.22166666666664</v>
      </c>
      <c r="BO282" s="449">
        <f>SUM('FY19 Staffing V1-1 (3)'!$Q$226:$R$226,'FY19 Staffing V1-1 (3)'!$T$226:$U$226)/12</f>
        <v>397.22166666666664</v>
      </c>
      <c r="BP282" s="449">
        <f>SUM('FY19 Staffing V1-1 (3)'!$Q$226:$R$226,'FY19 Staffing V1-1 (3)'!$T$226:$U$226)/12</f>
        <v>397.22166666666664</v>
      </c>
      <c r="BQ282" s="449">
        <f>SUM('FY19 Staffing V1-1 (3)'!$Q$226:$R$226,'FY19 Staffing V1-1 (3)'!$T$226:$U$226)/12</f>
        <v>397.22166666666664</v>
      </c>
      <c r="BR282" s="449">
        <f>SUM('FY19 Staffing V1-1 (3)'!$Q$226:$R$226,'FY19 Staffing V1-1 (3)'!$T$226:$U$226)/12</f>
        <v>397.22166666666664</v>
      </c>
      <c r="BS282" s="449">
        <f>SUM('FY19 Staffing V1-1 (3)'!$Q$226:$R$226,'FY19 Staffing V1-1 (3)'!$T$226:$U$226)/12</f>
        <v>397.22166666666664</v>
      </c>
      <c r="BT282" s="449">
        <f>SUM('FY19 Staffing V1-1 (3)'!$Q$226:$R$226,'FY19 Staffing V1-1 (3)'!$T$226:$U$226)/12</f>
        <v>397.22166666666664</v>
      </c>
    </row>
    <row r="283" spans="1:72" ht="15" x14ac:dyDescent="0.25">
      <c r="A283" s="502" t="s">
        <v>476</v>
      </c>
      <c r="B283" s="502" t="s">
        <v>477</v>
      </c>
      <c r="C283" s="541"/>
      <c r="D283" s="500">
        <f t="shared" si="259"/>
        <v>11494</v>
      </c>
      <c r="E283" s="449">
        <v>11446</v>
      </c>
      <c r="F283" s="449">
        <f t="shared" si="260"/>
        <v>48</v>
      </c>
      <c r="G283" s="421">
        <f t="shared" si="261"/>
        <v>4.1936047527520535E-3</v>
      </c>
      <c r="H283" s="449">
        <v>11494</v>
      </c>
      <c r="I283" s="449">
        <f t="shared" si="262"/>
        <v>0</v>
      </c>
      <c r="J283" s="426">
        <f t="shared" si="263"/>
        <v>0</v>
      </c>
      <c r="K283" s="421"/>
      <c r="L283" s="449">
        <v>0</v>
      </c>
      <c r="M283" s="449">
        <v>682</v>
      </c>
      <c r="N283" s="449">
        <v>471.8900000000001</v>
      </c>
      <c r="O283" s="449">
        <v>469.52</v>
      </c>
      <c r="P283" s="449">
        <v>312.02</v>
      </c>
      <c r="Q283" s="449">
        <v>349.39999999999986</v>
      </c>
      <c r="R283" s="449">
        <f>($H283-SUM($L283:Q283))/R$694</f>
        <v>1534.8616666666667</v>
      </c>
      <c r="S283" s="449">
        <f>($H283-SUM($L283:R283))/S$694</f>
        <v>1534.8616666666667</v>
      </c>
      <c r="T283" s="449">
        <f>($H283-SUM($L283:S283))/T$694</f>
        <v>1534.8616666666667</v>
      </c>
      <c r="U283" s="449">
        <f>($H283-SUM($L283:T283))/U$694</f>
        <v>1534.8616666666667</v>
      </c>
      <c r="V283" s="449">
        <f>($H283-SUM($L283:U283))/V$694</f>
        <v>1534.8616666666667</v>
      </c>
      <c r="W283" s="449">
        <f>($H283-SUM($L283:V283))/W$694</f>
        <v>1534.8616666666676</v>
      </c>
      <c r="X283" s="449"/>
      <c r="Y283" s="449">
        <f t="shared" si="264"/>
        <v>11494</v>
      </c>
      <c r="Z283" s="531"/>
      <c r="AA283" s="449">
        <f t="shared" si="265"/>
        <v>957.83333333333337</v>
      </c>
      <c r="AB283" s="449">
        <f t="shared" si="265"/>
        <v>957.83333333333337</v>
      </c>
      <c r="AC283" s="449">
        <f t="shared" si="265"/>
        <v>957.83333333333337</v>
      </c>
      <c r="AD283" s="449">
        <f t="shared" si="265"/>
        <v>957.83333333333337</v>
      </c>
      <c r="AE283" s="449">
        <f t="shared" si="265"/>
        <v>957.83333333333337</v>
      </c>
      <c r="AF283" s="449">
        <f t="shared" si="265"/>
        <v>957.83333333333337</v>
      </c>
      <c r="AG283" s="449">
        <f t="shared" si="265"/>
        <v>957.83333333333337</v>
      </c>
      <c r="AH283" s="449">
        <f t="shared" si="265"/>
        <v>957.83333333333337</v>
      </c>
      <c r="AI283" s="449">
        <f t="shared" si="265"/>
        <v>957.83333333333337</v>
      </c>
      <c r="AJ283" s="449">
        <f t="shared" si="265"/>
        <v>957.83333333333337</v>
      </c>
      <c r="AK283" s="449">
        <f t="shared" si="265"/>
        <v>957.83333333333337</v>
      </c>
      <c r="AL283" s="449">
        <f t="shared" si="265"/>
        <v>957.83333333333337</v>
      </c>
      <c r="AN283" s="500">
        <f t="shared" si="266"/>
        <v>11494</v>
      </c>
      <c r="AO283" s="449">
        <f t="shared" si="267"/>
        <v>12202.019999999997</v>
      </c>
      <c r="AP283" s="449">
        <f t="shared" si="268"/>
        <v>708.0199999999968</v>
      </c>
      <c r="AQ283" s="453">
        <f t="shared" si="269"/>
        <v>6.1599095180093683E-2</v>
      </c>
      <c r="AR283" s="449">
        <f t="shared" si="270"/>
        <v>12202.019999999997</v>
      </c>
      <c r="AS283" s="449">
        <f t="shared" si="271"/>
        <v>0</v>
      </c>
      <c r="AT283" s="426">
        <f t="shared" si="272"/>
        <v>0</v>
      </c>
      <c r="AU283" s="421"/>
      <c r="AV283" s="449">
        <f t="shared" si="273"/>
        <v>1016.835</v>
      </c>
      <c r="AW283" s="449">
        <f t="shared" si="273"/>
        <v>1016.835</v>
      </c>
      <c r="AX283" s="449">
        <f t="shared" si="273"/>
        <v>1016.835</v>
      </c>
      <c r="AY283" s="449">
        <f t="shared" si="273"/>
        <v>1016.835</v>
      </c>
      <c r="AZ283" s="449">
        <f t="shared" si="273"/>
        <v>1016.835</v>
      </c>
      <c r="BA283" s="449">
        <f t="shared" si="273"/>
        <v>1016.835</v>
      </c>
      <c r="BB283" s="449">
        <f t="shared" si="273"/>
        <v>1016.835</v>
      </c>
      <c r="BC283" s="449">
        <f t="shared" si="273"/>
        <v>1016.835</v>
      </c>
      <c r="BD283" s="449">
        <f t="shared" si="273"/>
        <v>1016.835</v>
      </c>
      <c r="BE283" s="449">
        <f t="shared" si="273"/>
        <v>1016.835</v>
      </c>
      <c r="BF283" s="449">
        <f t="shared" si="273"/>
        <v>1016.835</v>
      </c>
      <c r="BG283" s="449">
        <f t="shared" si="273"/>
        <v>1016.835</v>
      </c>
      <c r="BH283" s="400"/>
      <c r="BI283" s="449">
        <f>SUM('FY19 Staffing V1-1 (3)'!$Q$227:$R$227,'FY19 Staffing V1-1 (3)'!$Q$229:$R$229,'FY19 Staffing V1-1 (3)'!$T$227:$U$227,'FY19 Staffing V1-1 (3)'!$T$229:$U$229)/12</f>
        <v>1016.835</v>
      </c>
      <c r="BJ283" s="449">
        <f>SUM('FY19 Staffing V1-1 (3)'!$Q$227:$R$227,'FY19 Staffing V1-1 (3)'!$Q$229:$R$229,'FY19 Staffing V1-1 (3)'!$T$227:$U$227,'FY19 Staffing V1-1 (3)'!$T$229:$U$229)/12</f>
        <v>1016.835</v>
      </c>
      <c r="BK283" s="449">
        <f>SUM('FY19 Staffing V1-1 (3)'!$Q$227:$R$227,'FY19 Staffing V1-1 (3)'!$Q$229:$R$229,'FY19 Staffing V1-1 (3)'!$T$227:$U$227,'FY19 Staffing V1-1 (3)'!$T$229:$U$229)/12</f>
        <v>1016.835</v>
      </c>
      <c r="BL283" s="449">
        <f>SUM('FY19 Staffing V1-1 (3)'!$Q$227:$R$227,'FY19 Staffing V1-1 (3)'!$Q$229:$R$229,'FY19 Staffing V1-1 (3)'!$T$227:$U$227,'FY19 Staffing V1-1 (3)'!$T$229:$U$229)/12</f>
        <v>1016.835</v>
      </c>
      <c r="BM283" s="449">
        <f>SUM('FY19 Staffing V1-1 (3)'!$Q$227:$R$227,'FY19 Staffing V1-1 (3)'!$Q$229:$R$229,'FY19 Staffing V1-1 (3)'!$T$227:$U$227,'FY19 Staffing V1-1 (3)'!$T$229:$U$229)/12</f>
        <v>1016.835</v>
      </c>
      <c r="BN283" s="449">
        <f>SUM('FY19 Staffing V1-1 (3)'!$Q$227:$R$227,'FY19 Staffing V1-1 (3)'!$Q$229:$R$229,'FY19 Staffing V1-1 (3)'!$T$227:$U$227,'FY19 Staffing V1-1 (3)'!$T$229:$U$229)/12</f>
        <v>1016.835</v>
      </c>
      <c r="BO283" s="449">
        <f>SUM('FY19 Staffing V1-1 (3)'!$Q$227:$R$227,'FY19 Staffing V1-1 (3)'!$Q$229:$R$229,'FY19 Staffing V1-1 (3)'!$T$227:$U$227,'FY19 Staffing V1-1 (3)'!$T$229:$U$229)/12</f>
        <v>1016.835</v>
      </c>
      <c r="BP283" s="449">
        <f>SUM('FY19 Staffing V1-1 (3)'!$Q$227:$R$227,'FY19 Staffing V1-1 (3)'!$Q$229:$R$229,'FY19 Staffing V1-1 (3)'!$T$227:$U$227,'FY19 Staffing V1-1 (3)'!$T$229:$U$229)/12</f>
        <v>1016.835</v>
      </c>
      <c r="BQ283" s="449">
        <f>SUM('FY19 Staffing V1-1 (3)'!$Q$227:$R$227,'FY19 Staffing V1-1 (3)'!$Q$229:$R$229,'FY19 Staffing V1-1 (3)'!$T$227:$U$227,'FY19 Staffing V1-1 (3)'!$T$229:$U$229)/12</f>
        <v>1016.835</v>
      </c>
      <c r="BR283" s="449">
        <f>SUM('FY19 Staffing V1-1 (3)'!$Q$227:$R$227,'FY19 Staffing V1-1 (3)'!$Q$229:$R$229,'FY19 Staffing V1-1 (3)'!$T$227:$U$227,'FY19 Staffing V1-1 (3)'!$T$229:$U$229)/12</f>
        <v>1016.835</v>
      </c>
      <c r="BS283" s="449">
        <f>SUM('FY19 Staffing V1-1 (3)'!$Q$227:$R$227,'FY19 Staffing V1-1 (3)'!$Q$229:$R$229,'FY19 Staffing V1-1 (3)'!$T$227:$U$227,'FY19 Staffing V1-1 (3)'!$T$229:$U$229)/12</f>
        <v>1016.835</v>
      </c>
      <c r="BT283" s="449">
        <f>SUM('FY19 Staffing V1-1 (3)'!$Q$227:$R$227,'FY19 Staffing V1-1 (3)'!$Q$229:$R$229,'FY19 Staffing V1-1 (3)'!$T$227:$U$227,'FY19 Staffing V1-1 (3)'!$T$229:$U$229)/12</f>
        <v>1016.835</v>
      </c>
    </row>
    <row r="284" spans="1:72" ht="15" x14ac:dyDescent="0.25">
      <c r="A284" s="537" t="s">
        <v>478</v>
      </c>
      <c r="B284" s="502" t="s">
        <v>479</v>
      </c>
      <c r="C284" s="541"/>
      <c r="D284" s="500">
        <f t="shared" si="259"/>
        <v>0</v>
      </c>
      <c r="E284" s="449">
        <v>0</v>
      </c>
      <c r="F284" s="449">
        <f t="shared" si="260"/>
        <v>0</v>
      </c>
      <c r="G284" s="421">
        <f t="shared" si="261"/>
        <v>0</v>
      </c>
      <c r="H284" s="449">
        <v>0</v>
      </c>
      <c r="I284" s="449">
        <f t="shared" si="262"/>
        <v>0</v>
      </c>
      <c r="J284" s="426">
        <f t="shared" si="263"/>
        <v>0</v>
      </c>
      <c r="K284" s="421"/>
      <c r="L284" s="449">
        <v>0</v>
      </c>
      <c r="M284" s="449">
        <v>0</v>
      </c>
      <c r="N284" s="449">
        <v>0</v>
      </c>
      <c r="O284" s="449">
        <v>0</v>
      </c>
      <c r="P284" s="449">
        <v>0</v>
      </c>
      <c r="Q284" s="449">
        <v>0</v>
      </c>
      <c r="R284" s="449">
        <f>($H284-SUM($L284:Q284))/R$694</f>
        <v>0</v>
      </c>
      <c r="S284" s="449">
        <f>($H284-SUM($L284:R284))/S$694</f>
        <v>0</v>
      </c>
      <c r="T284" s="449">
        <f>($H284-SUM($L284:S284))/T$694</f>
        <v>0</v>
      </c>
      <c r="U284" s="449">
        <f>($H284-SUM($L284:T284))/U$694</f>
        <v>0</v>
      </c>
      <c r="V284" s="449">
        <f>($H284-SUM($L284:U284))/V$694</f>
        <v>0</v>
      </c>
      <c r="W284" s="449">
        <f>($H284-SUM($L284:V284))/W$694</f>
        <v>0</v>
      </c>
      <c r="X284" s="449"/>
      <c r="Y284" s="449">
        <f t="shared" si="264"/>
        <v>0</v>
      </c>
      <c r="Z284" s="531"/>
      <c r="AA284" s="449">
        <f t="shared" ref="AA284:AL299" si="274">IFERROR($H284/12,0)</f>
        <v>0</v>
      </c>
      <c r="AB284" s="449">
        <f t="shared" si="274"/>
        <v>0</v>
      </c>
      <c r="AC284" s="449">
        <f t="shared" si="274"/>
        <v>0</v>
      </c>
      <c r="AD284" s="449">
        <f t="shared" si="274"/>
        <v>0</v>
      </c>
      <c r="AE284" s="449">
        <f t="shared" si="274"/>
        <v>0</v>
      </c>
      <c r="AF284" s="449">
        <f t="shared" si="274"/>
        <v>0</v>
      </c>
      <c r="AG284" s="449">
        <f t="shared" si="274"/>
        <v>0</v>
      </c>
      <c r="AH284" s="449">
        <f t="shared" si="274"/>
        <v>0</v>
      </c>
      <c r="AI284" s="449">
        <f t="shared" si="274"/>
        <v>0</v>
      </c>
      <c r="AJ284" s="449">
        <f t="shared" si="274"/>
        <v>0</v>
      </c>
      <c r="AK284" s="449">
        <f t="shared" si="274"/>
        <v>0</v>
      </c>
      <c r="AL284" s="449">
        <f t="shared" si="274"/>
        <v>0</v>
      </c>
      <c r="AN284" s="500">
        <f t="shared" si="266"/>
        <v>0</v>
      </c>
      <c r="AO284" s="449">
        <f t="shared" si="267"/>
        <v>5363.76</v>
      </c>
      <c r="AP284" s="449">
        <f t="shared" si="268"/>
        <v>5363.76</v>
      </c>
      <c r="AQ284" s="453" t="str">
        <f t="shared" si="269"/>
        <v>-</v>
      </c>
      <c r="AR284" s="449">
        <f t="shared" si="270"/>
        <v>5363.76</v>
      </c>
      <c r="AS284" s="449">
        <f t="shared" si="271"/>
        <v>0</v>
      </c>
      <c r="AT284" s="426">
        <f t="shared" si="272"/>
        <v>0</v>
      </c>
      <c r="AU284" s="421"/>
      <c r="AV284" s="449">
        <f t="shared" si="273"/>
        <v>446.98</v>
      </c>
      <c r="AW284" s="449">
        <f t="shared" si="273"/>
        <v>446.98</v>
      </c>
      <c r="AX284" s="449">
        <f t="shared" si="273"/>
        <v>446.98</v>
      </c>
      <c r="AY284" s="449">
        <f t="shared" si="273"/>
        <v>446.98</v>
      </c>
      <c r="AZ284" s="449">
        <f t="shared" si="273"/>
        <v>446.98</v>
      </c>
      <c r="BA284" s="449">
        <f t="shared" si="273"/>
        <v>446.98</v>
      </c>
      <c r="BB284" s="449">
        <f t="shared" si="273"/>
        <v>446.98</v>
      </c>
      <c r="BC284" s="449">
        <f t="shared" si="273"/>
        <v>446.98</v>
      </c>
      <c r="BD284" s="449">
        <f t="shared" si="273"/>
        <v>446.98</v>
      </c>
      <c r="BE284" s="449">
        <f t="shared" si="273"/>
        <v>446.98</v>
      </c>
      <c r="BF284" s="449">
        <f t="shared" si="273"/>
        <v>446.98</v>
      </c>
      <c r="BG284" s="449">
        <f t="shared" si="273"/>
        <v>446.98</v>
      </c>
      <c r="BH284" s="400"/>
      <c r="BI284" s="449">
        <f>SUM('FY19 Staffing V1-1 (3)'!$Q$228:$R$228,'FY19 Staffing V1-1 (3)'!$T$228:$U$228)/12</f>
        <v>446.98</v>
      </c>
      <c r="BJ284" s="449">
        <f>SUM('FY19 Staffing V1-1 (3)'!$Q$228:$R$228,'FY19 Staffing V1-1 (3)'!$T$228:$U$228)/12</f>
        <v>446.98</v>
      </c>
      <c r="BK284" s="449">
        <f>SUM('FY19 Staffing V1-1 (3)'!$Q$228:$R$228,'FY19 Staffing V1-1 (3)'!$T$228:$U$228)/12</f>
        <v>446.98</v>
      </c>
      <c r="BL284" s="449">
        <f>SUM('FY19 Staffing V1-1 (3)'!$Q$228:$R$228,'FY19 Staffing V1-1 (3)'!$T$228:$U$228)/12</f>
        <v>446.98</v>
      </c>
      <c r="BM284" s="449">
        <f>SUM('FY19 Staffing V1-1 (3)'!$Q$228:$R$228,'FY19 Staffing V1-1 (3)'!$T$228:$U$228)/12</f>
        <v>446.98</v>
      </c>
      <c r="BN284" s="449">
        <f>SUM('FY19 Staffing V1-1 (3)'!$Q$228:$R$228,'FY19 Staffing V1-1 (3)'!$T$228:$U$228)/12</f>
        <v>446.98</v>
      </c>
      <c r="BO284" s="449">
        <f>SUM('FY19 Staffing V1-1 (3)'!$Q$228:$R$228,'FY19 Staffing V1-1 (3)'!$T$228:$U$228)/12</f>
        <v>446.98</v>
      </c>
      <c r="BP284" s="449">
        <f>SUM('FY19 Staffing V1-1 (3)'!$Q$228:$R$228,'FY19 Staffing V1-1 (3)'!$T$228:$U$228)/12</f>
        <v>446.98</v>
      </c>
      <c r="BQ284" s="449">
        <f>SUM('FY19 Staffing V1-1 (3)'!$Q$228:$R$228,'FY19 Staffing V1-1 (3)'!$T$228:$U$228)/12</f>
        <v>446.98</v>
      </c>
      <c r="BR284" s="449">
        <f>SUM('FY19 Staffing V1-1 (3)'!$Q$228:$R$228,'FY19 Staffing V1-1 (3)'!$T$228:$U$228)/12</f>
        <v>446.98</v>
      </c>
      <c r="BS284" s="449">
        <f>SUM('FY19 Staffing V1-1 (3)'!$Q$228:$R$228,'FY19 Staffing V1-1 (3)'!$T$228:$U$228)/12</f>
        <v>446.98</v>
      </c>
      <c r="BT284" s="449">
        <f>SUM('FY19 Staffing V1-1 (3)'!$Q$228:$R$228,'FY19 Staffing V1-1 (3)'!$T$228:$U$228)/12</f>
        <v>446.98</v>
      </c>
    </row>
    <row r="285" spans="1:72" ht="15" x14ac:dyDescent="0.25">
      <c r="A285" s="502" t="s">
        <v>480</v>
      </c>
      <c r="B285" s="502" t="s">
        <v>481</v>
      </c>
      <c r="C285" s="541"/>
      <c r="D285" s="500">
        <f t="shared" si="259"/>
        <v>11.69</v>
      </c>
      <c r="E285" s="449">
        <v>0</v>
      </c>
      <c r="F285" s="449">
        <f t="shared" si="260"/>
        <v>11.69</v>
      </c>
      <c r="G285" s="421">
        <f t="shared" si="261"/>
        <v>0</v>
      </c>
      <c r="H285" s="449">
        <v>0</v>
      </c>
      <c r="I285" s="449">
        <f t="shared" si="262"/>
        <v>11.69</v>
      </c>
      <c r="J285" s="426">
        <f t="shared" si="263"/>
        <v>0</v>
      </c>
      <c r="K285" s="421"/>
      <c r="L285" s="449">
        <v>11.69</v>
      </c>
      <c r="M285" s="449">
        <v>0</v>
      </c>
      <c r="N285" s="449">
        <v>0</v>
      </c>
      <c r="O285" s="449">
        <v>0</v>
      </c>
      <c r="P285" s="449">
        <v>0</v>
      </c>
      <c r="Q285" s="449">
        <v>0</v>
      </c>
      <c r="R285" s="449">
        <v>0</v>
      </c>
      <c r="S285" s="449">
        <v>0</v>
      </c>
      <c r="T285" s="449">
        <v>0</v>
      </c>
      <c r="U285" s="449">
        <v>0</v>
      </c>
      <c r="V285" s="449">
        <v>0</v>
      </c>
      <c r="W285" s="449">
        <v>0</v>
      </c>
      <c r="X285" s="449"/>
      <c r="Y285" s="449">
        <f t="shared" si="264"/>
        <v>11.69</v>
      </c>
      <c r="Z285" s="531"/>
      <c r="AA285" s="449">
        <f t="shared" si="274"/>
        <v>0</v>
      </c>
      <c r="AB285" s="449">
        <f t="shared" si="274"/>
        <v>0</v>
      </c>
      <c r="AC285" s="449">
        <f t="shared" si="274"/>
        <v>0</v>
      </c>
      <c r="AD285" s="449">
        <f t="shared" si="274"/>
        <v>0</v>
      </c>
      <c r="AE285" s="449">
        <f t="shared" si="274"/>
        <v>0</v>
      </c>
      <c r="AF285" s="449">
        <f t="shared" si="274"/>
        <v>0</v>
      </c>
      <c r="AG285" s="449">
        <f t="shared" si="274"/>
        <v>0</v>
      </c>
      <c r="AH285" s="449">
        <f t="shared" si="274"/>
        <v>0</v>
      </c>
      <c r="AI285" s="449">
        <f t="shared" si="274"/>
        <v>0</v>
      </c>
      <c r="AJ285" s="449">
        <f t="shared" si="274"/>
        <v>0</v>
      </c>
      <c r="AK285" s="449">
        <f t="shared" si="274"/>
        <v>0</v>
      </c>
      <c r="AL285" s="449">
        <f t="shared" si="274"/>
        <v>0</v>
      </c>
      <c r="AN285" s="500">
        <f t="shared" si="266"/>
        <v>11.69</v>
      </c>
      <c r="AO285" s="449">
        <f t="shared" si="267"/>
        <v>0</v>
      </c>
      <c r="AP285" s="449">
        <f t="shared" si="268"/>
        <v>-11.69</v>
      </c>
      <c r="AQ285" s="453">
        <f t="shared" si="269"/>
        <v>-1</v>
      </c>
      <c r="AR285" s="449">
        <f t="shared" si="270"/>
        <v>0</v>
      </c>
      <c r="AS285" s="449">
        <f t="shared" si="271"/>
        <v>0</v>
      </c>
      <c r="AT285" s="426">
        <f t="shared" si="272"/>
        <v>0</v>
      </c>
      <c r="AU285" s="421"/>
      <c r="AV285" s="449">
        <f t="shared" si="273"/>
        <v>0</v>
      </c>
      <c r="AW285" s="449">
        <f t="shared" si="273"/>
        <v>0</v>
      </c>
      <c r="AX285" s="449">
        <f t="shared" si="273"/>
        <v>0</v>
      </c>
      <c r="AY285" s="449">
        <f t="shared" si="273"/>
        <v>0</v>
      </c>
      <c r="AZ285" s="449">
        <f t="shared" si="273"/>
        <v>0</v>
      </c>
      <c r="BA285" s="449">
        <f t="shared" si="273"/>
        <v>0</v>
      </c>
      <c r="BB285" s="449">
        <f t="shared" si="273"/>
        <v>0</v>
      </c>
      <c r="BC285" s="449">
        <f t="shared" si="273"/>
        <v>0</v>
      </c>
      <c r="BD285" s="449">
        <f t="shared" si="273"/>
        <v>0</v>
      </c>
      <c r="BE285" s="449">
        <f t="shared" si="273"/>
        <v>0</v>
      </c>
      <c r="BF285" s="449">
        <f t="shared" si="273"/>
        <v>0</v>
      </c>
      <c r="BG285" s="449">
        <f t="shared" si="273"/>
        <v>0</v>
      </c>
      <c r="BH285" s="400"/>
      <c r="BI285" s="449">
        <v>0</v>
      </c>
      <c r="BJ285" s="449">
        <v>0</v>
      </c>
      <c r="BK285" s="449">
        <v>0</v>
      </c>
      <c r="BL285" s="449">
        <v>0</v>
      </c>
      <c r="BM285" s="449">
        <v>0</v>
      </c>
      <c r="BN285" s="449">
        <v>0</v>
      </c>
      <c r="BO285" s="449">
        <v>0</v>
      </c>
      <c r="BP285" s="449">
        <v>0</v>
      </c>
      <c r="BQ285" s="449">
        <v>0</v>
      </c>
      <c r="BR285" s="449">
        <v>0</v>
      </c>
      <c r="BS285" s="449">
        <v>0</v>
      </c>
      <c r="BT285" s="449">
        <v>0</v>
      </c>
    </row>
    <row r="286" spans="1:72" ht="15" x14ac:dyDescent="0.25">
      <c r="A286" s="502" t="s">
        <v>482</v>
      </c>
      <c r="B286" s="502" t="s">
        <v>483</v>
      </c>
      <c r="C286" s="541"/>
      <c r="D286" s="500">
        <f t="shared" si="259"/>
        <v>3989</v>
      </c>
      <c r="E286" s="449">
        <v>4229</v>
      </c>
      <c r="F286" s="449">
        <f t="shared" si="260"/>
        <v>-240</v>
      </c>
      <c r="G286" s="421">
        <f t="shared" si="261"/>
        <v>-5.6751004965712934E-2</v>
      </c>
      <c r="H286" s="449">
        <v>3989</v>
      </c>
      <c r="I286" s="449">
        <f t="shared" si="262"/>
        <v>0</v>
      </c>
      <c r="J286" s="426">
        <f t="shared" si="263"/>
        <v>0</v>
      </c>
      <c r="K286" s="421"/>
      <c r="L286" s="449">
        <v>0</v>
      </c>
      <c r="M286" s="449">
        <v>477.28</v>
      </c>
      <c r="N286" s="449">
        <v>291.84000000000003</v>
      </c>
      <c r="O286" s="449">
        <v>301.69999999999993</v>
      </c>
      <c r="P286" s="449">
        <v>218.74</v>
      </c>
      <c r="Q286" s="449">
        <v>227.28999999999996</v>
      </c>
      <c r="R286" s="449">
        <f>($H286-SUM($L286:Q286))/R$694</f>
        <v>412.02500000000003</v>
      </c>
      <c r="S286" s="449">
        <f>($H286-SUM($L286:R286))/S$694</f>
        <v>412.02499999999998</v>
      </c>
      <c r="T286" s="449">
        <f>($H286-SUM($L286:S286))/T$694</f>
        <v>412.02499999999998</v>
      </c>
      <c r="U286" s="449">
        <f>($H286-SUM($L286:T286))/U$694</f>
        <v>412.02499999999992</v>
      </c>
      <c r="V286" s="449">
        <f>($H286-SUM($L286:U286))/V$694</f>
        <v>412.02499999999986</v>
      </c>
      <c r="W286" s="449">
        <f>($H286-SUM($L286:V286))/W$694</f>
        <v>412.02499999999964</v>
      </c>
      <c r="X286" s="449"/>
      <c r="Y286" s="449">
        <f t="shared" si="264"/>
        <v>3989</v>
      </c>
      <c r="Z286" s="531"/>
      <c r="AA286" s="449">
        <f t="shared" si="274"/>
        <v>332.41666666666669</v>
      </c>
      <c r="AB286" s="449">
        <f t="shared" si="274"/>
        <v>332.41666666666669</v>
      </c>
      <c r="AC286" s="449">
        <f t="shared" si="274"/>
        <v>332.41666666666669</v>
      </c>
      <c r="AD286" s="449">
        <f t="shared" si="274"/>
        <v>332.41666666666669</v>
      </c>
      <c r="AE286" s="449">
        <f t="shared" si="274"/>
        <v>332.41666666666669</v>
      </c>
      <c r="AF286" s="449">
        <f t="shared" si="274"/>
        <v>332.41666666666669</v>
      </c>
      <c r="AG286" s="449">
        <f t="shared" si="274"/>
        <v>332.41666666666669</v>
      </c>
      <c r="AH286" s="449">
        <f t="shared" si="274"/>
        <v>332.41666666666669</v>
      </c>
      <c r="AI286" s="449">
        <f t="shared" si="274"/>
        <v>332.41666666666669</v>
      </c>
      <c r="AJ286" s="449">
        <f t="shared" si="274"/>
        <v>332.41666666666669</v>
      </c>
      <c r="AK286" s="449">
        <f t="shared" si="274"/>
        <v>332.41666666666669</v>
      </c>
      <c r="AL286" s="449">
        <f t="shared" si="274"/>
        <v>332.41666666666669</v>
      </c>
      <c r="AN286" s="500">
        <f t="shared" si="266"/>
        <v>3989</v>
      </c>
      <c r="AO286" s="449">
        <f t="shared" si="267"/>
        <v>4273.2400000000007</v>
      </c>
      <c r="AP286" s="449">
        <f t="shared" si="268"/>
        <v>284.24000000000069</v>
      </c>
      <c r="AQ286" s="453">
        <f t="shared" si="269"/>
        <v>7.125595387315134E-2</v>
      </c>
      <c r="AR286" s="449">
        <f t="shared" si="270"/>
        <v>4273.2400000000007</v>
      </c>
      <c r="AS286" s="449">
        <f t="shared" si="271"/>
        <v>0</v>
      </c>
      <c r="AT286" s="426">
        <f t="shared" si="272"/>
        <v>0</v>
      </c>
      <c r="AU286" s="421"/>
      <c r="AV286" s="449">
        <f t="shared" si="273"/>
        <v>356.1033333333333</v>
      </c>
      <c r="AW286" s="449">
        <f t="shared" si="273"/>
        <v>356.1033333333333</v>
      </c>
      <c r="AX286" s="449">
        <f t="shared" si="273"/>
        <v>356.1033333333333</v>
      </c>
      <c r="AY286" s="449">
        <f t="shared" si="273"/>
        <v>356.1033333333333</v>
      </c>
      <c r="AZ286" s="449">
        <f t="shared" si="273"/>
        <v>356.1033333333333</v>
      </c>
      <c r="BA286" s="449">
        <f t="shared" si="273"/>
        <v>356.1033333333333</v>
      </c>
      <c r="BB286" s="449">
        <f t="shared" si="273"/>
        <v>356.1033333333333</v>
      </c>
      <c r="BC286" s="449">
        <f t="shared" si="273"/>
        <v>356.1033333333333</v>
      </c>
      <c r="BD286" s="449">
        <f t="shared" si="273"/>
        <v>356.1033333333333</v>
      </c>
      <c r="BE286" s="449">
        <f t="shared" si="273"/>
        <v>356.1033333333333</v>
      </c>
      <c r="BF286" s="449">
        <f t="shared" si="273"/>
        <v>356.1033333333333</v>
      </c>
      <c r="BG286" s="449">
        <f t="shared" si="273"/>
        <v>356.1033333333333</v>
      </c>
      <c r="BH286" s="400"/>
      <c r="BI286" s="449">
        <f>SUM('FY19 Staffing V1-1 (3)'!$Q$269:$R$269,'FY19 Staffing V1-1 (3)'!$T$269:$U$269)/12</f>
        <v>356.1033333333333</v>
      </c>
      <c r="BJ286" s="449">
        <f>SUM('FY19 Staffing V1-1 (3)'!$Q$269:$R$269,'FY19 Staffing V1-1 (3)'!$T$269:$U$269)/12</f>
        <v>356.1033333333333</v>
      </c>
      <c r="BK286" s="449">
        <f>SUM('FY19 Staffing V1-1 (3)'!$Q$269:$R$269,'FY19 Staffing V1-1 (3)'!$T$269:$U$269)/12</f>
        <v>356.1033333333333</v>
      </c>
      <c r="BL286" s="449">
        <f>SUM('FY19 Staffing V1-1 (3)'!$Q$269:$R$269,'FY19 Staffing V1-1 (3)'!$T$269:$U$269)/12</f>
        <v>356.1033333333333</v>
      </c>
      <c r="BM286" s="449">
        <f>SUM('FY19 Staffing V1-1 (3)'!$Q$269:$R$269,'FY19 Staffing V1-1 (3)'!$T$269:$U$269)/12</f>
        <v>356.1033333333333</v>
      </c>
      <c r="BN286" s="449">
        <f>SUM('FY19 Staffing V1-1 (3)'!$Q$269:$R$269,'FY19 Staffing V1-1 (3)'!$T$269:$U$269)/12</f>
        <v>356.1033333333333</v>
      </c>
      <c r="BO286" s="449">
        <f>SUM('FY19 Staffing V1-1 (3)'!$Q$269:$R$269,'FY19 Staffing V1-1 (3)'!$T$269:$U$269)/12</f>
        <v>356.1033333333333</v>
      </c>
      <c r="BP286" s="449">
        <f>SUM('FY19 Staffing V1-1 (3)'!$Q$269:$R$269,'FY19 Staffing V1-1 (3)'!$T$269:$U$269)/12</f>
        <v>356.1033333333333</v>
      </c>
      <c r="BQ286" s="449">
        <f>SUM('FY19 Staffing V1-1 (3)'!$Q$269:$R$269,'FY19 Staffing V1-1 (3)'!$T$269:$U$269)/12</f>
        <v>356.1033333333333</v>
      </c>
      <c r="BR286" s="449">
        <f>SUM('FY19 Staffing V1-1 (3)'!$Q$269:$R$269,'FY19 Staffing V1-1 (3)'!$T$269:$U$269)/12</f>
        <v>356.1033333333333</v>
      </c>
      <c r="BS286" s="449">
        <f>SUM('FY19 Staffing V1-1 (3)'!$Q$269:$R$269,'FY19 Staffing V1-1 (3)'!$T$269:$U$269)/12</f>
        <v>356.1033333333333</v>
      </c>
      <c r="BT286" s="449">
        <f>SUM('FY19 Staffing V1-1 (3)'!$Q$269:$R$269,'FY19 Staffing V1-1 (3)'!$T$269:$U$269)/12</f>
        <v>356.1033333333333</v>
      </c>
    </row>
    <row r="287" spans="1:72" ht="15" x14ac:dyDescent="0.25">
      <c r="A287" s="502" t="s">
        <v>484</v>
      </c>
      <c r="B287" s="502" t="s">
        <v>485</v>
      </c>
      <c r="C287" s="541"/>
      <c r="D287" s="500">
        <f t="shared" si="259"/>
        <v>1070</v>
      </c>
      <c r="E287" s="449">
        <v>5395</v>
      </c>
      <c r="F287" s="449">
        <f t="shared" si="260"/>
        <v>-4325</v>
      </c>
      <c r="G287" s="421">
        <f t="shared" si="261"/>
        <v>-0.80166821130676558</v>
      </c>
      <c r="H287" s="449">
        <v>1070</v>
      </c>
      <c r="I287" s="449">
        <f t="shared" si="262"/>
        <v>0</v>
      </c>
      <c r="J287" s="426">
        <f t="shared" si="263"/>
        <v>0</v>
      </c>
      <c r="K287" s="421"/>
      <c r="L287" s="449">
        <v>0</v>
      </c>
      <c r="M287" s="449">
        <v>0</v>
      </c>
      <c r="N287" s="449">
        <v>0</v>
      </c>
      <c r="O287" s="449">
        <v>0</v>
      </c>
      <c r="P287" s="449">
        <v>0</v>
      </c>
      <c r="Q287" s="449">
        <v>0</v>
      </c>
      <c r="R287" s="449">
        <f>($H287-SUM($L287:Q287))/R$694</f>
        <v>178.33333333333334</v>
      </c>
      <c r="S287" s="449">
        <f>($H287-SUM($L287:R287))/S$694</f>
        <v>178.33333333333331</v>
      </c>
      <c r="T287" s="449">
        <f>($H287-SUM($L287:S287))/T$694</f>
        <v>178.33333333333334</v>
      </c>
      <c r="U287" s="449">
        <f>($H287-SUM($L287:T287))/U$694</f>
        <v>178.33333333333334</v>
      </c>
      <c r="V287" s="449">
        <f>($H287-SUM($L287:U287))/V$694</f>
        <v>178.33333333333331</v>
      </c>
      <c r="W287" s="449">
        <f>($H287-SUM($L287:V287))/W$694</f>
        <v>178.33333333333326</v>
      </c>
      <c r="X287" s="449"/>
      <c r="Y287" s="449">
        <f t="shared" si="264"/>
        <v>1070</v>
      </c>
      <c r="Z287" s="531"/>
      <c r="AA287" s="449">
        <f t="shared" si="274"/>
        <v>89.166666666666671</v>
      </c>
      <c r="AB287" s="449">
        <f t="shared" si="274"/>
        <v>89.166666666666671</v>
      </c>
      <c r="AC287" s="449">
        <f t="shared" si="274"/>
        <v>89.166666666666671</v>
      </c>
      <c r="AD287" s="449">
        <f t="shared" si="274"/>
        <v>89.166666666666671</v>
      </c>
      <c r="AE287" s="449">
        <f t="shared" si="274"/>
        <v>89.166666666666671</v>
      </c>
      <c r="AF287" s="449">
        <f t="shared" si="274"/>
        <v>89.166666666666671</v>
      </c>
      <c r="AG287" s="449">
        <f t="shared" si="274"/>
        <v>89.166666666666671</v>
      </c>
      <c r="AH287" s="449">
        <f t="shared" si="274"/>
        <v>89.166666666666671</v>
      </c>
      <c r="AI287" s="449">
        <f t="shared" si="274"/>
        <v>89.166666666666671</v>
      </c>
      <c r="AJ287" s="449">
        <f t="shared" si="274"/>
        <v>89.166666666666671</v>
      </c>
      <c r="AK287" s="449">
        <f t="shared" si="274"/>
        <v>89.166666666666671</v>
      </c>
      <c r="AL287" s="449">
        <f t="shared" si="274"/>
        <v>89.166666666666671</v>
      </c>
      <c r="AN287" s="500">
        <f t="shared" si="266"/>
        <v>1070</v>
      </c>
      <c r="AO287" s="449">
        <f t="shared" si="267"/>
        <v>0</v>
      </c>
      <c r="AP287" s="449">
        <f t="shared" si="268"/>
        <v>-1070</v>
      </c>
      <c r="AQ287" s="453">
        <f t="shared" si="269"/>
        <v>-1</v>
      </c>
      <c r="AR287" s="449">
        <f t="shared" si="270"/>
        <v>0</v>
      </c>
      <c r="AS287" s="449">
        <f t="shared" si="271"/>
        <v>0</v>
      </c>
      <c r="AT287" s="426">
        <f t="shared" si="272"/>
        <v>0</v>
      </c>
      <c r="AU287" s="421"/>
      <c r="AV287" s="449">
        <f t="shared" si="273"/>
        <v>0</v>
      </c>
      <c r="AW287" s="449">
        <f t="shared" si="273"/>
        <v>0</v>
      </c>
      <c r="AX287" s="449">
        <f t="shared" si="273"/>
        <v>0</v>
      </c>
      <c r="AY287" s="449">
        <f t="shared" si="273"/>
        <v>0</v>
      </c>
      <c r="AZ287" s="449">
        <f t="shared" si="273"/>
        <v>0</v>
      </c>
      <c r="BA287" s="449">
        <f t="shared" si="273"/>
        <v>0</v>
      </c>
      <c r="BB287" s="449">
        <f t="shared" si="273"/>
        <v>0</v>
      </c>
      <c r="BC287" s="449">
        <f t="shared" si="273"/>
        <v>0</v>
      </c>
      <c r="BD287" s="449">
        <f t="shared" si="273"/>
        <v>0</v>
      </c>
      <c r="BE287" s="449">
        <f t="shared" si="273"/>
        <v>0</v>
      </c>
      <c r="BF287" s="449">
        <f t="shared" si="273"/>
        <v>0</v>
      </c>
      <c r="BG287" s="449">
        <f t="shared" si="273"/>
        <v>0</v>
      </c>
      <c r="BH287" s="400"/>
      <c r="BI287" s="449">
        <v>0</v>
      </c>
      <c r="BJ287" s="449">
        <v>0</v>
      </c>
      <c r="BK287" s="449">
        <v>0</v>
      </c>
      <c r="BL287" s="449">
        <v>0</v>
      </c>
      <c r="BM287" s="449">
        <v>0</v>
      </c>
      <c r="BN287" s="449">
        <v>0</v>
      </c>
      <c r="BO287" s="449">
        <v>0</v>
      </c>
      <c r="BP287" s="449">
        <v>0</v>
      </c>
      <c r="BQ287" s="449">
        <v>0</v>
      </c>
      <c r="BR287" s="449">
        <v>0</v>
      </c>
      <c r="BS287" s="449">
        <v>0</v>
      </c>
      <c r="BT287" s="449">
        <v>0</v>
      </c>
    </row>
    <row r="288" spans="1:72" ht="15" x14ac:dyDescent="0.25">
      <c r="A288" s="502" t="s">
        <v>486</v>
      </c>
      <c r="B288" s="502" t="s">
        <v>487</v>
      </c>
      <c r="C288" s="541"/>
      <c r="D288" s="500">
        <f t="shared" si="259"/>
        <v>15244</v>
      </c>
      <c r="E288" s="449">
        <v>5244</v>
      </c>
      <c r="F288" s="449">
        <f t="shared" si="260"/>
        <v>10000</v>
      </c>
      <c r="G288" s="421">
        <f t="shared" si="261"/>
        <v>1.9069412662090008</v>
      </c>
      <c r="H288" s="449">
        <v>15244</v>
      </c>
      <c r="I288" s="449">
        <f t="shared" si="262"/>
        <v>0</v>
      </c>
      <c r="J288" s="426">
        <f t="shared" si="263"/>
        <v>0</v>
      </c>
      <c r="K288" s="421"/>
      <c r="L288" s="449">
        <v>68.650000000000006</v>
      </c>
      <c r="M288" s="449">
        <v>1304.4499999999998</v>
      </c>
      <c r="N288" s="449">
        <v>2135.87</v>
      </c>
      <c r="O288" s="449">
        <v>2401.0099999999998</v>
      </c>
      <c r="P288" s="449">
        <v>1589.6500000000005</v>
      </c>
      <c r="Q288" s="449">
        <v>1194.1999999999998</v>
      </c>
      <c r="R288" s="449">
        <f>($H288-SUM($L288:Q288))/R$694</f>
        <v>1091.6949999999999</v>
      </c>
      <c r="S288" s="449">
        <f>($H288-SUM($L288:R288))/S$694</f>
        <v>1091.6950000000002</v>
      </c>
      <c r="T288" s="449">
        <f>($H288-SUM($L288:S288))/T$694</f>
        <v>1091.6950000000002</v>
      </c>
      <c r="U288" s="449">
        <f>($H288-SUM($L288:T288))/U$694</f>
        <v>1091.6950000000004</v>
      </c>
      <c r="V288" s="449">
        <f>($H288-SUM($L288:U288))/V$694</f>
        <v>1091.6950000000006</v>
      </c>
      <c r="W288" s="449">
        <f>($H288-SUM($L288:V288))/W$694</f>
        <v>1091.6949999999997</v>
      </c>
      <c r="X288" s="449"/>
      <c r="Y288" s="449">
        <f t="shared" si="264"/>
        <v>15244</v>
      </c>
      <c r="Z288" s="531"/>
      <c r="AA288" s="449">
        <f t="shared" si="274"/>
        <v>1270.3333333333333</v>
      </c>
      <c r="AB288" s="449">
        <f t="shared" si="274"/>
        <v>1270.3333333333333</v>
      </c>
      <c r="AC288" s="449">
        <f t="shared" si="274"/>
        <v>1270.3333333333333</v>
      </c>
      <c r="AD288" s="449">
        <f t="shared" si="274"/>
        <v>1270.3333333333333</v>
      </c>
      <c r="AE288" s="449">
        <f t="shared" si="274"/>
        <v>1270.3333333333333</v>
      </c>
      <c r="AF288" s="449">
        <f t="shared" si="274"/>
        <v>1270.3333333333333</v>
      </c>
      <c r="AG288" s="449">
        <f t="shared" si="274"/>
        <v>1270.3333333333333</v>
      </c>
      <c r="AH288" s="449">
        <f t="shared" si="274"/>
        <v>1270.3333333333333</v>
      </c>
      <c r="AI288" s="449">
        <f t="shared" si="274"/>
        <v>1270.3333333333333</v>
      </c>
      <c r="AJ288" s="449">
        <f t="shared" si="274"/>
        <v>1270.3333333333333</v>
      </c>
      <c r="AK288" s="449">
        <f t="shared" si="274"/>
        <v>1270.3333333333333</v>
      </c>
      <c r="AL288" s="449">
        <f t="shared" si="274"/>
        <v>1270.3333333333333</v>
      </c>
      <c r="AN288" s="500">
        <f t="shared" si="266"/>
        <v>15244</v>
      </c>
      <c r="AO288" s="449">
        <f t="shared" si="267"/>
        <v>6274.8601160000026</v>
      </c>
      <c r="AP288" s="449">
        <f t="shared" si="268"/>
        <v>-8969.1398839999965</v>
      </c>
      <c r="AQ288" s="453">
        <f t="shared" si="269"/>
        <v>-0.58837181081081058</v>
      </c>
      <c r="AR288" s="449">
        <f t="shared" si="270"/>
        <v>6274.8601160000026</v>
      </c>
      <c r="AS288" s="449">
        <f t="shared" si="271"/>
        <v>0</v>
      </c>
      <c r="AT288" s="426">
        <f t="shared" si="272"/>
        <v>0</v>
      </c>
      <c r="AU288" s="421"/>
      <c r="AV288" s="449">
        <f t="shared" si="273"/>
        <v>522.90500966666673</v>
      </c>
      <c r="AW288" s="449">
        <f t="shared" si="273"/>
        <v>522.90500966666673</v>
      </c>
      <c r="AX288" s="449">
        <f t="shared" si="273"/>
        <v>522.90500966666673</v>
      </c>
      <c r="AY288" s="449">
        <f t="shared" si="273"/>
        <v>522.90500966666673</v>
      </c>
      <c r="AZ288" s="449">
        <f t="shared" si="273"/>
        <v>522.90500966666673</v>
      </c>
      <c r="BA288" s="449">
        <f t="shared" si="273"/>
        <v>522.90500966666673</v>
      </c>
      <c r="BB288" s="449">
        <f t="shared" si="273"/>
        <v>522.90500966666673</v>
      </c>
      <c r="BC288" s="449">
        <f t="shared" si="273"/>
        <v>522.90500966666673</v>
      </c>
      <c r="BD288" s="449">
        <f t="shared" si="273"/>
        <v>522.90500966666673</v>
      </c>
      <c r="BE288" s="449">
        <f t="shared" si="273"/>
        <v>522.90500966666673</v>
      </c>
      <c r="BF288" s="449">
        <f t="shared" si="273"/>
        <v>522.90500966666673</v>
      </c>
      <c r="BG288" s="449">
        <f t="shared" si="273"/>
        <v>522.90500966666673</v>
      </c>
      <c r="BH288" s="400"/>
      <c r="BI288" s="449">
        <f>SUM('FY19 Staffing V1-1 (3)'!$W$226)/12</f>
        <v>522.90500966666673</v>
      </c>
      <c r="BJ288" s="449">
        <f>SUM('FY19 Staffing V1-1 (3)'!$W$226)/12</f>
        <v>522.90500966666673</v>
      </c>
      <c r="BK288" s="449">
        <f>SUM('FY19 Staffing V1-1 (3)'!$W$226)/12</f>
        <v>522.90500966666673</v>
      </c>
      <c r="BL288" s="449">
        <f>SUM('FY19 Staffing V1-1 (3)'!$W$226)/12</f>
        <v>522.90500966666673</v>
      </c>
      <c r="BM288" s="449">
        <f>SUM('FY19 Staffing V1-1 (3)'!$W$226)/12</f>
        <v>522.90500966666673</v>
      </c>
      <c r="BN288" s="449">
        <f>SUM('FY19 Staffing V1-1 (3)'!$W$226)/12</f>
        <v>522.90500966666673</v>
      </c>
      <c r="BO288" s="449">
        <f>SUM('FY19 Staffing V1-1 (3)'!$W$226)/12</f>
        <v>522.90500966666673</v>
      </c>
      <c r="BP288" s="449">
        <f>SUM('FY19 Staffing V1-1 (3)'!$W$226)/12</f>
        <v>522.90500966666673</v>
      </c>
      <c r="BQ288" s="449">
        <f>SUM('FY19 Staffing V1-1 (3)'!$W$226)/12</f>
        <v>522.90500966666673</v>
      </c>
      <c r="BR288" s="449">
        <f>SUM('FY19 Staffing V1-1 (3)'!$W$226)/12</f>
        <v>522.90500966666673</v>
      </c>
      <c r="BS288" s="449">
        <f>SUM('FY19 Staffing V1-1 (3)'!$W$226)/12</f>
        <v>522.90500966666673</v>
      </c>
      <c r="BT288" s="449">
        <f>SUM('FY19 Staffing V1-1 (3)'!$W$226)/12</f>
        <v>522.90500966666673</v>
      </c>
    </row>
    <row r="289" spans="1:72" ht="15" x14ac:dyDescent="0.25">
      <c r="A289" s="502" t="s">
        <v>488</v>
      </c>
      <c r="B289" s="502" t="s">
        <v>489</v>
      </c>
      <c r="C289" s="541"/>
      <c r="D289" s="500">
        <f t="shared" si="259"/>
        <v>5216</v>
      </c>
      <c r="E289" s="449">
        <v>15216</v>
      </c>
      <c r="F289" s="449">
        <f t="shared" si="260"/>
        <v>-10000</v>
      </c>
      <c r="G289" s="421">
        <f t="shared" si="261"/>
        <v>-0.65720294426919035</v>
      </c>
      <c r="H289" s="449">
        <v>5216</v>
      </c>
      <c r="I289" s="449">
        <f t="shared" si="262"/>
        <v>0</v>
      </c>
      <c r="J289" s="426">
        <f t="shared" si="263"/>
        <v>0</v>
      </c>
      <c r="K289" s="421"/>
      <c r="L289" s="449">
        <v>0</v>
      </c>
      <c r="M289" s="449">
        <v>0</v>
      </c>
      <c r="N289" s="449">
        <v>0</v>
      </c>
      <c r="O289" s="449">
        <v>0</v>
      </c>
      <c r="P289" s="449">
        <v>0</v>
      </c>
      <c r="Q289" s="449">
        <v>0</v>
      </c>
      <c r="R289" s="449">
        <f>($H289-SUM($L289:Q289))/R$694</f>
        <v>869.33333333333337</v>
      </c>
      <c r="S289" s="449">
        <f>($H289-SUM($L289:R289))/S$694</f>
        <v>869.33333333333337</v>
      </c>
      <c r="T289" s="449">
        <f>($H289-SUM($L289:S289))/T$694</f>
        <v>869.33333333333326</v>
      </c>
      <c r="U289" s="449">
        <f>($H289-SUM($L289:T289))/U$694</f>
        <v>869.33333333333337</v>
      </c>
      <c r="V289" s="449">
        <f>($H289-SUM($L289:U289))/V$694</f>
        <v>869.33333333333326</v>
      </c>
      <c r="W289" s="449">
        <f>($H289-SUM($L289:V289))/W$694</f>
        <v>869.33333333333303</v>
      </c>
      <c r="X289" s="449"/>
      <c r="Y289" s="449">
        <f t="shared" si="264"/>
        <v>5216</v>
      </c>
      <c r="Z289" s="531"/>
      <c r="AA289" s="449">
        <f t="shared" si="274"/>
        <v>434.66666666666669</v>
      </c>
      <c r="AB289" s="449">
        <f t="shared" si="274"/>
        <v>434.66666666666669</v>
      </c>
      <c r="AC289" s="449">
        <f t="shared" si="274"/>
        <v>434.66666666666669</v>
      </c>
      <c r="AD289" s="449">
        <f t="shared" si="274"/>
        <v>434.66666666666669</v>
      </c>
      <c r="AE289" s="449">
        <f t="shared" si="274"/>
        <v>434.66666666666669</v>
      </c>
      <c r="AF289" s="449">
        <f t="shared" si="274"/>
        <v>434.66666666666669</v>
      </c>
      <c r="AG289" s="449">
        <f t="shared" si="274"/>
        <v>434.66666666666669</v>
      </c>
      <c r="AH289" s="449">
        <f t="shared" si="274"/>
        <v>434.66666666666669</v>
      </c>
      <c r="AI289" s="449">
        <f t="shared" si="274"/>
        <v>434.66666666666669</v>
      </c>
      <c r="AJ289" s="449">
        <f t="shared" si="274"/>
        <v>434.66666666666669</v>
      </c>
      <c r="AK289" s="449">
        <f t="shared" si="274"/>
        <v>434.66666666666669</v>
      </c>
      <c r="AL289" s="449">
        <f t="shared" si="274"/>
        <v>434.66666666666669</v>
      </c>
      <c r="AN289" s="500">
        <f t="shared" si="266"/>
        <v>5216</v>
      </c>
      <c r="AO289" s="449">
        <f t="shared" si="267"/>
        <v>14639.663705333338</v>
      </c>
      <c r="AP289" s="449">
        <f t="shared" si="268"/>
        <v>9423.6637053333379</v>
      </c>
      <c r="AQ289" s="453">
        <f t="shared" si="269"/>
        <v>1.8066839925869129</v>
      </c>
      <c r="AR289" s="449">
        <f t="shared" si="270"/>
        <v>14639.663705333338</v>
      </c>
      <c r="AS289" s="449">
        <f t="shared" si="271"/>
        <v>0</v>
      </c>
      <c r="AT289" s="426">
        <f t="shared" si="272"/>
        <v>0</v>
      </c>
      <c r="AU289" s="421"/>
      <c r="AV289" s="449">
        <f t="shared" si="273"/>
        <v>1219.9719754444445</v>
      </c>
      <c r="AW289" s="449">
        <f t="shared" si="273"/>
        <v>1219.9719754444445</v>
      </c>
      <c r="AX289" s="449">
        <f t="shared" si="273"/>
        <v>1219.9719754444445</v>
      </c>
      <c r="AY289" s="449">
        <f t="shared" ref="AY289:BG317" si="275">BL289</f>
        <v>1219.9719754444445</v>
      </c>
      <c r="AZ289" s="449">
        <f t="shared" si="275"/>
        <v>1219.9719754444445</v>
      </c>
      <c r="BA289" s="449">
        <f t="shared" si="275"/>
        <v>1219.9719754444445</v>
      </c>
      <c r="BB289" s="449">
        <f t="shared" si="275"/>
        <v>1219.9719754444445</v>
      </c>
      <c r="BC289" s="449">
        <f t="shared" si="275"/>
        <v>1219.9719754444445</v>
      </c>
      <c r="BD289" s="449">
        <f t="shared" si="275"/>
        <v>1219.9719754444445</v>
      </c>
      <c r="BE289" s="449">
        <f t="shared" si="275"/>
        <v>1219.9719754444445</v>
      </c>
      <c r="BF289" s="449">
        <f t="shared" si="275"/>
        <v>1219.9719754444445</v>
      </c>
      <c r="BG289" s="449">
        <f t="shared" si="275"/>
        <v>1219.9719754444445</v>
      </c>
      <c r="BH289" s="400"/>
      <c r="BI289" s="449">
        <f>SUM('FY19 Staffing V1-1 (3)'!$W$227,'FY19 Staffing V1-1 (3)'!$W$229)/12</f>
        <v>1219.9719754444445</v>
      </c>
      <c r="BJ289" s="449">
        <f>SUM('FY19 Staffing V1-1 (3)'!$W$227,'FY19 Staffing V1-1 (3)'!$W$229)/12</f>
        <v>1219.9719754444445</v>
      </c>
      <c r="BK289" s="449">
        <f>SUM('FY19 Staffing V1-1 (3)'!$W$227,'FY19 Staffing V1-1 (3)'!$W$229)/12</f>
        <v>1219.9719754444445</v>
      </c>
      <c r="BL289" s="449">
        <f>SUM('FY19 Staffing V1-1 (3)'!$W$227,'FY19 Staffing V1-1 (3)'!$W$229)/12</f>
        <v>1219.9719754444445</v>
      </c>
      <c r="BM289" s="449">
        <f>SUM('FY19 Staffing V1-1 (3)'!$W$227,'FY19 Staffing V1-1 (3)'!$W$229)/12</f>
        <v>1219.9719754444445</v>
      </c>
      <c r="BN289" s="449">
        <f>SUM('FY19 Staffing V1-1 (3)'!$W$227,'FY19 Staffing V1-1 (3)'!$W$229)/12</f>
        <v>1219.9719754444445</v>
      </c>
      <c r="BO289" s="449">
        <f>SUM('FY19 Staffing V1-1 (3)'!$W$227,'FY19 Staffing V1-1 (3)'!$W$229)/12</f>
        <v>1219.9719754444445</v>
      </c>
      <c r="BP289" s="449">
        <f>SUM('FY19 Staffing V1-1 (3)'!$W$227,'FY19 Staffing V1-1 (3)'!$W$229)/12</f>
        <v>1219.9719754444445</v>
      </c>
      <c r="BQ289" s="449">
        <f>SUM('FY19 Staffing V1-1 (3)'!$W$227,'FY19 Staffing V1-1 (3)'!$W$229)/12</f>
        <v>1219.9719754444445</v>
      </c>
      <c r="BR289" s="449">
        <f>SUM('FY19 Staffing V1-1 (3)'!$W$227,'FY19 Staffing V1-1 (3)'!$W$229)/12</f>
        <v>1219.9719754444445</v>
      </c>
      <c r="BS289" s="449">
        <f>SUM('FY19 Staffing V1-1 (3)'!$W$227,'FY19 Staffing V1-1 (3)'!$W$229)/12</f>
        <v>1219.9719754444445</v>
      </c>
      <c r="BT289" s="449">
        <f>SUM('FY19 Staffing V1-1 (3)'!$W$227,'FY19 Staffing V1-1 (3)'!$W$229)/12</f>
        <v>1219.9719754444445</v>
      </c>
    </row>
    <row r="290" spans="1:72" ht="15" x14ac:dyDescent="0.25">
      <c r="A290" s="502" t="s">
        <v>490</v>
      </c>
      <c r="B290" s="502" t="s">
        <v>491</v>
      </c>
      <c r="C290" s="541"/>
      <c r="D290" s="500">
        <f t="shared" si="259"/>
        <v>455.46</v>
      </c>
      <c r="E290" s="449">
        <v>0</v>
      </c>
      <c r="F290" s="449">
        <f t="shared" si="260"/>
        <v>455.46</v>
      </c>
      <c r="G290" s="421">
        <f t="shared" si="261"/>
        <v>0</v>
      </c>
      <c r="H290" s="449">
        <v>0</v>
      </c>
      <c r="I290" s="449">
        <f t="shared" si="262"/>
        <v>455.46</v>
      </c>
      <c r="J290" s="426">
        <f t="shared" si="263"/>
        <v>0</v>
      </c>
      <c r="K290" s="421"/>
      <c r="L290" s="449">
        <v>0</v>
      </c>
      <c r="M290" s="449">
        <v>0</v>
      </c>
      <c r="N290" s="449">
        <v>0</v>
      </c>
      <c r="O290" s="449">
        <v>201.65</v>
      </c>
      <c r="P290" s="449">
        <v>115.4</v>
      </c>
      <c r="Q290" s="449">
        <v>138.40999999999997</v>
      </c>
      <c r="R290" s="449">
        <v>0</v>
      </c>
      <c r="S290" s="449">
        <v>0</v>
      </c>
      <c r="T290" s="449">
        <v>0</v>
      </c>
      <c r="U290" s="449">
        <v>0</v>
      </c>
      <c r="V290" s="449">
        <v>0</v>
      </c>
      <c r="W290" s="449">
        <v>0</v>
      </c>
      <c r="X290" s="449"/>
      <c r="Y290" s="449">
        <f t="shared" si="264"/>
        <v>455.46</v>
      </c>
      <c r="Z290" s="531"/>
      <c r="AA290" s="449">
        <f t="shared" si="274"/>
        <v>0</v>
      </c>
      <c r="AB290" s="449">
        <f t="shared" si="274"/>
        <v>0</v>
      </c>
      <c r="AC290" s="449">
        <f t="shared" si="274"/>
        <v>0</v>
      </c>
      <c r="AD290" s="449">
        <f t="shared" si="274"/>
        <v>0</v>
      </c>
      <c r="AE290" s="449">
        <f t="shared" si="274"/>
        <v>0</v>
      </c>
      <c r="AF290" s="449">
        <f t="shared" si="274"/>
        <v>0</v>
      </c>
      <c r="AG290" s="449">
        <f t="shared" si="274"/>
        <v>0</v>
      </c>
      <c r="AH290" s="449">
        <f t="shared" si="274"/>
        <v>0</v>
      </c>
      <c r="AI290" s="449">
        <f t="shared" si="274"/>
        <v>0</v>
      </c>
      <c r="AJ290" s="449">
        <f t="shared" si="274"/>
        <v>0</v>
      </c>
      <c r="AK290" s="449">
        <f t="shared" si="274"/>
        <v>0</v>
      </c>
      <c r="AL290" s="449">
        <f t="shared" si="274"/>
        <v>0</v>
      </c>
      <c r="AN290" s="500">
        <f t="shared" si="266"/>
        <v>455.46</v>
      </c>
      <c r="AO290" s="449">
        <f t="shared" si="267"/>
        <v>7465.9550000000027</v>
      </c>
      <c r="AP290" s="449">
        <f t="shared" si="268"/>
        <v>7010.4950000000026</v>
      </c>
      <c r="AQ290" s="453">
        <f t="shared" si="269"/>
        <v>15.392120054450452</v>
      </c>
      <c r="AR290" s="449">
        <f t="shared" si="270"/>
        <v>7465.9550000000027</v>
      </c>
      <c r="AS290" s="449">
        <f t="shared" si="271"/>
        <v>0</v>
      </c>
      <c r="AT290" s="426">
        <f t="shared" si="272"/>
        <v>0</v>
      </c>
      <c r="AU290" s="421"/>
      <c r="AV290" s="449">
        <f t="shared" ref="AV290:BA329" si="276">BI290</f>
        <v>622.16291666666677</v>
      </c>
      <c r="AW290" s="449">
        <f t="shared" si="276"/>
        <v>622.16291666666677</v>
      </c>
      <c r="AX290" s="449">
        <f t="shared" si="276"/>
        <v>622.16291666666677</v>
      </c>
      <c r="AY290" s="449">
        <f t="shared" si="275"/>
        <v>622.16291666666677</v>
      </c>
      <c r="AZ290" s="449">
        <f t="shared" si="275"/>
        <v>622.16291666666677</v>
      </c>
      <c r="BA290" s="449">
        <f t="shared" si="275"/>
        <v>622.16291666666677</v>
      </c>
      <c r="BB290" s="449">
        <f t="shared" si="275"/>
        <v>622.16291666666677</v>
      </c>
      <c r="BC290" s="449">
        <f t="shared" si="275"/>
        <v>622.16291666666677</v>
      </c>
      <c r="BD290" s="449">
        <f t="shared" si="275"/>
        <v>622.16291666666677</v>
      </c>
      <c r="BE290" s="449">
        <f t="shared" si="275"/>
        <v>622.16291666666677</v>
      </c>
      <c r="BF290" s="449">
        <f t="shared" si="275"/>
        <v>622.16291666666677</v>
      </c>
      <c r="BG290" s="449">
        <f t="shared" si="275"/>
        <v>622.16291666666677</v>
      </c>
      <c r="BH290" s="400"/>
      <c r="BI290" s="449">
        <f>SUM('FY19 Staffing V1-1 (3)'!$W$228)/12</f>
        <v>622.16291666666677</v>
      </c>
      <c r="BJ290" s="449">
        <f>SUM('FY19 Staffing V1-1 (3)'!$W$228)/12</f>
        <v>622.16291666666677</v>
      </c>
      <c r="BK290" s="449">
        <f>SUM('FY19 Staffing V1-1 (3)'!$W$228)/12</f>
        <v>622.16291666666677</v>
      </c>
      <c r="BL290" s="449">
        <f>SUM('FY19 Staffing V1-1 (3)'!$W$228)/12</f>
        <v>622.16291666666677</v>
      </c>
      <c r="BM290" s="449">
        <f>SUM('FY19 Staffing V1-1 (3)'!$W$228)/12</f>
        <v>622.16291666666677</v>
      </c>
      <c r="BN290" s="449">
        <f>SUM('FY19 Staffing V1-1 (3)'!$W$228)/12</f>
        <v>622.16291666666677</v>
      </c>
      <c r="BO290" s="449">
        <f>SUM('FY19 Staffing V1-1 (3)'!$W$228)/12</f>
        <v>622.16291666666677</v>
      </c>
      <c r="BP290" s="449">
        <f>SUM('FY19 Staffing V1-1 (3)'!$W$228)/12</f>
        <v>622.16291666666677</v>
      </c>
      <c r="BQ290" s="449">
        <f>SUM('FY19 Staffing V1-1 (3)'!$W$228)/12</f>
        <v>622.16291666666677</v>
      </c>
      <c r="BR290" s="449">
        <f>SUM('FY19 Staffing V1-1 (3)'!$W$228)/12</f>
        <v>622.16291666666677</v>
      </c>
      <c r="BS290" s="449">
        <f>SUM('FY19 Staffing V1-1 (3)'!$W$228)/12</f>
        <v>622.16291666666677</v>
      </c>
      <c r="BT290" s="449">
        <f>SUM('FY19 Staffing V1-1 (3)'!$W$228)/12</f>
        <v>622.16291666666677</v>
      </c>
    </row>
    <row r="291" spans="1:72" ht="15" x14ac:dyDescent="0.25">
      <c r="A291" s="502" t="s">
        <v>492</v>
      </c>
      <c r="B291" s="502" t="s">
        <v>493</v>
      </c>
      <c r="C291" s="541"/>
      <c r="D291" s="500">
        <f t="shared" si="259"/>
        <v>55.84</v>
      </c>
      <c r="E291" s="449">
        <v>0</v>
      </c>
      <c r="F291" s="449">
        <f t="shared" si="260"/>
        <v>55.84</v>
      </c>
      <c r="G291" s="421">
        <f t="shared" si="261"/>
        <v>0</v>
      </c>
      <c r="H291" s="449">
        <v>0</v>
      </c>
      <c r="I291" s="449">
        <f t="shared" si="262"/>
        <v>55.84</v>
      </c>
      <c r="J291" s="426">
        <f t="shared" si="263"/>
        <v>0</v>
      </c>
      <c r="K291" s="421"/>
      <c r="L291" s="449">
        <v>55.84</v>
      </c>
      <c r="M291" s="449">
        <v>1071.94</v>
      </c>
      <c r="N291" s="449">
        <v>1755.16</v>
      </c>
      <c r="O291" s="449">
        <v>-2827.1</v>
      </c>
      <c r="P291" s="449">
        <v>-1.4210854715202004E-13</v>
      </c>
      <c r="Q291" s="449">
        <v>0</v>
      </c>
      <c r="R291" s="449">
        <v>0</v>
      </c>
      <c r="S291" s="449">
        <v>0</v>
      </c>
      <c r="T291" s="449">
        <v>0</v>
      </c>
      <c r="U291" s="449">
        <v>0</v>
      </c>
      <c r="V291" s="449">
        <v>0</v>
      </c>
      <c r="W291" s="449">
        <v>0</v>
      </c>
      <c r="X291" s="449"/>
      <c r="Y291" s="449">
        <f t="shared" si="264"/>
        <v>55.84</v>
      </c>
      <c r="Z291" s="531"/>
      <c r="AA291" s="449">
        <f t="shared" si="274"/>
        <v>0</v>
      </c>
      <c r="AB291" s="449">
        <f t="shared" si="274"/>
        <v>0</v>
      </c>
      <c r="AC291" s="449">
        <f t="shared" si="274"/>
        <v>0</v>
      </c>
      <c r="AD291" s="449">
        <f t="shared" si="274"/>
        <v>0</v>
      </c>
      <c r="AE291" s="449">
        <f t="shared" si="274"/>
        <v>0</v>
      </c>
      <c r="AF291" s="449">
        <f t="shared" si="274"/>
        <v>0</v>
      </c>
      <c r="AG291" s="449">
        <f t="shared" si="274"/>
        <v>0</v>
      </c>
      <c r="AH291" s="449">
        <f t="shared" si="274"/>
        <v>0</v>
      </c>
      <c r="AI291" s="449">
        <f t="shared" si="274"/>
        <v>0</v>
      </c>
      <c r="AJ291" s="449">
        <f t="shared" si="274"/>
        <v>0</v>
      </c>
      <c r="AK291" s="449">
        <f t="shared" si="274"/>
        <v>0</v>
      </c>
      <c r="AL291" s="449">
        <f t="shared" si="274"/>
        <v>0</v>
      </c>
      <c r="AN291" s="500">
        <f t="shared" si="266"/>
        <v>55.84</v>
      </c>
      <c r="AO291" s="449">
        <f t="shared" si="267"/>
        <v>0</v>
      </c>
      <c r="AP291" s="449">
        <f t="shared" si="268"/>
        <v>-55.84</v>
      </c>
      <c r="AQ291" s="453">
        <f t="shared" si="269"/>
        <v>-1</v>
      </c>
      <c r="AR291" s="449">
        <f t="shared" si="270"/>
        <v>0</v>
      </c>
      <c r="AS291" s="449">
        <f t="shared" si="271"/>
        <v>0</v>
      </c>
      <c r="AT291" s="426">
        <f t="shared" si="272"/>
        <v>0</v>
      </c>
      <c r="AU291" s="421"/>
      <c r="AV291" s="449">
        <f t="shared" si="276"/>
        <v>0</v>
      </c>
      <c r="AW291" s="449">
        <f t="shared" si="276"/>
        <v>0</v>
      </c>
      <c r="AX291" s="449">
        <f t="shared" si="276"/>
        <v>0</v>
      </c>
      <c r="AY291" s="449">
        <f t="shared" si="275"/>
        <v>0</v>
      </c>
      <c r="AZ291" s="449">
        <f t="shared" si="275"/>
        <v>0</v>
      </c>
      <c r="BA291" s="449">
        <f t="shared" si="275"/>
        <v>0</v>
      </c>
      <c r="BB291" s="449">
        <f t="shared" si="275"/>
        <v>0</v>
      </c>
      <c r="BC291" s="449">
        <f t="shared" si="275"/>
        <v>0</v>
      </c>
      <c r="BD291" s="449">
        <f t="shared" si="275"/>
        <v>0</v>
      </c>
      <c r="BE291" s="449">
        <f t="shared" si="275"/>
        <v>0</v>
      </c>
      <c r="BF291" s="449">
        <f t="shared" si="275"/>
        <v>0</v>
      </c>
      <c r="BG291" s="449">
        <f t="shared" si="275"/>
        <v>0</v>
      </c>
      <c r="BH291" s="400"/>
      <c r="BI291" s="449">
        <v>0</v>
      </c>
      <c r="BJ291" s="449">
        <v>0</v>
      </c>
      <c r="BK291" s="449">
        <v>0</v>
      </c>
      <c r="BL291" s="449">
        <v>0</v>
      </c>
      <c r="BM291" s="449">
        <v>0</v>
      </c>
      <c r="BN291" s="449">
        <v>0</v>
      </c>
      <c r="BO291" s="449">
        <v>0</v>
      </c>
      <c r="BP291" s="449">
        <v>0</v>
      </c>
      <c r="BQ291" s="449">
        <v>0</v>
      </c>
      <c r="BR291" s="449">
        <v>0</v>
      </c>
      <c r="BS291" s="449">
        <v>0</v>
      </c>
      <c r="BT291" s="449">
        <v>0</v>
      </c>
    </row>
    <row r="292" spans="1:72" ht="15" customHeight="1" x14ac:dyDescent="0.25">
      <c r="A292" s="502" t="s">
        <v>494</v>
      </c>
      <c r="B292" s="502" t="s">
        <v>495</v>
      </c>
      <c r="C292" s="541"/>
      <c r="D292" s="500">
        <f t="shared" si="259"/>
        <v>5225</v>
      </c>
      <c r="E292" s="449">
        <v>5225</v>
      </c>
      <c r="F292" s="449">
        <f t="shared" si="260"/>
        <v>0</v>
      </c>
      <c r="G292" s="421">
        <f t="shared" si="261"/>
        <v>0</v>
      </c>
      <c r="H292" s="449">
        <v>5225</v>
      </c>
      <c r="I292" s="449">
        <f t="shared" si="262"/>
        <v>0</v>
      </c>
      <c r="J292" s="426">
        <f t="shared" si="263"/>
        <v>0</v>
      </c>
      <c r="K292" s="421"/>
      <c r="L292" s="449">
        <v>0</v>
      </c>
      <c r="M292" s="449">
        <v>0</v>
      </c>
      <c r="N292" s="449">
        <v>0</v>
      </c>
      <c r="O292" s="449">
        <v>-209.6</v>
      </c>
      <c r="P292" s="449">
        <v>-366.95999999999992</v>
      </c>
      <c r="Q292" s="449">
        <v>-521.92000000000007</v>
      </c>
      <c r="R292" s="449">
        <f>($H292-SUM($L292:Q292))/R$694</f>
        <v>1053.9133333333332</v>
      </c>
      <c r="S292" s="449">
        <f>($H292-SUM($L292:R292))/S$694</f>
        <v>1053.9133333333334</v>
      </c>
      <c r="T292" s="449">
        <f>($H292-SUM($L292:S292))/T$694</f>
        <v>1053.9133333333334</v>
      </c>
      <c r="U292" s="449">
        <f>($H292-SUM($L292:T292))/U$694</f>
        <v>1053.9133333333332</v>
      </c>
      <c r="V292" s="449">
        <f>($H292-SUM($L292:U292))/V$694</f>
        <v>1053.9133333333334</v>
      </c>
      <c r="W292" s="449">
        <f>($H292-SUM($L292:V292))/W$694</f>
        <v>1053.9133333333339</v>
      </c>
      <c r="X292" s="449"/>
      <c r="Y292" s="449">
        <f t="shared" si="264"/>
        <v>5225</v>
      </c>
      <c r="Z292" s="531"/>
      <c r="AA292" s="449">
        <f t="shared" si="274"/>
        <v>435.41666666666669</v>
      </c>
      <c r="AB292" s="449">
        <f t="shared" si="274"/>
        <v>435.41666666666669</v>
      </c>
      <c r="AC292" s="449">
        <f t="shared" si="274"/>
        <v>435.41666666666669</v>
      </c>
      <c r="AD292" s="449">
        <f t="shared" si="274"/>
        <v>435.41666666666669</v>
      </c>
      <c r="AE292" s="449">
        <f t="shared" si="274"/>
        <v>435.41666666666669</v>
      </c>
      <c r="AF292" s="449">
        <f t="shared" si="274"/>
        <v>435.41666666666669</v>
      </c>
      <c r="AG292" s="449">
        <f t="shared" si="274"/>
        <v>435.41666666666669</v>
      </c>
      <c r="AH292" s="449">
        <f t="shared" si="274"/>
        <v>435.41666666666669</v>
      </c>
      <c r="AI292" s="449">
        <f t="shared" si="274"/>
        <v>435.41666666666669</v>
      </c>
      <c r="AJ292" s="449">
        <f t="shared" si="274"/>
        <v>435.41666666666669</v>
      </c>
      <c r="AK292" s="449">
        <f t="shared" si="274"/>
        <v>435.41666666666669</v>
      </c>
      <c r="AL292" s="449">
        <f t="shared" si="274"/>
        <v>435.41666666666669</v>
      </c>
      <c r="AN292" s="500">
        <f t="shared" si="266"/>
        <v>5225</v>
      </c>
      <c r="AO292" s="449">
        <f t="shared" si="267"/>
        <v>5290.6114800000005</v>
      </c>
      <c r="AP292" s="449">
        <f t="shared" si="268"/>
        <v>65.611480000000483</v>
      </c>
      <c r="AQ292" s="453">
        <f t="shared" si="269"/>
        <v>1.2557221052631672E-2</v>
      </c>
      <c r="AR292" s="449">
        <f t="shared" si="270"/>
        <v>5290.6114800000005</v>
      </c>
      <c r="AS292" s="449">
        <f t="shared" si="271"/>
        <v>0</v>
      </c>
      <c r="AT292" s="426">
        <f t="shared" si="272"/>
        <v>0</v>
      </c>
      <c r="AU292" s="421"/>
      <c r="AV292" s="449">
        <f t="shared" si="276"/>
        <v>440.88429000000002</v>
      </c>
      <c r="AW292" s="449">
        <f t="shared" si="276"/>
        <v>440.88429000000002</v>
      </c>
      <c r="AX292" s="449">
        <f t="shared" si="276"/>
        <v>440.88429000000002</v>
      </c>
      <c r="AY292" s="449">
        <f t="shared" si="275"/>
        <v>440.88429000000002</v>
      </c>
      <c r="AZ292" s="449">
        <f t="shared" si="275"/>
        <v>440.88429000000002</v>
      </c>
      <c r="BA292" s="449">
        <f t="shared" si="275"/>
        <v>440.88429000000002</v>
      </c>
      <c r="BB292" s="449">
        <f t="shared" si="275"/>
        <v>440.88429000000002</v>
      </c>
      <c r="BC292" s="449">
        <f t="shared" si="275"/>
        <v>440.88429000000002</v>
      </c>
      <c r="BD292" s="449">
        <f t="shared" si="275"/>
        <v>440.88429000000002</v>
      </c>
      <c r="BE292" s="449">
        <f t="shared" si="275"/>
        <v>440.88429000000002</v>
      </c>
      <c r="BF292" s="449">
        <f t="shared" si="275"/>
        <v>440.88429000000002</v>
      </c>
      <c r="BG292" s="449">
        <f t="shared" si="275"/>
        <v>440.88429000000002</v>
      </c>
      <c r="BH292" s="400"/>
      <c r="BI292" s="449">
        <f>SUM('FY19 Staffing V1-1 (3)'!$W$269)/12</f>
        <v>440.88429000000002</v>
      </c>
      <c r="BJ292" s="449">
        <f>SUM('FY19 Staffing V1-1 (3)'!$W$269)/12</f>
        <v>440.88429000000002</v>
      </c>
      <c r="BK292" s="449">
        <f>SUM('FY19 Staffing V1-1 (3)'!$W$269)/12</f>
        <v>440.88429000000002</v>
      </c>
      <c r="BL292" s="449">
        <f>SUM('FY19 Staffing V1-1 (3)'!$W$269)/12</f>
        <v>440.88429000000002</v>
      </c>
      <c r="BM292" s="449">
        <f>SUM('FY19 Staffing V1-1 (3)'!$W$269)/12</f>
        <v>440.88429000000002</v>
      </c>
      <c r="BN292" s="449">
        <f>SUM('FY19 Staffing V1-1 (3)'!$W$269)/12</f>
        <v>440.88429000000002</v>
      </c>
      <c r="BO292" s="449">
        <f>SUM('FY19 Staffing V1-1 (3)'!$W$269)/12</f>
        <v>440.88429000000002</v>
      </c>
      <c r="BP292" s="449">
        <f>SUM('FY19 Staffing V1-1 (3)'!$W$269)/12</f>
        <v>440.88429000000002</v>
      </c>
      <c r="BQ292" s="449">
        <f>SUM('FY19 Staffing V1-1 (3)'!$W$269)/12</f>
        <v>440.88429000000002</v>
      </c>
      <c r="BR292" s="449">
        <f>SUM('FY19 Staffing V1-1 (3)'!$W$269)/12</f>
        <v>440.88429000000002</v>
      </c>
      <c r="BS292" s="449">
        <f>SUM('FY19 Staffing V1-1 (3)'!$W$269)/12</f>
        <v>440.88429000000002</v>
      </c>
      <c r="BT292" s="449">
        <f>SUM('FY19 Staffing V1-1 (3)'!$W$269)/12</f>
        <v>440.88429000000002</v>
      </c>
    </row>
    <row r="293" spans="1:72" ht="15" hidden="1" x14ac:dyDescent="0.25">
      <c r="A293" s="502" t="s">
        <v>496</v>
      </c>
      <c r="B293" s="502" t="s">
        <v>497</v>
      </c>
      <c r="C293" s="541"/>
      <c r="D293" s="500">
        <f t="shared" si="259"/>
        <v>0</v>
      </c>
      <c r="E293" s="449">
        <v>0</v>
      </c>
      <c r="F293" s="449">
        <f t="shared" si="260"/>
        <v>0</v>
      </c>
      <c r="G293" s="421">
        <f t="shared" si="261"/>
        <v>0</v>
      </c>
      <c r="H293" s="449">
        <v>0</v>
      </c>
      <c r="I293" s="449">
        <f t="shared" si="262"/>
        <v>0</v>
      </c>
      <c r="J293" s="426">
        <f t="shared" si="263"/>
        <v>0</v>
      </c>
      <c r="K293" s="421"/>
      <c r="L293" s="449">
        <v>0</v>
      </c>
      <c r="M293" s="449">
        <v>0</v>
      </c>
      <c r="N293" s="449">
        <v>0</v>
      </c>
      <c r="O293" s="449">
        <v>0</v>
      </c>
      <c r="P293" s="449">
        <v>0</v>
      </c>
      <c r="Q293" s="449">
        <v>0</v>
      </c>
      <c r="R293" s="449">
        <f>($H293-SUM($L293:Q293))/R$694</f>
        <v>0</v>
      </c>
      <c r="S293" s="449">
        <f>($H293-SUM($L293:R293))/S$694</f>
        <v>0</v>
      </c>
      <c r="T293" s="449">
        <f>($H293-SUM($L293:S293))/T$694</f>
        <v>0</v>
      </c>
      <c r="U293" s="449">
        <f>($H293-SUM($L293:T293))/U$694</f>
        <v>0</v>
      </c>
      <c r="V293" s="449">
        <f>($H293-SUM($L293:U293))/V$694</f>
        <v>0</v>
      </c>
      <c r="W293" s="449">
        <f>($H293-SUM($L293:V293))/W$694</f>
        <v>0</v>
      </c>
      <c r="X293" s="449"/>
      <c r="Y293" s="449">
        <f t="shared" si="264"/>
        <v>0</v>
      </c>
      <c r="Z293" s="531"/>
      <c r="AA293" s="449">
        <f t="shared" si="274"/>
        <v>0</v>
      </c>
      <c r="AB293" s="449">
        <f t="shared" si="274"/>
        <v>0</v>
      </c>
      <c r="AC293" s="449">
        <f t="shared" si="274"/>
        <v>0</v>
      </c>
      <c r="AD293" s="449">
        <f t="shared" si="274"/>
        <v>0</v>
      </c>
      <c r="AE293" s="449">
        <f t="shared" si="274"/>
        <v>0</v>
      </c>
      <c r="AF293" s="449">
        <f t="shared" si="274"/>
        <v>0</v>
      </c>
      <c r="AG293" s="449">
        <f t="shared" si="274"/>
        <v>0</v>
      </c>
      <c r="AH293" s="449">
        <f t="shared" si="274"/>
        <v>0</v>
      </c>
      <c r="AI293" s="449">
        <f t="shared" si="274"/>
        <v>0</v>
      </c>
      <c r="AJ293" s="449">
        <f t="shared" si="274"/>
        <v>0</v>
      </c>
      <c r="AK293" s="449">
        <f t="shared" si="274"/>
        <v>0</v>
      </c>
      <c r="AL293" s="449">
        <f t="shared" si="274"/>
        <v>0</v>
      </c>
      <c r="AN293" s="500">
        <f t="shared" si="266"/>
        <v>0</v>
      </c>
      <c r="AO293" s="449">
        <f t="shared" si="267"/>
        <v>0</v>
      </c>
      <c r="AP293" s="449">
        <f t="shared" si="268"/>
        <v>0</v>
      </c>
      <c r="AQ293" s="453" t="str">
        <f t="shared" si="269"/>
        <v>-</v>
      </c>
      <c r="AR293" s="449">
        <f t="shared" si="270"/>
        <v>0</v>
      </c>
      <c r="AS293" s="449">
        <f t="shared" si="271"/>
        <v>0</v>
      </c>
      <c r="AT293" s="426">
        <f t="shared" si="272"/>
        <v>0</v>
      </c>
      <c r="AU293" s="421"/>
      <c r="AV293" s="449">
        <f t="shared" si="276"/>
        <v>0</v>
      </c>
      <c r="AW293" s="449">
        <f t="shared" si="276"/>
        <v>0</v>
      </c>
      <c r="AX293" s="449">
        <f t="shared" si="276"/>
        <v>0</v>
      </c>
      <c r="AY293" s="449">
        <f t="shared" si="275"/>
        <v>0</v>
      </c>
      <c r="AZ293" s="449">
        <f t="shared" si="275"/>
        <v>0</v>
      </c>
      <c r="BA293" s="449">
        <f t="shared" si="275"/>
        <v>0</v>
      </c>
      <c r="BB293" s="449">
        <f t="shared" si="275"/>
        <v>0</v>
      </c>
      <c r="BC293" s="449">
        <f t="shared" si="275"/>
        <v>0</v>
      </c>
      <c r="BD293" s="449">
        <f t="shared" si="275"/>
        <v>0</v>
      </c>
      <c r="BE293" s="449">
        <f t="shared" si="275"/>
        <v>0</v>
      </c>
      <c r="BF293" s="449">
        <f t="shared" si="275"/>
        <v>0</v>
      </c>
      <c r="BG293" s="449">
        <f t="shared" si="275"/>
        <v>0</v>
      </c>
      <c r="BH293" s="400"/>
      <c r="BI293" s="449">
        <v>0</v>
      </c>
      <c r="BJ293" s="449">
        <v>0</v>
      </c>
      <c r="BK293" s="449">
        <v>0</v>
      </c>
      <c r="BL293" s="449">
        <v>0</v>
      </c>
      <c r="BM293" s="449">
        <v>0</v>
      </c>
      <c r="BN293" s="449">
        <v>0</v>
      </c>
      <c r="BO293" s="449">
        <v>0</v>
      </c>
      <c r="BP293" s="449">
        <v>0</v>
      </c>
      <c r="BQ293" s="449">
        <v>0</v>
      </c>
      <c r="BR293" s="449">
        <v>0</v>
      </c>
      <c r="BS293" s="449">
        <v>0</v>
      </c>
      <c r="BT293" s="449">
        <v>0</v>
      </c>
    </row>
    <row r="294" spans="1:72" ht="15" hidden="1" x14ac:dyDescent="0.25">
      <c r="A294" s="502" t="s">
        <v>498</v>
      </c>
      <c r="B294" s="502" t="s">
        <v>499</v>
      </c>
      <c r="C294" s="541"/>
      <c r="D294" s="500">
        <f t="shared" si="259"/>
        <v>0</v>
      </c>
      <c r="E294" s="449">
        <v>0</v>
      </c>
      <c r="F294" s="449">
        <f t="shared" si="260"/>
        <v>0</v>
      </c>
      <c r="G294" s="421">
        <f t="shared" si="261"/>
        <v>0</v>
      </c>
      <c r="H294" s="449">
        <v>0</v>
      </c>
      <c r="I294" s="449">
        <f t="shared" si="262"/>
        <v>0</v>
      </c>
      <c r="J294" s="426">
        <f t="shared" si="263"/>
        <v>0</v>
      </c>
      <c r="K294" s="421"/>
      <c r="L294" s="449">
        <v>0</v>
      </c>
      <c r="M294" s="449">
        <v>0</v>
      </c>
      <c r="N294" s="449">
        <v>0</v>
      </c>
      <c r="O294" s="449">
        <v>0</v>
      </c>
      <c r="P294" s="449">
        <v>0</v>
      </c>
      <c r="Q294" s="449">
        <v>0</v>
      </c>
      <c r="R294" s="449">
        <f>($H294-SUM($L294:Q294))/R$694</f>
        <v>0</v>
      </c>
      <c r="S294" s="449">
        <f>($H294-SUM($L294:R294))/S$694</f>
        <v>0</v>
      </c>
      <c r="T294" s="449">
        <f>($H294-SUM($L294:S294))/T$694</f>
        <v>0</v>
      </c>
      <c r="U294" s="449">
        <f>($H294-SUM($L294:T294))/U$694</f>
        <v>0</v>
      </c>
      <c r="V294" s="449">
        <f>($H294-SUM($L294:U294))/V$694</f>
        <v>0</v>
      </c>
      <c r="W294" s="449">
        <f>($H294-SUM($L294:V294))/W$694</f>
        <v>0</v>
      </c>
      <c r="X294" s="449"/>
      <c r="Y294" s="449">
        <f t="shared" si="264"/>
        <v>0</v>
      </c>
      <c r="Z294" s="531"/>
      <c r="AA294" s="449">
        <f t="shared" si="274"/>
        <v>0</v>
      </c>
      <c r="AB294" s="449">
        <f t="shared" si="274"/>
        <v>0</v>
      </c>
      <c r="AC294" s="449">
        <f t="shared" si="274"/>
        <v>0</v>
      </c>
      <c r="AD294" s="449">
        <f t="shared" si="274"/>
        <v>0</v>
      </c>
      <c r="AE294" s="449">
        <f t="shared" si="274"/>
        <v>0</v>
      </c>
      <c r="AF294" s="449">
        <f t="shared" si="274"/>
        <v>0</v>
      </c>
      <c r="AG294" s="449">
        <f t="shared" si="274"/>
        <v>0</v>
      </c>
      <c r="AH294" s="449">
        <f t="shared" si="274"/>
        <v>0</v>
      </c>
      <c r="AI294" s="449">
        <f t="shared" si="274"/>
        <v>0</v>
      </c>
      <c r="AJ294" s="449">
        <f t="shared" si="274"/>
        <v>0</v>
      </c>
      <c r="AK294" s="449">
        <f t="shared" si="274"/>
        <v>0</v>
      </c>
      <c r="AL294" s="449">
        <f t="shared" si="274"/>
        <v>0</v>
      </c>
      <c r="AN294" s="500">
        <f t="shared" si="266"/>
        <v>0</v>
      </c>
      <c r="AO294" s="449">
        <f t="shared" si="267"/>
        <v>0</v>
      </c>
      <c r="AP294" s="449">
        <f t="shared" si="268"/>
        <v>0</v>
      </c>
      <c r="AQ294" s="453" t="str">
        <f t="shared" si="269"/>
        <v>-</v>
      </c>
      <c r="AR294" s="449">
        <f t="shared" si="270"/>
        <v>0</v>
      </c>
      <c r="AS294" s="449">
        <f t="shared" si="271"/>
        <v>0</v>
      </c>
      <c r="AT294" s="426">
        <f t="shared" si="272"/>
        <v>0</v>
      </c>
      <c r="AU294" s="421"/>
      <c r="AV294" s="449">
        <f t="shared" si="276"/>
        <v>0</v>
      </c>
      <c r="AW294" s="449">
        <f t="shared" si="276"/>
        <v>0</v>
      </c>
      <c r="AX294" s="449">
        <f t="shared" si="276"/>
        <v>0</v>
      </c>
      <c r="AY294" s="449">
        <f t="shared" si="275"/>
        <v>0</v>
      </c>
      <c r="AZ294" s="449">
        <f t="shared" si="275"/>
        <v>0</v>
      </c>
      <c r="BA294" s="449">
        <f t="shared" si="275"/>
        <v>0</v>
      </c>
      <c r="BB294" s="449">
        <f t="shared" si="275"/>
        <v>0</v>
      </c>
      <c r="BC294" s="449">
        <f t="shared" si="275"/>
        <v>0</v>
      </c>
      <c r="BD294" s="449">
        <f t="shared" si="275"/>
        <v>0</v>
      </c>
      <c r="BE294" s="449">
        <f t="shared" si="275"/>
        <v>0</v>
      </c>
      <c r="BF294" s="449">
        <f t="shared" si="275"/>
        <v>0</v>
      </c>
      <c r="BG294" s="449">
        <f t="shared" si="275"/>
        <v>0</v>
      </c>
      <c r="BH294" s="400"/>
      <c r="BI294" s="449">
        <v>0</v>
      </c>
      <c r="BJ294" s="449">
        <v>0</v>
      </c>
      <c r="BK294" s="449">
        <v>0</v>
      </c>
      <c r="BL294" s="449">
        <v>0</v>
      </c>
      <c r="BM294" s="449">
        <v>0</v>
      </c>
      <c r="BN294" s="449">
        <v>0</v>
      </c>
      <c r="BO294" s="449">
        <v>0</v>
      </c>
      <c r="BP294" s="449">
        <v>0</v>
      </c>
      <c r="BQ294" s="449">
        <v>0</v>
      </c>
      <c r="BR294" s="449">
        <v>0</v>
      </c>
      <c r="BS294" s="449">
        <v>0</v>
      </c>
      <c r="BT294" s="449">
        <v>0</v>
      </c>
    </row>
    <row r="295" spans="1:72" ht="15" hidden="1" x14ac:dyDescent="0.25">
      <c r="A295" s="502" t="s">
        <v>500</v>
      </c>
      <c r="B295" s="502" t="s">
        <v>501</v>
      </c>
      <c r="C295" s="541"/>
      <c r="D295" s="500">
        <f t="shared" si="259"/>
        <v>0</v>
      </c>
      <c r="E295" s="449">
        <v>0</v>
      </c>
      <c r="F295" s="449">
        <f t="shared" si="260"/>
        <v>0</v>
      </c>
      <c r="G295" s="421">
        <f t="shared" si="261"/>
        <v>0</v>
      </c>
      <c r="H295" s="449">
        <v>0</v>
      </c>
      <c r="I295" s="449">
        <f t="shared" si="262"/>
        <v>0</v>
      </c>
      <c r="J295" s="426">
        <f t="shared" si="263"/>
        <v>0</v>
      </c>
      <c r="K295" s="421"/>
      <c r="L295" s="449">
        <v>0</v>
      </c>
      <c r="M295" s="449">
        <v>0</v>
      </c>
      <c r="N295" s="449">
        <v>0</v>
      </c>
      <c r="O295" s="449">
        <v>0</v>
      </c>
      <c r="P295" s="449">
        <v>0</v>
      </c>
      <c r="Q295" s="449">
        <v>0</v>
      </c>
      <c r="R295" s="449">
        <f>($H295-SUM($L295:Q295))/R$694</f>
        <v>0</v>
      </c>
      <c r="S295" s="449">
        <f>($H295-SUM($L295:R295))/S$694</f>
        <v>0</v>
      </c>
      <c r="T295" s="449">
        <f>($H295-SUM($L295:S295))/T$694</f>
        <v>0</v>
      </c>
      <c r="U295" s="449">
        <f>($H295-SUM($L295:T295))/U$694</f>
        <v>0</v>
      </c>
      <c r="V295" s="449">
        <f>($H295-SUM($L295:U295))/V$694</f>
        <v>0</v>
      </c>
      <c r="W295" s="449">
        <f>($H295-SUM($L295:V295))/W$694</f>
        <v>0</v>
      </c>
      <c r="X295" s="449"/>
      <c r="Y295" s="449">
        <f t="shared" si="264"/>
        <v>0</v>
      </c>
      <c r="Z295" s="531"/>
      <c r="AA295" s="449">
        <f t="shared" si="274"/>
        <v>0</v>
      </c>
      <c r="AB295" s="449">
        <f t="shared" si="274"/>
        <v>0</v>
      </c>
      <c r="AC295" s="449">
        <f t="shared" si="274"/>
        <v>0</v>
      </c>
      <c r="AD295" s="449">
        <f t="shared" si="274"/>
        <v>0</v>
      </c>
      <c r="AE295" s="449">
        <f t="shared" si="274"/>
        <v>0</v>
      </c>
      <c r="AF295" s="449">
        <f t="shared" si="274"/>
        <v>0</v>
      </c>
      <c r="AG295" s="449">
        <f t="shared" si="274"/>
        <v>0</v>
      </c>
      <c r="AH295" s="449">
        <f t="shared" si="274"/>
        <v>0</v>
      </c>
      <c r="AI295" s="449">
        <f t="shared" si="274"/>
        <v>0</v>
      </c>
      <c r="AJ295" s="449">
        <f t="shared" si="274"/>
        <v>0</v>
      </c>
      <c r="AK295" s="449">
        <f t="shared" si="274"/>
        <v>0</v>
      </c>
      <c r="AL295" s="449">
        <f t="shared" si="274"/>
        <v>0</v>
      </c>
      <c r="AN295" s="500">
        <f t="shared" si="266"/>
        <v>0</v>
      </c>
      <c r="AO295" s="449">
        <f t="shared" si="267"/>
        <v>0</v>
      </c>
      <c r="AP295" s="449">
        <f t="shared" si="268"/>
        <v>0</v>
      </c>
      <c r="AQ295" s="453" t="str">
        <f t="shared" si="269"/>
        <v>-</v>
      </c>
      <c r="AR295" s="449">
        <f t="shared" si="270"/>
        <v>0</v>
      </c>
      <c r="AS295" s="449">
        <f t="shared" si="271"/>
        <v>0</v>
      </c>
      <c r="AT295" s="426">
        <f t="shared" si="272"/>
        <v>0</v>
      </c>
      <c r="AU295" s="421"/>
      <c r="AV295" s="449">
        <f t="shared" si="276"/>
        <v>0</v>
      </c>
      <c r="AW295" s="449">
        <f t="shared" si="276"/>
        <v>0</v>
      </c>
      <c r="AX295" s="449">
        <f t="shared" si="276"/>
        <v>0</v>
      </c>
      <c r="AY295" s="449">
        <f t="shared" si="275"/>
        <v>0</v>
      </c>
      <c r="AZ295" s="449">
        <f t="shared" si="275"/>
        <v>0</v>
      </c>
      <c r="BA295" s="449">
        <f t="shared" si="275"/>
        <v>0</v>
      </c>
      <c r="BB295" s="449">
        <f t="shared" si="275"/>
        <v>0</v>
      </c>
      <c r="BC295" s="449">
        <f t="shared" si="275"/>
        <v>0</v>
      </c>
      <c r="BD295" s="449">
        <f t="shared" si="275"/>
        <v>0</v>
      </c>
      <c r="BE295" s="449">
        <f t="shared" si="275"/>
        <v>0</v>
      </c>
      <c r="BF295" s="449">
        <f t="shared" si="275"/>
        <v>0</v>
      </c>
      <c r="BG295" s="449">
        <f t="shared" si="275"/>
        <v>0</v>
      </c>
      <c r="BH295" s="400"/>
      <c r="BI295" s="449">
        <v>0</v>
      </c>
      <c r="BJ295" s="449">
        <v>0</v>
      </c>
      <c r="BK295" s="449">
        <v>0</v>
      </c>
      <c r="BL295" s="449">
        <v>0</v>
      </c>
      <c r="BM295" s="449">
        <v>0</v>
      </c>
      <c r="BN295" s="449">
        <v>0</v>
      </c>
      <c r="BO295" s="449">
        <v>0</v>
      </c>
      <c r="BP295" s="449">
        <v>0</v>
      </c>
      <c r="BQ295" s="449">
        <v>0</v>
      </c>
      <c r="BR295" s="449">
        <v>0</v>
      </c>
      <c r="BS295" s="449">
        <v>0</v>
      </c>
      <c r="BT295" s="449">
        <v>0</v>
      </c>
    </row>
    <row r="296" spans="1:72" ht="15" hidden="1" x14ac:dyDescent="0.25">
      <c r="A296" s="502" t="s">
        <v>502</v>
      </c>
      <c r="B296" s="502" t="s">
        <v>503</v>
      </c>
      <c r="C296" s="541"/>
      <c r="D296" s="500">
        <f t="shared" si="259"/>
        <v>0</v>
      </c>
      <c r="E296" s="449">
        <v>0</v>
      </c>
      <c r="F296" s="449">
        <f t="shared" si="260"/>
        <v>0</v>
      </c>
      <c r="G296" s="421">
        <f t="shared" si="261"/>
        <v>0</v>
      </c>
      <c r="H296" s="449">
        <v>0</v>
      </c>
      <c r="I296" s="449">
        <f t="shared" si="262"/>
        <v>0</v>
      </c>
      <c r="J296" s="426">
        <f t="shared" si="263"/>
        <v>0</v>
      </c>
      <c r="K296" s="421"/>
      <c r="L296" s="449">
        <v>0</v>
      </c>
      <c r="M296" s="449">
        <v>0</v>
      </c>
      <c r="N296" s="449">
        <v>0</v>
      </c>
      <c r="O296" s="449">
        <v>0</v>
      </c>
      <c r="P296" s="449">
        <v>0</v>
      </c>
      <c r="Q296" s="449">
        <v>0</v>
      </c>
      <c r="R296" s="449">
        <f>($H296-SUM($L296:Q296))/R$694</f>
        <v>0</v>
      </c>
      <c r="S296" s="449">
        <f>($H296-SUM($L296:R296))/S$694</f>
        <v>0</v>
      </c>
      <c r="T296" s="449">
        <f>($H296-SUM($L296:S296))/T$694</f>
        <v>0</v>
      </c>
      <c r="U296" s="449">
        <f>($H296-SUM($L296:T296))/U$694</f>
        <v>0</v>
      </c>
      <c r="V296" s="449">
        <f>($H296-SUM($L296:U296))/V$694</f>
        <v>0</v>
      </c>
      <c r="W296" s="449">
        <f>($H296-SUM($L296:V296))/W$694</f>
        <v>0</v>
      </c>
      <c r="X296" s="449"/>
      <c r="Y296" s="449">
        <f t="shared" si="264"/>
        <v>0</v>
      </c>
      <c r="Z296" s="531"/>
      <c r="AA296" s="449">
        <f t="shared" si="274"/>
        <v>0</v>
      </c>
      <c r="AB296" s="449">
        <f t="shared" si="274"/>
        <v>0</v>
      </c>
      <c r="AC296" s="449">
        <f t="shared" si="274"/>
        <v>0</v>
      </c>
      <c r="AD296" s="449">
        <f t="shared" si="274"/>
        <v>0</v>
      </c>
      <c r="AE296" s="449">
        <f t="shared" si="274"/>
        <v>0</v>
      </c>
      <c r="AF296" s="449">
        <f t="shared" si="274"/>
        <v>0</v>
      </c>
      <c r="AG296" s="449">
        <f t="shared" si="274"/>
        <v>0</v>
      </c>
      <c r="AH296" s="449">
        <f t="shared" si="274"/>
        <v>0</v>
      </c>
      <c r="AI296" s="449">
        <f t="shared" si="274"/>
        <v>0</v>
      </c>
      <c r="AJ296" s="449">
        <f t="shared" si="274"/>
        <v>0</v>
      </c>
      <c r="AK296" s="449">
        <f t="shared" si="274"/>
        <v>0</v>
      </c>
      <c r="AL296" s="449">
        <f t="shared" si="274"/>
        <v>0</v>
      </c>
      <c r="AN296" s="500">
        <f t="shared" si="266"/>
        <v>0</v>
      </c>
      <c r="AO296" s="449">
        <f t="shared" si="267"/>
        <v>0</v>
      </c>
      <c r="AP296" s="449">
        <f t="shared" si="268"/>
        <v>0</v>
      </c>
      <c r="AQ296" s="453" t="str">
        <f t="shared" si="269"/>
        <v>-</v>
      </c>
      <c r="AR296" s="449">
        <f t="shared" si="270"/>
        <v>0</v>
      </c>
      <c r="AS296" s="449">
        <f t="shared" si="271"/>
        <v>0</v>
      </c>
      <c r="AT296" s="426">
        <f t="shared" si="272"/>
        <v>0</v>
      </c>
      <c r="AU296" s="421"/>
      <c r="AV296" s="449">
        <f t="shared" si="276"/>
        <v>0</v>
      </c>
      <c r="AW296" s="449">
        <f t="shared" si="276"/>
        <v>0</v>
      </c>
      <c r="AX296" s="449">
        <f t="shared" si="276"/>
        <v>0</v>
      </c>
      <c r="AY296" s="449">
        <f t="shared" si="275"/>
        <v>0</v>
      </c>
      <c r="AZ296" s="449">
        <f t="shared" si="275"/>
        <v>0</v>
      </c>
      <c r="BA296" s="449">
        <f t="shared" si="275"/>
        <v>0</v>
      </c>
      <c r="BB296" s="449">
        <f t="shared" si="275"/>
        <v>0</v>
      </c>
      <c r="BC296" s="449">
        <f t="shared" si="275"/>
        <v>0</v>
      </c>
      <c r="BD296" s="449">
        <f t="shared" si="275"/>
        <v>0</v>
      </c>
      <c r="BE296" s="449">
        <f t="shared" si="275"/>
        <v>0</v>
      </c>
      <c r="BF296" s="449">
        <f t="shared" si="275"/>
        <v>0</v>
      </c>
      <c r="BG296" s="449">
        <f t="shared" si="275"/>
        <v>0</v>
      </c>
      <c r="BH296" s="400"/>
      <c r="BI296" s="449">
        <v>0</v>
      </c>
      <c r="BJ296" s="449">
        <v>0</v>
      </c>
      <c r="BK296" s="449">
        <v>0</v>
      </c>
      <c r="BL296" s="449">
        <v>0</v>
      </c>
      <c r="BM296" s="449">
        <v>0</v>
      </c>
      <c r="BN296" s="449">
        <v>0</v>
      </c>
      <c r="BO296" s="449">
        <v>0</v>
      </c>
      <c r="BP296" s="449">
        <v>0</v>
      </c>
      <c r="BQ296" s="449">
        <v>0</v>
      </c>
      <c r="BR296" s="449">
        <v>0</v>
      </c>
      <c r="BS296" s="449">
        <v>0</v>
      </c>
      <c r="BT296" s="449">
        <v>0</v>
      </c>
    </row>
    <row r="297" spans="1:72" ht="15" hidden="1" x14ac:dyDescent="0.25">
      <c r="A297" s="502" t="s">
        <v>504</v>
      </c>
      <c r="B297" s="502" t="s">
        <v>505</v>
      </c>
      <c r="C297" s="541"/>
      <c r="D297" s="500">
        <f t="shared" si="259"/>
        <v>0</v>
      </c>
      <c r="E297" s="449">
        <v>0</v>
      </c>
      <c r="F297" s="449">
        <f t="shared" si="260"/>
        <v>0</v>
      </c>
      <c r="G297" s="421">
        <f t="shared" si="261"/>
        <v>0</v>
      </c>
      <c r="H297" s="449">
        <v>0</v>
      </c>
      <c r="I297" s="449">
        <f t="shared" si="262"/>
        <v>0</v>
      </c>
      <c r="J297" s="426">
        <f t="shared" si="263"/>
        <v>0</v>
      </c>
      <c r="K297" s="421"/>
      <c r="L297" s="449">
        <v>0</v>
      </c>
      <c r="M297" s="449">
        <v>0</v>
      </c>
      <c r="N297" s="449">
        <v>0</v>
      </c>
      <c r="O297" s="449">
        <v>0</v>
      </c>
      <c r="P297" s="449">
        <v>0</v>
      </c>
      <c r="Q297" s="449">
        <v>0</v>
      </c>
      <c r="R297" s="449">
        <f>($H297-SUM($L297:Q297))/R$694</f>
        <v>0</v>
      </c>
      <c r="S297" s="449">
        <f>($H297-SUM($L297:R297))/S$694</f>
        <v>0</v>
      </c>
      <c r="T297" s="449">
        <f>($H297-SUM($L297:S297))/T$694</f>
        <v>0</v>
      </c>
      <c r="U297" s="449">
        <f>($H297-SUM($L297:T297))/U$694</f>
        <v>0</v>
      </c>
      <c r="V297" s="449">
        <f>($H297-SUM($L297:U297))/V$694</f>
        <v>0</v>
      </c>
      <c r="W297" s="449">
        <f>($H297-SUM($L297:V297))/W$694</f>
        <v>0</v>
      </c>
      <c r="X297" s="449"/>
      <c r="Y297" s="449">
        <f t="shared" si="264"/>
        <v>0</v>
      </c>
      <c r="Z297" s="531"/>
      <c r="AA297" s="449">
        <f t="shared" si="274"/>
        <v>0</v>
      </c>
      <c r="AB297" s="449">
        <f t="shared" si="274"/>
        <v>0</v>
      </c>
      <c r="AC297" s="449">
        <f t="shared" si="274"/>
        <v>0</v>
      </c>
      <c r="AD297" s="449">
        <f t="shared" si="274"/>
        <v>0</v>
      </c>
      <c r="AE297" s="449">
        <f t="shared" si="274"/>
        <v>0</v>
      </c>
      <c r="AF297" s="449">
        <f t="shared" si="274"/>
        <v>0</v>
      </c>
      <c r="AG297" s="449">
        <f t="shared" si="274"/>
        <v>0</v>
      </c>
      <c r="AH297" s="449">
        <f t="shared" si="274"/>
        <v>0</v>
      </c>
      <c r="AI297" s="449">
        <f t="shared" si="274"/>
        <v>0</v>
      </c>
      <c r="AJ297" s="449">
        <f t="shared" si="274"/>
        <v>0</v>
      </c>
      <c r="AK297" s="449">
        <f t="shared" si="274"/>
        <v>0</v>
      </c>
      <c r="AL297" s="449">
        <f t="shared" si="274"/>
        <v>0</v>
      </c>
      <c r="AN297" s="500">
        <f t="shared" si="266"/>
        <v>0</v>
      </c>
      <c r="AO297" s="449">
        <f t="shared" si="267"/>
        <v>0</v>
      </c>
      <c r="AP297" s="449">
        <f t="shared" si="268"/>
        <v>0</v>
      </c>
      <c r="AQ297" s="453" t="str">
        <f t="shared" si="269"/>
        <v>-</v>
      </c>
      <c r="AR297" s="449">
        <f t="shared" si="270"/>
        <v>0</v>
      </c>
      <c r="AS297" s="449">
        <f t="shared" si="271"/>
        <v>0</v>
      </c>
      <c r="AT297" s="426">
        <f t="shared" si="272"/>
        <v>0</v>
      </c>
      <c r="AU297" s="421"/>
      <c r="AV297" s="449">
        <f t="shared" si="276"/>
        <v>0</v>
      </c>
      <c r="AW297" s="449">
        <f t="shared" si="276"/>
        <v>0</v>
      </c>
      <c r="AX297" s="449">
        <f t="shared" si="276"/>
        <v>0</v>
      </c>
      <c r="AY297" s="449">
        <f t="shared" si="275"/>
        <v>0</v>
      </c>
      <c r="AZ297" s="449">
        <f t="shared" si="275"/>
        <v>0</v>
      </c>
      <c r="BA297" s="449">
        <f t="shared" si="275"/>
        <v>0</v>
      </c>
      <c r="BB297" s="449">
        <f t="shared" si="275"/>
        <v>0</v>
      </c>
      <c r="BC297" s="449">
        <f t="shared" si="275"/>
        <v>0</v>
      </c>
      <c r="BD297" s="449">
        <f t="shared" si="275"/>
        <v>0</v>
      </c>
      <c r="BE297" s="449">
        <f t="shared" si="275"/>
        <v>0</v>
      </c>
      <c r="BF297" s="449">
        <f t="shared" si="275"/>
        <v>0</v>
      </c>
      <c r="BG297" s="449">
        <f t="shared" si="275"/>
        <v>0</v>
      </c>
      <c r="BH297" s="400"/>
      <c r="BI297" s="449">
        <v>0</v>
      </c>
      <c r="BJ297" s="449">
        <v>0</v>
      </c>
      <c r="BK297" s="449">
        <v>0</v>
      </c>
      <c r="BL297" s="449">
        <v>0</v>
      </c>
      <c r="BM297" s="449">
        <v>0</v>
      </c>
      <c r="BN297" s="449">
        <v>0</v>
      </c>
      <c r="BO297" s="449">
        <v>0</v>
      </c>
      <c r="BP297" s="449">
        <v>0</v>
      </c>
      <c r="BQ297" s="449">
        <v>0</v>
      </c>
      <c r="BR297" s="449">
        <v>0</v>
      </c>
      <c r="BS297" s="449">
        <v>0</v>
      </c>
      <c r="BT297" s="449">
        <v>0</v>
      </c>
    </row>
    <row r="298" spans="1:72" ht="15" hidden="1" x14ac:dyDescent="0.25">
      <c r="A298" s="502" t="s">
        <v>506</v>
      </c>
      <c r="B298" s="502" t="s">
        <v>507</v>
      </c>
      <c r="C298" s="541"/>
      <c r="D298" s="500">
        <f t="shared" si="259"/>
        <v>5225</v>
      </c>
      <c r="E298" s="449">
        <v>5225</v>
      </c>
      <c r="F298" s="449">
        <f t="shared" si="260"/>
        <v>0</v>
      </c>
      <c r="G298" s="421">
        <f t="shared" si="261"/>
        <v>0</v>
      </c>
      <c r="H298" s="449">
        <v>5225</v>
      </c>
      <c r="I298" s="449">
        <f t="shared" si="262"/>
        <v>0</v>
      </c>
      <c r="J298" s="426">
        <f t="shared" si="263"/>
        <v>0</v>
      </c>
      <c r="K298" s="421"/>
      <c r="L298" s="449">
        <v>0</v>
      </c>
      <c r="M298" s="449">
        <v>0</v>
      </c>
      <c r="N298" s="449">
        <v>0</v>
      </c>
      <c r="O298" s="449">
        <v>0</v>
      </c>
      <c r="P298" s="449">
        <v>0</v>
      </c>
      <c r="Q298" s="449">
        <v>0</v>
      </c>
      <c r="R298" s="449">
        <f>($H298-SUM($L298:Q298))/R$694</f>
        <v>870.83333333333337</v>
      </c>
      <c r="S298" s="449">
        <f>($H298-SUM($L298:R298))/S$694</f>
        <v>870.83333333333337</v>
      </c>
      <c r="T298" s="449">
        <f>($H298-SUM($L298:S298))/T$694</f>
        <v>870.83333333333326</v>
      </c>
      <c r="U298" s="449">
        <f>($H298-SUM($L298:T298))/U$694</f>
        <v>870.83333333333337</v>
      </c>
      <c r="V298" s="449">
        <f>($H298-SUM($L298:U298))/V$694</f>
        <v>870.83333333333326</v>
      </c>
      <c r="W298" s="449">
        <f>($H298-SUM($L298:V298))/W$694</f>
        <v>870.83333333333303</v>
      </c>
      <c r="X298" s="449"/>
      <c r="Y298" s="449">
        <f t="shared" si="264"/>
        <v>5225</v>
      </c>
      <c r="Z298" s="531"/>
      <c r="AA298" s="449">
        <f t="shared" si="274"/>
        <v>435.41666666666669</v>
      </c>
      <c r="AB298" s="449">
        <f t="shared" si="274"/>
        <v>435.41666666666669</v>
      </c>
      <c r="AC298" s="449">
        <f t="shared" si="274"/>
        <v>435.41666666666669</v>
      </c>
      <c r="AD298" s="449">
        <f t="shared" si="274"/>
        <v>435.41666666666669</v>
      </c>
      <c r="AE298" s="449">
        <f t="shared" si="274"/>
        <v>435.41666666666669</v>
      </c>
      <c r="AF298" s="449">
        <f t="shared" si="274"/>
        <v>435.41666666666669</v>
      </c>
      <c r="AG298" s="449">
        <f t="shared" si="274"/>
        <v>435.41666666666669</v>
      </c>
      <c r="AH298" s="449">
        <f t="shared" si="274"/>
        <v>435.41666666666669</v>
      </c>
      <c r="AI298" s="449">
        <f t="shared" si="274"/>
        <v>435.41666666666669</v>
      </c>
      <c r="AJ298" s="449">
        <f t="shared" si="274"/>
        <v>435.41666666666669</v>
      </c>
      <c r="AK298" s="449">
        <f t="shared" si="274"/>
        <v>435.41666666666669</v>
      </c>
      <c r="AL298" s="449">
        <f t="shared" si="274"/>
        <v>435.41666666666669</v>
      </c>
      <c r="AN298" s="500">
        <f t="shared" si="266"/>
        <v>5225</v>
      </c>
      <c r="AO298" s="449">
        <f t="shared" si="267"/>
        <v>0</v>
      </c>
      <c r="AP298" s="449">
        <f t="shared" si="268"/>
        <v>-5225</v>
      </c>
      <c r="AQ298" s="453">
        <f t="shared" si="269"/>
        <v>-1</v>
      </c>
      <c r="AR298" s="449">
        <f t="shared" si="270"/>
        <v>0</v>
      </c>
      <c r="AS298" s="449">
        <f t="shared" si="271"/>
        <v>0</v>
      </c>
      <c r="AT298" s="426">
        <f t="shared" si="272"/>
        <v>0</v>
      </c>
      <c r="AU298" s="421"/>
      <c r="AV298" s="449">
        <f t="shared" si="276"/>
        <v>0</v>
      </c>
      <c r="AW298" s="449">
        <f t="shared" si="276"/>
        <v>0</v>
      </c>
      <c r="AX298" s="449">
        <f t="shared" si="276"/>
        <v>0</v>
      </c>
      <c r="AY298" s="449">
        <f t="shared" si="275"/>
        <v>0</v>
      </c>
      <c r="AZ298" s="449">
        <f t="shared" si="275"/>
        <v>0</v>
      </c>
      <c r="BA298" s="449">
        <f t="shared" si="275"/>
        <v>0</v>
      </c>
      <c r="BB298" s="449">
        <f t="shared" si="275"/>
        <v>0</v>
      </c>
      <c r="BC298" s="449">
        <f t="shared" si="275"/>
        <v>0</v>
      </c>
      <c r="BD298" s="449">
        <f t="shared" si="275"/>
        <v>0</v>
      </c>
      <c r="BE298" s="449">
        <f t="shared" si="275"/>
        <v>0</v>
      </c>
      <c r="BF298" s="449">
        <f t="shared" si="275"/>
        <v>0</v>
      </c>
      <c r="BG298" s="449">
        <f t="shared" si="275"/>
        <v>0</v>
      </c>
      <c r="BH298" s="400"/>
      <c r="BI298" s="449">
        <v>0</v>
      </c>
      <c r="BJ298" s="449">
        <v>0</v>
      </c>
      <c r="BK298" s="449">
        <v>0</v>
      </c>
      <c r="BL298" s="449">
        <v>0</v>
      </c>
      <c r="BM298" s="449">
        <v>0</v>
      </c>
      <c r="BN298" s="449">
        <v>0</v>
      </c>
      <c r="BO298" s="449">
        <v>0</v>
      </c>
      <c r="BP298" s="449">
        <v>0</v>
      </c>
      <c r="BQ298" s="449">
        <v>0</v>
      </c>
      <c r="BR298" s="449">
        <v>0</v>
      </c>
      <c r="BS298" s="449">
        <v>0</v>
      </c>
      <c r="BT298" s="449">
        <v>0</v>
      </c>
    </row>
    <row r="299" spans="1:72" ht="15" x14ac:dyDescent="0.25">
      <c r="A299" s="502" t="s">
        <v>508</v>
      </c>
      <c r="B299" s="502" t="s">
        <v>509</v>
      </c>
      <c r="C299" s="541"/>
      <c r="D299" s="500">
        <f t="shared" si="259"/>
        <v>3597</v>
      </c>
      <c r="E299" s="449">
        <v>1597</v>
      </c>
      <c r="F299" s="449">
        <f t="shared" si="260"/>
        <v>2000</v>
      </c>
      <c r="G299" s="421">
        <f t="shared" si="261"/>
        <v>1.2523481527864746</v>
      </c>
      <c r="H299" s="449">
        <f>1597+2000</f>
        <v>3597</v>
      </c>
      <c r="I299" s="449">
        <f t="shared" si="262"/>
        <v>0</v>
      </c>
      <c r="J299" s="426">
        <f t="shared" si="263"/>
        <v>0</v>
      </c>
      <c r="K299" s="421"/>
      <c r="L299" s="449">
        <v>0</v>
      </c>
      <c r="M299" s="449">
        <v>324.66000000000003</v>
      </c>
      <c r="N299" s="449">
        <v>284.08999999999997</v>
      </c>
      <c r="O299" s="449">
        <v>510.55999999999995</v>
      </c>
      <c r="P299" s="449">
        <v>270.55999999999995</v>
      </c>
      <c r="Q299" s="449">
        <v>338.20000000000005</v>
      </c>
      <c r="R299" s="449">
        <f>($H299-SUM($L299:Q299))/R$694</f>
        <v>311.48833333333334</v>
      </c>
      <c r="S299" s="449">
        <f>($H299-SUM($L299:R299))/S$694</f>
        <v>311.48833333333334</v>
      </c>
      <c r="T299" s="449">
        <f>($H299-SUM($L299:S299))/T$694</f>
        <v>311.48833333333334</v>
      </c>
      <c r="U299" s="449">
        <f>($H299-SUM($L299:T299))/U$694</f>
        <v>311.4883333333334</v>
      </c>
      <c r="V299" s="449">
        <f>($H299-SUM($L299:U299))/V$694</f>
        <v>311.48833333333346</v>
      </c>
      <c r="W299" s="449">
        <f>($H299-SUM($L299:V299))/W$694</f>
        <v>311.48833333333369</v>
      </c>
      <c r="X299" s="449"/>
      <c r="Y299" s="449">
        <f t="shared" si="264"/>
        <v>3597</v>
      </c>
      <c r="Z299" s="531"/>
      <c r="AA299" s="449">
        <f t="shared" si="274"/>
        <v>299.75</v>
      </c>
      <c r="AB299" s="449">
        <f t="shared" si="274"/>
        <v>299.75</v>
      </c>
      <c r="AC299" s="449">
        <f t="shared" si="274"/>
        <v>299.75</v>
      </c>
      <c r="AD299" s="449">
        <f t="shared" si="274"/>
        <v>299.75</v>
      </c>
      <c r="AE299" s="449">
        <f t="shared" si="274"/>
        <v>299.75</v>
      </c>
      <c r="AF299" s="449">
        <f t="shared" si="274"/>
        <v>299.75</v>
      </c>
      <c r="AG299" s="449">
        <f t="shared" si="274"/>
        <v>299.75</v>
      </c>
      <c r="AH299" s="449">
        <f t="shared" si="274"/>
        <v>299.75</v>
      </c>
      <c r="AI299" s="449">
        <f t="shared" si="274"/>
        <v>299.75</v>
      </c>
      <c r="AJ299" s="449">
        <f t="shared" si="274"/>
        <v>299.75</v>
      </c>
      <c r="AK299" s="449">
        <f t="shared" si="274"/>
        <v>299.75</v>
      </c>
      <c r="AL299" s="449">
        <f t="shared" si="274"/>
        <v>299.75</v>
      </c>
      <c r="AN299" s="500">
        <f t="shared" si="266"/>
        <v>3597</v>
      </c>
      <c r="AO299" s="449">
        <f t="shared" si="267"/>
        <v>1644.79</v>
      </c>
      <c r="AP299" s="449">
        <f t="shared" si="268"/>
        <v>-1952.21</v>
      </c>
      <c r="AQ299" s="453">
        <f t="shared" si="269"/>
        <v>-0.54273283291631913</v>
      </c>
      <c r="AR299" s="449">
        <f t="shared" si="270"/>
        <v>1644.79</v>
      </c>
      <c r="AS299" s="449">
        <f t="shared" si="271"/>
        <v>0</v>
      </c>
      <c r="AT299" s="426">
        <f t="shared" si="272"/>
        <v>0</v>
      </c>
      <c r="AU299" s="421"/>
      <c r="AV299" s="449">
        <f t="shared" si="276"/>
        <v>137.06583333333333</v>
      </c>
      <c r="AW299" s="449">
        <f t="shared" si="276"/>
        <v>137.06583333333333</v>
      </c>
      <c r="AX299" s="449">
        <f t="shared" si="276"/>
        <v>137.06583333333333</v>
      </c>
      <c r="AY299" s="449">
        <f t="shared" si="275"/>
        <v>137.06583333333333</v>
      </c>
      <c r="AZ299" s="449">
        <f t="shared" si="275"/>
        <v>137.06583333333333</v>
      </c>
      <c r="BA299" s="449">
        <f t="shared" si="275"/>
        <v>137.06583333333333</v>
      </c>
      <c r="BB299" s="449">
        <f t="shared" si="275"/>
        <v>137.06583333333333</v>
      </c>
      <c r="BC299" s="449">
        <f t="shared" si="275"/>
        <v>137.06583333333333</v>
      </c>
      <c r="BD299" s="449">
        <f t="shared" si="275"/>
        <v>137.06583333333333</v>
      </c>
      <c r="BE299" s="449">
        <f t="shared" si="275"/>
        <v>137.06583333333333</v>
      </c>
      <c r="BF299" s="449">
        <f t="shared" si="275"/>
        <v>137.06583333333333</v>
      </c>
      <c r="BG299" s="449">
        <f t="shared" si="275"/>
        <v>137.06583333333333</v>
      </c>
      <c r="BH299" s="400"/>
      <c r="BI299" s="449">
        <f>SUM('FY19 Staffing V1-1 (3)'!$S$226)/12</f>
        <v>137.06583333333333</v>
      </c>
      <c r="BJ299" s="449">
        <f>SUM('FY19 Staffing V1-1 (3)'!$S$226)/12</f>
        <v>137.06583333333333</v>
      </c>
      <c r="BK299" s="449">
        <f>SUM('FY19 Staffing V1-1 (3)'!$S$226)/12</f>
        <v>137.06583333333333</v>
      </c>
      <c r="BL299" s="449">
        <f>SUM('FY19 Staffing V1-1 (3)'!$S$226)/12</f>
        <v>137.06583333333333</v>
      </c>
      <c r="BM299" s="449">
        <f>SUM('FY19 Staffing V1-1 (3)'!$S$226)/12</f>
        <v>137.06583333333333</v>
      </c>
      <c r="BN299" s="449">
        <f>SUM('FY19 Staffing V1-1 (3)'!$S$226)/12</f>
        <v>137.06583333333333</v>
      </c>
      <c r="BO299" s="449">
        <f>SUM('FY19 Staffing V1-1 (3)'!$S$226)/12</f>
        <v>137.06583333333333</v>
      </c>
      <c r="BP299" s="449">
        <f>SUM('FY19 Staffing V1-1 (3)'!$S$226)/12</f>
        <v>137.06583333333333</v>
      </c>
      <c r="BQ299" s="449">
        <f>SUM('FY19 Staffing V1-1 (3)'!$S$226)/12</f>
        <v>137.06583333333333</v>
      </c>
      <c r="BR299" s="449">
        <f>SUM('FY19 Staffing V1-1 (3)'!$S$226)/12</f>
        <v>137.06583333333333</v>
      </c>
      <c r="BS299" s="449">
        <f>SUM('FY19 Staffing V1-1 (3)'!$S$226)/12</f>
        <v>137.06583333333333</v>
      </c>
      <c r="BT299" s="449">
        <f>SUM('FY19 Staffing V1-1 (3)'!$S$226)/12</f>
        <v>137.06583333333333</v>
      </c>
    </row>
    <row r="300" spans="1:72" ht="15" x14ac:dyDescent="0.25">
      <c r="A300" s="502" t="s">
        <v>510</v>
      </c>
      <c r="B300" s="502" t="s">
        <v>509</v>
      </c>
      <c r="C300" s="541"/>
      <c r="D300" s="500">
        <f t="shared" si="259"/>
        <v>1820</v>
      </c>
      <c r="E300" s="449">
        <v>3795</v>
      </c>
      <c r="F300" s="449">
        <f t="shared" si="260"/>
        <v>-1975</v>
      </c>
      <c r="G300" s="421">
        <f t="shared" si="261"/>
        <v>-0.52042160737812915</v>
      </c>
      <c r="H300" s="449">
        <f>3820-2000</f>
        <v>1820</v>
      </c>
      <c r="I300" s="449">
        <f t="shared" si="262"/>
        <v>0</v>
      </c>
      <c r="J300" s="426">
        <f t="shared" si="263"/>
        <v>0</v>
      </c>
      <c r="K300" s="421"/>
      <c r="L300" s="449">
        <v>0</v>
      </c>
      <c r="M300" s="449">
        <v>0</v>
      </c>
      <c r="N300" s="449">
        <v>0</v>
      </c>
      <c r="O300" s="449">
        <v>0</v>
      </c>
      <c r="P300" s="449">
        <v>0</v>
      </c>
      <c r="Q300" s="449">
        <v>0</v>
      </c>
      <c r="R300" s="449">
        <f>($H300-SUM($L300:Q300))/R$694</f>
        <v>303.33333333333331</v>
      </c>
      <c r="S300" s="449">
        <f>($H300-SUM($L300:R300))/S$694</f>
        <v>303.33333333333337</v>
      </c>
      <c r="T300" s="449">
        <f>($H300-SUM($L300:S300))/T$694</f>
        <v>303.33333333333331</v>
      </c>
      <c r="U300" s="449">
        <f>($H300-SUM($L300:T300))/U$694</f>
        <v>303.33333333333331</v>
      </c>
      <c r="V300" s="449">
        <f>($H300-SUM($L300:U300))/V$694</f>
        <v>303.33333333333337</v>
      </c>
      <c r="W300" s="449">
        <f>($H300-SUM($L300:V300))/W$694</f>
        <v>303.33333333333348</v>
      </c>
      <c r="X300" s="449"/>
      <c r="Y300" s="449">
        <f t="shared" si="264"/>
        <v>1820</v>
      </c>
      <c r="Z300" s="531"/>
      <c r="AA300" s="449">
        <f t="shared" ref="AA300:AL315" si="277">IFERROR($H300/12,0)</f>
        <v>151.66666666666666</v>
      </c>
      <c r="AB300" s="449">
        <f t="shared" si="277"/>
        <v>151.66666666666666</v>
      </c>
      <c r="AC300" s="449">
        <f t="shared" si="277"/>
        <v>151.66666666666666</v>
      </c>
      <c r="AD300" s="449">
        <f t="shared" si="277"/>
        <v>151.66666666666666</v>
      </c>
      <c r="AE300" s="449">
        <f t="shared" si="277"/>
        <v>151.66666666666666</v>
      </c>
      <c r="AF300" s="449">
        <f t="shared" si="277"/>
        <v>151.66666666666666</v>
      </c>
      <c r="AG300" s="449">
        <f t="shared" si="277"/>
        <v>151.66666666666666</v>
      </c>
      <c r="AH300" s="449">
        <f t="shared" si="277"/>
        <v>151.66666666666666</v>
      </c>
      <c r="AI300" s="449">
        <f t="shared" si="277"/>
        <v>151.66666666666666</v>
      </c>
      <c r="AJ300" s="449">
        <f t="shared" si="277"/>
        <v>151.66666666666666</v>
      </c>
      <c r="AK300" s="449">
        <f t="shared" si="277"/>
        <v>151.66666666666666</v>
      </c>
      <c r="AL300" s="449">
        <f t="shared" si="277"/>
        <v>151.66666666666666</v>
      </c>
      <c r="AN300" s="500">
        <f t="shared" si="266"/>
        <v>1820</v>
      </c>
      <c r="AO300" s="449">
        <f t="shared" si="267"/>
        <v>3837.3999999999996</v>
      </c>
      <c r="AP300" s="449">
        <f t="shared" si="268"/>
        <v>2017.3999999999996</v>
      </c>
      <c r="AQ300" s="453">
        <f t="shared" si="269"/>
        <v>1.1084615384615382</v>
      </c>
      <c r="AR300" s="449">
        <f t="shared" si="270"/>
        <v>3837.3999999999996</v>
      </c>
      <c r="AS300" s="449">
        <f t="shared" si="271"/>
        <v>0</v>
      </c>
      <c r="AT300" s="426">
        <f t="shared" si="272"/>
        <v>0</v>
      </c>
      <c r="AU300" s="421"/>
      <c r="AV300" s="449">
        <f t="shared" si="276"/>
        <v>319.7833333333333</v>
      </c>
      <c r="AW300" s="449">
        <f t="shared" si="276"/>
        <v>319.7833333333333</v>
      </c>
      <c r="AX300" s="449">
        <f t="shared" si="276"/>
        <v>319.7833333333333</v>
      </c>
      <c r="AY300" s="449">
        <f t="shared" si="275"/>
        <v>319.7833333333333</v>
      </c>
      <c r="AZ300" s="449">
        <f t="shared" si="275"/>
        <v>319.7833333333333</v>
      </c>
      <c r="BA300" s="449">
        <f t="shared" si="275"/>
        <v>319.7833333333333</v>
      </c>
      <c r="BB300" s="449">
        <f t="shared" si="275"/>
        <v>319.7833333333333</v>
      </c>
      <c r="BC300" s="449">
        <f t="shared" si="275"/>
        <v>319.7833333333333</v>
      </c>
      <c r="BD300" s="449">
        <f t="shared" si="275"/>
        <v>319.7833333333333</v>
      </c>
      <c r="BE300" s="449">
        <f t="shared" si="275"/>
        <v>319.7833333333333</v>
      </c>
      <c r="BF300" s="449">
        <f t="shared" si="275"/>
        <v>319.7833333333333</v>
      </c>
      <c r="BG300" s="449">
        <f t="shared" si="275"/>
        <v>319.7833333333333</v>
      </c>
      <c r="BH300" s="400"/>
      <c r="BI300" s="449">
        <f>SUM('FY19 Staffing V1-1 (3)'!$S$227,'FY19 Staffing V1-1 (3)'!$S$229)/12</f>
        <v>319.7833333333333</v>
      </c>
      <c r="BJ300" s="449">
        <f>SUM('FY19 Staffing V1-1 (3)'!$S$227,'FY19 Staffing V1-1 (3)'!$S$229)/12</f>
        <v>319.7833333333333</v>
      </c>
      <c r="BK300" s="449">
        <f>SUM('FY19 Staffing V1-1 (3)'!$S$227,'FY19 Staffing V1-1 (3)'!$S$229)/12</f>
        <v>319.7833333333333</v>
      </c>
      <c r="BL300" s="449">
        <f>SUM('FY19 Staffing V1-1 (3)'!$S$227,'FY19 Staffing V1-1 (3)'!$S$229)/12</f>
        <v>319.7833333333333</v>
      </c>
      <c r="BM300" s="449">
        <f>SUM('FY19 Staffing V1-1 (3)'!$S$227,'FY19 Staffing V1-1 (3)'!$S$229)/12</f>
        <v>319.7833333333333</v>
      </c>
      <c r="BN300" s="449">
        <f>SUM('FY19 Staffing V1-1 (3)'!$S$227,'FY19 Staffing V1-1 (3)'!$S$229)/12</f>
        <v>319.7833333333333</v>
      </c>
      <c r="BO300" s="449">
        <f>SUM('FY19 Staffing V1-1 (3)'!$S$227,'FY19 Staffing V1-1 (3)'!$S$229)/12</f>
        <v>319.7833333333333</v>
      </c>
      <c r="BP300" s="449">
        <f>SUM('FY19 Staffing V1-1 (3)'!$S$227,'FY19 Staffing V1-1 (3)'!$S$229)/12</f>
        <v>319.7833333333333</v>
      </c>
      <c r="BQ300" s="449">
        <f>SUM('FY19 Staffing V1-1 (3)'!$S$227,'FY19 Staffing V1-1 (3)'!$S$229)/12</f>
        <v>319.7833333333333</v>
      </c>
      <c r="BR300" s="449">
        <f>SUM('FY19 Staffing V1-1 (3)'!$S$227,'FY19 Staffing V1-1 (3)'!$S$229)/12</f>
        <v>319.7833333333333</v>
      </c>
      <c r="BS300" s="449">
        <f>SUM('FY19 Staffing V1-1 (3)'!$S$227,'FY19 Staffing V1-1 (3)'!$S$229)/12</f>
        <v>319.7833333333333</v>
      </c>
      <c r="BT300" s="449">
        <f>SUM('FY19 Staffing V1-1 (3)'!$S$227,'FY19 Staffing V1-1 (3)'!$S$229)/12</f>
        <v>319.7833333333333</v>
      </c>
    </row>
    <row r="301" spans="1:72" ht="15" x14ac:dyDescent="0.25">
      <c r="A301" s="537" t="s">
        <v>511</v>
      </c>
      <c r="B301" s="537" t="s">
        <v>512</v>
      </c>
      <c r="C301" s="541"/>
      <c r="D301" s="500">
        <f t="shared" si="259"/>
        <v>0</v>
      </c>
      <c r="E301" s="449">
        <v>0</v>
      </c>
      <c r="F301" s="449">
        <f t="shared" si="260"/>
        <v>0</v>
      </c>
      <c r="G301" s="421">
        <f t="shared" si="261"/>
        <v>0</v>
      </c>
      <c r="H301" s="449">
        <v>0</v>
      </c>
      <c r="I301" s="449">
        <f t="shared" si="262"/>
        <v>0</v>
      </c>
      <c r="J301" s="426">
        <f t="shared" si="263"/>
        <v>0</v>
      </c>
      <c r="K301" s="421"/>
      <c r="L301" s="449">
        <v>0</v>
      </c>
      <c r="M301" s="449">
        <v>0</v>
      </c>
      <c r="N301" s="449">
        <v>0</v>
      </c>
      <c r="O301" s="449">
        <v>0</v>
      </c>
      <c r="P301" s="449">
        <v>0</v>
      </c>
      <c r="Q301" s="449">
        <v>0</v>
      </c>
      <c r="R301" s="449">
        <f>($H301-SUM($L301:Q301))/R$694</f>
        <v>0</v>
      </c>
      <c r="S301" s="449">
        <f>($H301-SUM($L301:R301))/S$694</f>
        <v>0</v>
      </c>
      <c r="T301" s="449">
        <f>($H301-SUM($L301:S301))/T$694</f>
        <v>0</v>
      </c>
      <c r="U301" s="449">
        <f>($H301-SUM($L301:T301))/U$694</f>
        <v>0</v>
      </c>
      <c r="V301" s="449">
        <f>($H301-SUM($L301:U301))/V$694</f>
        <v>0</v>
      </c>
      <c r="W301" s="449">
        <f>($H301-SUM($L301:V301))/W$694</f>
        <v>0</v>
      </c>
      <c r="X301" s="449"/>
      <c r="Y301" s="449">
        <f t="shared" si="264"/>
        <v>0</v>
      </c>
      <c r="Z301" s="531"/>
      <c r="AA301" s="449">
        <f t="shared" si="277"/>
        <v>0</v>
      </c>
      <c r="AB301" s="449">
        <f t="shared" si="277"/>
        <v>0</v>
      </c>
      <c r="AC301" s="449">
        <f t="shared" si="277"/>
        <v>0</v>
      </c>
      <c r="AD301" s="449">
        <f t="shared" si="277"/>
        <v>0</v>
      </c>
      <c r="AE301" s="449">
        <f t="shared" si="277"/>
        <v>0</v>
      </c>
      <c r="AF301" s="449">
        <f t="shared" si="277"/>
        <v>0</v>
      </c>
      <c r="AG301" s="449">
        <f t="shared" si="277"/>
        <v>0</v>
      </c>
      <c r="AH301" s="449">
        <f t="shared" si="277"/>
        <v>0</v>
      </c>
      <c r="AI301" s="449">
        <f t="shared" si="277"/>
        <v>0</v>
      </c>
      <c r="AJ301" s="449">
        <f t="shared" si="277"/>
        <v>0</v>
      </c>
      <c r="AK301" s="449">
        <f t="shared" si="277"/>
        <v>0</v>
      </c>
      <c r="AL301" s="449">
        <f t="shared" si="277"/>
        <v>0</v>
      </c>
      <c r="AN301" s="500">
        <f t="shared" si="266"/>
        <v>0</v>
      </c>
      <c r="AO301" s="449">
        <f t="shared" si="267"/>
        <v>1956.9999999999998</v>
      </c>
      <c r="AP301" s="449">
        <f t="shared" si="268"/>
        <v>1956.9999999999998</v>
      </c>
      <c r="AQ301" s="453" t="str">
        <f t="shared" si="269"/>
        <v>-</v>
      </c>
      <c r="AR301" s="449">
        <f t="shared" si="270"/>
        <v>1956.9999999999998</v>
      </c>
      <c r="AS301" s="449">
        <f t="shared" si="271"/>
        <v>0</v>
      </c>
      <c r="AT301" s="426">
        <f t="shared" si="272"/>
        <v>0</v>
      </c>
      <c r="AU301" s="421"/>
      <c r="AV301" s="449">
        <f t="shared" si="276"/>
        <v>163.08333333333334</v>
      </c>
      <c r="AW301" s="449">
        <f t="shared" si="276"/>
        <v>163.08333333333334</v>
      </c>
      <c r="AX301" s="449">
        <f t="shared" si="276"/>
        <v>163.08333333333334</v>
      </c>
      <c r="AY301" s="449">
        <f t="shared" si="275"/>
        <v>163.08333333333334</v>
      </c>
      <c r="AZ301" s="449">
        <f t="shared" si="275"/>
        <v>163.08333333333334</v>
      </c>
      <c r="BA301" s="449">
        <f t="shared" si="275"/>
        <v>163.08333333333334</v>
      </c>
      <c r="BB301" s="449">
        <f t="shared" si="275"/>
        <v>163.08333333333334</v>
      </c>
      <c r="BC301" s="449">
        <f t="shared" si="275"/>
        <v>163.08333333333334</v>
      </c>
      <c r="BD301" s="449">
        <f t="shared" si="275"/>
        <v>163.08333333333334</v>
      </c>
      <c r="BE301" s="449">
        <f t="shared" si="275"/>
        <v>163.08333333333334</v>
      </c>
      <c r="BF301" s="449">
        <f t="shared" si="275"/>
        <v>163.08333333333334</v>
      </c>
      <c r="BG301" s="449">
        <f t="shared" si="275"/>
        <v>163.08333333333334</v>
      </c>
      <c r="BH301" s="400"/>
      <c r="BI301" s="449">
        <f>SUM('FY19 Staffing V1-1 (3)'!$S$228)/12</f>
        <v>163.08333333333334</v>
      </c>
      <c r="BJ301" s="449">
        <f>SUM('FY19 Staffing V1-1 (3)'!$S$228)/12</f>
        <v>163.08333333333334</v>
      </c>
      <c r="BK301" s="449">
        <f>SUM('FY19 Staffing V1-1 (3)'!$S$228)/12</f>
        <v>163.08333333333334</v>
      </c>
      <c r="BL301" s="449">
        <f>SUM('FY19 Staffing V1-1 (3)'!$S$228)/12</f>
        <v>163.08333333333334</v>
      </c>
      <c r="BM301" s="449">
        <f>SUM('FY19 Staffing V1-1 (3)'!$S$228)/12</f>
        <v>163.08333333333334</v>
      </c>
      <c r="BN301" s="449">
        <f>SUM('FY19 Staffing V1-1 (3)'!$S$228)/12</f>
        <v>163.08333333333334</v>
      </c>
      <c r="BO301" s="449">
        <f>SUM('FY19 Staffing V1-1 (3)'!$S$228)/12</f>
        <v>163.08333333333334</v>
      </c>
      <c r="BP301" s="449">
        <f>SUM('FY19 Staffing V1-1 (3)'!$S$228)/12</f>
        <v>163.08333333333334</v>
      </c>
      <c r="BQ301" s="449">
        <f>SUM('FY19 Staffing V1-1 (3)'!$S$228)/12</f>
        <v>163.08333333333334</v>
      </c>
      <c r="BR301" s="449">
        <f>SUM('FY19 Staffing V1-1 (3)'!$S$228)/12</f>
        <v>163.08333333333334</v>
      </c>
      <c r="BS301" s="449">
        <f>SUM('FY19 Staffing V1-1 (3)'!$S$228)/12</f>
        <v>163.08333333333334</v>
      </c>
      <c r="BT301" s="449">
        <f>SUM('FY19 Staffing V1-1 (3)'!$S$228)/12</f>
        <v>163.08333333333334</v>
      </c>
    </row>
    <row r="302" spans="1:72" ht="15" x14ac:dyDescent="0.25">
      <c r="A302" s="502" t="s">
        <v>513</v>
      </c>
      <c r="B302" s="502" t="s">
        <v>514</v>
      </c>
      <c r="C302" s="541"/>
      <c r="D302" s="500">
        <f t="shared" si="259"/>
        <v>0</v>
      </c>
      <c r="E302" s="449">
        <v>0</v>
      </c>
      <c r="F302" s="449">
        <f t="shared" si="260"/>
        <v>0</v>
      </c>
      <c r="G302" s="421">
        <f t="shared" si="261"/>
        <v>0</v>
      </c>
      <c r="H302" s="449">
        <v>0</v>
      </c>
      <c r="I302" s="449">
        <f t="shared" si="262"/>
        <v>0</v>
      </c>
      <c r="J302" s="426">
        <f t="shared" si="263"/>
        <v>0</v>
      </c>
      <c r="K302" s="421"/>
      <c r="L302" s="449">
        <v>0</v>
      </c>
      <c r="M302" s="449">
        <v>0</v>
      </c>
      <c r="N302" s="449">
        <v>0</v>
      </c>
      <c r="O302" s="449">
        <v>0</v>
      </c>
      <c r="P302" s="449">
        <v>0</v>
      </c>
      <c r="Q302" s="449">
        <v>0</v>
      </c>
      <c r="R302" s="449">
        <f>($H302-SUM($L302:Q302))/R$694</f>
        <v>0</v>
      </c>
      <c r="S302" s="449">
        <f>($H302-SUM($L302:R302))/S$694</f>
        <v>0</v>
      </c>
      <c r="T302" s="449">
        <f>($H302-SUM($L302:S302))/T$694</f>
        <v>0</v>
      </c>
      <c r="U302" s="449">
        <f>($H302-SUM($L302:T302))/U$694</f>
        <v>0</v>
      </c>
      <c r="V302" s="449">
        <f>($H302-SUM($L302:U302))/V$694</f>
        <v>0</v>
      </c>
      <c r="W302" s="449">
        <f>($H302-SUM($L302:V302))/W$694</f>
        <v>0</v>
      </c>
      <c r="X302" s="449"/>
      <c r="Y302" s="449">
        <f t="shared" si="264"/>
        <v>0</v>
      </c>
      <c r="Z302" s="531"/>
      <c r="AA302" s="449">
        <f t="shared" si="277"/>
        <v>0</v>
      </c>
      <c r="AB302" s="449">
        <f t="shared" si="277"/>
        <v>0</v>
      </c>
      <c r="AC302" s="449">
        <f t="shared" si="277"/>
        <v>0</v>
      </c>
      <c r="AD302" s="449">
        <f t="shared" si="277"/>
        <v>0</v>
      </c>
      <c r="AE302" s="449">
        <f t="shared" si="277"/>
        <v>0</v>
      </c>
      <c r="AF302" s="449">
        <f t="shared" si="277"/>
        <v>0</v>
      </c>
      <c r="AG302" s="449">
        <f t="shared" si="277"/>
        <v>0</v>
      </c>
      <c r="AH302" s="449">
        <f t="shared" si="277"/>
        <v>0</v>
      </c>
      <c r="AI302" s="449">
        <f t="shared" si="277"/>
        <v>0</v>
      </c>
      <c r="AJ302" s="449">
        <f t="shared" si="277"/>
        <v>0</v>
      </c>
      <c r="AK302" s="449">
        <f t="shared" si="277"/>
        <v>0</v>
      </c>
      <c r="AL302" s="449">
        <f t="shared" si="277"/>
        <v>0</v>
      </c>
      <c r="AN302" s="500">
        <f t="shared" si="266"/>
        <v>0</v>
      </c>
      <c r="AO302" s="449">
        <f t="shared" si="267"/>
        <v>0</v>
      </c>
      <c r="AP302" s="449">
        <f t="shared" si="268"/>
        <v>0</v>
      </c>
      <c r="AQ302" s="453" t="str">
        <f t="shared" si="269"/>
        <v>-</v>
      </c>
      <c r="AR302" s="449">
        <f t="shared" si="270"/>
        <v>0</v>
      </c>
      <c r="AS302" s="449">
        <f t="shared" si="271"/>
        <v>0</v>
      </c>
      <c r="AT302" s="426">
        <f t="shared" si="272"/>
        <v>0</v>
      </c>
      <c r="AU302" s="421"/>
      <c r="AV302" s="449">
        <f t="shared" si="276"/>
        <v>0</v>
      </c>
      <c r="AW302" s="449">
        <f t="shared" si="276"/>
        <v>0</v>
      </c>
      <c r="AX302" s="449">
        <f t="shared" si="276"/>
        <v>0</v>
      </c>
      <c r="AY302" s="449">
        <f t="shared" si="275"/>
        <v>0</v>
      </c>
      <c r="AZ302" s="449">
        <f t="shared" si="275"/>
        <v>0</v>
      </c>
      <c r="BA302" s="449">
        <f t="shared" si="275"/>
        <v>0</v>
      </c>
      <c r="BB302" s="449">
        <f t="shared" si="275"/>
        <v>0</v>
      </c>
      <c r="BC302" s="449">
        <f t="shared" si="275"/>
        <v>0</v>
      </c>
      <c r="BD302" s="449">
        <f t="shared" si="275"/>
        <v>0</v>
      </c>
      <c r="BE302" s="449">
        <f t="shared" si="275"/>
        <v>0</v>
      </c>
      <c r="BF302" s="449">
        <f t="shared" si="275"/>
        <v>0</v>
      </c>
      <c r="BG302" s="449">
        <f t="shared" si="275"/>
        <v>0</v>
      </c>
      <c r="BH302" s="400"/>
      <c r="BI302" s="449">
        <v>0</v>
      </c>
      <c r="BJ302" s="449">
        <v>0</v>
      </c>
      <c r="BK302" s="449">
        <v>0</v>
      </c>
      <c r="BL302" s="449">
        <v>0</v>
      </c>
      <c r="BM302" s="449">
        <v>0</v>
      </c>
      <c r="BN302" s="449">
        <v>0</v>
      </c>
      <c r="BO302" s="449">
        <v>0</v>
      </c>
      <c r="BP302" s="449">
        <v>0</v>
      </c>
      <c r="BQ302" s="449">
        <v>0</v>
      </c>
      <c r="BR302" s="449">
        <v>0</v>
      </c>
      <c r="BS302" s="449">
        <v>0</v>
      </c>
      <c r="BT302" s="449">
        <v>0</v>
      </c>
    </row>
    <row r="303" spans="1:72" ht="15" x14ac:dyDescent="0.25">
      <c r="A303" s="502" t="s">
        <v>515</v>
      </c>
      <c r="B303" s="502" t="s">
        <v>516</v>
      </c>
      <c r="C303" s="541"/>
      <c r="D303" s="500">
        <f t="shared" si="259"/>
        <v>1236</v>
      </c>
      <c r="E303" s="449">
        <v>1361</v>
      </c>
      <c r="F303" s="449">
        <f t="shared" si="260"/>
        <v>-125</v>
      </c>
      <c r="G303" s="421">
        <f t="shared" si="261"/>
        <v>-9.184423218221896E-2</v>
      </c>
      <c r="H303" s="449">
        <v>1236</v>
      </c>
      <c r="I303" s="449">
        <f t="shared" si="262"/>
        <v>0</v>
      </c>
      <c r="J303" s="426">
        <f t="shared" si="263"/>
        <v>0</v>
      </c>
      <c r="K303" s="421"/>
      <c r="L303" s="449">
        <v>0</v>
      </c>
      <c r="M303" s="449">
        <v>112.77</v>
      </c>
      <c r="N303" s="449">
        <v>98.36999999999999</v>
      </c>
      <c r="O303" s="449">
        <v>93.910000000000025</v>
      </c>
      <c r="P303" s="449">
        <v>89.789999999999964</v>
      </c>
      <c r="Q303" s="449">
        <v>118.86000000000007</v>
      </c>
      <c r="R303" s="449">
        <f>($H303-SUM($L303:Q303))/R$694</f>
        <v>120.38333333333333</v>
      </c>
      <c r="S303" s="449">
        <f>($H303-SUM($L303:R303))/S$694</f>
        <v>120.38333333333333</v>
      </c>
      <c r="T303" s="449">
        <f>($H303-SUM($L303:S303))/T$694</f>
        <v>120.38333333333333</v>
      </c>
      <c r="U303" s="449">
        <f>($H303-SUM($L303:T303))/U$694</f>
        <v>120.38333333333333</v>
      </c>
      <c r="V303" s="449">
        <f>($H303-SUM($L303:U303))/V$694</f>
        <v>120.38333333333333</v>
      </c>
      <c r="W303" s="449">
        <f>($H303-SUM($L303:V303))/W$694</f>
        <v>120.38333333333321</v>
      </c>
      <c r="X303" s="449"/>
      <c r="Y303" s="449">
        <f t="shared" si="264"/>
        <v>1236</v>
      </c>
      <c r="Z303" s="531"/>
      <c r="AA303" s="449">
        <f t="shared" si="277"/>
        <v>103</v>
      </c>
      <c r="AB303" s="449">
        <f t="shared" si="277"/>
        <v>103</v>
      </c>
      <c r="AC303" s="449">
        <f t="shared" si="277"/>
        <v>103</v>
      </c>
      <c r="AD303" s="449">
        <f t="shared" si="277"/>
        <v>103</v>
      </c>
      <c r="AE303" s="449">
        <f t="shared" si="277"/>
        <v>103</v>
      </c>
      <c r="AF303" s="449">
        <f t="shared" si="277"/>
        <v>103</v>
      </c>
      <c r="AG303" s="449">
        <f t="shared" si="277"/>
        <v>103</v>
      </c>
      <c r="AH303" s="449">
        <f t="shared" si="277"/>
        <v>103</v>
      </c>
      <c r="AI303" s="449">
        <f t="shared" si="277"/>
        <v>103</v>
      </c>
      <c r="AJ303" s="449">
        <f t="shared" si="277"/>
        <v>103</v>
      </c>
      <c r="AK303" s="449">
        <f t="shared" si="277"/>
        <v>103</v>
      </c>
      <c r="AL303" s="449">
        <f t="shared" si="277"/>
        <v>103</v>
      </c>
      <c r="AN303" s="500">
        <f t="shared" si="266"/>
        <v>1236</v>
      </c>
      <c r="AO303" s="449">
        <f t="shared" si="267"/>
        <v>1386.79</v>
      </c>
      <c r="AP303" s="449">
        <f t="shared" si="268"/>
        <v>150.78999999999996</v>
      </c>
      <c r="AQ303" s="453">
        <f t="shared" si="269"/>
        <v>0.12199838187702262</v>
      </c>
      <c r="AR303" s="449">
        <f t="shared" si="270"/>
        <v>1386.79</v>
      </c>
      <c r="AS303" s="449">
        <f t="shared" si="271"/>
        <v>0</v>
      </c>
      <c r="AT303" s="426">
        <f t="shared" si="272"/>
        <v>0</v>
      </c>
      <c r="AU303" s="421"/>
      <c r="AV303" s="449">
        <f t="shared" si="276"/>
        <v>115.56583333333333</v>
      </c>
      <c r="AW303" s="449">
        <f t="shared" si="276"/>
        <v>115.56583333333333</v>
      </c>
      <c r="AX303" s="449">
        <f t="shared" si="276"/>
        <v>115.56583333333333</v>
      </c>
      <c r="AY303" s="449">
        <f t="shared" si="275"/>
        <v>115.56583333333333</v>
      </c>
      <c r="AZ303" s="449">
        <f t="shared" si="275"/>
        <v>115.56583333333333</v>
      </c>
      <c r="BA303" s="449">
        <f t="shared" si="275"/>
        <v>115.56583333333333</v>
      </c>
      <c r="BB303" s="449">
        <f t="shared" si="275"/>
        <v>115.56583333333333</v>
      </c>
      <c r="BC303" s="449">
        <f t="shared" si="275"/>
        <v>115.56583333333333</v>
      </c>
      <c r="BD303" s="449">
        <f t="shared" si="275"/>
        <v>115.56583333333333</v>
      </c>
      <c r="BE303" s="449">
        <f t="shared" si="275"/>
        <v>115.56583333333333</v>
      </c>
      <c r="BF303" s="449">
        <f t="shared" si="275"/>
        <v>115.56583333333333</v>
      </c>
      <c r="BG303" s="449">
        <f t="shared" si="275"/>
        <v>115.56583333333333</v>
      </c>
      <c r="BH303" s="400"/>
      <c r="BI303" s="449">
        <f>SUM('FY19 Staffing V1-1 (3)'!$S$269)/12</f>
        <v>115.56583333333333</v>
      </c>
      <c r="BJ303" s="449">
        <f>SUM('FY19 Staffing V1-1 (3)'!$S$269)/12</f>
        <v>115.56583333333333</v>
      </c>
      <c r="BK303" s="449">
        <f>SUM('FY19 Staffing V1-1 (3)'!$S$269)/12</f>
        <v>115.56583333333333</v>
      </c>
      <c r="BL303" s="449">
        <f>SUM('FY19 Staffing V1-1 (3)'!$S$269)/12</f>
        <v>115.56583333333333</v>
      </c>
      <c r="BM303" s="449">
        <f>SUM('FY19 Staffing V1-1 (3)'!$S$269)/12</f>
        <v>115.56583333333333</v>
      </c>
      <c r="BN303" s="449">
        <f>SUM('FY19 Staffing V1-1 (3)'!$S$269)/12</f>
        <v>115.56583333333333</v>
      </c>
      <c r="BO303" s="449">
        <f>SUM('FY19 Staffing V1-1 (3)'!$S$269)/12</f>
        <v>115.56583333333333</v>
      </c>
      <c r="BP303" s="449">
        <f>SUM('FY19 Staffing V1-1 (3)'!$S$269)/12</f>
        <v>115.56583333333333</v>
      </c>
      <c r="BQ303" s="449">
        <f>SUM('FY19 Staffing V1-1 (3)'!$S$269)/12</f>
        <v>115.56583333333333</v>
      </c>
      <c r="BR303" s="449">
        <f>SUM('FY19 Staffing V1-1 (3)'!$S$269)/12</f>
        <v>115.56583333333333</v>
      </c>
      <c r="BS303" s="449">
        <f>SUM('FY19 Staffing V1-1 (3)'!$S$269)/12</f>
        <v>115.56583333333333</v>
      </c>
      <c r="BT303" s="449">
        <f>SUM('FY19 Staffing V1-1 (3)'!$S$269)/12</f>
        <v>115.56583333333333</v>
      </c>
    </row>
    <row r="304" spans="1:72" ht="15" x14ac:dyDescent="0.25">
      <c r="A304" s="502" t="s">
        <v>517</v>
      </c>
      <c r="B304" s="502" t="s">
        <v>518</v>
      </c>
      <c r="C304" s="541"/>
      <c r="D304" s="500">
        <f t="shared" si="259"/>
        <v>120</v>
      </c>
      <c r="E304" s="449">
        <v>1361</v>
      </c>
      <c r="F304" s="449">
        <f t="shared" si="260"/>
        <v>-1241</v>
      </c>
      <c r="G304" s="421">
        <f t="shared" si="261"/>
        <v>-0.91182953710506975</v>
      </c>
      <c r="H304" s="449">
        <v>120</v>
      </c>
      <c r="I304" s="449">
        <f t="shared" si="262"/>
        <v>0</v>
      </c>
      <c r="J304" s="426">
        <f t="shared" si="263"/>
        <v>0</v>
      </c>
      <c r="K304" s="421"/>
      <c r="L304" s="449">
        <v>0</v>
      </c>
      <c r="M304" s="449">
        <v>0</v>
      </c>
      <c r="N304" s="449">
        <v>0</v>
      </c>
      <c r="O304" s="449">
        <v>0</v>
      </c>
      <c r="P304" s="449">
        <v>0</v>
      </c>
      <c r="Q304" s="449">
        <v>0</v>
      </c>
      <c r="R304" s="449">
        <f>($H304-SUM($L304:Q304))/R$694</f>
        <v>20</v>
      </c>
      <c r="S304" s="449">
        <f>($H304-SUM($L304:R304))/S$694</f>
        <v>20</v>
      </c>
      <c r="T304" s="449">
        <f>($H304-SUM($L304:S304))/T$694</f>
        <v>20</v>
      </c>
      <c r="U304" s="449">
        <f>($H304-SUM($L304:T304))/U$694</f>
        <v>20</v>
      </c>
      <c r="V304" s="449">
        <f>($H304-SUM($L304:U304))/V$694</f>
        <v>20</v>
      </c>
      <c r="W304" s="449">
        <f>($H304-SUM($L304:V304))/W$694</f>
        <v>20</v>
      </c>
      <c r="X304" s="449"/>
      <c r="Y304" s="449">
        <f t="shared" si="264"/>
        <v>120</v>
      </c>
      <c r="Z304" s="531"/>
      <c r="AA304" s="449">
        <f t="shared" si="277"/>
        <v>10</v>
      </c>
      <c r="AB304" s="449">
        <f t="shared" si="277"/>
        <v>10</v>
      </c>
      <c r="AC304" s="449">
        <f t="shared" si="277"/>
        <v>10</v>
      </c>
      <c r="AD304" s="449">
        <f t="shared" si="277"/>
        <v>10</v>
      </c>
      <c r="AE304" s="449">
        <f t="shared" si="277"/>
        <v>10</v>
      </c>
      <c r="AF304" s="449">
        <f t="shared" si="277"/>
        <v>10</v>
      </c>
      <c r="AG304" s="449">
        <f t="shared" si="277"/>
        <v>10</v>
      </c>
      <c r="AH304" s="449">
        <f t="shared" si="277"/>
        <v>10</v>
      </c>
      <c r="AI304" s="449">
        <f t="shared" si="277"/>
        <v>10</v>
      </c>
      <c r="AJ304" s="449">
        <f t="shared" si="277"/>
        <v>10</v>
      </c>
      <c r="AK304" s="449">
        <f t="shared" si="277"/>
        <v>10</v>
      </c>
      <c r="AL304" s="449">
        <f t="shared" si="277"/>
        <v>10</v>
      </c>
      <c r="AN304" s="500">
        <f t="shared" ref="AN304:AN329" si="278">SUM(L304:W304)</f>
        <v>120</v>
      </c>
      <c r="AO304" s="449">
        <f t="shared" si="267"/>
        <v>0</v>
      </c>
      <c r="AP304" s="449">
        <f t="shared" si="268"/>
        <v>-120</v>
      </c>
      <c r="AQ304" s="453">
        <f t="shared" si="269"/>
        <v>-1</v>
      </c>
      <c r="AR304" s="449">
        <f t="shared" si="270"/>
        <v>0</v>
      </c>
      <c r="AS304" s="449">
        <f t="shared" si="271"/>
        <v>0</v>
      </c>
      <c r="AT304" s="426">
        <f t="shared" si="272"/>
        <v>0</v>
      </c>
      <c r="AU304" s="421"/>
      <c r="AV304" s="449">
        <f t="shared" si="276"/>
        <v>0</v>
      </c>
      <c r="AW304" s="449">
        <f t="shared" si="276"/>
        <v>0</v>
      </c>
      <c r="AX304" s="449">
        <f t="shared" si="276"/>
        <v>0</v>
      </c>
      <c r="AY304" s="449">
        <f t="shared" si="275"/>
        <v>0</v>
      </c>
      <c r="AZ304" s="449">
        <f t="shared" si="275"/>
        <v>0</v>
      </c>
      <c r="BA304" s="449">
        <f t="shared" si="275"/>
        <v>0</v>
      </c>
      <c r="BB304" s="449">
        <f t="shared" si="275"/>
        <v>0</v>
      </c>
      <c r="BC304" s="449">
        <f t="shared" si="275"/>
        <v>0</v>
      </c>
      <c r="BD304" s="449">
        <f t="shared" si="275"/>
        <v>0</v>
      </c>
      <c r="BE304" s="449">
        <f t="shared" si="275"/>
        <v>0</v>
      </c>
      <c r="BF304" s="449">
        <f t="shared" si="275"/>
        <v>0</v>
      </c>
      <c r="BG304" s="449">
        <f t="shared" si="275"/>
        <v>0</v>
      </c>
      <c r="BH304" s="400"/>
      <c r="BI304" s="449">
        <v>0</v>
      </c>
      <c r="BJ304" s="449">
        <v>0</v>
      </c>
      <c r="BK304" s="449">
        <v>0</v>
      </c>
      <c r="BL304" s="449">
        <v>0</v>
      </c>
      <c r="BM304" s="449">
        <v>0</v>
      </c>
      <c r="BN304" s="449">
        <v>0</v>
      </c>
      <c r="BO304" s="449">
        <v>0</v>
      </c>
      <c r="BP304" s="449">
        <v>0</v>
      </c>
      <c r="BQ304" s="449">
        <v>0</v>
      </c>
      <c r="BR304" s="449">
        <v>0</v>
      </c>
      <c r="BS304" s="449">
        <v>0</v>
      </c>
      <c r="BT304" s="449">
        <v>0</v>
      </c>
    </row>
    <row r="305" spans="1:72" ht="15" hidden="1" x14ac:dyDescent="0.25">
      <c r="A305" s="616" t="s">
        <v>519</v>
      </c>
      <c r="B305" s="614" t="s">
        <v>520</v>
      </c>
      <c r="C305" s="630"/>
      <c r="D305" s="500">
        <f t="shared" si="259"/>
        <v>78750</v>
      </c>
      <c r="E305" s="449">
        <v>77250</v>
      </c>
      <c r="F305" s="449">
        <f t="shared" si="260"/>
        <v>1500</v>
      </c>
      <c r="G305" s="421">
        <f t="shared" si="261"/>
        <v>1.9417475728155338E-2</v>
      </c>
      <c r="H305" s="449">
        <v>78750</v>
      </c>
      <c r="I305" s="449">
        <f t="shared" si="262"/>
        <v>0</v>
      </c>
      <c r="J305" s="426">
        <f t="shared" si="263"/>
        <v>0</v>
      </c>
      <c r="K305" s="421"/>
      <c r="L305" s="449">
        <v>0</v>
      </c>
      <c r="M305" s="449">
        <v>7269.25</v>
      </c>
      <c r="N305" s="449">
        <v>1918.2700000000004</v>
      </c>
      <c r="O305" s="449">
        <v>3096.16</v>
      </c>
      <c r="P305" s="449">
        <v>3096.16</v>
      </c>
      <c r="Q305" s="449">
        <v>5870.2000000000007</v>
      </c>
      <c r="R305" s="449">
        <f>($H305-SUM($L305:Q305))/R$694</f>
        <v>9583.3266666666659</v>
      </c>
      <c r="S305" s="449">
        <f>($H305-SUM($L305:R305))/S$694</f>
        <v>9583.3266666666659</v>
      </c>
      <c r="T305" s="449">
        <f>($H305-SUM($L305:S305))/T$694</f>
        <v>9583.3266666666659</v>
      </c>
      <c r="U305" s="449">
        <f>($H305-SUM($L305:T305))/U$694</f>
        <v>9583.3266666666659</v>
      </c>
      <c r="V305" s="449">
        <f>($H305-SUM($L305:U305))/V$694</f>
        <v>9583.3266666666641</v>
      </c>
      <c r="W305" s="449">
        <f>($H305-SUM($L305:V305))/W$694</f>
        <v>9583.3266666666605</v>
      </c>
      <c r="X305" s="449"/>
      <c r="Y305" s="449">
        <f t="shared" si="264"/>
        <v>78750</v>
      </c>
      <c r="Z305" s="531"/>
      <c r="AA305" s="449">
        <f t="shared" si="277"/>
        <v>6562.5</v>
      </c>
      <c r="AB305" s="449">
        <f t="shared" si="277"/>
        <v>6562.5</v>
      </c>
      <c r="AC305" s="449">
        <f t="shared" si="277"/>
        <v>6562.5</v>
      </c>
      <c r="AD305" s="449">
        <f t="shared" si="277"/>
        <v>6562.5</v>
      </c>
      <c r="AE305" s="449">
        <f t="shared" si="277"/>
        <v>6562.5</v>
      </c>
      <c r="AF305" s="449">
        <f t="shared" si="277"/>
        <v>6562.5</v>
      </c>
      <c r="AG305" s="449">
        <f t="shared" si="277"/>
        <v>6562.5</v>
      </c>
      <c r="AH305" s="449">
        <f t="shared" si="277"/>
        <v>6562.5</v>
      </c>
      <c r="AI305" s="449">
        <f t="shared" si="277"/>
        <v>6562.5</v>
      </c>
      <c r="AJ305" s="449">
        <f t="shared" si="277"/>
        <v>6562.5</v>
      </c>
      <c r="AK305" s="449">
        <f t="shared" si="277"/>
        <v>6562.5</v>
      </c>
      <c r="AL305" s="449">
        <f t="shared" si="277"/>
        <v>6562.5</v>
      </c>
      <c r="AN305" s="500">
        <f t="shared" si="278"/>
        <v>78750</v>
      </c>
      <c r="AO305" s="449">
        <f t="shared" si="267"/>
        <v>0</v>
      </c>
      <c r="AP305" s="449">
        <f t="shared" si="268"/>
        <v>-78750</v>
      </c>
      <c r="AQ305" s="453">
        <f t="shared" si="269"/>
        <v>-1</v>
      </c>
      <c r="AR305" s="449">
        <f t="shared" si="270"/>
        <v>0</v>
      </c>
      <c r="AS305" s="449">
        <f t="shared" si="271"/>
        <v>0</v>
      </c>
      <c r="AT305" s="426">
        <f t="shared" si="272"/>
        <v>0</v>
      </c>
      <c r="AU305" s="421"/>
      <c r="AV305" s="449">
        <f t="shared" si="276"/>
        <v>0</v>
      </c>
      <c r="AW305" s="449">
        <f t="shared" si="276"/>
        <v>0</v>
      </c>
      <c r="AX305" s="449">
        <f t="shared" si="276"/>
        <v>0</v>
      </c>
      <c r="AY305" s="449">
        <f t="shared" si="275"/>
        <v>0</v>
      </c>
      <c r="AZ305" s="449">
        <f t="shared" si="275"/>
        <v>0</v>
      </c>
      <c r="BA305" s="449">
        <f t="shared" si="275"/>
        <v>0</v>
      </c>
      <c r="BB305" s="449">
        <f t="shared" si="275"/>
        <v>0</v>
      </c>
      <c r="BC305" s="449">
        <f t="shared" si="275"/>
        <v>0</v>
      </c>
      <c r="BD305" s="449">
        <f t="shared" si="275"/>
        <v>0</v>
      </c>
      <c r="BE305" s="449">
        <f t="shared" si="275"/>
        <v>0</v>
      </c>
      <c r="BF305" s="449">
        <f t="shared" si="275"/>
        <v>0</v>
      </c>
      <c r="BG305" s="449">
        <f t="shared" si="275"/>
        <v>0</v>
      </c>
      <c r="BH305" s="400"/>
      <c r="BI305" s="449">
        <v>0</v>
      </c>
      <c r="BJ305" s="449">
        <v>0</v>
      </c>
      <c r="BK305" s="449">
        <v>0</v>
      </c>
      <c r="BL305" s="449">
        <v>0</v>
      </c>
      <c r="BM305" s="449">
        <v>0</v>
      </c>
      <c r="BN305" s="449">
        <v>0</v>
      </c>
      <c r="BO305" s="449">
        <v>0</v>
      </c>
      <c r="BP305" s="449">
        <v>0</v>
      </c>
      <c r="BQ305" s="449">
        <v>0</v>
      </c>
      <c r="BR305" s="449">
        <v>0</v>
      </c>
      <c r="BS305" s="449">
        <v>0</v>
      </c>
      <c r="BT305" s="449">
        <v>0</v>
      </c>
    </row>
    <row r="306" spans="1:72" ht="15" x14ac:dyDescent="0.25">
      <c r="A306" s="502" t="s">
        <v>521</v>
      </c>
      <c r="B306" s="502" t="s">
        <v>522</v>
      </c>
      <c r="C306" s="630"/>
      <c r="D306" s="500">
        <f t="shared" si="259"/>
        <v>85414</v>
      </c>
      <c r="E306" s="449">
        <v>107129</v>
      </c>
      <c r="F306" s="449">
        <f t="shared" si="260"/>
        <v>-21715</v>
      </c>
      <c r="G306" s="421">
        <f t="shared" si="261"/>
        <v>-0.202699549141689</v>
      </c>
      <c r="H306" s="449">
        <v>85414</v>
      </c>
      <c r="I306" s="449">
        <f t="shared" si="262"/>
        <v>0</v>
      </c>
      <c r="J306" s="426">
        <f t="shared" si="263"/>
        <v>0</v>
      </c>
      <c r="K306" s="421"/>
      <c r="L306" s="449">
        <v>0.01</v>
      </c>
      <c r="M306" s="449">
        <v>0</v>
      </c>
      <c r="N306" s="449">
        <v>0</v>
      </c>
      <c r="O306" s="449">
        <v>727.35</v>
      </c>
      <c r="P306" s="449">
        <v>727.35</v>
      </c>
      <c r="Q306" s="449">
        <v>727.34999999999991</v>
      </c>
      <c r="R306" s="449">
        <f>($H306-SUM($L306:Q306))/R$694</f>
        <v>13871.99</v>
      </c>
      <c r="S306" s="449">
        <f>($H306-SUM($L306:R306))/S$694</f>
        <v>13871.99</v>
      </c>
      <c r="T306" s="449">
        <f>($H306-SUM($L306:S306))/T$694</f>
        <v>13871.99</v>
      </c>
      <c r="U306" s="449">
        <f>($H306-SUM($L306:T306))/U$694</f>
        <v>13871.99</v>
      </c>
      <c r="V306" s="449">
        <f>($H306-SUM($L306:U306))/V$694</f>
        <v>13871.990000000002</v>
      </c>
      <c r="W306" s="449">
        <f>($H306-SUM($L306:V306))/W$694</f>
        <v>13871.990000000005</v>
      </c>
      <c r="X306" s="449"/>
      <c r="Y306" s="449">
        <f t="shared" si="264"/>
        <v>85414</v>
      </c>
      <c r="Z306" s="531"/>
      <c r="AA306" s="449">
        <f t="shared" si="277"/>
        <v>7117.833333333333</v>
      </c>
      <c r="AB306" s="449">
        <f t="shared" si="277"/>
        <v>7117.833333333333</v>
      </c>
      <c r="AC306" s="449">
        <f t="shared" si="277"/>
        <v>7117.833333333333</v>
      </c>
      <c r="AD306" s="449">
        <f t="shared" si="277"/>
        <v>7117.833333333333</v>
      </c>
      <c r="AE306" s="449">
        <f t="shared" si="277"/>
        <v>7117.833333333333</v>
      </c>
      <c r="AF306" s="449">
        <f t="shared" si="277"/>
        <v>7117.833333333333</v>
      </c>
      <c r="AG306" s="449">
        <f t="shared" si="277"/>
        <v>7117.833333333333</v>
      </c>
      <c r="AH306" s="449">
        <f t="shared" si="277"/>
        <v>7117.833333333333</v>
      </c>
      <c r="AI306" s="449">
        <f t="shared" si="277"/>
        <v>7117.833333333333</v>
      </c>
      <c r="AJ306" s="449">
        <f t="shared" si="277"/>
        <v>7117.833333333333</v>
      </c>
      <c r="AK306" s="449">
        <f t="shared" si="277"/>
        <v>7117.833333333333</v>
      </c>
      <c r="AL306" s="449">
        <f t="shared" si="277"/>
        <v>7117.833333333333</v>
      </c>
      <c r="AN306" s="500">
        <f t="shared" si="278"/>
        <v>85414</v>
      </c>
      <c r="AO306" s="449">
        <f t="shared" si="267"/>
        <v>87976.42</v>
      </c>
      <c r="AP306" s="449">
        <f t="shared" si="268"/>
        <v>2562.4199999999983</v>
      </c>
      <c r="AQ306" s="453">
        <f t="shared" si="269"/>
        <v>2.9999999999999978E-2</v>
      </c>
      <c r="AR306" s="449">
        <f t="shared" si="270"/>
        <v>87976.42</v>
      </c>
      <c r="AS306" s="449">
        <f t="shared" si="271"/>
        <v>0</v>
      </c>
      <c r="AT306" s="426">
        <f t="shared" si="272"/>
        <v>0</v>
      </c>
      <c r="AU306" s="421"/>
      <c r="AV306" s="449">
        <f t="shared" si="276"/>
        <v>7331.3683333333347</v>
      </c>
      <c r="AW306" s="449">
        <f t="shared" si="276"/>
        <v>7331.3683333333347</v>
      </c>
      <c r="AX306" s="449">
        <f t="shared" si="276"/>
        <v>7331.3683333333347</v>
      </c>
      <c r="AY306" s="449">
        <f t="shared" si="275"/>
        <v>7331.3683333333347</v>
      </c>
      <c r="AZ306" s="449">
        <f t="shared" si="275"/>
        <v>7331.3683333333347</v>
      </c>
      <c r="BA306" s="449">
        <f t="shared" si="275"/>
        <v>7331.3683333333347</v>
      </c>
      <c r="BB306" s="449">
        <f t="shared" si="275"/>
        <v>7331.3683333333347</v>
      </c>
      <c r="BC306" s="449">
        <f t="shared" si="275"/>
        <v>7331.3683333333347</v>
      </c>
      <c r="BD306" s="449">
        <f t="shared" si="275"/>
        <v>7331.3683333333347</v>
      </c>
      <c r="BE306" s="449">
        <f t="shared" si="275"/>
        <v>7331.3683333333347</v>
      </c>
      <c r="BF306" s="449">
        <f t="shared" si="275"/>
        <v>7331.3683333333347</v>
      </c>
      <c r="BG306" s="449">
        <f t="shared" si="275"/>
        <v>7331.3683333333347</v>
      </c>
      <c r="BH306" s="400"/>
      <c r="BI306" s="449">
        <f>SUM('FY19 Staffing V1-1 (3)'!$P$247:$P$248)/12</f>
        <v>7331.3683333333347</v>
      </c>
      <c r="BJ306" s="449">
        <f>SUM('FY19 Staffing V1-1 (3)'!$P$247:$P$248)/12</f>
        <v>7331.3683333333347</v>
      </c>
      <c r="BK306" s="449">
        <f>SUM('FY19 Staffing V1-1 (3)'!$P$247:$P$248)/12</f>
        <v>7331.3683333333347</v>
      </c>
      <c r="BL306" s="449">
        <f>SUM('FY19 Staffing V1-1 (3)'!$P$247:$P$248)/12</f>
        <v>7331.3683333333347</v>
      </c>
      <c r="BM306" s="449">
        <f>SUM('FY19 Staffing V1-1 (3)'!$P$247:$P$248)/12</f>
        <v>7331.3683333333347</v>
      </c>
      <c r="BN306" s="449">
        <f>SUM('FY19 Staffing V1-1 (3)'!$P$247:$P$248)/12</f>
        <v>7331.3683333333347</v>
      </c>
      <c r="BO306" s="449">
        <f>SUM('FY19 Staffing V1-1 (3)'!$P$247:$P$248)/12</f>
        <v>7331.3683333333347</v>
      </c>
      <c r="BP306" s="449">
        <f>SUM('FY19 Staffing V1-1 (3)'!$P$247:$P$248)/12</f>
        <v>7331.3683333333347</v>
      </c>
      <c r="BQ306" s="449">
        <f>SUM('FY19 Staffing V1-1 (3)'!$P$247:$P$248)/12</f>
        <v>7331.3683333333347</v>
      </c>
      <c r="BR306" s="449">
        <f>SUM('FY19 Staffing V1-1 (3)'!$P$247:$P$248)/12</f>
        <v>7331.3683333333347</v>
      </c>
      <c r="BS306" s="449">
        <f>SUM('FY19 Staffing V1-1 (3)'!$P$247:$P$248)/12</f>
        <v>7331.3683333333347</v>
      </c>
      <c r="BT306" s="449">
        <f>SUM('FY19 Staffing V1-1 (3)'!$P$247:$P$248)/12</f>
        <v>7331.3683333333347</v>
      </c>
    </row>
    <row r="307" spans="1:72" ht="15" x14ac:dyDescent="0.25">
      <c r="A307" s="502" t="s">
        <v>523</v>
      </c>
      <c r="B307" s="502" t="s">
        <v>524</v>
      </c>
      <c r="C307" s="630"/>
      <c r="D307" s="500">
        <f t="shared" si="259"/>
        <v>0</v>
      </c>
      <c r="E307" s="449">
        <v>0</v>
      </c>
      <c r="F307" s="449">
        <f t="shared" si="260"/>
        <v>0</v>
      </c>
      <c r="G307" s="421">
        <f t="shared" si="261"/>
        <v>0</v>
      </c>
      <c r="H307" s="449">
        <v>0</v>
      </c>
      <c r="I307" s="449">
        <f t="shared" si="262"/>
        <v>0</v>
      </c>
      <c r="J307" s="426">
        <f t="shared" si="263"/>
        <v>0</v>
      </c>
      <c r="K307" s="421"/>
      <c r="L307" s="449">
        <v>0</v>
      </c>
      <c r="M307" s="449">
        <v>0</v>
      </c>
      <c r="N307" s="449">
        <v>0</v>
      </c>
      <c r="O307" s="449">
        <v>0</v>
      </c>
      <c r="P307" s="449">
        <v>0</v>
      </c>
      <c r="Q307" s="449">
        <v>0</v>
      </c>
      <c r="R307" s="449">
        <f>($H307-SUM($L307:Q307))/R$694</f>
        <v>0</v>
      </c>
      <c r="S307" s="449">
        <f>($H307-SUM($L307:R307))/S$694</f>
        <v>0</v>
      </c>
      <c r="T307" s="449">
        <f>($H307-SUM($L307:S307))/T$694</f>
        <v>0</v>
      </c>
      <c r="U307" s="449">
        <f>($H307-SUM($L307:T307))/U$694</f>
        <v>0</v>
      </c>
      <c r="V307" s="449">
        <f>($H307-SUM($L307:U307))/V$694</f>
        <v>0</v>
      </c>
      <c r="W307" s="449">
        <f>($H307-SUM($L307:V307))/W$694</f>
        <v>0</v>
      </c>
      <c r="X307" s="449"/>
      <c r="Y307" s="449">
        <f t="shared" si="264"/>
        <v>0</v>
      </c>
      <c r="Z307" s="531"/>
      <c r="AA307" s="449">
        <f t="shared" si="277"/>
        <v>0</v>
      </c>
      <c r="AB307" s="449">
        <f t="shared" si="277"/>
        <v>0</v>
      </c>
      <c r="AC307" s="449">
        <f t="shared" si="277"/>
        <v>0</v>
      </c>
      <c r="AD307" s="449">
        <f t="shared" si="277"/>
        <v>0</v>
      </c>
      <c r="AE307" s="449">
        <f t="shared" si="277"/>
        <v>0</v>
      </c>
      <c r="AF307" s="449">
        <f t="shared" si="277"/>
        <v>0</v>
      </c>
      <c r="AG307" s="449">
        <f t="shared" si="277"/>
        <v>0</v>
      </c>
      <c r="AH307" s="449">
        <f t="shared" si="277"/>
        <v>0</v>
      </c>
      <c r="AI307" s="449">
        <f t="shared" si="277"/>
        <v>0</v>
      </c>
      <c r="AJ307" s="449">
        <f t="shared" si="277"/>
        <v>0</v>
      </c>
      <c r="AK307" s="449">
        <f t="shared" si="277"/>
        <v>0</v>
      </c>
      <c r="AL307" s="449">
        <f t="shared" si="277"/>
        <v>0</v>
      </c>
      <c r="AN307" s="500">
        <f t="shared" si="278"/>
        <v>0</v>
      </c>
      <c r="AO307" s="449">
        <f t="shared" si="267"/>
        <v>0</v>
      </c>
      <c r="AP307" s="449">
        <f t="shared" si="268"/>
        <v>0</v>
      </c>
      <c r="AQ307" s="453" t="str">
        <f t="shared" si="269"/>
        <v>-</v>
      </c>
      <c r="AR307" s="449">
        <f t="shared" si="270"/>
        <v>0</v>
      </c>
      <c r="AS307" s="449">
        <f t="shared" si="271"/>
        <v>0</v>
      </c>
      <c r="AT307" s="426">
        <f t="shared" si="272"/>
        <v>0</v>
      </c>
      <c r="AU307" s="421"/>
      <c r="AV307" s="449">
        <f t="shared" si="276"/>
        <v>0</v>
      </c>
      <c r="AW307" s="449">
        <f t="shared" si="276"/>
        <v>0</v>
      </c>
      <c r="AX307" s="449">
        <f t="shared" si="276"/>
        <v>0</v>
      </c>
      <c r="AY307" s="449">
        <f t="shared" si="275"/>
        <v>0</v>
      </c>
      <c r="AZ307" s="449">
        <f t="shared" si="275"/>
        <v>0</v>
      </c>
      <c r="BA307" s="449">
        <f t="shared" si="275"/>
        <v>0</v>
      </c>
      <c r="BB307" s="449">
        <f t="shared" si="275"/>
        <v>0</v>
      </c>
      <c r="BC307" s="449">
        <f t="shared" si="275"/>
        <v>0</v>
      </c>
      <c r="BD307" s="449">
        <f t="shared" si="275"/>
        <v>0</v>
      </c>
      <c r="BE307" s="449">
        <f t="shared" si="275"/>
        <v>0</v>
      </c>
      <c r="BF307" s="449">
        <f t="shared" si="275"/>
        <v>0</v>
      </c>
      <c r="BG307" s="449">
        <f t="shared" si="275"/>
        <v>0</v>
      </c>
      <c r="BH307" s="400"/>
      <c r="BI307" s="449">
        <v>0</v>
      </c>
      <c r="BJ307" s="449">
        <v>0</v>
      </c>
      <c r="BK307" s="449">
        <v>0</v>
      </c>
      <c r="BL307" s="449">
        <v>0</v>
      </c>
      <c r="BM307" s="449">
        <v>0</v>
      </c>
      <c r="BN307" s="449">
        <v>0</v>
      </c>
      <c r="BO307" s="449">
        <v>0</v>
      </c>
      <c r="BP307" s="449">
        <v>0</v>
      </c>
      <c r="BQ307" s="449">
        <v>0</v>
      </c>
      <c r="BR307" s="449">
        <v>0</v>
      </c>
      <c r="BS307" s="449">
        <v>0</v>
      </c>
      <c r="BT307" s="449">
        <v>0</v>
      </c>
    </row>
    <row r="308" spans="1:72" ht="15" hidden="1" x14ac:dyDescent="0.25">
      <c r="A308" s="616" t="s">
        <v>525</v>
      </c>
      <c r="B308" s="614" t="s">
        <v>526</v>
      </c>
      <c r="C308" s="630"/>
      <c r="D308" s="500">
        <f t="shared" si="259"/>
        <v>3000</v>
      </c>
      <c r="E308" s="449">
        <v>0</v>
      </c>
      <c r="F308" s="449">
        <f t="shared" si="260"/>
        <v>3000</v>
      </c>
      <c r="G308" s="421">
        <f t="shared" si="261"/>
        <v>0</v>
      </c>
      <c r="H308" s="449">
        <v>0</v>
      </c>
      <c r="I308" s="449">
        <f t="shared" si="262"/>
        <v>3000</v>
      </c>
      <c r="J308" s="426">
        <f t="shared" si="263"/>
        <v>0</v>
      </c>
      <c r="K308" s="421"/>
      <c r="L308" s="449">
        <v>0</v>
      </c>
      <c r="M308" s="449">
        <v>0</v>
      </c>
      <c r="N308" s="449">
        <v>0</v>
      </c>
      <c r="O308" s="449">
        <v>3000</v>
      </c>
      <c r="P308" s="449">
        <v>0</v>
      </c>
      <c r="Q308" s="449">
        <v>0</v>
      </c>
      <c r="R308" s="449">
        <v>0</v>
      </c>
      <c r="S308" s="449">
        <v>0</v>
      </c>
      <c r="T308" s="449">
        <v>0</v>
      </c>
      <c r="U308" s="449">
        <v>0</v>
      </c>
      <c r="V308" s="449">
        <v>0</v>
      </c>
      <c r="W308" s="449">
        <v>0</v>
      </c>
      <c r="X308" s="449"/>
      <c r="Y308" s="449">
        <f t="shared" si="264"/>
        <v>3000</v>
      </c>
      <c r="Z308" s="531"/>
      <c r="AA308" s="449">
        <f t="shared" si="277"/>
        <v>0</v>
      </c>
      <c r="AB308" s="449">
        <f t="shared" si="277"/>
        <v>0</v>
      </c>
      <c r="AC308" s="449">
        <f t="shared" si="277"/>
        <v>0</v>
      </c>
      <c r="AD308" s="449">
        <f t="shared" si="277"/>
        <v>0</v>
      </c>
      <c r="AE308" s="449">
        <f t="shared" si="277"/>
        <v>0</v>
      </c>
      <c r="AF308" s="449">
        <f t="shared" si="277"/>
        <v>0</v>
      </c>
      <c r="AG308" s="449">
        <f t="shared" si="277"/>
        <v>0</v>
      </c>
      <c r="AH308" s="449">
        <f t="shared" si="277"/>
        <v>0</v>
      </c>
      <c r="AI308" s="449">
        <f t="shared" si="277"/>
        <v>0</v>
      </c>
      <c r="AJ308" s="449">
        <f t="shared" si="277"/>
        <v>0</v>
      </c>
      <c r="AK308" s="449">
        <f t="shared" si="277"/>
        <v>0</v>
      </c>
      <c r="AL308" s="449">
        <f t="shared" si="277"/>
        <v>0</v>
      </c>
      <c r="AN308" s="500">
        <f t="shared" si="278"/>
        <v>3000</v>
      </c>
      <c r="AO308" s="449">
        <f t="shared" si="267"/>
        <v>0</v>
      </c>
      <c r="AP308" s="449">
        <f t="shared" si="268"/>
        <v>-3000</v>
      </c>
      <c r="AQ308" s="453">
        <f t="shared" si="269"/>
        <v>-1</v>
      </c>
      <c r="AR308" s="449">
        <f t="shared" si="270"/>
        <v>0</v>
      </c>
      <c r="AS308" s="449">
        <f t="shared" si="271"/>
        <v>0</v>
      </c>
      <c r="AT308" s="426">
        <f t="shared" si="272"/>
        <v>0</v>
      </c>
      <c r="AU308" s="421"/>
      <c r="AV308" s="449">
        <f t="shared" si="276"/>
        <v>0</v>
      </c>
      <c r="AW308" s="449">
        <f t="shared" si="276"/>
        <v>0</v>
      </c>
      <c r="AX308" s="449">
        <f t="shared" si="276"/>
        <v>0</v>
      </c>
      <c r="AY308" s="449">
        <f t="shared" si="275"/>
        <v>0</v>
      </c>
      <c r="AZ308" s="449">
        <f t="shared" si="275"/>
        <v>0</v>
      </c>
      <c r="BA308" s="449">
        <f t="shared" si="275"/>
        <v>0</v>
      </c>
      <c r="BB308" s="449">
        <f t="shared" si="275"/>
        <v>0</v>
      </c>
      <c r="BC308" s="449">
        <f t="shared" si="275"/>
        <v>0</v>
      </c>
      <c r="BD308" s="449">
        <f t="shared" si="275"/>
        <v>0</v>
      </c>
      <c r="BE308" s="449">
        <f t="shared" si="275"/>
        <v>0</v>
      </c>
      <c r="BF308" s="449">
        <f t="shared" si="275"/>
        <v>0</v>
      </c>
      <c r="BG308" s="449">
        <f t="shared" si="275"/>
        <v>0</v>
      </c>
      <c r="BH308" s="400"/>
      <c r="BI308" s="449">
        <v>0</v>
      </c>
      <c r="BJ308" s="449">
        <v>0</v>
      </c>
      <c r="BK308" s="449">
        <v>0</v>
      </c>
      <c r="BL308" s="449">
        <v>0</v>
      </c>
      <c r="BM308" s="449">
        <v>0</v>
      </c>
      <c r="BN308" s="449">
        <v>0</v>
      </c>
      <c r="BO308" s="449">
        <v>0</v>
      </c>
      <c r="BP308" s="449">
        <v>0</v>
      </c>
      <c r="BQ308" s="449">
        <v>0</v>
      </c>
      <c r="BR308" s="449">
        <v>0</v>
      </c>
      <c r="BS308" s="449">
        <v>0</v>
      </c>
      <c r="BT308" s="449">
        <v>0</v>
      </c>
    </row>
    <row r="309" spans="1:72" ht="15" x14ac:dyDescent="0.25">
      <c r="A309" s="502" t="s">
        <v>527</v>
      </c>
      <c r="B309" s="502" t="s">
        <v>528</v>
      </c>
      <c r="C309" s="630"/>
      <c r="D309" s="500">
        <f t="shared" si="259"/>
        <v>0</v>
      </c>
      <c r="E309" s="449">
        <v>0</v>
      </c>
      <c r="F309" s="449">
        <f t="shared" si="260"/>
        <v>0</v>
      </c>
      <c r="G309" s="421">
        <f t="shared" si="261"/>
        <v>0</v>
      </c>
      <c r="H309" s="449">
        <v>0</v>
      </c>
      <c r="I309" s="449">
        <f t="shared" si="262"/>
        <v>0</v>
      </c>
      <c r="J309" s="426">
        <f t="shared" si="263"/>
        <v>0</v>
      </c>
      <c r="K309" s="421"/>
      <c r="L309" s="449">
        <v>0</v>
      </c>
      <c r="M309" s="449">
        <v>0</v>
      </c>
      <c r="N309" s="449">
        <v>0</v>
      </c>
      <c r="O309" s="449">
        <v>0</v>
      </c>
      <c r="P309" s="449">
        <v>0</v>
      </c>
      <c r="Q309" s="449">
        <v>0</v>
      </c>
      <c r="R309" s="449">
        <f>($H309-SUM($L309:Q309))/R$694</f>
        <v>0</v>
      </c>
      <c r="S309" s="449">
        <f>($H309-SUM($L309:R309))/S$694</f>
        <v>0</v>
      </c>
      <c r="T309" s="449">
        <f>($H309-SUM($L309:S309))/T$694</f>
        <v>0</v>
      </c>
      <c r="U309" s="449">
        <f>($H309-SUM($L309:T309))/U$694</f>
        <v>0</v>
      </c>
      <c r="V309" s="449">
        <f>($H309-SUM($L309:U309))/V$694</f>
        <v>0</v>
      </c>
      <c r="W309" s="449">
        <f>($H309-SUM($L309:V309))/W$694</f>
        <v>0</v>
      </c>
      <c r="X309" s="449"/>
      <c r="Y309" s="449">
        <f t="shared" si="264"/>
        <v>0</v>
      </c>
      <c r="Z309" s="531"/>
      <c r="AA309" s="449">
        <f t="shared" si="277"/>
        <v>0</v>
      </c>
      <c r="AB309" s="449">
        <f t="shared" si="277"/>
        <v>0</v>
      </c>
      <c r="AC309" s="449">
        <f t="shared" si="277"/>
        <v>0</v>
      </c>
      <c r="AD309" s="449">
        <f t="shared" si="277"/>
        <v>0</v>
      </c>
      <c r="AE309" s="449">
        <f t="shared" si="277"/>
        <v>0</v>
      </c>
      <c r="AF309" s="449">
        <f t="shared" si="277"/>
        <v>0</v>
      </c>
      <c r="AG309" s="449">
        <f t="shared" si="277"/>
        <v>0</v>
      </c>
      <c r="AH309" s="449">
        <f t="shared" si="277"/>
        <v>0</v>
      </c>
      <c r="AI309" s="449">
        <f t="shared" si="277"/>
        <v>0</v>
      </c>
      <c r="AJ309" s="449">
        <f t="shared" si="277"/>
        <v>0</v>
      </c>
      <c r="AK309" s="449">
        <f t="shared" si="277"/>
        <v>0</v>
      </c>
      <c r="AL309" s="449">
        <f t="shared" si="277"/>
        <v>0</v>
      </c>
      <c r="AN309" s="500">
        <f t="shared" si="278"/>
        <v>0</v>
      </c>
      <c r="AO309" s="449">
        <f t="shared" si="267"/>
        <v>6000</v>
      </c>
      <c r="AP309" s="449">
        <f t="shared" si="268"/>
        <v>6000</v>
      </c>
      <c r="AQ309" s="453" t="str">
        <f t="shared" si="269"/>
        <v>-</v>
      </c>
      <c r="AR309" s="449">
        <f t="shared" si="270"/>
        <v>6000</v>
      </c>
      <c r="AS309" s="449">
        <f t="shared" si="271"/>
        <v>0</v>
      </c>
      <c r="AT309" s="426">
        <f t="shared" si="272"/>
        <v>0</v>
      </c>
      <c r="AU309" s="421"/>
      <c r="AV309" s="449">
        <f t="shared" si="276"/>
        <v>0</v>
      </c>
      <c r="AW309" s="449">
        <f t="shared" si="276"/>
        <v>0</v>
      </c>
      <c r="AX309" s="449">
        <f t="shared" si="276"/>
        <v>0</v>
      </c>
      <c r="AY309" s="449">
        <f t="shared" si="275"/>
        <v>6000</v>
      </c>
      <c r="AZ309" s="449">
        <f t="shared" si="275"/>
        <v>0</v>
      </c>
      <c r="BA309" s="449">
        <f t="shared" si="275"/>
        <v>0</v>
      </c>
      <c r="BB309" s="449">
        <f t="shared" si="275"/>
        <v>0</v>
      </c>
      <c r="BC309" s="449">
        <f t="shared" si="275"/>
        <v>0</v>
      </c>
      <c r="BD309" s="449">
        <f t="shared" si="275"/>
        <v>0</v>
      </c>
      <c r="BE309" s="449">
        <f t="shared" si="275"/>
        <v>0</v>
      </c>
      <c r="BF309" s="449">
        <f t="shared" si="275"/>
        <v>0</v>
      </c>
      <c r="BG309" s="449">
        <f t="shared" si="275"/>
        <v>0</v>
      </c>
      <c r="BH309" s="400"/>
      <c r="BI309" s="449">
        <v>0</v>
      </c>
      <c r="BJ309" s="449">
        <v>0</v>
      </c>
      <c r="BK309" s="449">
        <v>0</v>
      </c>
      <c r="BL309" s="449">
        <f>SUM('FY19 Staffing V1-1 (3)'!$J$247:$J$248)</f>
        <v>6000</v>
      </c>
      <c r="BM309" s="449">
        <v>0</v>
      </c>
      <c r="BN309" s="449">
        <v>0</v>
      </c>
      <c r="BO309" s="449">
        <v>0</v>
      </c>
      <c r="BP309" s="449">
        <v>0</v>
      </c>
      <c r="BQ309" s="449">
        <v>0</v>
      </c>
      <c r="BR309" s="449">
        <v>0</v>
      </c>
      <c r="BS309" s="449">
        <v>0</v>
      </c>
      <c r="BT309" s="449">
        <v>0</v>
      </c>
    </row>
    <row r="310" spans="1:72" ht="15" hidden="1" x14ac:dyDescent="0.25">
      <c r="A310" s="502" t="s">
        <v>529</v>
      </c>
      <c r="B310" s="502" t="s">
        <v>530</v>
      </c>
      <c r="C310" s="541"/>
      <c r="D310" s="500">
        <f t="shared" si="259"/>
        <v>0</v>
      </c>
      <c r="E310" s="449">
        <v>0</v>
      </c>
      <c r="F310" s="449">
        <f t="shared" si="260"/>
        <v>0</v>
      </c>
      <c r="G310" s="421">
        <f t="shared" si="261"/>
        <v>0</v>
      </c>
      <c r="H310" s="449">
        <v>0</v>
      </c>
      <c r="I310" s="449">
        <f t="shared" si="262"/>
        <v>0</v>
      </c>
      <c r="J310" s="426">
        <f t="shared" si="263"/>
        <v>0</v>
      </c>
      <c r="K310" s="421"/>
      <c r="L310" s="449">
        <v>0</v>
      </c>
      <c r="M310" s="449">
        <v>0</v>
      </c>
      <c r="N310" s="449">
        <v>0</v>
      </c>
      <c r="O310" s="449">
        <v>0</v>
      </c>
      <c r="P310" s="449">
        <v>0</v>
      </c>
      <c r="Q310" s="449">
        <v>0</v>
      </c>
      <c r="R310" s="449">
        <f>($H310-SUM($L310:Q310))/R$694</f>
        <v>0</v>
      </c>
      <c r="S310" s="449">
        <f>($H310-SUM($L310:R310))/S$694</f>
        <v>0</v>
      </c>
      <c r="T310" s="449">
        <f>($H310-SUM($L310:S310))/T$694</f>
        <v>0</v>
      </c>
      <c r="U310" s="449">
        <f>($H310-SUM($L310:T310))/U$694</f>
        <v>0</v>
      </c>
      <c r="V310" s="449">
        <f>($H310-SUM($L310:U310))/V$694</f>
        <v>0</v>
      </c>
      <c r="W310" s="449">
        <f>($H310-SUM($L310:V310))/W$694</f>
        <v>0</v>
      </c>
      <c r="X310" s="449"/>
      <c r="Y310" s="449">
        <f t="shared" si="264"/>
        <v>0</v>
      </c>
      <c r="Z310" s="531"/>
      <c r="AA310" s="449">
        <f t="shared" si="277"/>
        <v>0</v>
      </c>
      <c r="AB310" s="449">
        <f t="shared" si="277"/>
        <v>0</v>
      </c>
      <c r="AC310" s="449">
        <f t="shared" si="277"/>
        <v>0</v>
      </c>
      <c r="AD310" s="449">
        <f t="shared" si="277"/>
        <v>0</v>
      </c>
      <c r="AE310" s="449">
        <f t="shared" si="277"/>
        <v>0</v>
      </c>
      <c r="AF310" s="449">
        <f t="shared" si="277"/>
        <v>0</v>
      </c>
      <c r="AG310" s="449">
        <f t="shared" si="277"/>
        <v>0</v>
      </c>
      <c r="AH310" s="449">
        <f t="shared" si="277"/>
        <v>0</v>
      </c>
      <c r="AI310" s="449">
        <f t="shared" si="277"/>
        <v>0</v>
      </c>
      <c r="AJ310" s="449">
        <f t="shared" si="277"/>
        <v>0</v>
      </c>
      <c r="AK310" s="449">
        <f t="shared" si="277"/>
        <v>0</v>
      </c>
      <c r="AL310" s="449">
        <f t="shared" si="277"/>
        <v>0</v>
      </c>
      <c r="AN310" s="500">
        <f t="shared" si="278"/>
        <v>0</v>
      </c>
      <c r="AO310" s="449">
        <f t="shared" si="267"/>
        <v>0</v>
      </c>
      <c r="AP310" s="449">
        <f t="shared" si="268"/>
        <v>0</v>
      </c>
      <c r="AQ310" s="453" t="str">
        <f t="shared" si="269"/>
        <v>-</v>
      </c>
      <c r="AR310" s="449">
        <f t="shared" si="270"/>
        <v>0</v>
      </c>
      <c r="AS310" s="449">
        <f t="shared" si="271"/>
        <v>0</v>
      </c>
      <c r="AT310" s="426">
        <f t="shared" si="272"/>
        <v>0</v>
      </c>
      <c r="AU310" s="421"/>
      <c r="AV310" s="449">
        <f t="shared" si="276"/>
        <v>0</v>
      </c>
      <c r="AW310" s="449">
        <f t="shared" si="276"/>
        <v>0</v>
      </c>
      <c r="AX310" s="449">
        <f t="shared" si="276"/>
        <v>0</v>
      </c>
      <c r="AY310" s="449">
        <f t="shared" si="275"/>
        <v>0</v>
      </c>
      <c r="AZ310" s="449">
        <f t="shared" si="275"/>
        <v>0</v>
      </c>
      <c r="BA310" s="449">
        <f t="shared" si="275"/>
        <v>0</v>
      </c>
      <c r="BB310" s="449">
        <f t="shared" si="275"/>
        <v>0</v>
      </c>
      <c r="BC310" s="449">
        <f t="shared" si="275"/>
        <v>0</v>
      </c>
      <c r="BD310" s="449">
        <f t="shared" si="275"/>
        <v>0</v>
      </c>
      <c r="BE310" s="449">
        <f t="shared" si="275"/>
        <v>0</v>
      </c>
      <c r="BF310" s="449">
        <f t="shared" si="275"/>
        <v>0</v>
      </c>
      <c r="BG310" s="449">
        <f t="shared" si="275"/>
        <v>0</v>
      </c>
      <c r="BH310" s="400"/>
      <c r="BI310" s="449">
        <v>0</v>
      </c>
      <c r="BJ310" s="449">
        <v>0</v>
      </c>
      <c r="BK310" s="449">
        <v>0</v>
      </c>
      <c r="BL310" s="449">
        <v>0</v>
      </c>
      <c r="BM310" s="449">
        <v>0</v>
      </c>
      <c r="BN310" s="449">
        <v>0</v>
      </c>
      <c r="BO310" s="449">
        <v>0</v>
      </c>
      <c r="BP310" s="449">
        <v>0</v>
      </c>
      <c r="BQ310" s="449">
        <v>0</v>
      </c>
      <c r="BR310" s="449">
        <v>0</v>
      </c>
      <c r="BS310" s="449">
        <v>0</v>
      </c>
      <c r="BT310" s="449">
        <v>0</v>
      </c>
    </row>
    <row r="311" spans="1:72" ht="15" hidden="1" x14ac:dyDescent="0.25">
      <c r="A311" s="616" t="s">
        <v>531</v>
      </c>
      <c r="B311" s="614" t="s">
        <v>532</v>
      </c>
      <c r="C311" s="541"/>
      <c r="D311" s="500">
        <f t="shared" si="259"/>
        <v>10385</v>
      </c>
      <c r="E311" s="449">
        <v>8874</v>
      </c>
      <c r="F311" s="449">
        <f t="shared" si="260"/>
        <v>1511</v>
      </c>
      <c r="G311" s="421">
        <f t="shared" si="261"/>
        <v>0.17027270678386297</v>
      </c>
      <c r="H311" s="449">
        <v>10385</v>
      </c>
      <c r="I311" s="449">
        <f t="shared" si="262"/>
        <v>0</v>
      </c>
      <c r="J311" s="426">
        <f t="shared" si="263"/>
        <v>0</v>
      </c>
      <c r="K311" s="421"/>
      <c r="L311" s="449">
        <v>11.67</v>
      </c>
      <c r="M311" s="449">
        <v>1162.25</v>
      </c>
      <c r="N311" s="449">
        <v>184.42999999999984</v>
      </c>
      <c r="O311" s="449">
        <v>754.31</v>
      </c>
      <c r="P311" s="449">
        <v>236.86000000000013</v>
      </c>
      <c r="Q311" s="449">
        <v>525.57000000000016</v>
      </c>
      <c r="R311" s="449">
        <f>($H311-SUM($L311:Q311))/R$694</f>
        <v>1251.6516666666666</v>
      </c>
      <c r="S311" s="449">
        <f>($H311-SUM($L311:R311))/S$694</f>
        <v>1251.6516666666666</v>
      </c>
      <c r="T311" s="449">
        <f>($H311-SUM($L311:S311))/T$694</f>
        <v>1251.6516666666666</v>
      </c>
      <c r="U311" s="449">
        <f>($H311-SUM($L311:T311))/U$694</f>
        <v>1251.6516666666666</v>
      </c>
      <c r="V311" s="449">
        <f>($H311-SUM($L311:U311))/V$694</f>
        <v>1251.6516666666666</v>
      </c>
      <c r="W311" s="449">
        <f>($H311-SUM($L311:V311))/W$694</f>
        <v>1251.6516666666666</v>
      </c>
      <c r="X311" s="449"/>
      <c r="Y311" s="449">
        <f t="shared" si="264"/>
        <v>10385</v>
      </c>
      <c r="Z311" s="531"/>
      <c r="AA311" s="449">
        <f t="shared" si="277"/>
        <v>865.41666666666663</v>
      </c>
      <c r="AB311" s="449">
        <f t="shared" si="277"/>
        <v>865.41666666666663</v>
      </c>
      <c r="AC311" s="449">
        <f t="shared" si="277"/>
        <v>865.41666666666663</v>
      </c>
      <c r="AD311" s="449">
        <f t="shared" si="277"/>
        <v>865.41666666666663</v>
      </c>
      <c r="AE311" s="449">
        <f t="shared" si="277"/>
        <v>865.41666666666663</v>
      </c>
      <c r="AF311" s="449">
        <f t="shared" si="277"/>
        <v>865.41666666666663</v>
      </c>
      <c r="AG311" s="449">
        <f t="shared" si="277"/>
        <v>865.41666666666663</v>
      </c>
      <c r="AH311" s="449">
        <f t="shared" si="277"/>
        <v>865.41666666666663</v>
      </c>
      <c r="AI311" s="449">
        <f t="shared" si="277"/>
        <v>865.41666666666663</v>
      </c>
      <c r="AJ311" s="449">
        <f t="shared" si="277"/>
        <v>865.41666666666663</v>
      </c>
      <c r="AK311" s="449">
        <f t="shared" si="277"/>
        <v>865.41666666666663</v>
      </c>
      <c r="AL311" s="449">
        <f t="shared" si="277"/>
        <v>865.41666666666663</v>
      </c>
      <c r="AN311" s="500">
        <f t="shared" si="278"/>
        <v>10385</v>
      </c>
      <c r="AO311" s="449">
        <f t="shared" si="267"/>
        <v>0</v>
      </c>
      <c r="AP311" s="449">
        <f t="shared" si="268"/>
        <v>-10385</v>
      </c>
      <c r="AQ311" s="453">
        <f t="shared" si="269"/>
        <v>-1</v>
      </c>
      <c r="AR311" s="449">
        <f t="shared" si="270"/>
        <v>0</v>
      </c>
      <c r="AS311" s="449">
        <f t="shared" si="271"/>
        <v>0</v>
      </c>
      <c r="AT311" s="426">
        <f t="shared" si="272"/>
        <v>0</v>
      </c>
      <c r="AU311" s="421"/>
      <c r="AV311" s="449">
        <f t="shared" si="276"/>
        <v>0</v>
      </c>
      <c r="AW311" s="449">
        <f t="shared" si="276"/>
        <v>0</v>
      </c>
      <c r="AX311" s="449">
        <f t="shared" si="276"/>
        <v>0</v>
      </c>
      <c r="AY311" s="449">
        <f t="shared" si="275"/>
        <v>0</v>
      </c>
      <c r="AZ311" s="449">
        <f t="shared" si="275"/>
        <v>0</v>
      </c>
      <c r="BA311" s="449">
        <f t="shared" si="275"/>
        <v>0</v>
      </c>
      <c r="BB311" s="449">
        <f t="shared" si="275"/>
        <v>0</v>
      </c>
      <c r="BC311" s="449">
        <f t="shared" si="275"/>
        <v>0</v>
      </c>
      <c r="BD311" s="449">
        <f t="shared" si="275"/>
        <v>0</v>
      </c>
      <c r="BE311" s="449">
        <f t="shared" si="275"/>
        <v>0</v>
      </c>
      <c r="BF311" s="449">
        <f t="shared" si="275"/>
        <v>0</v>
      </c>
      <c r="BG311" s="449">
        <f t="shared" si="275"/>
        <v>0</v>
      </c>
      <c r="BH311" s="400"/>
      <c r="BI311" s="449">
        <v>0</v>
      </c>
      <c r="BJ311" s="449">
        <v>0</v>
      </c>
      <c r="BK311" s="449">
        <v>0</v>
      </c>
      <c r="BL311" s="449">
        <v>0</v>
      </c>
      <c r="BM311" s="449">
        <v>0</v>
      </c>
      <c r="BN311" s="449">
        <v>0</v>
      </c>
      <c r="BO311" s="449">
        <v>0</v>
      </c>
      <c r="BP311" s="449">
        <v>0</v>
      </c>
      <c r="BQ311" s="449">
        <v>0</v>
      </c>
      <c r="BR311" s="449">
        <v>0</v>
      </c>
      <c r="BS311" s="449">
        <v>0</v>
      </c>
      <c r="BT311" s="449">
        <v>0</v>
      </c>
    </row>
    <row r="312" spans="1:72" ht="15" x14ac:dyDescent="0.25">
      <c r="A312" s="502" t="s">
        <v>533</v>
      </c>
      <c r="B312" s="502" t="s">
        <v>534</v>
      </c>
      <c r="C312" s="541"/>
      <c r="D312" s="500">
        <f t="shared" si="259"/>
        <v>9326</v>
      </c>
      <c r="E312" s="449">
        <v>12383</v>
      </c>
      <c r="F312" s="449">
        <f t="shared" si="260"/>
        <v>-3057</v>
      </c>
      <c r="G312" s="421">
        <f t="shared" si="261"/>
        <v>-0.24687070984414117</v>
      </c>
      <c r="H312" s="449">
        <v>9326</v>
      </c>
      <c r="I312" s="449">
        <f t="shared" si="262"/>
        <v>0</v>
      </c>
      <c r="J312" s="426">
        <f t="shared" si="263"/>
        <v>0</v>
      </c>
      <c r="K312" s="421"/>
      <c r="L312" s="449">
        <v>2.94</v>
      </c>
      <c r="M312" s="449">
        <v>0</v>
      </c>
      <c r="N312" s="449">
        <v>0</v>
      </c>
      <c r="O312" s="449">
        <v>93.460000000000008</v>
      </c>
      <c r="P312" s="449">
        <v>55.639999999999986</v>
      </c>
      <c r="Q312" s="449">
        <v>55.640000000000015</v>
      </c>
      <c r="R312" s="449">
        <f>($H312-SUM($L312:Q312))/R$694</f>
        <v>1519.72</v>
      </c>
      <c r="S312" s="449">
        <f>($H312-SUM($L312:R312))/S$694</f>
        <v>1519.72</v>
      </c>
      <c r="T312" s="449">
        <f>($H312-SUM($L312:S312))/T$694</f>
        <v>1519.72</v>
      </c>
      <c r="U312" s="449">
        <f>($H312-SUM($L312:T312))/U$694</f>
        <v>1519.72</v>
      </c>
      <c r="V312" s="449">
        <f>($H312-SUM($L312:U312))/V$694</f>
        <v>1519.7199999999998</v>
      </c>
      <c r="W312" s="449">
        <f>($H312-SUM($L312:V312))/W$694</f>
        <v>1519.7199999999993</v>
      </c>
      <c r="X312" s="449"/>
      <c r="Y312" s="449">
        <f t="shared" si="264"/>
        <v>9326</v>
      </c>
      <c r="Z312" s="531"/>
      <c r="AA312" s="449">
        <f t="shared" si="277"/>
        <v>777.16666666666663</v>
      </c>
      <c r="AB312" s="449">
        <f t="shared" si="277"/>
        <v>777.16666666666663</v>
      </c>
      <c r="AC312" s="449">
        <f t="shared" si="277"/>
        <v>777.16666666666663</v>
      </c>
      <c r="AD312" s="449">
        <f t="shared" si="277"/>
        <v>777.16666666666663</v>
      </c>
      <c r="AE312" s="449">
        <f t="shared" si="277"/>
        <v>777.16666666666663</v>
      </c>
      <c r="AF312" s="449">
        <f t="shared" si="277"/>
        <v>777.16666666666663</v>
      </c>
      <c r="AG312" s="449">
        <f t="shared" si="277"/>
        <v>777.16666666666663</v>
      </c>
      <c r="AH312" s="449">
        <f t="shared" si="277"/>
        <v>777.16666666666663</v>
      </c>
      <c r="AI312" s="449">
        <f t="shared" si="277"/>
        <v>777.16666666666663</v>
      </c>
      <c r="AJ312" s="449">
        <f t="shared" si="277"/>
        <v>777.16666666666663</v>
      </c>
      <c r="AK312" s="449">
        <f t="shared" si="277"/>
        <v>777.16666666666663</v>
      </c>
      <c r="AL312" s="449">
        <f t="shared" si="277"/>
        <v>777.16666666666663</v>
      </c>
      <c r="AN312" s="500">
        <f t="shared" si="278"/>
        <v>9326</v>
      </c>
      <c r="AO312" s="449">
        <f t="shared" si="267"/>
        <v>9972.1999999999989</v>
      </c>
      <c r="AP312" s="449">
        <f t="shared" si="268"/>
        <v>646.19999999999891</v>
      </c>
      <c r="AQ312" s="453">
        <f t="shared" si="269"/>
        <v>6.9290156551576124E-2</v>
      </c>
      <c r="AR312" s="449">
        <f t="shared" si="270"/>
        <v>9972.1999999999989</v>
      </c>
      <c r="AS312" s="449">
        <f t="shared" si="271"/>
        <v>0</v>
      </c>
      <c r="AT312" s="426">
        <f t="shared" si="272"/>
        <v>0</v>
      </c>
      <c r="AU312" s="421"/>
      <c r="AV312" s="449">
        <f t="shared" si="276"/>
        <v>831.01666666666677</v>
      </c>
      <c r="AW312" s="449">
        <f t="shared" si="276"/>
        <v>831.01666666666677</v>
      </c>
      <c r="AX312" s="449">
        <f t="shared" si="276"/>
        <v>831.01666666666677</v>
      </c>
      <c r="AY312" s="449">
        <f t="shared" si="275"/>
        <v>831.01666666666677</v>
      </c>
      <c r="AZ312" s="449">
        <f t="shared" si="275"/>
        <v>831.01666666666677</v>
      </c>
      <c r="BA312" s="449">
        <f t="shared" si="275"/>
        <v>831.01666666666677</v>
      </c>
      <c r="BB312" s="449">
        <f t="shared" si="275"/>
        <v>831.01666666666677</v>
      </c>
      <c r="BC312" s="449">
        <f t="shared" si="275"/>
        <v>831.01666666666677</v>
      </c>
      <c r="BD312" s="449">
        <f t="shared" si="275"/>
        <v>831.01666666666677</v>
      </c>
      <c r="BE312" s="449">
        <f t="shared" si="275"/>
        <v>831.01666666666677</v>
      </c>
      <c r="BF312" s="449">
        <f t="shared" si="275"/>
        <v>831.01666666666677</v>
      </c>
      <c r="BG312" s="449">
        <f t="shared" si="275"/>
        <v>831.01666666666677</v>
      </c>
      <c r="BH312" s="400"/>
      <c r="BI312" s="449">
        <f>SUM('FY19 Staffing V1-1 (3)'!$Q$247:$R$248,'FY19 Staffing V1-1 (3)'!$T$247:$U$248)/12</f>
        <v>831.01666666666677</v>
      </c>
      <c r="BJ312" s="449">
        <f>SUM('FY19 Staffing V1-1 (3)'!$Q$247:$R$248,'FY19 Staffing V1-1 (3)'!$T$247:$U$248)/12</f>
        <v>831.01666666666677</v>
      </c>
      <c r="BK312" s="449">
        <f>SUM('FY19 Staffing V1-1 (3)'!$Q$247:$R$248,'FY19 Staffing V1-1 (3)'!$T$247:$U$248)/12</f>
        <v>831.01666666666677</v>
      </c>
      <c r="BL312" s="449">
        <f>SUM('FY19 Staffing V1-1 (3)'!$Q$247:$R$248,'FY19 Staffing V1-1 (3)'!$T$247:$U$248)/12</f>
        <v>831.01666666666677</v>
      </c>
      <c r="BM312" s="449">
        <f>SUM('FY19 Staffing V1-1 (3)'!$Q$247:$R$248,'FY19 Staffing V1-1 (3)'!$T$247:$U$248)/12</f>
        <v>831.01666666666677</v>
      </c>
      <c r="BN312" s="449">
        <f>SUM('FY19 Staffing V1-1 (3)'!$Q$247:$R$248,'FY19 Staffing V1-1 (3)'!$T$247:$U$248)/12</f>
        <v>831.01666666666677</v>
      </c>
      <c r="BO312" s="449">
        <f>SUM('FY19 Staffing V1-1 (3)'!$Q$247:$R$248,'FY19 Staffing V1-1 (3)'!$T$247:$U$248)/12</f>
        <v>831.01666666666677</v>
      </c>
      <c r="BP312" s="449">
        <f>SUM('FY19 Staffing V1-1 (3)'!$Q$247:$R$248,'FY19 Staffing V1-1 (3)'!$T$247:$U$248)/12</f>
        <v>831.01666666666677</v>
      </c>
      <c r="BQ312" s="449">
        <f>SUM('FY19 Staffing V1-1 (3)'!$Q$247:$R$248,'FY19 Staffing V1-1 (3)'!$T$247:$U$248)/12</f>
        <v>831.01666666666677</v>
      </c>
      <c r="BR312" s="449">
        <f>SUM('FY19 Staffing V1-1 (3)'!$Q$247:$R$248,'FY19 Staffing V1-1 (3)'!$T$247:$U$248)/12</f>
        <v>831.01666666666677</v>
      </c>
      <c r="BS312" s="449">
        <f>SUM('FY19 Staffing V1-1 (3)'!$Q$247:$R$248,'FY19 Staffing V1-1 (3)'!$T$247:$U$248)/12</f>
        <v>831.01666666666677</v>
      </c>
      <c r="BT312" s="449">
        <f>SUM('FY19 Staffing V1-1 (3)'!$Q$247:$R$248,'FY19 Staffing V1-1 (3)'!$T$247:$U$248)/12</f>
        <v>831.01666666666677</v>
      </c>
    </row>
    <row r="313" spans="1:72" ht="15" hidden="1" x14ac:dyDescent="0.25">
      <c r="A313" s="616" t="s">
        <v>535</v>
      </c>
      <c r="B313" s="614" t="s">
        <v>536</v>
      </c>
      <c r="C313" s="541"/>
      <c r="D313" s="500">
        <f t="shared" si="259"/>
        <v>9860</v>
      </c>
      <c r="E313" s="449">
        <v>1860</v>
      </c>
      <c r="F313" s="449">
        <f t="shared" si="260"/>
        <v>8000</v>
      </c>
      <c r="G313" s="421">
        <f t="shared" si="261"/>
        <v>4.301075268817204</v>
      </c>
      <c r="H313" s="449">
        <f>1860+8000</f>
        <v>9860</v>
      </c>
      <c r="I313" s="449">
        <f t="shared" si="262"/>
        <v>0</v>
      </c>
      <c r="J313" s="426">
        <f t="shared" si="263"/>
        <v>0</v>
      </c>
      <c r="K313" s="421"/>
      <c r="L313" s="449">
        <v>8.5399999999999991</v>
      </c>
      <c r="M313" s="449">
        <v>187.34</v>
      </c>
      <c r="N313" s="449">
        <v>306.74</v>
      </c>
      <c r="O313" s="449">
        <v>2707.4</v>
      </c>
      <c r="P313" s="449">
        <v>828.40000000000009</v>
      </c>
      <c r="Q313" s="449">
        <v>685.47000000000025</v>
      </c>
      <c r="R313" s="449">
        <f>($H313-SUM($L313:Q313))/R$694</f>
        <v>856.01833333333332</v>
      </c>
      <c r="S313" s="449">
        <f>($H313-SUM($L313:R313))/S$694</f>
        <v>856.0183333333332</v>
      </c>
      <c r="T313" s="449">
        <f>($H313-SUM($L313:S313))/T$694</f>
        <v>856.0183333333332</v>
      </c>
      <c r="U313" s="449">
        <f>($H313-SUM($L313:T313))/U$694</f>
        <v>856.01833333333309</v>
      </c>
      <c r="V313" s="449">
        <f>($H313-SUM($L313:U313))/V$694</f>
        <v>856.01833333333298</v>
      </c>
      <c r="W313" s="449">
        <f>($H313-SUM($L313:V313))/W$694</f>
        <v>856.01833333333343</v>
      </c>
      <c r="X313" s="449"/>
      <c r="Y313" s="449">
        <f t="shared" si="264"/>
        <v>9860</v>
      </c>
      <c r="Z313" s="531"/>
      <c r="AA313" s="449">
        <f t="shared" si="277"/>
        <v>821.66666666666663</v>
      </c>
      <c r="AB313" s="449">
        <f t="shared" si="277"/>
        <v>821.66666666666663</v>
      </c>
      <c r="AC313" s="449">
        <f t="shared" si="277"/>
        <v>821.66666666666663</v>
      </c>
      <c r="AD313" s="449">
        <f t="shared" si="277"/>
        <v>821.66666666666663</v>
      </c>
      <c r="AE313" s="449">
        <f t="shared" si="277"/>
        <v>821.66666666666663</v>
      </c>
      <c r="AF313" s="449">
        <f t="shared" si="277"/>
        <v>821.66666666666663</v>
      </c>
      <c r="AG313" s="449">
        <f t="shared" si="277"/>
        <v>821.66666666666663</v>
      </c>
      <c r="AH313" s="449">
        <f t="shared" si="277"/>
        <v>821.66666666666663</v>
      </c>
      <c r="AI313" s="449">
        <f t="shared" si="277"/>
        <v>821.66666666666663</v>
      </c>
      <c r="AJ313" s="449">
        <f t="shared" si="277"/>
        <v>821.66666666666663</v>
      </c>
      <c r="AK313" s="449">
        <f t="shared" si="277"/>
        <v>821.66666666666663</v>
      </c>
      <c r="AL313" s="449">
        <f t="shared" si="277"/>
        <v>821.66666666666663</v>
      </c>
      <c r="AN313" s="500">
        <f t="shared" si="278"/>
        <v>9860</v>
      </c>
      <c r="AO313" s="449">
        <f t="shared" si="267"/>
        <v>0</v>
      </c>
      <c r="AP313" s="449">
        <f t="shared" si="268"/>
        <v>-9860</v>
      </c>
      <c r="AQ313" s="453">
        <f t="shared" si="269"/>
        <v>-1</v>
      </c>
      <c r="AR313" s="449">
        <f t="shared" si="270"/>
        <v>0</v>
      </c>
      <c r="AS313" s="449">
        <f t="shared" si="271"/>
        <v>0</v>
      </c>
      <c r="AT313" s="426">
        <f t="shared" si="272"/>
        <v>0</v>
      </c>
      <c r="AU313" s="421"/>
      <c r="AV313" s="449">
        <f t="shared" si="276"/>
        <v>0</v>
      </c>
      <c r="AW313" s="449">
        <f t="shared" si="276"/>
        <v>0</v>
      </c>
      <c r="AX313" s="449">
        <f t="shared" si="276"/>
        <v>0</v>
      </c>
      <c r="AY313" s="449">
        <f t="shared" si="275"/>
        <v>0</v>
      </c>
      <c r="AZ313" s="449">
        <f t="shared" si="275"/>
        <v>0</v>
      </c>
      <c r="BA313" s="449">
        <f t="shared" si="275"/>
        <v>0</v>
      </c>
      <c r="BB313" s="449">
        <f t="shared" si="275"/>
        <v>0</v>
      </c>
      <c r="BC313" s="449">
        <f t="shared" si="275"/>
        <v>0</v>
      </c>
      <c r="BD313" s="449">
        <f t="shared" si="275"/>
        <v>0</v>
      </c>
      <c r="BE313" s="449">
        <f t="shared" si="275"/>
        <v>0</v>
      </c>
      <c r="BF313" s="449">
        <f t="shared" si="275"/>
        <v>0</v>
      </c>
      <c r="BG313" s="449">
        <f t="shared" si="275"/>
        <v>0</v>
      </c>
      <c r="BH313" s="400"/>
      <c r="BI313" s="449">
        <v>0</v>
      </c>
      <c r="BJ313" s="449">
        <v>0</v>
      </c>
      <c r="BK313" s="449">
        <v>0</v>
      </c>
      <c r="BL313" s="449">
        <v>0</v>
      </c>
      <c r="BM313" s="449">
        <v>0</v>
      </c>
      <c r="BN313" s="449">
        <v>0</v>
      </c>
      <c r="BO313" s="449">
        <v>0</v>
      </c>
      <c r="BP313" s="449">
        <v>0</v>
      </c>
      <c r="BQ313" s="449">
        <v>0</v>
      </c>
      <c r="BR313" s="449">
        <v>0</v>
      </c>
      <c r="BS313" s="449">
        <v>0</v>
      </c>
      <c r="BT313" s="449">
        <v>0</v>
      </c>
    </row>
    <row r="314" spans="1:72" ht="15" x14ac:dyDescent="0.25">
      <c r="A314" s="502" t="s">
        <v>537</v>
      </c>
      <c r="B314" s="502" t="s">
        <v>538</v>
      </c>
      <c r="C314" s="541"/>
      <c r="D314" s="500">
        <f t="shared" si="259"/>
        <v>1176</v>
      </c>
      <c r="E314" s="449">
        <v>12502</v>
      </c>
      <c r="F314" s="449">
        <f t="shared" si="260"/>
        <v>-11326</v>
      </c>
      <c r="G314" s="421">
        <f t="shared" si="261"/>
        <v>-0.90593505039193734</v>
      </c>
      <c r="H314" s="449">
        <f>9176-8000</f>
        <v>1176</v>
      </c>
      <c r="I314" s="449">
        <f t="shared" si="262"/>
        <v>0</v>
      </c>
      <c r="J314" s="426">
        <f t="shared" si="263"/>
        <v>0</v>
      </c>
      <c r="K314" s="421"/>
      <c r="L314" s="449">
        <v>13.45</v>
      </c>
      <c r="M314" s="449">
        <v>256.25</v>
      </c>
      <c r="N314" s="449">
        <v>419.57</v>
      </c>
      <c r="O314" s="449">
        <v>-703.89</v>
      </c>
      <c r="P314" s="449">
        <v>5.3290705182007514E-15</v>
      </c>
      <c r="Q314" s="449">
        <v>28.07</v>
      </c>
      <c r="R314" s="449">
        <f>($H314-SUM($L314:Q314))/R$694</f>
        <v>193.75833333333333</v>
      </c>
      <c r="S314" s="449">
        <f>($H314-SUM($L314:R314))/S$694</f>
        <v>193.75833333333335</v>
      </c>
      <c r="T314" s="449">
        <f>($H314-SUM($L314:S314))/T$694</f>
        <v>193.75833333333333</v>
      </c>
      <c r="U314" s="449">
        <f>($H314-SUM($L314:T314))/U$694</f>
        <v>193.75833333333333</v>
      </c>
      <c r="V314" s="449">
        <f>($H314-SUM($L314:U314))/V$694</f>
        <v>193.75833333333333</v>
      </c>
      <c r="W314" s="449">
        <f>($H314-SUM($L314:V314))/W$694</f>
        <v>193.75833333333333</v>
      </c>
      <c r="X314" s="449"/>
      <c r="Y314" s="449">
        <f t="shared" si="264"/>
        <v>1176</v>
      </c>
      <c r="Z314" s="531"/>
      <c r="AA314" s="449">
        <f t="shared" si="277"/>
        <v>98</v>
      </c>
      <c r="AB314" s="449">
        <f t="shared" si="277"/>
        <v>98</v>
      </c>
      <c r="AC314" s="449">
        <f t="shared" si="277"/>
        <v>98</v>
      </c>
      <c r="AD314" s="449">
        <f t="shared" si="277"/>
        <v>98</v>
      </c>
      <c r="AE314" s="449">
        <f t="shared" si="277"/>
        <v>98</v>
      </c>
      <c r="AF314" s="449">
        <f t="shared" si="277"/>
        <v>98</v>
      </c>
      <c r="AG314" s="449">
        <f t="shared" si="277"/>
        <v>98</v>
      </c>
      <c r="AH314" s="449">
        <f t="shared" si="277"/>
        <v>98</v>
      </c>
      <c r="AI314" s="449">
        <f t="shared" si="277"/>
        <v>98</v>
      </c>
      <c r="AJ314" s="449">
        <f t="shared" si="277"/>
        <v>98</v>
      </c>
      <c r="AK314" s="449">
        <f t="shared" si="277"/>
        <v>98</v>
      </c>
      <c r="AL314" s="449">
        <f t="shared" si="277"/>
        <v>98</v>
      </c>
      <c r="AN314" s="500">
        <f t="shared" si="278"/>
        <v>1176</v>
      </c>
      <c r="AO314" s="449">
        <f t="shared" si="267"/>
        <v>13425.201692000002</v>
      </c>
      <c r="AP314" s="449">
        <f t="shared" si="268"/>
        <v>12249.201692000002</v>
      </c>
      <c r="AQ314" s="453">
        <f t="shared" si="269"/>
        <v>10.415987833333336</v>
      </c>
      <c r="AR314" s="449">
        <f t="shared" si="270"/>
        <v>13425.201692000002</v>
      </c>
      <c r="AS314" s="449">
        <f t="shared" si="271"/>
        <v>0</v>
      </c>
      <c r="AT314" s="426">
        <f t="shared" si="272"/>
        <v>0</v>
      </c>
      <c r="AU314" s="421"/>
      <c r="AV314" s="449">
        <f t="shared" si="276"/>
        <v>1118.7668076666669</v>
      </c>
      <c r="AW314" s="449">
        <f t="shared" si="276"/>
        <v>1118.7668076666669</v>
      </c>
      <c r="AX314" s="449">
        <f t="shared" si="276"/>
        <v>1118.7668076666669</v>
      </c>
      <c r="AY314" s="449">
        <f t="shared" si="275"/>
        <v>1118.7668076666669</v>
      </c>
      <c r="AZ314" s="449">
        <f t="shared" si="275"/>
        <v>1118.7668076666669</v>
      </c>
      <c r="BA314" s="449">
        <f t="shared" si="275"/>
        <v>1118.7668076666669</v>
      </c>
      <c r="BB314" s="449">
        <f t="shared" si="275"/>
        <v>1118.7668076666669</v>
      </c>
      <c r="BC314" s="449">
        <f t="shared" si="275"/>
        <v>1118.7668076666669</v>
      </c>
      <c r="BD314" s="449">
        <f t="shared" si="275"/>
        <v>1118.7668076666669</v>
      </c>
      <c r="BE314" s="449">
        <f t="shared" si="275"/>
        <v>1118.7668076666669</v>
      </c>
      <c r="BF314" s="449">
        <f t="shared" si="275"/>
        <v>1118.7668076666669</v>
      </c>
      <c r="BG314" s="449">
        <f t="shared" si="275"/>
        <v>1118.7668076666669</v>
      </c>
      <c r="BH314" s="400"/>
      <c r="BI314" s="449">
        <f>SUM('FY19 Staffing V1-1 (3)'!$W$247:$W$248)/12</f>
        <v>1118.7668076666669</v>
      </c>
      <c r="BJ314" s="449">
        <f>SUM('FY19 Staffing V1-1 (3)'!$W$247:$W$248)/12</f>
        <v>1118.7668076666669</v>
      </c>
      <c r="BK314" s="449">
        <f>SUM('FY19 Staffing V1-1 (3)'!$W$247:$W$248)/12</f>
        <v>1118.7668076666669</v>
      </c>
      <c r="BL314" s="449">
        <f>SUM('FY19 Staffing V1-1 (3)'!$W$247:$W$248)/12</f>
        <v>1118.7668076666669</v>
      </c>
      <c r="BM314" s="449">
        <f>SUM('FY19 Staffing V1-1 (3)'!$W$247:$W$248)/12</f>
        <v>1118.7668076666669</v>
      </c>
      <c r="BN314" s="449">
        <f>SUM('FY19 Staffing V1-1 (3)'!$W$247:$W$248)/12</f>
        <v>1118.7668076666669</v>
      </c>
      <c r="BO314" s="449">
        <f>SUM('FY19 Staffing V1-1 (3)'!$W$247:$W$248)/12</f>
        <v>1118.7668076666669</v>
      </c>
      <c r="BP314" s="449">
        <f>SUM('FY19 Staffing V1-1 (3)'!$W$247:$W$248)/12</f>
        <v>1118.7668076666669</v>
      </c>
      <c r="BQ314" s="449">
        <f>SUM('FY19 Staffing V1-1 (3)'!$W$247:$W$248)/12</f>
        <v>1118.7668076666669</v>
      </c>
      <c r="BR314" s="449">
        <f>SUM('FY19 Staffing V1-1 (3)'!$W$247:$W$248)/12</f>
        <v>1118.7668076666669</v>
      </c>
      <c r="BS314" s="449">
        <f>SUM('FY19 Staffing V1-1 (3)'!$W$247:$W$248)/12</f>
        <v>1118.7668076666669</v>
      </c>
      <c r="BT314" s="449">
        <f>SUM('FY19 Staffing V1-1 (3)'!$W$247:$W$248)/12</f>
        <v>1118.7668076666669</v>
      </c>
    </row>
    <row r="315" spans="1:72" ht="15" hidden="1" x14ac:dyDescent="0.25">
      <c r="A315" s="616" t="s">
        <v>539</v>
      </c>
      <c r="B315" s="614" t="s">
        <v>540</v>
      </c>
      <c r="C315" s="541"/>
      <c r="D315" s="500">
        <f t="shared" si="259"/>
        <v>0</v>
      </c>
      <c r="E315" s="449">
        <v>0</v>
      </c>
      <c r="F315" s="449">
        <f t="shared" si="260"/>
        <v>0</v>
      </c>
      <c r="G315" s="421">
        <f t="shared" si="261"/>
        <v>0</v>
      </c>
      <c r="H315" s="449">
        <v>0</v>
      </c>
      <c r="I315" s="449">
        <f t="shared" si="262"/>
        <v>0</v>
      </c>
      <c r="J315" s="426">
        <f t="shared" si="263"/>
        <v>0</v>
      </c>
      <c r="K315" s="421"/>
      <c r="L315" s="449">
        <v>0</v>
      </c>
      <c r="M315" s="449">
        <v>0</v>
      </c>
      <c r="N315" s="449">
        <v>0</v>
      </c>
      <c r="O315" s="449">
        <v>0</v>
      </c>
      <c r="P315" s="449">
        <v>0</v>
      </c>
      <c r="Q315" s="449">
        <v>0</v>
      </c>
      <c r="R315" s="449">
        <f>($H315-SUM($L315:Q315))/R$694</f>
        <v>0</v>
      </c>
      <c r="S315" s="449">
        <f>($H315-SUM($L315:R315))/S$694</f>
        <v>0</v>
      </c>
      <c r="T315" s="449">
        <f>($H315-SUM($L315:S315))/T$694</f>
        <v>0</v>
      </c>
      <c r="U315" s="449">
        <f>($H315-SUM($L315:T315))/U$694</f>
        <v>0</v>
      </c>
      <c r="V315" s="449">
        <f>($H315-SUM($L315:U315))/V$694</f>
        <v>0</v>
      </c>
      <c r="W315" s="449">
        <f>($H315-SUM($L315:V315))/W$694</f>
        <v>0</v>
      </c>
      <c r="X315" s="449"/>
      <c r="Y315" s="449">
        <f t="shared" si="264"/>
        <v>0</v>
      </c>
      <c r="Z315" s="531"/>
      <c r="AA315" s="449">
        <f t="shared" si="277"/>
        <v>0</v>
      </c>
      <c r="AB315" s="449">
        <f t="shared" si="277"/>
        <v>0</v>
      </c>
      <c r="AC315" s="449">
        <f t="shared" si="277"/>
        <v>0</v>
      </c>
      <c r="AD315" s="449">
        <f t="shared" si="277"/>
        <v>0</v>
      </c>
      <c r="AE315" s="449">
        <f t="shared" si="277"/>
        <v>0</v>
      </c>
      <c r="AF315" s="449">
        <f t="shared" si="277"/>
        <v>0</v>
      </c>
      <c r="AG315" s="449">
        <f t="shared" si="277"/>
        <v>0</v>
      </c>
      <c r="AH315" s="449">
        <f t="shared" si="277"/>
        <v>0</v>
      </c>
      <c r="AI315" s="449">
        <f t="shared" si="277"/>
        <v>0</v>
      </c>
      <c r="AJ315" s="449">
        <f t="shared" si="277"/>
        <v>0</v>
      </c>
      <c r="AK315" s="449">
        <f t="shared" si="277"/>
        <v>0</v>
      </c>
      <c r="AL315" s="449">
        <f t="shared" si="277"/>
        <v>0</v>
      </c>
      <c r="AN315" s="500">
        <f t="shared" si="278"/>
        <v>0</v>
      </c>
      <c r="AO315" s="449">
        <f t="shared" si="267"/>
        <v>0</v>
      </c>
      <c r="AP315" s="449">
        <f t="shared" si="268"/>
        <v>0</v>
      </c>
      <c r="AQ315" s="453" t="str">
        <f t="shared" si="269"/>
        <v>-</v>
      </c>
      <c r="AR315" s="449">
        <f t="shared" si="270"/>
        <v>0</v>
      </c>
      <c r="AS315" s="449">
        <f t="shared" si="271"/>
        <v>0</v>
      </c>
      <c r="AT315" s="426">
        <f t="shared" si="272"/>
        <v>0</v>
      </c>
      <c r="AU315" s="421"/>
      <c r="AV315" s="449">
        <f t="shared" si="276"/>
        <v>0</v>
      </c>
      <c r="AW315" s="449">
        <f t="shared" si="276"/>
        <v>0</v>
      </c>
      <c r="AX315" s="449">
        <f t="shared" si="276"/>
        <v>0</v>
      </c>
      <c r="AY315" s="449">
        <f t="shared" si="275"/>
        <v>0</v>
      </c>
      <c r="AZ315" s="449">
        <f t="shared" si="275"/>
        <v>0</v>
      </c>
      <c r="BA315" s="449">
        <f t="shared" si="275"/>
        <v>0</v>
      </c>
      <c r="BB315" s="449">
        <f t="shared" si="275"/>
        <v>0</v>
      </c>
      <c r="BC315" s="449">
        <f t="shared" si="275"/>
        <v>0</v>
      </c>
      <c r="BD315" s="449">
        <f t="shared" si="275"/>
        <v>0</v>
      </c>
      <c r="BE315" s="449">
        <f t="shared" si="275"/>
        <v>0</v>
      </c>
      <c r="BF315" s="449">
        <f t="shared" si="275"/>
        <v>0</v>
      </c>
      <c r="BG315" s="449">
        <f t="shared" si="275"/>
        <v>0</v>
      </c>
      <c r="BH315" s="400"/>
      <c r="BI315" s="449">
        <v>0</v>
      </c>
      <c r="BJ315" s="449">
        <v>0</v>
      </c>
      <c r="BK315" s="449">
        <v>0</v>
      </c>
      <c r="BL315" s="449">
        <v>0</v>
      </c>
      <c r="BM315" s="449">
        <v>0</v>
      </c>
      <c r="BN315" s="449">
        <v>0</v>
      </c>
      <c r="BO315" s="449">
        <v>0</v>
      </c>
      <c r="BP315" s="449">
        <v>0</v>
      </c>
      <c r="BQ315" s="449">
        <v>0</v>
      </c>
      <c r="BR315" s="449">
        <v>0</v>
      </c>
      <c r="BS315" s="449">
        <v>0</v>
      </c>
      <c r="BT315" s="449">
        <v>0</v>
      </c>
    </row>
    <row r="316" spans="1:72" ht="15" hidden="1" x14ac:dyDescent="0.25">
      <c r="A316" s="502" t="s">
        <v>541</v>
      </c>
      <c r="B316" s="502" t="s">
        <v>542</v>
      </c>
      <c r="C316" s="541"/>
      <c r="D316" s="500">
        <f t="shared" si="259"/>
        <v>0</v>
      </c>
      <c r="E316" s="449">
        <v>0</v>
      </c>
      <c r="F316" s="449">
        <f t="shared" si="260"/>
        <v>0</v>
      </c>
      <c r="G316" s="421">
        <f t="shared" si="261"/>
        <v>0</v>
      </c>
      <c r="H316" s="449">
        <v>0</v>
      </c>
      <c r="I316" s="449">
        <f t="shared" si="262"/>
        <v>0</v>
      </c>
      <c r="J316" s="426">
        <f t="shared" si="263"/>
        <v>0</v>
      </c>
      <c r="K316" s="421"/>
      <c r="L316" s="449">
        <v>0</v>
      </c>
      <c r="M316" s="449">
        <v>0</v>
      </c>
      <c r="N316" s="449">
        <v>0</v>
      </c>
      <c r="O316" s="449">
        <v>0</v>
      </c>
      <c r="P316" s="449">
        <v>0</v>
      </c>
      <c r="Q316" s="449">
        <v>0</v>
      </c>
      <c r="R316" s="449">
        <f>($H316-SUM($L316:Q316))/R$694</f>
        <v>0</v>
      </c>
      <c r="S316" s="449">
        <f>($H316-SUM($L316:R316))/S$694</f>
        <v>0</v>
      </c>
      <c r="T316" s="449">
        <f>($H316-SUM($L316:S316))/T$694</f>
        <v>0</v>
      </c>
      <c r="U316" s="449">
        <f>($H316-SUM($L316:T316))/U$694</f>
        <v>0</v>
      </c>
      <c r="V316" s="449">
        <f>($H316-SUM($L316:U316))/V$694</f>
        <v>0</v>
      </c>
      <c r="W316" s="449">
        <f>($H316-SUM($L316:V316))/W$694</f>
        <v>0</v>
      </c>
      <c r="X316" s="449"/>
      <c r="Y316" s="449">
        <f t="shared" si="264"/>
        <v>0</v>
      </c>
      <c r="Z316" s="531"/>
      <c r="AA316" s="449">
        <f t="shared" ref="AA316:AL329" si="279">IFERROR($H316/12,0)</f>
        <v>0</v>
      </c>
      <c r="AB316" s="449">
        <f t="shared" si="279"/>
        <v>0</v>
      </c>
      <c r="AC316" s="449">
        <f t="shared" si="279"/>
        <v>0</v>
      </c>
      <c r="AD316" s="449">
        <f t="shared" si="279"/>
        <v>0</v>
      </c>
      <c r="AE316" s="449">
        <f t="shared" si="279"/>
        <v>0</v>
      </c>
      <c r="AF316" s="449">
        <f t="shared" si="279"/>
        <v>0</v>
      </c>
      <c r="AG316" s="449">
        <f t="shared" si="279"/>
        <v>0</v>
      </c>
      <c r="AH316" s="449">
        <f t="shared" si="279"/>
        <v>0</v>
      </c>
      <c r="AI316" s="449">
        <f t="shared" si="279"/>
        <v>0</v>
      </c>
      <c r="AJ316" s="449">
        <f t="shared" si="279"/>
        <v>0</v>
      </c>
      <c r="AK316" s="449">
        <f t="shared" si="279"/>
        <v>0</v>
      </c>
      <c r="AL316" s="449">
        <f t="shared" si="279"/>
        <v>0</v>
      </c>
      <c r="AN316" s="500">
        <f t="shared" si="278"/>
        <v>0</v>
      </c>
      <c r="AO316" s="449">
        <f t="shared" si="267"/>
        <v>0</v>
      </c>
      <c r="AP316" s="449">
        <f t="shared" si="268"/>
        <v>0</v>
      </c>
      <c r="AQ316" s="453" t="str">
        <f t="shared" si="269"/>
        <v>-</v>
      </c>
      <c r="AR316" s="449">
        <f t="shared" si="270"/>
        <v>0</v>
      </c>
      <c r="AS316" s="449">
        <f t="shared" si="271"/>
        <v>0</v>
      </c>
      <c r="AT316" s="426">
        <f t="shared" si="272"/>
        <v>0</v>
      </c>
      <c r="AU316" s="421"/>
      <c r="AV316" s="449">
        <f t="shared" si="276"/>
        <v>0</v>
      </c>
      <c r="AW316" s="449">
        <f t="shared" si="276"/>
        <v>0</v>
      </c>
      <c r="AX316" s="449">
        <f t="shared" si="276"/>
        <v>0</v>
      </c>
      <c r="AY316" s="449">
        <f t="shared" si="275"/>
        <v>0</v>
      </c>
      <c r="AZ316" s="449">
        <f t="shared" si="275"/>
        <v>0</v>
      </c>
      <c r="BA316" s="449">
        <f t="shared" si="275"/>
        <v>0</v>
      </c>
      <c r="BB316" s="449">
        <f t="shared" si="275"/>
        <v>0</v>
      </c>
      <c r="BC316" s="449">
        <f t="shared" si="275"/>
        <v>0</v>
      </c>
      <c r="BD316" s="449">
        <f t="shared" si="275"/>
        <v>0</v>
      </c>
      <c r="BE316" s="449">
        <f t="shared" si="275"/>
        <v>0</v>
      </c>
      <c r="BF316" s="449">
        <f t="shared" si="275"/>
        <v>0</v>
      </c>
      <c r="BG316" s="449">
        <f t="shared" si="275"/>
        <v>0</v>
      </c>
      <c r="BH316" s="400"/>
      <c r="BI316" s="449">
        <v>0</v>
      </c>
      <c r="BJ316" s="449">
        <v>0</v>
      </c>
      <c r="BK316" s="449">
        <v>0</v>
      </c>
      <c r="BL316" s="449">
        <v>0</v>
      </c>
      <c r="BM316" s="449">
        <v>0</v>
      </c>
      <c r="BN316" s="449">
        <v>0</v>
      </c>
      <c r="BO316" s="449">
        <v>0</v>
      </c>
      <c r="BP316" s="449">
        <v>0</v>
      </c>
      <c r="BQ316" s="449">
        <v>0</v>
      </c>
      <c r="BR316" s="449">
        <v>0</v>
      </c>
      <c r="BS316" s="449">
        <v>0</v>
      </c>
      <c r="BT316" s="449">
        <v>0</v>
      </c>
    </row>
    <row r="317" spans="1:72" ht="15" hidden="1" x14ac:dyDescent="0.25">
      <c r="A317" s="616" t="s">
        <v>543</v>
      </c>
      <c r="B317" s="614" t="s">
        <v>544</v>
      </c>
      <c r="C317" s="541"/>
      <c r="D317" s="500">
        <f t="shared" si="259"/>
        <v>0</v>
      </c>
      <c r="E317" s="449">
        <v>0</v>
      </c>
      <c r="F317" s="449">
        <f t="shared" si="260"/>
        <v>0</v>
      </c>
      <c r="G317" s="421">
        <f t="shared" si="261"/>
        <v>0</v>
      </c>
      <c r="H317" s="449">
        <v>0</v>
      </c>
      <c r="I317" s="449">
        <f t="shared" si="262"/>
        <v>0</v>
      </c>
      <c r="J317" s="426">
        <f t="shared" si="263"/>
        <v>0</v>
      </c>
      <c r="K317" s="421"/>
      <c r="L317" s="449">
        <v>0</v>
      </c>
      <c r="M317" s="449">
        <v>0</v>
      </c>
      <c r="N317" s="449">
        <v>0</v>
      </c>
      <c r="O317" s="449">
        <v>0</v>
      </c>
      <c r="P317" s="449">
        <v>0</v>
      </c>
      <c r="Q317" s="449">
        <v>0</v>
      </c>
      <c r="R317" s="449">
        <f>($H317-SUM($L317:Q317))/R$694</f>
        <v>0</v>
      </c>
      <c r="S317" s="449">
        <f>($H317-SUM($L317:R317))/S$694</f>
        <v>0</v>
      </c>
      <c r="T317" s="449">
        <f>($H317-SUM($L317:S317))/T$694</f>
        <v>0</v>
      </c>
      <c r="U317" s="449">
        <f>($H317-SUM($L317:T317))/U$694</f>
        <v>0</v>
      </c>
      <c r="V317" s="449">
        <f>($H317-SUM($L317:U317))/V$694</f>
        <v>0</v>
      </c>
      <c r="W317" s="449">
        <f>($H317-SUM($L317:V317))/W$694</f>
        <v>0</v>
      </c>
      <c r="X317" s="449"/>
      <c r="Y317" s="449">
        <f t="shared" si="264"/>
        <v>0</v>
      </c>
      <c r="Z317" s="531"/>
      <c r="AA317" s="449">
        <f t="shared" si="279"/>
        <v>0</v>
      </c>
      <c r="AB317" s="449">
        <f t="shared" si="279"/>
        <v>0</v>
      </c>
      <c r="AC317" s="449">
        <f t="shared" si="279"/>
        <v>0</v>
      </c>
      <c r="AD317" s="449">
        <f t="shared" si="279"/>
        <v>0</v>
      </c>
      <c r="AE317" s="449">
        <f t="shared" si="279"/>
        <v>0</v>
      </c>
      <c r="AF317" s="449">
        <f t="shared" si="279"/>
        <v>0</v>
      </c>
      <c r="AG317" s="449">
        <f t="shared" si="279"/>
        <v>0</v>
      </c>
      <c r="AH317" s="449">
        <f t="shared" si="279"/>
        <v>0</v>
      </c>
      <c r="AI317" s="449">
        <f t="shared" si="279"/>
        <v>0</v>
      </c>
      <c r="AJ317" s="449">
        <f t="shared" si="279"/>
        <v>0</v>
      </c>
      <c r="AK317" s="449">
        <f t="shared" si="279"/>
        <v>0</v>
      </c>
      <c r="AL317" s="449">
        <f t="shared" si="279"/>
        <v>0</v>
      </c>
      <c r="AN317" s="500">
        <f t="shared" si="278"/>
        <v>0</v>
      </c>
      <c r="AO317" s="449">
        <f t="shared" si="267"/>
        <v>0</v>
      </c>
      <c r="AP317" s="449">
        <f t="shared" si="268"/>
        <v>0</v>
      </c>
      <c r="AQ317" s="453" t="str">
        <f t="shared" si="269"/>
        <v>-</v>
      </c>
      <c r="AR317" s="449">
        <f t="shared" si="270"/>
        <v>0</v>
      </c>
      <c r="AS317" s="449">
        <f t="shared" si="271"/>
        <v>0</v>
      </c>
      <c r="AT317" s="426">
        <f t="shared" si="272"/>
        <v>0</v>
      </c>
      <c r="AU317" s="421"/>
      <c r="AV317" s="449">
        <f t="shared" si="276"/>
        <v>0</v>
      </c>
      <c r="AW317" s="449">
        <f t="shared" si="276"/>
        <v>0</v>
      </c>
      <c r="AX317" s="449">
        <f t="shared" si="276"/>
        <v>0</v>
      </c>
      <c r="AY317" s="449">
        <f t="shared" si="275"/>
        <v>0</v>
      </c>
      <c r="AZ317" s="449">
        <f t="shared" si="275"/>
        <v>0</v>
      </c>
      <c r="BA317" s="449">
        <f t="shared" si="275"/>
        <v>0</v>
      </c>
      <c r="BB317" s="449">
        <f t="shared" ref="BB317:BG329" si="280">BO317</f>
        <v>0</v>
      </c>
      <c r="BC317" s="449">
        <f t="shared" si="280"/>
        <v>0</v>
      </c>
      <c r="BD317" s="449">
        <f t="shared" si="280"/>
        <v>0</v>
      </c>
      <c r="BE317" s="449">
        <f t="shared" si="280"/>
        <v>0</v>
      </c>
      <c r="BF317" s="449">
        <f t="shared" si="280"/>
        <v>0</v>
      </c>
      <c r="BG317" s="449">
        <f t="shared" si="280"/>
        <v>0</v>
      </c>
      <c r="BH317" s="400"/>
      <c r="BI317" s="449">
        <v>0</v>
      </c>
      <c r="BJ317" s="449">
        <v>0</v>
      </c>
      <c r="BK317" s="449">
        <v>0</v>
      </c>
      <c r="BL317" s="449">
        <v>0</v>
      </c>
      <c r="BM317" s="449">
        <v>0</v>
      </c>
      <c r="BN317" s="449">
        <v>0</v>
      </c>
      <c r="BO317" s="449">
        <v>0</v>
      </c>
      <c r="BP317" s="449">
        <v>0</v>
      </c>
      <c r="BQ317" s="449">
        <v>0</v>
      </c>
      <c r="BR317" s="449">
        <v>0</v>
      </c>
      <c r="BS317" s="449">
        <v>0</v>
      </c>
      <c r="BT317" s="449">
        <v>0</v>
      </c>
    </row>
    <row r="318" spans="1:72" ht="15" hidden="1" x14ac:dyDescent="0.25">
      <c r="A318" s="502" t="s">
        <v>545</v>
      </c>
      <c r="B318" s="502" t="s">
        <v>546</v>
      </c>
      <c r="C318" s="541"/>
      <c r="D318" s="500">
        <f t="shared" si="259"/>
        <v>0</v>
      </c>
      <c r="E318" s="449">
        <v>0</v>
      </c>
      <c r="F318" s="449">
        <f t="shared" si="260"/>
        <v>0</v>
      </c>
      <c r="G318" s="421">
        <f t="shared" si="261"/>
        <v>0</v>
      </c>
      <c r="H318" s="449">
        <v>0</v>
      </c>
      <c r="I318" s="449">
        <f t="shared" si="262"/>
        <v>0</v>
      </c>
      <c r="J318" s="426">
        <f t="shared" si="263"/>
        <v>0</v>
      </c>
      <c r="K318" s="421"/>
      <c r="L318" s="449">
        <v>0</v>
      </c>
      <c r="M318" s="449">
        <v>0</v>
      </c>
      <c r="N318" s="449">
        <v>0</v>
      </c>
      <c r="O318" s="449">
        <v>0</v>
      </c>
      <c r="P318" s="449">
        <v>0</v>
      </c>
      <c r="Q318" s="449">
        <v>0</v>
      </c>
      <c r="R318" s="449">
        <f>($H318-SUM($L318:Q318))/R$694</f>
        <v>0</v>
      </c>
      <c r="S318" s="449">
        <f>($H318-SUM($L318:R318))/S$694</f>
        <v>0</v>
      </c>
      <c r="T318" s="449">
        <f>($H318-SUM($L318:S318))/T$694</f>
        <v>0</v>
      </c>
      <c r="U318" s="449">
        <f>($H318-SUM($L318:T318))/U$694</f>
        <v>0</v>
      </c>
      <c r="V318" s="449">
        <f>($H318-SUM($L318:U318))/V$694</f>
        <v>0</v>
      </c>
      <c r="W318" s="449">
        <f>($H318-SUM($L318:V318))/W$694</f>
        <v>0</v>
      </c>
      <c r="X318" s="449"/>
      <c r="Y318" s="449">
        <f t="shared" si="264"/>
        <v>0</v>
      </c>
      <c r="Z318" s="531"/>
      <c r="AA318" s="449">
        <f t="shared" si="279"/>
        <v>0</v>
      </c>
      <c r="AB318" s="449">
        <f t="shared" si="279"/>
        <v>0</v>
      </c>
      <c r="AC318" s="449">
        <f t="shared" si="279"/>
        <v>0</v>
      </c>
      <c r="AD318" s="449">
        <f t="shared" si="279"/>
        <v>0</v>
      </c>
      <c r="AE318" s="449">
        <f t="shared" si="279"/>
        <v>0</v>
      </c>
      <c r="AF318" s="449">
        <f t="shared" si="279"/>
        <v>0</v>
      </c>
      <c r="AG318" s="449">
        <f t="shared" si="279"/>
        <v>0</v>
      </c>
      <c r="AH318" s="449">
        <f t="shared" si="279"/>
        <v>0</v>
      </c>
      <c r="AI318" s="449">
        <f t="shared" si="279"/>
        <v>0</v>
      </c>
      <c r="AJ318" s="449">
        <f t="shared" si="279"/>
        <v>0</v>
      </c>
      <c r="AK318" s="449">
        <f t="shared" si="279"/>
        <v>0</v>
      </c>
      <c r="AL318" s="449">
        <f t="shared" si="279"/>
        <v>0</v>
      </c>
      <c r="AN318" s="500">
        <f t="shared" si="278"/>
        <v>0</v>
      </c>
      <c r="AO318" s="449">
        <f t="shared" si="267"/>
        <v>0</v>
      </c>
      <c r="AP318" s="449">
        <f t="shared" si="268"/>
        <v>0</v>
      </c>
      <c r="AQ318" s="453" t="str">
        <f t="shared" si="269"/>
        <v>-</v>
      </c>
      <c r="AR318" s="449">
        <f t="shared" si="270"/>
        <v>0</v>
      </c>
      <c r="AS318" s="449">
        <f t="shared" si="271"/>
        <v>0</v>
      </c>
      <c r="AT318" s="426">
        <f t="shared" si="272"/>
        <v>0</v>
      </c>
      <c r="AU318" s="421"/>
      <c r="AV318" s="449">
        <f t="shared" si="276"/>
        <v>0</v>
      </c>
      <c r="AW318" s="449">
        <f t="shared" si="276"/>
        <v>0</v>
      </c>
      <c r="AX318" s="449">
        <f t="shared" si="276"/>
        <v>0</v>
      </c>
      <c r="AY318" s="449">
        <f t="shared" si="276"/>
        <v>0</v>
      </c>
      <c r="AZ318" s="449">
        <f t="shared" si="276"/>
        <v>0</v>
      </c>
      <c r="BA318" s="449">
        <f t="shared" si="276"/>
        <v>0</v>
      </c>
      <c r="BB318" s="449">
        <f t="shared" si="280"/>
        <v>0</v>
      </c>
      <c r="BC318" s="449">
        <f t="shared" si="280"/>
        <v>0</v>
      </c>
      <c r="BD318" s="449">
        <f t="shared" si="280"/>
        <v>0</v>
      </c>
      <c r="BE318" s="449">
        <f t="shared" si="280"/>
        <v>0</v>
      </c>
      <c r="BF318" s="449">
        <f t="shared" si="280"/>
        <v>0</v>
      </c>
      <c r="BG318" s="449">
        <f t="shared" si="280"/>
        <v>0</v>
      </c>
      <c r="BH318" s="400"/>
      <c r="BI318" s="449">
        <v>0</v>
      </c>
      <c r="BJ318" s="449">
        <v>0</v>
      </c>
      <c r="BK318" s="449">
        <v>0</v>
      </c>
      <c r="BL318" s="449">
        <v>0</v>
      </c>
      <c r="BM318" s="449">
        <v>0</v>
      </c>
      <c r="BN318" s="449">
        <v>0</v>
      </c>
      <c r="BO318" s="449">
        <v>0</v>
      </c>
      <c r="BP318" s="449">
        <v>0</v>
      </c>
      <c r="BQ318" s="449">
        <v>0</v>
      </c>
      <c r="BR318" s="449">
        <v>0</v>
      </c>
      <c r="BS318" s="449">
        <v>0</v>
      </c>
      <c r="BT318" s="449">
        <v>0</v>
      </c>
    </row>
    <row r="319" spans="1:72" ht="15" hidden="1" x14ac:dyDescent="0.25">
      <c r="A319" s="616" t="s">
        <v>547</v>
      </c>
      <c r="B319" s="614" t="s">
        <v>548</v>
      </c>
      <c r="C319" s="541"/>
      <c r="D319" s="500">
        <f t="shared" si="259"/>
        <v>3150</v>
      </c>
      <c r="E319" s="449">
        <v>3093</v>
      </c>
      <c r="F319" s="449">
        <f t="shared" si="260"/>
        <v>57</v>
      </c>
      <c r="G319" s="421">
        <f t="shared" si="261"/>
        <v>1.842870999030068E-2</v>
      </c>
      <c r="H319" s="449">
        <v>3150</v>
      </c>
      <c r="I319" s="449">
        <f t="shared" si="262"/>
        <v>0</v>
      </c>
      <c r="J319" s="426">
        <f t="shared" si="263"/>
        <v>0</v>
      </c>
      <c r="K319" s="421"/>
      <c r="L319" s="449">
        <v>0</v>
      </c>
      <c r="M319" s="449">
        <v>0</v>
      </c>
      <c r="N319" s="449">
        <v>0</v>
      </c>
      <c r="O319" s="449">
        <v>0</v>
      </c>
      <c r="P319" s="449">
        <v>0</v>
      </c>
      <c r="Q319" s="449">
        <v>0</v>
      </c>
      <c r="R319" s="449">
        <f>($H319-SUM($L319:Q319))/R$694</f>
        <v>525</v>
      </c>
      <c r="S319" s="449">
        <f>($H319-SUM($L319:R319))/S$694</f>
        <v>525</v>
      </c>
      <c r="T319" s="449">
        <f>($H319-SUM($L319:S319))/T$694</f>
        <v>525</v>
      </c>
      <c r="U319" s="449">
        <f>($H319-SUM($L319:T319))/U$694</f>
        <v>525</v>
      </c>
      <c r="V319" s="449">
        <f>($H319-SUM($L319:U319))/V$694</f>
        <v>525</v>
      </c>
      <c r="W319" s="449">
        <f>($H319-SUM($L319:V319))/W$694</f>
        <v>525</v>
      </c>
      <c r="X319" s="449"/>
      <c r="Y319" s="449">
        <f t="shared" si="264"/>
        <v>3150</v>
      </c>
      <c r="Z319" s="531"/>
      <c r="AA319" s="449">
        <f t="shared" si="279"/>
        <v>262.5</v>
      </c>
      <c r="AB319" s="449">
        <f t="shared" si="279"/>
        <v>262.5</v>
      </c>
      <c r="AC319" s="449">
        <f t="shared" si="279"/>
        <v>262.5</v>
      </c>
      <c r="AD319" s="449">
        <f t="shared" si="279"/>
        <v>262.5</v>
      </c>
      <c r="AE319" s="449">
        <f t="shared" si="279"/>
        <v>262.5</v>
      </c>
      <c r="AF319" s="449">
        <f t="shared" si="279"/>
        <v>262.5</v>
      </c>
      <c r="AG319" s="449">
        <f t="shared" si="279"/>
        <v>262.5</v>
      </c>
      <c r="AH319" s="449">
        <f t="shared" si="279"/>
        <v>262.5</v>
      </c>
      <c r="AI319" s="449">
        <f t="shared" si="279"/>
        <v>262.5</v>
      </c>
      <c r="AJ319" s="449">
        <f t="shared" si="279"/>
        <v>262.5</v>
      </c>
      <c r="AK319" s="449">
        <f t="shared" si="279"/>
        <v>262.5</v>
      </c>
      <c r="AL319" s="449">
        <f t="shared" si="279"/>
        <v>262.5</v>
      </c>
      <c r="AN319" s="500">
        <f t="shared" si="278"/>
        <v>3150</v>
      </c>
      <c r="AO319" s="449">
        <f t="shared" si="267"/>
        <v>0</v>
      </c>
      <c r="AP319" s="449">
        <f t="shared" si="268"/>
        <v>-3150</v>
      </c>
      <c r="AQ319" s="453">
        <f t="shared" si="269"/>
        <v>-1</v>
      </c>
      <c r="AR319" s="449">
        <f t="shared" si="270"/>
        <v>0</v>
      </c>
      <c r="AS319" s="449">
        <f t="shared" si="271"/>
        <v>0</v>
      </c>
      <c r="AT319" s="426">
        <f t="shared" si="272"/>
        <v>0</v>
      </c>
      <c r="AU319" s="421"/>
      <c r="AV319" s="449">
        <f t="shared" si="276"/>
        <v>0</v>
      </c>
      <c r="AW319" s="449">
        <f t="shared" si="276"/>
        <v>0</v>
      </c>
      <c r="AX319" s="449">
        <f t="shared" si="276"/>
        <v>0</v>
      </c>
      <c r="AY319" s="449">
        <f t="shared" si="276"/>
        <v>0</v>
      </c>
      <c r="AZ319" s="449">
        <f t="shared" si="276"/>
        <v>0</v>
      </c>
      <c r="BA319" s="449">
        <f t="shared" si="276"/>
        <v>0</v>
      </c>
      <c r="BB319" s="449">
        <f t="shared" si="280"/>
        <v>0</v>
      </c>
      <c r="BC319" s="449">
        <f t="shared" si="280"/>
        <v>0</v>
      </c>
      <c r="BD319" s="449">
        <f t="shared" si="280"/>
        <v>0</v>
      </c>
      <c r="BE319" s="449">
        <f t="shared" si="280"/>
        <v>0</v>
      </c>
      <c r="BF319" s="449">
        <f t="shared" si="280"/>
        <v>0</v>
      </c>
      <c r="BG319" s="449">
        <f t="shared" si="280"/>
        <v>0</v>
      </c>
      <c r="BH319" s="400"/>
      <c r="BI319" s="449">
        <v>0</v>
      </c>
      <c r="BJ319" s="449">
        <v>0</v>
      </c>
      <c r="BK319" s="449">
        <v>0</v>
      </c>
      <c r="BL319" s="449">
        <v>0</v>
      </c>
      <c r="BM319" s="449">
        <v>0</v>
      </c>
      <c r="BN319" s="449">
        <v>0</v>
      </c>
      <c r="BO319" s="449">
        <v>0</v>
      </c>
      <c r="BP319" s="449">
        <v>0</v>
      </c>
      <c r="BQ319" s="449">
        <v>0</v>
      </c>
      <c r="BR319" s="449">
        <v>0</v>
      </c>
      <c r="BS319" s="449">
        <v>0</v>
      </c>
      <c r="BT319" s="449">
        <v>0</v>
      </c>
    </row>
    <row r="320" spans="1:72" ht="15" x14ac:dyDescent="0.25">
      <c r="A320" s="502" t="s">
        <v>549</v>
      </c>
      <c r="B320" s="502" t="s">
        <v>550</v>
      </c>
      <c r="C320" s="541"/>
      <c r="D320" s="500">
        <f t="shared" si="259"/>
        <v>3417</v>
      </c>
      <c r="E320" s="449">
        <v>4285</v>
      </c>
      <c r="F320" s="449">
        <f t="shared" si="260"/>
        <v>-868</v>
      </c>
      <c r="G320" s="421">
        <f t="shared" si="261"/>
        <v>-0.20256709451575264</v>
      </c>
      <c r="H320" s="449">
        <v>3417</v>
      </c>
      <c r="I320" s="449">
        <f t="shared" si="262"/>
        <v>0</v>
      </c>
      <c r="J320" s="426">
        <f t="shared" si="263"/>
        <v>0</v>
      </c>
      <c r="K320" s="421"/>
      <c r="L320" s="449">
        <v>0.02</v>
      </c>
      <c r="M320" s="449">
        <v>0</v>
      </c>
      <c r="N320" s="449">
        <v>0</v>
      </c>
      <c r="O320" s="449">
        <v>29.1</v>
      </c>
      <c r="P320" s="449">
        <v>0</v>
      </c>
      <c r="Q320" s="449">
        <v>0</v>
      </c>
      <c r="R320" s="449">
        <f>($H320-SUM($L320:Q320))/R$694</f>
        <v>564.64666666666665</v>
      </c>
      <c r="S320" s="449">
        <f>($H320-SUM($L320:R320))/S$694</f>
        <v>564.64666666666676</v>
      </c>
      <c r="T320" s="449">
        <f>($H320-SUM($L320:S320))/T$694</f>
        <v>564.64666666666665</v>
      </c>
      <c r="U320" s="449">
        <f>($H320-SUM($L320:T320))/U$694</f>
        <v>564.64666666666665</v>
      </c>
      <c r="V320" s="449">
        <f>($H320-SUM($L320:U320))/V$694</f>
        <v>564.64666666666676</v>
      </c>
      <c r="W320" s="449">
        <f>($H320-SUM($L320:V320))/W$694</f>
        <v>564.64666666666653</v>
      </c>
      <c r="X320" s="449"/>
      <c r="Y320" s="449">
        <f t="shared" si="264"/>
        <v>3417</v>
      </c>
      <c r="Z320" s="531"/>
      <c r="AA320" s="449">
        <f t="shared" si="279"/>
        <v>284.75</v>
      </c>
      <c r="AB320" s="449">
        <f t="shared" si="279"/>
        <v>284.75</v>
      </c>
      <c r="AC320" s="449">
        <f t="shared" si="279"/>
        <v>284.75</v>
      </c>
      <c r="AD320" s="449">
        <f t="shared" si="279"/>
        <v>284.75</v>
      </c>
      <c r="AE320" s="449">
        <f t="shared" si="279"/>
        <v>284.75</v>
      </c>
      <c r="AF320" s="449">
        <f t="shared" si="279"/>
        <v>284.75</v>
      </c>
      <c r="AG320" s="449">
        <f t="shared" si="279"/>
        <v>284.75</v>
      </c>
      <c r="AH320" s="449">
        <f t="shared" si="279"/>
        <v>284.75</v>
      </c>
      <c r="AI320" s="449">
        <f t="shared" si="279"/>
        <v>284.75</v>
      </c>
      <c r="AJ320" s="449">
        <f t="shared" si="279"/>
        <v>284.75</v>
      </c>
      <c r="AK320" s="449">
        <f t="shared" si="279"/>
        <v>284.75</v>
      </c>
      <c r="AL320" s="449">
        <f t="shared" si="279"/>
        <v>284.75</v>
      </c>
      <c r="AN320" s="500">
        <f t="shared" si="278"/>
        <v>3417</v>
      </c>
      <c r="AO320" s="449">
        <f t="shared" si="267"/>
        <v>3519.0600000000009</v>
      </c>
      <c r="AP320" s="449">
        <f t="shared" si="268"/>
        <v>102.06000000000085</v>
      </c>
      <c r="AQ320" s="453">
        <f t="shared" si="269"/>
        <v>2.9868305531167941E-2</v>
      </c>
      <c r="AR320" s="449">
        <f t="shared" si="270"/>
        <v>3519.0600000000009</v>
      </c>
      <c r="AS320" s="449">
        <f t="shared" si="271"/>
        <v>0</v>
      </c>
      <c r="AT320" s="426">
        <f t="shared" si="272"/>
        <v>0</v>
      </c>
      <c r="AU320" s="421"/>
      <c r="AV320" s="449">
        <f t="shared" si="276"/>
        <v>293.255</v>
      </c>
      <c r="AW320" s="449">
        <f t="shared" si="276"/>
        <v>293.255</v>
      </c>
      <c r="AX320" s="449">
        <f t="shared" si="276"/>
        <v>293.255</v>
      </c>
      <c r="AY320" s="449">
        <f t="shared" si="276"/>
        <v>293.255</v>
      </c>
      <c r="AZ320" s="449">
        <f t="shared" si="276"/>
        <v>293.255</v>
      </c>
      <c r="BA320" s="449">
        <f t="shared" si="276"/>
        <v>293.255</v>
      </c>
      <c r="BB320" s="449">
        <f t="shared" si="280"/>
        <v>293.255</v>
      </c>
      <c r="BC320" s="449">
        <f t="shared" si="280"/>
        <v>293.255</v>
      </c>
      <c r="BD320" s="449">
        <f t="shared" si="280"/>
        <v>293.255</v>
      </c>
      <c r="BE320" s="449">
        <f t="shared" si="280"/>
        <v>293.255</v>
      </c>
      <c r="BF320" s="449">
        <f t="shared" si="280"/>
        <v>293.255</v>
      </c>
      <c r="BG320" s="449">
        <f t="shared" si="280"/>
        <v>293.255</v>
      </c>
      <c r="BH320" s="400"/>
      <c r="BI320" s="449">
        <f>SUM('FY19 Staffing V1-1 (3)'!$S$247:$S$248)/12</f>
        <v>293.255</v>
      </c>
      <c r="BJ320" s="449">
        <f>SUM('FY19 Staffing V1-1 (3)'!$S$247:$S$248)/12</f>
        <v>293.255</v>
      </c>
      <c r="BK320" s="449">
        <f>SUM('FY19 Staffing V1-1 (3)'!$S$247:$S$248)/12</f>
        <v>293.255</v>
      </c>
      <c r="BL320" s="449">
        <f>SUM('FY19 Staffing V1-1 (3)'!$S$247:$S$248)/12</f>
        <v>293.255</v>
      </c>
      <c r="BM320" s="449">
        <f>SUM('FY19 Staffing V1-1 (3)'!$S$247:$S$248)/12</f>
        <v>293.255</v>
      </c>
      <c r="BN320" s="449">
        <f>SUM('FY19 Staffing V1-1 (3)'!$S$247:$S$248)/12</f>
        <v>293.255</v>
      </c>
      <c r="BO320" s="449">
        <f>SUM('FY19 Staffing V1-1 (3)'!$S$247:$S$248)/12</f>
        <v>293.255</v>
      </c>
      <c r="BP320" s="449">
        <f>SUM('FY19 Staffing V1-1 (3)'!$S$247:$S$248)/12</f>
        <v>293.255</v>
      </c>
      <c r="BQ320" s="449">
        <f>SUM('FY19 Staffing V1-1 (3)'!$S$247:$S$248)/12</f>
        <v>293.255</v>
      </c>
      <c r="BR320" s="449">
        <f>SUM('FY19 Staffing V1-1 (3)'!$S$247:$S$248)/12</f>
        <v>293.255</v>
      </c>
      <c r="BS320" s="449">
        <f>SUM('FY19 Staffing V1-1 (3)'!$S$247:$S$248)/12</f>
        <v>293.255</v>
      </c>
      <c r="BT320" s="449">
        <f>SUM('FY19 Staffing V1-1 (3)'!$S$247:$S$248)/12</f>
        <v>293.255</v>
      </c>
    </row>
    <row r="321" spans="1:74" ht="15" hidden="1" x14ac:dyDescent="0.25">
      <c r="A321" s="614" t="s">
        <v>551</v>
      </c>
      <c r="B321" s="614" t="s">
        <v>552</v>
      </c>
      <c r="C321" s="630"/>
      <c r="D321" s="500">
        <f t="shared" si="259"/>
        <v>0</v>
      </c>
      <c r="E321" s="449">
        <v>0</v>
      </c>
      <c r="F321" s="449">
        <f t="shared" si="260"/>
        <v>0</v>
      </c>
      <c r="G321" s="421">
        <f t="shared" si="261"/>
        <v>0</v>
      </c>
      <c r="H321" s="449">
        <v>0</v>
      </c>
      <c r="I321" s="449">
        <f t="shared" si="262"/>
        <v>0</v>
      </c>
      <c r="J321" s="426">
        <f t="shared" si="263"/>
        <v>0</v>
      </c>
      <c r="K321" s="421"/>
      <c r="L321" s="449">
        <v>0</v>
      </c>
      <c r="M321" s="449">
        <v>0</v>
      </c>
      <c r="N321" s="449">
        <v>0</v>
      </c>
      <c r="O321" s="449">
        <v>0</v>
      </c>
      <c r="P321" s="449">
        <v>0</v>
      </c>
      <c r="Q321" s="449">
        <v>0</v>
      </c>
      <c r="R321" s="449">
        <f>($H321-SUM($L321:Q321))/R$694</f>
        <v>0</v>
      </c>
      <c r="S321" s="449">
        <f>($H321-SUM($L321:R321))/S$694</f>
        <v>0</v>
      </c>
      <c r="T321" s="449">
        <f>($H321-SUM($L321:S321))/T$694</f>
        <v>0</v>
      </c>
      <c r="U321" s="449">
        <f>($H321-SUM($L321:T321))/U$694</f>
        <v>0</v>
      </c>
      <c r="V321" s="449">
        <f>($H321-SUM($L321:U321))/V$694</f>
        <v>0</v>
      </c>
      <c r="W321" s="449">
        <f>($H321-SUM($L321:V321))/W$694</f>
        <v>0</v>
      </c>
      <c r="X321" s="449"/>
      <c r="Y321" s="449">
        <f t="shared" si="264"/>
        <v>0</v>
      </c>
      <c r="Z321" s="531"/>
      <c r="AA321" s="449">
        <f t="shared" si="279"/>
        <v>0</v>
      </c>
      <c r="AB321" s="449">
        <f t="shared" si="279"/>
        <v>0</v>
      </c>
      <c r="AC321" s="449">
        <f t="shared" si="279"/>
        <v>0</v>
      </c>
      <c r="AD321" s="449">
        <f t="shared" si="279"/>
        <v>0</v>
      </c>
      <c r="AE321" s="449">
        <f t="shared" si="279"/>
        <v>0</v>
      </c>
      <c r="AF321" s="449">
        <f t="shared" si="279"/>
        <v>0</v>
      </c>
      <c r="AG321" s="449">
        <f t="shared" si="279"/>
        <v>0</v>
      </c>
      <c r="AH321" s="449">
        <f t="shared" si="279"/>
        <v>0</v>
      </c>
      <c r="AI321" s="449">
        <f t="shared" si="279"/>
        <v>0</v>
      </c>
      <c r="AJ321" s="449">
        <f t="shared" si="279"/>
        <v>0</v>
      </c>
      <c r="AK321" s="449">
        <f t="shared" si="279"/>
        <v>0</v>
      </c>
      <c r="AL321" s="449">
        <f t="shared" si="279"/>
        <v>0</v>
      </c>
      <c r="AN321" s="500">
        <f t="shared" si="278"/>
        <v>0</v>
      </c>
      <c r="AO321" s="449">
        <f t="shared" si="267"/>
        <v>0</v>
      </c>
      <c r="AP321" s="449">
        <f t="shared" si="268"/>
        <v>0</v>
      </c>
      <c r="AQ321" s="453" t="str">
        <f t="shared" si="269"/>
        <v>-</v>
      </c>
      <c r="AR321" s="449">
        <f t="shared" si="270"/>
        <v>0</v>
      </c>
      <c r="AS321" s="449">
        <f t="shared" si="271"/>
        <v>0</v>
      </c>
      <c r="AT321" s="426">
        <f t="shared" si="272"/>
        <v>0</v>
      </c>
      <c r="AU321" s="421"/>
      <c r="AV321" s="449">
        <f t="shared" si="276"/>
        <v>0</v>
      </c>
      <c r="AW321" s="449">
        <f t="shared" si="276"/>
        <v>0</v>
      </c>
      <c r="AX321" s="449">
        <f t="shared" si="276"/>
        <v>0</v>
      </c>
      <c r="AY321" s="449">
        <f t="shared" si="276"/>
        <v>0</v>
      </c>
      <c r="AZ321" s="449">
        <f t="shared" si="276"/>
        <v>0</v>
      </c>
      <c r="BA321" s="449">
        <f t="shared" si="276"/>
        <v>0</v>
      </c>
      <c r="BB321" s="449">
        <f t="shared" si="280"/>
        <v>0</v>
      </c>
      <c r="BC321" s="449">
        <f t="shared" si="280"/>
        <v>0</v>
      </c>
      <c r="BD321" s="449">
        <f t="shared" si="280"/>
        <v>0</v>
      </c>
      <c r="BE321" s="449">
        <f t="shared" si="280"/>
        <v>0</v>
      </c>
      <c r="BF321" s="449">
        <f t="shared" si="280"/>
        <v>0</v>
      </c>
      <c r="BG321" s="449">
        <f t="shared" si="280"/>
        <v>0</v>
      </c>
      <c r="BH321" s="400"/>
      <c r="BI321" s="449">
        <v>0</v>
      </c>
      <c r="BJ321" s="449">
        <v>0</v>
      </c>
      <c r="BK321" s="449">
        <v>0</v>
      </c>
      <c r="BL321" s="449">
        <v>0</v>
      </c>
      <c r="BM321" s="449">
        <v>0</v>
      </c>
      <c r="BN321" s="449">
        <v>0</v>
      </c>
      <c r="BO321" s="449">
        <v>0</v>
      </c>
      <c r="BP321" s="449">
        <v>0</v>
      </c>
      <c r="BQ321" s="449">
        <v>0</v>
      </c>
      <c r="BR321" s="449">
        <v>0</v>
      </c>
      <c r="BS321" s="449">
        <v>0</v>
      </c>
      <c r="BT321" s="449">
        <v>0</v>
      </c>
    </row>
    <row r="322" spans="1:74" ht="15" hidden="1" x14ac:dyDescent="0.25">
      <c r="A322" s="614" t="s">
        <v>553</v>
      </c>
      <c r="B322" s="614" t="s">
        <v>554</v>
      </c>
      <c r="C322" s="541"/>
      <c r="D322" s="500">
        <f t="shared" si="259"/>
        <v>0</v>
      </c>
      <c r="E322" s="449">
        <v>0</v>
      </c>
      <c r="F322" s="449">
        <f t="shared" si="260"/>
        <v>0</v>
      </c>
      <c r="G322" s="421">
        <f t="shared" si="261"/>
        <v>0</v>
      </c>
      <c r="H322" s="449">
        <v>0</v>
      </c>
      <c r="I322" s="449">
        <f t="shared" si="262"/>
        <v>0</v>
      </c>
      <c r="J322" s="426">
        <f t="shared" si="263"/>
        <v>0</v>
      </c>
      <c r="K322" s="421"/>
      <c r="L322" s="449">
        <v>0</v>
      </c>
      <c r="M322" s="449">
        <v>0</v>
      </c>
      <c r="N322" s="449">
        <v>0</v>
      </c>
      <c r="O322" s="449">
        <v>0</v>
      </c>
      <c r="P322" s="449">
        <v>0</v>
      </c>
      <c r="Q322" s="449">
        <v>0</v>
      </c>
      <c r="R322" s="449">
        <f>($H322-SUM($L322:Q322))/R$694</f>
        <v>0</v>
      </c>
      <c r="S322" s="449">
        <f>($H322-SUM($L322:R322))/S$694</f>
        <v>0</v>
      </c>
      <c r="T322" s="449">
        <f>($H322-SUM($L322:S322))/T$694</f>
        <v>0</v>
      </c>
      <c r="U322" s="449">
        <f>($H322-SUM($L322:T322))/U$694</f>
        <v>0</v>
      </c>
      <c r="V322" s="449">
        <f>($H322-SUM($L322:U322))/V$694</f>
        <v>0</v>
      </c>
      <c r="W322" s="449">
        <f>($H322-SUM($L322:V322))/W$694</f>
        <v>0</v>
      </c>
      <c r="X322" s="449"/>
      <c r="Y322" s="449">
        <f t="shared" si="264"/>
        <v>0</v>
      </c>
      <c r="Z322" s="531"/>
      <c r="AA322" s="449">
        <f t="shared" si="279"/>
        <v>0</v>
      </c>
      <c r="AB322" s="449">
        <f t="shared" si="279"/>
        <v>0</v>
      </c>
      <c r="AC322" s="449">
        <f t="shared" si="279"/>
        <v>0</v>
      </c>
      <c r="AD322" s="449">
        <f t="shared" si="279"/>
        <v>0</v>
      </c>
      <c r="AE322" s="449">
        <f t="shared" si="279"/>
        <v>0</v>
      </c>
      <c r="AF322" s="449">
        <f t="shared" si="279"/>
        <v>0</v>
      </c>
      <c r="AG322" s="449">
        <f t="shared" si="279"/>
        <v>0</v>
      </c>
      <c r="AH322" s="449">
        <f t="shared" si="279"/>
        <v>0</v>
      </c>
      <c r="AI322" s="449">
        <f t="shared" si="279"/>
        <v>0</v>
      </c>
      <c r="AJ322" s="449">
        <f t="shared" si="279"/>
        <v>0</v>
      </c>
      <c r="AK322" s="449">
        <f t="shared" si="279"/>
        <v>0</v>
      </c>
      <c r="AL322" s="449">
        <f t="shared" si="279"/>
        <v>0</v>
      </c>
      <c r="AN322" s="500">
        <f t="shared" si="278"/>
        <v>0</v>
      </c>
      <c r="AO322" s="449">
        <f t="shared" si="267"/>
        <v>0</v>
      </c>
      <c r="AP322" s="449">
        <f t="shared" si="268"/>
        <v>0</v>
      </c>
      <c r="AQ322" s="453" t="str">
        <f t="shared" si="269"/>
        <v>-</v>
      </c>
      <c r="AR322" s="449">
        <f t="shared" si="270"/>
        <v>0</v>
      </c>
      <c r="AS322" s="449">
        <f t="shared" si="271"/>
        <v>0</v>
      </c>
      <c r="AT322" s="426">
        <f t="shared" si="272"/>
        <v>0</v>
      </c>
      <c r="AU322" s="421"/>
      <c r="AV322" s="449">
        <f t="shared" si="276"/>
        <v>0</v>
      </c>
      <c r="AW322" s="449">
        <f t="shared" si="276"/>
        <v>0</v>
      </c>
      <c r="AX322" s="449">
        <f t="shared" si="276"/>
        <v>0</v>
      </c>
      <c r="AY322" s="449">
        <f t="shared" si="276"/>
        <v>0</v>
      </c>
      <c r="AZ322" s="449">
        <f t="shared" si="276"/>
        <v>0</v>
      </c>
      <c r="BA322" s="449">
        <f t="shared" si="276"/>
        <v>0</v>
      </c>
      <c r="BB322" s="449">
        <f t="shared" si="280"/>
        <v>0</v>
      </c>
      <c r="BC322" s="449">
        <f t="shared" si="280"/>
        <v>0</v>
      </c>
      <c r="BD322" s="449">
        <f t="shared" si="280"/>
        <v>0</v>
      </c>
      <c r="BE322" s="449">
        <f t="shared" si="280"/>
        <v>0</v>
      </c>
      <c r="BF322" s="449">
        <f t="shared" si="280"/>
        <v>0</v>
      </c>
      <c r="BG322" s="449">
        <f t="shared" si="280"/>
        <v>0</v>
      </c>
      <c r="BH322" s="400"/>
      <c r="BI322" s="449">
        <v>0</v>
      </c>
      <c r="BJ322" s="449">
        <v>0</v>
      </c>
      <c r="BK322" s="449">
        <v>0</v>
      </c>
      <c r="BL322" s="449">
        <v>0</v>
      </c>
      <c r="BM322" s="449">
        <v>0</v>
      </c>
      <c r="BN322" s="449">
        <v>0</v>
      </c>
      <c r="BO322" s="449">
        <v>0</v>
      </c>
      <c r="BP322" s="449">
        <v>0</v>
      </c>
      <c r="BQ322" s="449">
        <v>0</v>
      </c>
      <c r="BR322" s="449">
        <v>0</v>
      </c>
      <c r="BS322" s="449">
        <v>0</v>
      </c>
      <c r="BT322" s="449">
        <v>0</v>
      </c>
    </row>
    <row r="323" spans="1:74" ht="15" hidden="1" x14ac:dyDescent="0.25">
      <c r="A323" s="614" t="s">
        <v>555</v>
      </c>
      <c r="B323" s="614" t="s">
        <v>556</v>
      </c>
      <c r="C323" s="541"/>
      <c r="D323" s="500">
        <f t="shared" si="259"/>
        <v>0</v>
      </c>
      <c r="E323" s="449">
        <v>0</v>
      </c>
      <c r="F323" s="449">
        <f t="shared" si="260"/>
        <v>0</v>
      </c>
      <c r="G323" s="421">
        <f t="shared" si="261"/>
        <v>0</v>
      </c>
      <c r="H323" s="449">
        <v>0</v>
      </c>
      <c r="I323" s="449">
        <f t="shared" si="262"/>
        <v>0</v>
      </c>
      <c r="J323" s="426">
        <f t="shared" si="263"/>
        <v>0</v>
      </c>
      <c r="K323" s="421"/>
      <c r="L323" s="449">
        <v>0</v>
      </c>
      <c r="M323" s="449">
        <v>0</v>
      </c>
      <c r="N323" s="449">
        <v>0</v>
      </c>
      <c r="O323" s="449">
        <v>0</v>
      </c>
      <c r="P323" s="449">
        <v>0</v>
      </c>
      <c r="Q323" s="449">
        <v>0</v>
      </c>
      <c r="R323" s="449">
        <f>($H323-SUM($L323:Q323))/R$694</f>
        <v>0</v>
      </c>
      <c r="S323" s="449">
        <f>($H323-SUM($L323:R323))/S$694</f>
        <v>0</v>
      </c>
      <c r="T323" s="449">
        <f>($H323-SUM($L323:S323))/T$694</f>
        <v>0</v>
      </c>
      <c r="U323" s="449">
        <f>($H323-SUM($L323:T323))/U$694</f>
        <v>0</v>
      </c>
      <c r="V323" s="449">
        <f>($H323-SUM($L323:U323))/V$694</f>
        <v>0</v>
      </c>
      <c r="W323" s="449">
        <f>($H323-SUM($L323:V323))/W$694</f>
        <v>0</v>
      </c>
      <c r="X323" s="449"/>
      <c r="Y323" s="449">
        <f t="shared" si="264"/>
        <v>0</v>
      </c>
      <c r="Z323" s="531"/>
      <c r="AA323" s="449">
        <f t="shared" si="279"/>
        <v>0</v>
      </c>
      <c r="AB323" s="449">
        <f t="shared" si="279"/>
        <v>0</v>
      </c>
      <c r="AC323" s="449">
        <f t="shared" si="279"/>
        <v>0</v>
      </c>
      <c r="AD323" s="449">
        <f t="shared" si="279"/>
        <v>0</v>
      </c>
      <c r="AE323" s="449">
        <f t="shared" si="279"/>
        <v>0</v>
      </c>
      <c r="AF323" s="449">
        <f t="shared" si="279"/>
        <v>0</v>
      </c>
      <c r="AG323" s="449">
        <f t="shared" si="279"/>
        <v>0</v>
      </c>
      <c r="AH323" s="449">
        <f t="shared" si="279"/>
        <v>0</v>
      </c>
      <c r="AI323" s="449">
        <f t="shared" si="279"/>
        <v>0</v>
      </c>
      <c r="AJ323" s="449">
        <f t="shared" si="279"/>
        <v>0</v>
      </c>
      <c r="AK323" s="449">
        <f t="shared" si="279"/>
        <v>0</v>
      </c>
      <c r="AL323" s="449">
        <f t="shared" si="279"/>
        <v>0</v>
      </c>
      <c r="AN323" s="500">
        <f t="shared" si="278"/>
        <v>0</v>
      </c>
      <c r="AO323" s="449">
        <f t="shared" si="267"/>
        <v>0</v>
      </c>
      <c r="AP323" s="449">
        <f t="shared" si="268"/>
        <v>0</v>
      </c>
      <c r="AQ323" s="453" t="str">
        <f t="shared" si="269"/>
        <v>-</v>
      </c>
      <c r="AR323" s="449">
        <f t="shared" si="270"/>
        <v>0</v>
      </c>
      <c r="AS323" s="449">
        <f t="shared" si="271"/>
        <v>0</v>
      </c>
      <c r="AT323" s="426">
        <f t="shared" si="272"/>
        <v>0</v>
      </c>
      <c r="AU323" s="421"/>
      <c r="AV323" s="449">
        <f t="shared" si="276"/>
        <v>0</v>
      </c>
      <c r="AW323" s="449">
        <f t="shared" si="276"/>
        <v>0</v>
      </c>
      <c r="AX323" s="449">
        <f t="shared" si="276"/>
        <v>0</v>
      </c>
      <c r="AY323" s="449">
        <f t="shared" si="276"/>
        <v>0</v>
      </c>
      <c r="AZ323" s="449">
        <f t="shared" si="276"/>
        <v>0</v>
      </c>
      <c r="BA323" s="449">
        <f t="shared" si="276"/>
        <v>0</v>
      </c>
      <c r="BB323" s="449">
        <f t="shared" si="280"/>
        <v>0</v>
      </c>
      <c r="BC323" s="449">
        <f t="shared" si="280"/>
        <v>0</v>
      </c>
      <c r="BD323" s="449">
        <f t="shared" si="280"/>
        <v>0</v>
      </c>
      <c r="BE323" s="449">
        <f t="shared" si="280"/>
        <v>0</v>
      </c>
      <c r="BF323" s="449">
        <f t="shared" si="280"/>
        <v>0</v>
      </c>
      <c r="BG323" s="449">
        <f t="shared" si="280"/>
        <v>0</v>
      </c>
      <c r="BH323" s="400"/>
      <c r="BI323" s="449">
        <v>0</v>
      </c>
      <c r="BJ323" s="449">
        <v>0</v>
      </c>
      <c r="BK323" s="449">
        <v>0</v>
      </c>
      <c r="BL323" s="449">
        <v>0</v>
      </c>
      <c r="BM323" s="449">
        <v>0</v>
      </c>
      <c r="BN323" s="449">
        <v>0</v>
      </c>
      <c r="BO323" s="449">
        <v>0</v>
      </c>
      <c r="BP323" s="449">
        <v>0</v>
      </c>
      <c r="BQ323" s="449">
        <v>0</v>
      </c>
      <c r="BR323" s="449">
        <v>0</v>
      </c>
      <c r="BS323" s="449">
        <v>0</v>
      </c>
      <c r="BT323" s="449">
        <v>0</v>
      </c>
    </row>
    <row r="324" spans="1:74" ht="15" hidden="1" x14ac:dyDescent="0.25">
      <c r="A324" s="614" t="s">
        <v>557</v>
      </c>
      <c r="B324" s="614" t="s">
        <v>558</v>
      </c>
      <c r="C324" s="541"/>
      <c r="D324" s="500">
        <f t="shared" si="259"/>
        <v>0</v>
      </c>
      <c r="E324" s="449">
        <v>0</v>
      </c>
      <c r="F324" s="449">
        <f t="shared" si="260"/>
        <v>0</v>
      </c>
      <c r="G324" s="421">
        <f t="shared" si="261"/>
        <v>0</v>
      </c>
      <c r="H324" s="449">
        <v>0</v>
      </c>
      <c r="I324" s="449">
        <f t="shared" si="262"/>
        <v>0</v>
      </c>
      <c r="J324" s="426">
        <f t="shared" si="263"/>
        <v>0</v>
      </c>
      <c r="K324" s="421"/>
      <c r="L324" s="449">
        <v>0</v>
      </c>
      <c r="M324" s="449">
        <v>0</v>
      </c>
      <c r="N324" s="449">
        <v>0</v>
      </c>
      <c r="O324" s="449">
        <v>0</v>
      </c>
      <c r="P324" s="449">
        <v>0</v>
      </c>
      <c r="Q324" s="449">
        <v>0</v>
      </c>
      <c r="R324" s="449">
        <f>($H324-SUM($L324:Q324))/R$694</f>
        <v>0</v>
      </c>
      <c r="S324" s="449">
        <f>($H324-SUM($L324:R324))/S$694</f>
        <v>0</v>
      </c>
      <c r="T324" s="449">
        <f>($H324-SUM($L324:S324))/T$694</f>
        <v>0</v>
      </c>
      <c r="U324" s="449">
        <f>($H324-SUM($L324:T324))/U$694</f>
        <v>0</v>
      </c>
      <c r="V324" s="449">
        <f>($H324-SUM($L324:U324))/V$694</f>
        <v>0</v>
      </c>
      <c r="W324" s="449">
        <f>($H324-SUM($L324:V324))/W$694</f>
        <v>0</v>
      </c>
      <c r="X324" s="449"/>
      <c r="Y324" s="449">
        <f t="shared" si="264"/>
        <v>0</v>
      </c>
      <c r="Z324" s="531"/>
      <c r="AA324" s="449">
        <f t="shared" si="279"/>
        <v>0</v>
      </c>
      <c r="AB324" s="449">
        <f t="shared" si="279"/>
        <v>0</v>
      </c>
      <c r="AC324" s="449">
        <f t="shared" si="279"/>
        <v>0</v>
      </c>
      <c r="AD324" s="449">
        <f t="shared" si="279"/>
        <v>0</v>
      </c>
      <c r="AE324" s="449">
        <f t="shared" si="279"/>
        <v>0</v>
      </c>
      <c r="AF324" s="449">
        <f t="shared" si="279"/>
        <v>0</v>
      </c>
      <c r="AG324" s="449">
        <f t="shared" si="279"/>
        <v>0</v>
      </c>
      <c r="AH324" s="449">
        <f t="shared" si="279"/>
        <v>0</v>
      </c>
      <c r="AI324" s="449">
        <f t="shared" si="279"/>
        <v>0</v>
      </c>
      <c r="AJ324" s="449">
        <f t="shared" si="279"/>
        <v>0</v>
      </c>
      <c r="AK324" s="449">
        <f t="shared" si="279"/>
        <v>0</v>
      </c>
      <c r="AL324" s="449">
        <f t="shared" si="279"/>
        <v>0</v>
      </c>
      <c r="AN324" s="500">
        <f t="shared" si="278"/>
        <v>0</v>
      </c>
      <c r="AO324" s="449">
        <f t="shared" si="267"/>
        <v>0</v>
      </c>
      <c r="AP324" s="449">
        <f t="shared" si="268"/>
        <v>0</v>
      </c>
      <c r="AQ324" s="453" t="str">
        <f t="shared" si="269"/>
        <v>-</v>
      </c>
      <c r="AR324" s="449">
        <f t="shared" si="270"/>
        <v>0</v>
      </c>
      <c r="AS324" s="449">
        <f t="shared" si="271"/>
        <v>0</v>
      </c>
      <c r="AT324" s="426">
        <f t="shared" si="272"/>
        <v>0</v>
      </c>
      <c r="AU324" s="421"/>
      <c r="AV324" s="449">
        <f t="shared" si="276"/>
        <v>0</v>
      </c>
      <c r="AW324" s="449">
        <f t="shared" si="276"/>
        <v>0</v>
      </c>
      <c r="AX324" s="449">
        <f t="shared" si="276"/>
        <v>0</v>
      </c>
      <c r="AY324" s="449">
        <f t="shared" si="276"/>
        <v>0</v>
      </c>
      <c r="AZ324" s="449">
        <f t="shared" si="276"/>
        <v>0</v>
      </c>
      <c r="BA324" s="449">
        <f t="shared" si="276"/>
        <v>0</v>
      </c>
      <c r="BB324" s="449">
        <f t="shared" si="280"/>
        <v>0</v>
      </c>
      <c r="BC324" s="449">
        <f t="shared" si="280"/>
        <v>0</v>
      </c>
      <c r="BD324" s="449">
        <f t="shared" si="280"/>
        <v>0</v>
      </c>
      <c r="BE324" s="449">
        <f t="shared" si="280"/>
        <v>0</v>
      </c>
      <c r="BF324" s="449">
        <f t="shared" si="280"/>
        <v>0</v>
      </c>
      <c r="BG324" s="449">
        <f t="shared" si="280"/>
        <v>0</v>
      </c>
      <c r="BH324" s="400"/>
      <c r="BI324" s="449">
        <v>0</v>
      </c>
      <c r="BJ324" s="449">
        <v>0</v>
      </c>
      <c r="BK324" s="449">
        <v>0</v>
      </c>
      <c r="BL324" s="449">
        <v>0</v>
      </c>
      <c r="BM324" s="449">
        <v>0</v>
      </c>
      <c r="BN324" s="449">
        <v>0</v>
      </c>
      <c r="BO324" s="449">
        <v>0</v>
      </c>
      <c r="BP324" s="449">
        <v>0</v>
      </c>
      <c r="BQ324" s="449">
        <v>0</v>
      </c>
      <c r="BR324" s="449">
        <v>0</v>
      </c>
      <c r="BS324" s="449">
        <v>0</v>
      </c>
      <c r="BT324" s="449">
        <v>0</v>
      </c>
    </row>
    <row r="325" spans="1:74" ht="15" hidden="1" x14ac:dyDescent="0.25">
      <c r="A325" s="614" t="s">
        <v>559</v>
      </c>
      <c r="B325" s="614" t="s">
        <v>560</v>
      </c>
      <c r="C325" s="541"/>
      <c r="D325" s="500">
        <f t="shared" si="259"/>
        <v>0</v>
      </c>
      <c r="E325" s="449">
        <v>0</v>
      </c>
      <c r="F325" s="449">
        <f t="shared" si="260"/>
        <v>0</v>
      </c>
      <c r="G325" s="421">
        <f t="shared" si="261"/>
        <v>0</v>
      </c>
      <c r="H325" s="449">
        <v>0</v>
      </c>
      <c r="I325" s="449">
        <f t="shared" si="262"/>
        <v>0</v>
      </c>
      <c r="J325" s="426">
        <f t="shared" si="263"/>
        <v>0</v>
      </c>
      <c r="K325" s="421"/>
      <c r="L325" s="449">
        <v>0</v>
      </c>
      <c r="M325" s="449">
        <v>0</v>
      </c>
      <c r="N325" s="449">
        <v>0</v>
      </c>
      <c r="O325" s="449">
        <v>0</v>
      </c>
      <c r="P325" s="449">
        <v>0</v>
      </c>
      <c r="Q325" s="449">
        <v>0</v>
      </c>
      <c r="R325" s="449">
        <f>($H325-SUM($L325:Q325))/R$694</f>
        <v>0</v>
      </c>
      <c r="S325" s="449">
        <f>($H325-SUM($L325:R325))/S$694</f>
        <v>0</v>
      </c>
      <c r="T325" s="449">
        <f>($H325-SUM($L325:S325))/T$694</f>
        <v>0</v>
      </c>
      <c r="U325" s="449">
        <f>($H325-SUM($L325:T325))/U$694</f>
        <v>0</v>
      </c>
      <c r="V325" s="449">
        <f>($H325-SUM($L325:U325))/V$694</f>
        <v>0</v>
      </c>
      <c r="W325" s="449">
        <f>($H325-SUM($L325:V325))/W$694</f>
        <v>0</v>
      </c>
      <c r="X325" s="449"/>
      <c r="Y325" s="449">
        <f t="shared" si="264"/>
        <v>0</v>
      </c>
      <c r="Z325" s="531"/>
      <c r="AA325" s="449">
        <f t="shared" si="279"/>
        <v>0</v>
      </c>
      <c r="AB325" s="449">
        <f t="shared" si="279"/>
        <v>0</v>
      </c>
      <c r="AC325" s="449">
        <f t="shared" si="279"/>
        <v>0</v>
      </c>
      <c r="AD325" s="449">
        <f t="shared" si="279"/>
        <v>0</v>
      </c>
      <c r="AE325" s="449">
        <f t="shared" si="279"/>
        <v>0</v>
      </c>
      <c r="AF325" s="449">
        <f t="shared" si="279"/>
        <v>0</v>
      </c>
      <c r="AG325" s="449">
        <f t="shared" si="279"/>
        <v>0</v>
      </c>
      <c r="AH325" s="449">
        <f t="shared" si="279"/>
        <v>0</v>
      </c>
      <c r="AI325" s="449">
        <f t="shared" si="279"/>
        <v>0</v>
      </c>
      <c r="AJ325" s="449">
        <f t="shared" si="279"/>
        <v>0</v>
      </c>
      <c r="AK325" s="449">
        <f t="shared" si="279"/>
        <v>0</v>
      </c>
      <c r="AL325" s="449">
        <f t="shared" si="279"/>
        <v>0</v>
      </c>
      <c r="AN325" s="500">
        <f t="shared" si="278"/>
        <v>0</v>
      </c>
      <c r="AO325" s="449">
        <f t="shared" si="267"/>
        <v>0</v>
      </c>
      <c r="AP325" s="449">
        <f t="shared" si="268"/>
        <v>0</v>
      </c>
      <c r="AQ325" s="453" t="str">
        <f t="shared" si="269"/>
        <v>-</v>
      </c>
      <c r="AR325" s="449">
        <f t="shared" si="270"/>
        <v>0</v>
      </c>
      <c r="AS325" s="449">
        <f t="shared" si="271"/>
        <v>0</v>
      </c>
      <c r="AT325" s="426">
        <f t="shared" si="272"/>
        <v>0</v>
      </c>
      <c r="AU325" s="421"/>
      <c r="AV325" s="449">
        <f t="shared" si="276"/>
        <v>0</v>
      </c>
      <c r="AW325" s="449">
        <f t="shared" si="276"/>
        <v>0</v>
      </c>
      <c r="AX325" s="449">
        <f t="shared" si="276"/>
        <v>0</v>
      </c>
      <c r="AY325" s="449">
        <f t="shared" si="276"/>
        <v>0</v>
      </c>
      <c r="AZ325" s="449">
        <f t="shared" si="276"/>
        <v>0</v>
      </c>
      <c r="BA325" s="449">
        <f t="shared" si="276"/>
        <v>0</v>
      </c>
      <c r="BB325" s="449">
        <f t="shared" si="280"/>
        <v>0</v>
      </c>
      <c r="BC325" s="449">
        <f t="shared" si="280"/>
        <v>0</v>
      </c>
      <c r="BD325" s="449">
        <f t="shared" si="280"/>
        <v>0</v>
      </c>
      <c r="BE325" s="449">
        <f t="shared" si="280"/>
        <v>0</v>
      </c>
      <c r="BF325" s="449">
        <f t="shared" si="280"/>
        <v>0</v>
      </c>
      <c r="BG325" s="449">
        <f t="shared" si="280"/>
        <v>0</v>
      </c>
      <c r="BH325" s="400"/>
      <c r="BI325" s="449">
        <v>0</v>
      </c>
      <c r="BJ325" s="449">
        <v>0</v>
      </c>
      <c r="BK325" s="449">
        <v>0</v>
      </c>
      <c r="BL325" s="449">
        <v>0</v>
      </c>
      <c r="BM325" s="449">
        <v>0</v>
      </c>
      <c r="BN325" s="449">
        <v>0</v>
      </c>
      <c r="BO325" s="449">
        <v>0</v>
      </c>
      <c r="BP325" s="449">
        <v>0</v>
      </c>
      <c r="BQ325" s="449">
        <v>0</v>
      </c>
      <c r="BR325" s="449">
        <v>0</v>
      </c>
      <c r="BS325" s="449">
        <v>0</v>
      </c>
      <c r="BT325" s="449">
        <v>0</v>
      </c>
    </row>
    <row r="326" spans="1:74" ht="15" hidden="1" x14ac:dyDescent="0.25">
      <c r="A326" s="614" t="s">
        <v>561</v>
      </c>
      <c r="B326" s="614" t="s">
        <v>562</v>
      </c>
      <c r="C326" s="541"/>
      <c r="D326" s="500">
        <f t="shared" si="259"/>
        <v>0</v>
      </c>
      <c r="E326" s="449">
        <v>0</v>
      </c>
      <c r="F326" s="449">
        <f t="shared" si="260"/>
        <v>0</v>
      </c>
      <c r="G326" s="421">
        <f t="shared" si="261"/>
        <v>0</v>
      </c>
      <c r="H326" s="449">
        <v>0</v>
      </c>
      <c r="I326" s="449">
        <f t="shared" si="262"/>
        <v>0</v>
      </c>
      <c r="J326" s="426">
        <f t="shared" si="263"/>
        <v>0</v>
      </c>
      <c r="K326" s="421"/>
      <c r="L326" s="449">
        <v>0</v>
      </c>
      <c r="M326" s="449">
        <v>0</v>
      </c>
      <c r="N326" s="449">
        <v>0</v>
      </c>
      <c r="O326" s="449">
        <v>0</v>
      </c>
      <c r="P326" s="449">
        <v>0</v>
      </c>
      <c r="Q326" s="449">
        <v>0</v>
      </c>
      <c r="R326" s="449">
        <f>($H326-SUM($L326:Q326))/R$694</f>
        <v>0</v>
      </c>
      <c r="S326" s="449">
        <f>($H326-SUM($L326:R326))/S$694</f>
        <v>0</v>
      </c>
      <c r="T326" s="449">
        <f>($H326-SUM($L326:S326))/T$694</f>
        <v>0</v>
      </c>
      <c r="U326" s="449">
        <f>($H326-SUM($L326:T326))/U$694</f>
        <v>0</v>
      </c>
      <c r="V326" s="449">
        <f>($H326-SUM($L326:U326))/V$694</f>
        <v>0</v>
      </c>
      <c r="W326" s="449">
        <f>($H326-SUM($L326:V326))/W$694</f>
        <v>0</v>
      </c>
      <c r="X326" s="449"/>
      <c r="Y326" s="449">
        <f t="shared" si="264"/>
        <v>0</v>
      </c>
      <c r="Z326" s="531"/>
      <c r="AA326" s="449">
        <f t="shared" si="279"/>
        <v>0</v>
      </c>
      <c r="AB326" s="449">
        <f t="shared" si="279"/>
        <v>0</v>
      </c>
      <c r="AC326" s="449">
        <f t="shared" si="279"/>
        <v>0</v>
      </c>
      <c r="AD326" s="449">
        <f t="shared" si="279"/>
        <v>0</v>
      </c>
      <c r="AE326" s="449">
        <f t="shared" si="279"/>
        <v>0</v>
      </c>
      <c r="AF326" s="449">
        <f t="shared" si="279"/>
        <v>0</v>
      </c>
      <c r="AG326" s="449">
        <f t="shared" si="279"/>
        <v>0</v>
      </c>
      <c r="AH326" s="449">
        <f t="shared" si="279"/>
        <v>0</v>
      </c>
      <c r="AI326" s="449">
        <f t="shared" si="279"/>
        <v>0</v>
      </c>
      <c r="AJ326" s="449">
        <f t="shared" si="279"/>
        <v>0</v>
      </c>
      <c r="AK326" s="449">
        <f t="shared" si="279"/>
        <v>0</v>
      </c>
      <c r="AL326" s="449">
        <f t="shared" si="279"/>
        <v>0</v>
      </c>
      <c r="AN326" s="500">
        <f t="shared" si="278"/>
        <v>0</v>
      </c>
      <c r="AO326" s="449">
        <f t="shared" si="267"/>
        <v>0</v>
      </c>
      <c r="AP326" s="449">
        <f t="shared" si="268"/>
        <v>0</v>
      </c>
      <c r="AQ326" s="453" t="str">
        <f t="shared" si="269"/>
        <v>-</v>
      </c>
      <c r="AR326" s="449">
        <f t="shared" si="270"/>
        <v>0</v>
      </c>
      <c r="AS326" s="449">
        <f t="shared" si="271"/>
        <v>0</v>
      </c>
      <c r="AT326" s="426">
        <f t="shared" si="272"/>
        <v>0</v>
      </c>
      <c r="AU326" s="421"/>
      <c r="AV326" s="449">
        <f t="shared" si="276"/>
        <v>0</v>
      </c>
      <c r="AW326" s="449">
        <f t="shared" si="276"/>
        <v>0</v>
      </c>
      <c r="AX326" s="449">
        <f t="shared" si="276"/>
        <v>0</v>
      </c>
      <c r="AY326" s="449">
        <f t="shared" si="276"/>
        <v>0</v>
      </c>
      <c r="AZ326" s="449">
        <f t="shared" si="276"/>
        <v>0</v>
      </c>
      <c r="BA326" s="449">
        <f t="shared" si="276"/>
        <v>0</v>
      </c>
      <c r="BB326" s="449">
        <f t="shared" si="280"/>
        <v>0</v>
      </c>
      <c r="BC326" s="449">
        <f t="shared" si="280"/>
        <v>0</v>
      </c>
      <c r="BD326" s="449">
        <f t="shared" si="280"/>
        <v>0</v>
      </c>
      <c r="BE326" s="449">
        <f t="shared" si="280"/>
        <v>0</v>
      </c>
      <c r="BF326" s="449">
        <f t="shared" si="280"/>
        <v>0</v>
      </c>
      <c r="BG326" s="449">
        <f t="shared" si="280"/>
        <v>0</v>
      </c>
      <c r="BH326" s="400"/>
      <c r="BI326" s="449">
        <v>0</v>
      </c>
      <c r="BJ326" s="449">
        <v>0</v>
      </c>
      <c r="BK326" s="449">
        <v>0</v>
      </c>
      <c r="BL326" s="449">
        <v>0</v>
      </c>
      <c r="BM326" s="449">
        <v>0</v>
      </c>
      <c r="BN326" s="449">
        <v>0</v>
      </c>
      <c r="BO326" s="449">
        <v>0</v>
      </c>
      <c r="BP326" s="449">
        <v>0</v>
      </c>
      <c r="BQ326" s="449">
        <v>0</v>
      </c>
      <c r="BR326" s="449">
        <v>0</v>
      </c>
      <c r="BS326" s="449">
        <v>0</v>
      </c>
      <c r="BT326" s="449">
        <v>0</v>
      </c>
    </row>
    <row r="327" spans="1:74" ht="15" hidden="1" customHeight="1" x14ac:dyDescent="0.25">
      <c r="A327" s="614" t="s">
        <v>563</v>
      </c>
      <c r="B327" s="614" t="s">
        <v>564</v>
      </c>
      <c r="C327" s="538"/>
      <c r="D327" s="500">
        <f t="shared" si="259"/>
        <v>0</v>
      </c>
      <c r="E327" s="449">
        <v>0</v>
      </c>
      <c r="F327" s="449">
        <f t="shared" si="260"/>
        <v>0</v>
      </c>
      <c r="G327" s="421">
        <f t="shared" si="261"/>
        <v>0</v>
      </c>
      <c r="H327" s="449">
        <v>0</v>
      </c>
      <c r="I327" s="449">
        <f t="shared" si="262"/>
        <v>0</v>
      </c>
      <c r="J327" s="426">
        <f t="shared" si="263"/>
        <v>0</v>
      </c>
      <c r="K327" s="421"/>
      <c r="L327" s="449">
        <v>0</v>
      </c>
      <c r="M327" s="449">
        <v>0</v>
      </c>
      <c r="N327" s="449">
        <v>0</v>
      </c>
      <c r="O327" s="449">
        <v>0</v>
      </c>
      <c r="P327" s="449">
        <v>0</v>
      </c>
      <c r="Q327" s="449">
        <v>0</v>
      </c>
      <c r="R327" s="449">
        <f>($H327-SUM($L327:Q327))/R$694</f>
        <v>0</v>
      </c>
      <c r="S327" s="449">
        <f>($H327-SUM($L327:R327))/S$694</f>
        <v>0</v>
      </c>
      <c r="T327" s="449">
        <f>($H327-SUM($L327:S327))/T$694</f>
        <v>0</v>
      </c>
      <c r="U327" s="449">
        <f>($H327-SUM($L327:T327))/U$694</f>
        <v>0</v>
      </c>
      <c r="V327" s="449">
        <f>($H327-SUM($L327:U327))/V$694</f>
        <v>0</v>
      </c>
      <c r="W327" s="449">
        <f>($H327-SUM($L327:V327))/W$694</f>
        <v>0</v>
      </c>
      <c r="X327" s="449"/>
      <c r="Y327" s="449">
        <f t="shared" si="264"/>
        <v>0</v>
      </c>
      <c r="Z327" s="531"/>
      <c r="AA327" s="449">
        <f t="shared" si="279"/>
        <v>0</v>
      </c>
      <c r="AB327" s="449">
        <f t="shared" si="279"/>
        <v>0</v>
      </c>
      <c r="AC327" s="449">
        <f t="shared" si="279"/>
        <v>0</v>
      </c>
      <c r="AD327" s="449">
        <f t="shared" si="279"/>
        <v>0</v>
      </c>
      <c r="AE327" s="449">
        <f t="shared" si="279"/>
        <v>0</v>
      </c>
      <c r="AF327" s="449">
        <f t="shared" si="279"/>
        <v>0</v>
      </c>
      <c r="AG327" s="449">
        <f t="shared" si="279"/>
        <v>0</v>
      </c>
      <c r="AH327" s="449">
        <f t="shared" si="279"/>
        <v>0</v>
      </c>
      <c r="AI327" s="449">
        <f t="shared" si="279"/>
        <v>0</v>
      </c>
      <c r="AJ327" s="449">
        <f t="shared" si="279"/>
        <v>0</v>
      </c>
      <c r="AK327" s="449">
        <f t="shared" si="279"/>
        <v>0</v>
      </c>
      <c r="AL327" s="449">
        <f t="shared" si="279"/>
        <v>0</v>
      </c>
      <c r="AN327" s="500">
        <f t="shared" si="278"/>
        <v>0</v>
      </c>
      <c r="AO327" s="449">
        <f t="shared" si="267"/>
        <v>0</v>
      </c>
      <c r="AP327" s="449">
        <f t="shared" si="268"/>
        <v>0</v>
      </c>
      <c r="AQ327" s="453" t="str">
        <f t="shared" si="269"/>
        <v>-</v>
      </c>
      <c r="AR327" s="449">
        <f t="shared" si="270"/>
        <v>0</v>
      </c>
      <c r="AS327" s="449">
        <f t="shared" si="271"/>
        <v>0</v>
      </c>
      <c r="AT327" s="426">
        <f t="shared" si="272"/>
        <v>0</v>
      </c>
      <c r="AU327" s="421"/>
      <c r="AV327" s="449">
        <f t="shared" si="276"/>
        <v>0</v>
      </c>
      <c r="AW327" s="449">
        <f t="shared" si="276"/>
        <v>0</v>
      </c>
      <c r="AX327" s="449">
        <f t="shared" si="276"/>
        <v>0</v>
      </c>
      <c r="AY327" s="449">
        <f t="shared" si="276"/>
        <v>0</v>
      </c>
      <c r="AZ327" s="449">
        <f t="shared" si="276"/>
        <v>0</v>
      </c>
      <c r="BA327" s="449">
        <f t="shared" si="276"/>
        <v>0</v>
      </c>
      <c r="BB327" s="449">
        <f t="shared" si="280"/>
        <v>0</v>
      </c>
      <c r="BC327" s="449">
        <f t="shared" si="280"/>
        <v>0</v>
      </c>
      <c r="BD327" s="449">
        <f t="shared" si="280"/>
        <v>0</v>
      </c>
      <c r="BE327" s="449">
        <f t="shared" si="280"/>
        <v>0</v>
      </c>
      <c r="BF327" s="449">
        <f t="shared" si="280"/>
        <v>0</v>
      </c>
      <c r="BG327" s="449">
        <f t="shared" si="280"/>
        <v>0</v>
      </c>
      <c r="BH327" s="400"/>
      <c r="BI327" s="449">
        <v>0</v>
      </c>
      <c r="BJ327" s="449">
        <v>0</v>
      </c>
      <c r="BK327" s="449">
        <v>0</v>
      </c>
      <c r="BL327" s="449">
        <v>0</v>
      </c>
      <c r="BM327" s="449">
        <v>0</v>
      </c>
      <c r="BN327" s="449">
        <v>0</v>
      </c>
      <c r="BO327" s="449">
        <v>0</v>
      </c>
      <c r="BP327" s="449">
        <v>0</v>
      </c>
      <c r="BQ327" s="449">
        <v>0</v>
      </c>
      <c r="BR327" s="449">
        <v>0</v>
      </c>
      <c r="BS327" s="449">
        <v>0</v>
      </c>
      <c r="BT327" s="449">
        <v>0</v>
      </c>
    </row>
    <row r="328" spans="1:74" ht="15" x14ac:dyDescent="0.25">
      <c r="A328" s="502" t="s">
        <v>565</v>
      </c>
      <c r="B328" s="502" t="s">
        <v>566</v>
      </c>
      <c r="C328" s="597"/>
      <c r="D328" s="500">
        <f t="shared" si="259"/>
        <v>4823</v>
      </c>
      <c r="E328" s="449">
        <v>4823</v>
      </c>
      <c r="F328" s="449">
        <f t="shared" si="260"/>
        <v>0</v>
      </c>
      <c r="G328" s="421">
        <f t="shared" si="261"/>
        <v>0</v>
      </c>
      <c r="H328" s="449">
        <v>4823</v>
      </c>
      <c r="I328" s="449">
        <f t="shared" si="262"/>
        <v>0</v>
      </c>
      <c r="J328" s="426">
        <f t="shared" si="263"/>
        <v>0</v>
      </c>
      <c r="K328" s="421"/>
      <c r="L328" s="449">
        <v>0</v>
      </c>
      <c r="M328" s="449">
        <v>284.7</v>
      </c>
      <c r="N328" s="449">
        <v>105.54000000000002</v>
      </c>
      <c r="O328" s="449">
        <v>421.61</v>
      </c>
      <c r="P328" s="449">
        <v>124.77999999999997</v>
      </c>
      <c r="Q328" s="449">
        <v>0</v>
      </c>
      <c r="R328" s="449">
        <f>($H328-SUM($L328:Q328))/R$694</f>
        <v>647.72833333333335</v>
      </c>
      <c r="S328" s="449">
        <f>($H328-SUM($L328:R328))/S$694</f>
        <v>647.72833333333324</v>
      </c>
      <c r="T328" s="449">
        <f>($H328-SUM($L328:S328))/T$694</f>
        <v>647.72833333333335</v>
      </c>
      <c r="U328" s="449">
        <f>($H328-SUM($L328:T328))/U$694</f>
        <v>647.72833333333335</v>
      </c>
      <c r="V328" s="449">
        <f>($H328-SUM($L328:U328))/V$694</f>
        <v>647.72833333333324</v>
      </c>
      <c r="W328" s="449">
        <f>($H328-SUM($L328:V328))/W$694</f>
        <v>647.72833333333347</v>
      </c>
      <c r="X328" s="449"/>
      <c r="Y328" s="449">
        <f t="shared" si="264"/>
        <v>4823</v>
      </c>
      <c r="Z328" s="531"/>
      <c r="AA328" s="449">
        <f t="shared" si="279"/>
        <v>401.91666666666669</v>
      </c>
      <c r="AB328" s="449">
        <f t="shared" si="279"/>
        <v>401.91666666666669</v>
      </c>
      <c r="AC328" s="449">
        <f t="shared" si="279"/>
        <v>401.91666666666669</v>
      </c>
      <c r="AD328" s="449">
        <f t="shared" si="279"/>
        <v>401.91666666666669</v>
      </c>
      <c r="AE328" s="449">
        <f t="shared" si="279"/>
        <v>401.91666666666669</v>
      </c>
      <c r="AF328" s="449">
        <f t="shared" si="279"/>
        <v>401.91666666666669</v>
      </c>
      <c r="AG328" s="449">
        <f t="shared" si="279"/>
        <v>401.91666666666669</v>
      </c>
      <c r="AH328" s="449">
        <f t="shared" si="279"/>
        <v>401.91666666666669</v>
      </c>
      <c r="AI328" s="449">
        <f t="shared" si="279"/>
        <v>401.91666666666669</v>
      </c>
      <c r="AJ328" s="449">
        <f t="shared" si="279"/>
        <v>401.91666666666669</v>
      </c>
      <c r="AK328" s="449">
        <f t="shared" si="279"/>
        <v>401.91666666666669</v>
      </c>
      <c r="AL328" s="449">
        <f t="shared" si="279"/>
        <v>401.91666666666669</v>
      </c>
      <c r="AN328" s="500">
        <f t="shared" si="278"/>
        <v>4823</v>
      </c>
      <c r="AO328" s="449">
        <f t="shared" si="267"/>
        <v>3599.9999999999986</v>
      </c>
      <c r="AP328" s="449">
        <f t="shared" si="268"/>
        <v>-1223.0000000000014</v>
      </c>
      <c r="AQ328" s="453">
        <f t="shared" si="269"/>
        <v>-0.25357661206717841</v>
      </c>
      <c r="AR328" s="449">
        <f t="shared" si="270"/>
        <v>3599.9999999999986</v>
      </c>
      <c r="AS328" s="449">
        <f t="shared" si="271"/>
        <v>0</v>
      </c>
      <c r="AT328" s="426">
        <f t="shared" si="272"/>
        <v>0</v>
      </c>
      <c r="AU328" s="421"/>
      <c r="AV328" s="449">
        <f t="shared" si="276"/>
        <v>720</v>
      </c>
      <c r="AW328" s="449">
        <f t="shared" si="276"/>
        <v>720</v>
      </c>
      <c r="AX328" s="449">
        <f t="shared" si="276"/>
        <v>480</v>
      </c>
      <c r="AY328" s="449">
        <f t="shared" si="276"/>
        <v>480</v>
      </c>
      <c r="AZ328" s="449">
        <f t="shared" si="276"/>
        <v>480</v>
      </c>
      <c r="BA328" s="449">
        <f t="shared" si="276"/>
        <v>102.85714285714285</v>
      </c>
      <c r="BB328" s="449">
        <f t="shared" si="280"/>
        <v>102.85714285714285</v>
      </c>
      <c r="BC328" s="449">
        <f t="shared" si="280"/>
        <v>102.85714285714285</v>
      </c>
      <c r="BD328" s="449">
        <f t="shared" si="280"/>
        <v>102.85714285714285</v>
      </c>
      <c r="BE328" s="449">
        <f t="shared" si="280"/>
        <v>102.85714285714285</v>
      </c>
      <c r="BF328" s="449">
        <f t="shared" si="280"/>
        <v>102.85714285714285</v>
      </c>
      <c r="BG328" s="449">
        <f t="shared" si="280"/>
        <v>102.85714285714285</v>
      </c>
      <c r="BH328" s="400"/>
      <c r="BI328" s="449">
        <f>(IFERROR((3600),0))*BI$696</f>
        <v>720</v>
      </c>
      <c r="BJ328" s="449">
        <f t="shared" ref="BJ328:BT328" si="281">(IFERROR((3600),0))*BJ$696</f>
        <v>720</v>
      </c>
      <c r="BK328" s="449">
        <f t="shared" si="281"/>
        <v>480</v>
      </c>
      <c r="BL328" s="449">
        <f t="shared" si="281"/>
        <v>480</v>
      </c>
      <c r="BM328" s="449">
        <f t="shared" si="281"/>
        <v>480</v>
      </c>
      <c r="BN328" s="449">
        <f t="shared" si="281"/>
        <v>102.85714285714285</v>
      </c>
      <c r="BO328" s="449">
        <f t="shared" si="281"/>
        <v>102.85714285714285</v>
      </c>
      <c r="BP328" s="449">
        <f t="shared" si="281"/>
        <v>102.85714285714285</v>
      </c>
      <c r="BQ328" s="449">
        <f t="shared" si="281"/>
        <v>102.85714285714285</v>
      </c>
      <c r="BR328" s="449">
        <f t="shared" si="281"/>
        <v>102.85714285714285</v>
      </c>
      <c r="BS328" s="449">
        <f t="shared" si="281"/>
        <v>102.85714285714285</v>
      </c>
      <c r="BT328" s="449">
        <f t="shared" si="281"/>
        <v>102.85714285714285</v>
      </c>
    </row>
    <row r="329" spans="1:74" ht="15" x14ac:dyDescent="0.25">
      <c r="A329" s="502" t="s">
        <v>567</v>
      </c>
      <c r="B329" s="502" t="s">
        <v>568</v>
      </c>
      <c r="C329" s="597"/>
      <c r="D329" s="500">
        <f t="shared" si="259"/>
        <v>0</v>
      </c>
      <c r="E329" s="449">
        <v>0</v>
      </c>
      <c r="F329" s="449">
        <f t="shared" si="260"/>
        <v>0</v>
      </c>
      <c r="G329" s="421">
        <f t="shared" si="261"/>
        <v>0</v>
      </c>
      <c r="H329" s="449">
        <v>0</v>
      </c>
      <c r="I329" s="449">
        <f t="shared" si="262"/>
        <v>0</v>
      </c>
      <c r="J329" s="426">
        <f t="shared" si="263"/>
        <v>0</v>
      </c>
      <c r="K329" s="421"/>
      <c r="L329" s="449">
        <v>0</v>
      </c>
      <c r="M329" s="449">
        <v>0</v>
      </c>
      <c r="N329" s="449">
        <v>0</v>
      </c>
      <c r="O329" s="449">
        <v>0</v>
      </c>
      <c r="P329" s="449">
        <v>0</v>
      </c>
      <c r="Q329" s="449">
        <v>0</v>
      </c>
      <c r="R329" s="449">
        <f>($H329-SUM($L329:Q329))/R$694</f>
        <v>0</v>
      </c>
      <c r="S329" s="449">
        <f>($H329-SUM($L329:R329))/S$694</f>
        <v>0</v>
      </c>
      <c r="T329" s="449">
        <f>($H329-SUM($L329:S329))/T$694</f>
        <v>0</v>
      </c>
      <c r="U329" s="449">
        <f>($H329-SUM($L329:T329))/U$694</f>
        <v>0</v>
      </c>
      <c r="V329" s="449">
        <f>($H329-SUM($L329:U329))/V$694</f>
        <v>0</v>
      </c>
      <c r="W329" s="449">
        <f>($H329-SUM($L329:V329))/W$694</f>
        <v>0</v>
      </c>
      <c r="X329" s="449"/>
      <c r="Y329" s="449">
        <f t="shared" si="264"/>
        <v>0</v>
      </c>
      <c r="Z329" s="531"/>
      <c r="AA329" s="449">
        <f t="shared" si="279"/>
        <v>0</v>
      </c>
      <c r="AB329" s="449">
        <f t="shared" si="279"/>
        <v>0</v>
      </c>
      <c r="AC329" s="449">
        <f t="shared" si="279"/>
        <v>0</v>
      </c>
      <c r="AD329" s="449">
        <f t="shared" si="279"/>
        <v>0</v>
      </c>
      <c r="AE329" s="449">
        <f t="shared" si="279"/>
        <v>0</v>
      </c>
      <c r="AF329" s="449">
        <f t="shared" si="279"/>
        <v>0</v>
      </c>
      <c r="AG329" s="449">
        <f t="shared" si="279"/>
        <v>0</v>
      </c>
      <c r="AH329" s="449">
        <f t="shared" si="279"/>
        <v>0</v>
      </c>
      <c r="AI329" s="449">
        <f t="shared" si="279"/>
        <v>0</v>
      </c>
      <c r="AJ329" s="449">
        <f t="shared" si="279"/>
        <v>0</v>
      </c>
      <c r="AK329" s="449">
        <f t="shared" si="279"/>
        <v>0</v>
      </c>
      <c r="AL329" s="449">
        <f t="shared" si="279"/>
        <v>0</v>
      </c>
      <c r="AN329" s="500">
        <f t="shared" si="278"/>
        <v>0</v>
      </c>
      <c r="AO329" s="449">
        <f t="shared" si="267"/>
        <v>0</v>
      </c>
      <c r="AP329" s="449">
        <f t="shared" si="268"/>
        <v>0</v>
      </c>
      <c r="AQ329" s="453" t="str">
        <f t="shared" si="269"/>
        <v>-</v>
      </c>
      <c r="AR329" s="449">
        <f t="shared" si="270"/>
        <v>0</v>
      </c>
      <c r="AS329" s="449">
        <f t="shared" si="271"/>
        <v>0</v>
      </c>
      <c r="AT329" s="426">
        <f t="shared" si="272"/>
        <v>0</v>
      </c>
      <c r="AU329" s="421"/>
      <c r="AV329" s="449">
        <f t="shared" si="276"/>
        <v>0</v>
      </c>
      <c r="AW329" s="449">
        <f t="shared" si="276"/>
        <v>0</v>
      </c>
      <c r="AX329" s="449">
        <f t="shared" si="276"/>
        <v>0</v>
      </c>
      <c r="AY329" s="449">
        <f t="shared" si="276"/>
        <v>0</v>
      </c>
      <c r="AZ329" s="449">
        <f t="shared" si="276"/>
        <v>0</v>
      </c>
      <c r="BA329" s="449">
        <f t="shared" si="276"/>
        <v>0</v>
      </c>
      <c r="BB329" s="449">
        <f t="shared" si="280"/>
        <v>0</v>
      </c>
      <c r="BC329" s="449">
        <f t="shared" si="280"/>
        <v>0</v>
      </c>
      <c r="BD329" s="449">
        <f t="shared" si="280"/>
        <v>0</v>
      </c>
      <c r="BE329" s="449">
        <f t="shared" si="280"/>
        <v>0</v>
      </c>
      <c r="BF329" s="449">
        <f t="shared" si="280"/>
        <v>0</v>
      </c>
      <c r="BG329" s="449">
        <f t="shared" si="280"/>
        <v>0</v>
      </c>
      <c r="BH329" s="400"/>
      <c r="BI329" s="449">
        <f t="shared" ref="BI329:BT329" si="282">IFERROR((($H329/$H$5)*BI$5)/12,0)</f>
        <v>0</v>
      </c>
      <c r="BJ329" s="449">
        <f t="shared" si="282"/>
        <v>0</v>
      </c>
      <c r="BK329" s="449">
        <f t="shared" si="282"/>
        <v>0</v>
      </c>
      <c r="BL329" s="449">
        <f t="shared" si="282"/>
        <v>0</v>
      </c>
      <c r="BM329" s="449">
        <f t="shared" si="282"/>
        <v>0</v>
      </c>
      <c r="BN329" s="449">
        <f t="shared" si="282"/>
        <v>0</v>
      </c>
      <c r="BO329" s="449">
        <f t="shared" si="282"/>
        <v>0</v>
      </c>
      <c r="BP329" s="449">
        <f t="shared" si="282"/>
        <v>0</v>
      </c>
      <c r="BQ329" s="449">
        <f t="shared" si="282"/>
        <v>0</v>
      </c>
      <c r="BR329" s="449">
        <f t="shared" si="282"/>
        <v>0</v>
      </c>
      <c r="BS329" s="449">
        <f t="shared" si="282"/>
        <v>0</v>
      </c>
      <c r="BT329" s="449">
        <f t="shared" si="282"/>
        <v>0</v>
      </c>
    </row>
    <row r="330" spans="1:74" ht="8.25" customHeight="1" x14ac:dyDescent="0.25">
      <c r="A330" s="587"/>
      <c r="B330" s="502"/>
      <c r="C330" s="597"/>
      <c r="D330" s="500"/>
      <c r="E330" s="449"/>
      <c r="F330" s="449"/>
      <c r="G330" s="421"/>
      <c r="H330" s="449"/>
      <c r="I330" s="449"/>
      <c r="J330" s="426"/>
      <c r="K330" s="421"/>
      <c r="L330" s="449"/>
      <c r="M330" s="449"/>
      <c r="N330" s="449"/>
      <c r="O330" s="449"/>
      <c r="P330" s="449"/>
      <c r="Q330" s="449"/>
      <c r="R330" s="449"/>
      <c r="S330" s="449"/>
      <c r="T330" s="449"/>
      <c r="U330" s="449"/>
      <c r="V330" s="449"/>
      <c r="W330" s="449"/>
      <c r="X330" s="449"/>
      <c r="Y330" s="449"/>
      <c r="Z330" s="531"/>
      <c r="AA330" s="449"/>
      <c r="AB330" s="449"/>
      <c r="AC330" s="449"/>
      <c r="AD330" s="449"/>
      <c r="AE330" s="449"/>
      <c r="AF330" s="449"/>
      <c r="AG330" s="449"/>
      <c r="AH330" s="449"/>
      <c r="AI330" s="449"/>
      <c r="AJ330" s="449"/>
      <c r="AK330" s="449"/>
      <c r="AL330" s="449"/>
      <c r="AN330" s="500"/>
      <c r="AO330" s="449"/>
      <c r="AP330" s="449"/>
      <c r="AQ330" s="453"/>
      <c r="AR330" s="449"/>
      <c r="AS330" s="449"/>
      <c r="AT330" s="426"/>
      <c r="AU330" s="421"/>
      <c r="AV330" s="449"/>
      <c r="AW330" s="449"/>
      <c r="AX330" s="449"/>
      <c r="AY330" s="449"/>
      <c r="AZ330" s="449"/>
      <c r="BA330" s="449"/>
      <c r="BB330" s="449"/>
      <c r="BC330" s="449"/>
      <c r="BD330" s="449"/>
      <c r="BE330" s="449"/>
      <c r="BF330" s="449"/>
      <c r="BG330" s="449"/>
      <c r="BH330" s="531"/>
      <c r="BI330" s="449"/>
      <c r="BJ330" s="449"/>
      <c r="BK330" s="449"/>
      <c r="BL330" s="449"/>
      <c r="BM330" s="449"/>
      <c r="BN330" s="449"/>
      <c r="BO330" s="449"/>
      <c r="BP330" s="449"/>
      <c r="BQ330" s="449"/>
      <c r="BR330" s="449"/>
      <c r="BS330" s="449"/>
      <c r="BT330" s="449"/>
    </row>
    <row r="331" spans="1:74" s="536" customFormat="1" ht="15.75" thickBot="1" x14ac:dyDescent="0.3">
      <c r="A331" s="526"/>
      <c r="B331" s="524" t="s">
        <v>569</v>
      </c>
      <c r="C331" s="599"/>
      <c r="D331" s="532">
        <f>SUM(D268:D330)</f>
        <v>447291.99</v>
      </c>
      <c r="E331" s="533">
        <f>SUM(E268:E330)</f>
        <v>509059</v>
      </c>
      <c r="F331" s="533">
        <f>IFERROR(D331-E331,0)</f>
        <v>-61767.010000000009</v>
      </c>
      <c r="G331" s="520">
        <f>IFERROR(F331/ABS(E331),0)</f>
        <v>-0.12133566050300655</v>
      </c>
      <c r="H331" s="533">
        <f>SUM(H268:H329)</f>
        <v>443769</v>
      </c>
      <c r="I331" s="533">
        <f>IFERROR(D331-H331,0)</f>
        <v>3522.9899999999907</v>
      </c>
      <c r="J331" s="521">
        <f>IFERROR(I331/ABS(H331),0)</f>
        <v>7.9387924798712626E-3</v>
      </c>
      <c r="K331" s="507"/>
      <c r="L331" s="533">
        <f t="shared" ref="L331:W331" si="283">SUM(L268:L330)</f>
        <v>184.48999999999998</v>
      </c>
      <c r="M331" s="533">
        <f t="shared" si="283"/>
        <v>29729.200000000001</v>
      </c>
      <c r="N331" s="533">
        <f t="shared" si="283"/>
        <v>22243.45</v>
      </c>
      <c r="O331" s="533">
        <f t="shared" si="283"/>
        <v>31318.110000000004</v>
      </c>
      <c r="P331" s="533">
        <f t="shared" si="283"/>
        <v>20478.010000000002</v>
      </c>
      <c r="Q331" s="533">
        <f t="shared" si="283"/>
        <v>26376.79</v>
      </c>
      <c r="R331" s="533">
        <f t="shared" si="283"/>
        <v>52826.99</v>
      </c>
      <c r="S331" s="533">
        <f t="shared" si="283"/>
        <v>52826.99</v>
      </c>
      <c r="T331" s="533">
        <f t="shared" si="283"/>
        <v>52826.99</v>
      </c>
      <c r="U331" s="533">
        <f t="shared" si="283"/>
        <v>52826.99</v>
      </c>
      <c r="V331" s="533">
        <f t="shared" si="283"/>
        <v>52826.989999999991</v>
      </c>
      <c r="W331" s="533">
        <f t="shared" si="283"/>
        <v>52826.989999999991</v>
      </c>
      <c r="X331" s="533"/>
      <c r="Y331" s="533">
        <f>SUM(L331:W331)</f>
        <v>447291.99</v>
      </c>
      <c r="Z331" s="508"/>
      <c r="AA331" s="533">
        <f t="shared" ref="AA331:AL331" si="284">SUM(AA268:AA330)</f>
        <v>36980.75</v>
      </c>
      <c r="AB331" s="533">
        <f t="shared" si="284"/>
        <v>36980.75</v>
      </c>
      <c r="AC331" s="533">
        <f t="shared" si="284"/>
        <v>36980.75</v>
      </c>
      <c r="AD331" s="533">
        <f t="shared" si="284"/>
        <v>36980.75</v>
      </c>
      <c r="AE331" s="533">
        <f t="shared" si="284"/>
        <v>36980.75</v>
      </c>
      <c r="AF331" s="533">
        <f t="shared" si="284"/>
        <v>36980.75</v>
      </c>
      <c r="AG331" s="533">
        <f t="shared" si="284"/>
        <v>36980.75</v>
      </c>
      <c r="AH331" s="533">
        <f t="shared" si="284"/>
        <v>36980.75</v>
      </c>
      <c r="AI331" s="533">
        <f t="shared" si="284"/>
        <v>36980.75</v>
      </c>
      <c r="AJ331" s="533">
        <f t="shared" si="284"/>
        <v>36980.75</v>
      </c>
      <c r="AK331" s="533">
        <f t="shared" si="284"/>
        <v>36980.75</v>
      </c>
      <c r="AL331" s="533">
        <f t="shared" si="284"/>
        <v>36980.75</v>
      </c>
      <c r="AN331" s="532">
        <f>SUM(AN268:AN330)</f>
        <v>447291.99</v>
      </c>
      <c r="AO331" s="533">
        <f>SUM(AO268:AO330)</f>
        <v>426244.97865999996</v>
      </c>
      <c r="AP331" s="533">
        <f>IFERROR(AO331-AN331,0)</f>
        <v>-21047.011340000026</v>
      </c>
      <c r="AQ331" s="523">
        <f>IFERROR(AP331/ABS(AN331),"-")</f>
        <v>-4.7054299675699594E-2</v>
      </c>
      <c r="AR331" s="533">
        <f>SUM(AR268:AR329)</f>
        <v>426244.97865999996</v>
      </c>
      <c r="AS331" s="533">
        <f>IFERROR(AO331-AR331,0)</f>
        <v>0</v>
      </c>
      <c r="AT331" s="521">
        <f>IFERROR(AS331/ABS(AR331),0)</f>
        <v>0</v>
      </c>
      <c r="AU331" s="507"/>
      <c r="AV331" s="533">
        <f t="shared" ref="AV331:BG331" si="285">SUM(AV268:AV330)</f>
        <v>34440.414888333333</v>
      </c>
      <c r="AW331" s="533">
        <f t="shared" si="285"/>
        <v>34440.414888333333</v>
      </c>
      <c r="AX331" s="533">
        <f t="shared" si="285"/>
        <v>34200.414888333333</v>
      </c>
      <c r="AY331" s="533">
        <f t="shared" si="285"/>
        <v>52200.41488833334</v>
      </c>
      <c r="AZ331" s="533">
        <f t="shared" si="285"/>
        <v>34200.414888333333</v>
      </c>
      <c r="BA331" s="533">
        <f t="shared" si="285"/>
        <v>33823.272031190478</v>
      </c>
      <c r="BB331" s="533">
        <f t="shared" si="285"/>
        <v>33823.272031190478</v>
      </c>
      <c r="BC331" s="533">
        <f t="shared" si="285"/>
        <v>33823.272031190478</v>
      </c>
      <c r="BD331" s="533">
        <f t="shared" si="285"/>
        <v>33823.272031190478</v>
      </c>
      <c r="BE331" s="533">
        <f t="shared" si="285"/>
        <v>33823.272031190478</v>
      </c>
      <c r="BF331" s="533">
        <f t="shared" si="285"/>
        <v>33823.272031190478</v>
      </c>
      <c r="BG331" s="533">
        <f t="shared" si="285"/>
        <v>33823.272031190478</v>
      </c>
      <c r="BH331" s="508"/>
      <c r="BI331" s="533">
        <f t="shared" ref="BI331:BT331" si="286">SUM(BI268:BI330)</f>
        <v>34440.414888333333</v>
      </c>
      <c r="BJ331" s="533">
        <f t="shared" si="286"/>
        <v>34440.414888333333</v>
      </c>
      <c r="BK331" s="533">
        <f t="shared" si="286"/>
        <v>34200.414888333333</v>
      </c>
      <c r="BL331" s="533">
        <f t="shared" si="286"/>
        <v>52200.41488833334</v>
      </c>
      <c r="BM331" s="533">
        <f t="shared" si="286"/>
        <v>34200.414888333333</v>
      </c>
      <c r="BN331" s="533">
        <f t="shared" si="286"/>
        <v>33823.272031190478</v>
      </c>
      <c r="BO331" s="533">
        <f t="shared" si="286"/>
        <v>33823.272031190478</v>
      </c>
      <c r="BP331" s="533">
        <f t="shared" si="286"/>
        <v>33823.272031190478</v>
      </c>
      <c r="BQ331" s="533">
        <f t="shared" si="286"/>
        <v>33823.272031190478</v>
      </c>
      <c r="BR331" s="533">
        <f t="shared" si="286"/>
        <v>33823.272031190478</v>
      </c>
      <c r="BS331" s="533">
        <f t="shared" si="286"/>
        <v>33823.272031190478</v>
      </c>
      <c r="BT331" s="533">
        <f t="shared" si="286"/>
        <v>33823.272031190478</v>
      </c>
      <c r="BV331" s="400"/>
    </row>
    <row r="332" spans="1:74" ht="15.75" thickTop="1" x14ac:dyDescent="0.25">
      <c r="A332" s="587"/>
      <c r="B332" s="502"/>
      <c r="C332" s="597"/>
      <c r="D332" s="500"/>
      <c r="E332" s="449"/>
      <c r="F332" s="449"/>
      <c r="G332" s="421"/>
      <c r="H332" s="449"/>
      <c r="I332" s="449"/>
      <c r="J332" s="426"/>
      <c r="K332" s="421"/>
      <c r="L332" s="449"/>
      <c r="M332" s="449"/>
      <c r="N332" s="449"/>
      <c r="O332" s="449"/>
      <c r="P332" s="449"/>
      <c r="Q332" s="449"/>
      <c r="R332" s="449"/>
      <c r="S332" s="449"/>
      <c r="T332" s="449"/>
      <c r="U332" s="449"/>
      <c r="V332" s="449"/>
      <c r="W332" s="449"/>
      <c r="X332" s="449"/>
      <c r="Y332" s="449"/>
      <c r="Z332" s="531"/>
      <c r="AA332" s="449"/>
      <c r="AB332" s="449"/>
      <c r="AC332" s="449"/>
      <c r="AD332" s="449"/>
      <c r="AE332" s="449"/>
      <c r="AF332" s="449"/>
      <c r="AG332" s="449"/>
      <c r="AH332" s="449"/>
      <c r="AI332" s="449"/>
      <c r="AJ332" s="449"/>
      <c r="AK332" s="449"/>
      <c r="AL332" s="449"/>
      <c r="AN332" s="500"/>
      <c r="AO332" s="449"/>
      <c r="AP332" s="449"/>
      <c r="AQ332" s="453"/>
      <c r="AR332" s="449"/>
      <c r="AS332" s="449"/>
      <c r="AT332" s="426"/>
      <c r="AU332" s="421"/>
      <c r="AV332" s="449"/>
      <c r="AW332" s="449"/>
      <c r="AX332" s="449"/>
      <c r="AY332" s="449"/>
      <c r="AZ332" s="449"/>
      <c r="BA332" s="449"/>
      <c r="BB332" s="449"/>
      <c r="BC332" s="449"/>
      <c r="BD332" s="449"/>
      <c r="BE332" s="449"/>
      <c r="BF332" s="449"/>
      <c r="BG332" s="449"/>
      <c r="BH332" s="531"/>
      <c r="BI332" s="449"/>
      <c r="BJ332" s="449"/>
      <c r="BK332" s="449"/>
      <c r="BL332" s="449"/>
      <c r="BM332" s="449"/>
      <c r="BN332" s="449"/>
      <c r="BO332" s="449"/>
      <c r="BP332" s="449"/>
      <c r="BQ332" s="449"/>
      <c r="BR332" s="449"/>
      <c r="BS332" s="449"/>
      <c r="BT332" s="449"/>
    </row>
    <row r="333" spans="1:74" ht="15.75" x14ac:dyDescent="0.25">
      <c r="A333" s="587"/>
      <c r="B333" s="525" t="s">
        <v>570</v>
      </c>
      <c r="C333" s="597"/>
      <c r="D333" s="500"/>
      <c r="E333" s="449"/>
      <c r="F333" s="449"/>
      <c r="G333" s="421"/>
      <c r="H333" s="449"/>
      <c r="I333" s="449"/>
      <c r="J333" s="426"/>
      <c r="K333" s="421"/>
      <c r="L333" s="449"/>
      <c r="M333" s="449"/>
      <c r="N333" s="449"/>
      <c r="O333" s="449"/>
      <c r="P333" s="449"/>
      <c r="Q333" s="449"/>
      <c r="R333" s="449"/>
      <c r="S333" s="449"/>
      <c r="T333" s="449"/>
      <c r="U333" s="449"/>
      <c r="V333" s="449"/>
      <c r="W333" s="449"/>
      <c r="X333" s="449"/>
      <c r="Y333" s="449"/>
      <c r="Z333" s="531"/>
      <c r="AA333" s="449"/>
      <c r="AB333" s="449"/>
      <c r="AC333" s="449"/>
      <c r="AD333" s="449"/>
      <c r="AE333" s="449"/>
      <c r="AF333" s="449"/>
      <c r="AG333" s="449"/>
      <c r="AH333" s="449"/>
      <c r="AI333" s="449"/>
      <c r="AJ333" s="449"/>
      <c r="AK333" s="449"/>
      <c r="AL333" s="449"/>
      <c r="AN333" s="500"/>
      <c r="AO333" s="449"/>
      <c r="AP333" s="449"/>
      <c r="AQ333" s="453"/>
      <c r="AR333" s="449"/>
      <c r="AS333" s="449"/>
      <c r="AT333" s="426"/>
      <c r="AU333" s="421"/>
      <c r="AV333" s="449"/>
      <c r="AW333" s="449"/>
      <c r="AX333" s="449"/>
      <c r="AY333" s="449"/>
      <c r="AZ333" s="449"/>
      <c r="BA333" s="449"/>
      <c r="BB333" s="449"/>
      <c r="BC333" s="449"/>
      <c r="BD333" s="449"/>
      <c r="BE333" s="449"/>
      <c r="BF333" s="449"/>
      <c r="BG333" s="449"/>
      <c r="BH333" s="531"/>
      <c r="BI333" s="449"/>
      <c r="BJ333" s="449"/>
      <c r="BK333" s="449"/>
      <c r="BL333" s="449"/>
      <c r="BM333" s="449"/>
      <c r="BN333" s="449"/>
      <c r="BO333" s="449"/>
      <c r="BP333" s="449"/>
      <c r="BQ333" s="449"/>
      <c r="BR333" s="449"/>
      <c r="BS333" s="449"/>
      <c r="BT333" s="449"/>
    </row>
    <row r="334" spans="1:74" ht="9.75" customHeight="1" x14ac:dyDescent="0.25">
      <c r="A334" s="587"/>
      <c r="B334" s="502"/>
      <c r="C334" s="597"/>
      <c r="D334" s="500"/>
      <c r="E334" s="449"/>
      <c r="F334" s="449"/>
      <c r="G334" s="421"/>
      <c r="H334" s="449"/>
      <c r="I334" s="449"/>
      <c r="J334" s="426"/>
      <c r="K334" s="421"/>
      <c r="L334" s="449"/>
      <c r="M334" s="449"/>
      <c r="N334" s="449"/>
      <c r="O334" s="449"/>
      <c r="P334" s="449"/>
      <c r="Q334" s="449"/>
      <c r="R334" s="449"/>
      <c r="S334" s="449"/>
      <c r="T334" s="449"/>
      <c r="U334" s="449"/>
      <c r="V334" s="449"/>
      <c r="W334" s="449"/>
      <c r="X334" s="449"/>
      <c r="Y334" s="449"/>
      <c r="Z334" s="531"/>
      <c r="AA334" s="449"/>
      <c r="AB334" s="449"/>
      <c r="AC334" s="449"/>
      <c r="AD334" s="449"/>
      <c r="AE334" s="449"/>
      <c r="AF334" s="449"/>
      <c r="AG334" s="449"/>
      <c r="AH334" s="449"/>
      <c r="AI334" s="449"/>
      <c r="AJ334" s="449"/>
      <c r="AK334" s="449"/>
      <c r="AL334" s="449"/>
      <c r="AN334" s="500"/>
      <c r="AO334" s="449"/>
      <c r="AP334" s="449"/>
      <c r="AQ334" s="453"/>
      <c r="AR334" s="449"/>
      <c r="AS334" s="449"/>
      <c r="AT334" s="426"/>
      <c r="AU334" s="421"/>
      <c r="AV334" s="449"/>
      <c r="AW334" s="449"/>
      <c r="AX334" s="449"/>
      <c r="AY334" s="449"/>
      <c r="AZ334" s="449"/>
      <c r="BA334" s="449"/>
      <c r="BB334" s="449"/>
      <c r="BC334" s="449"/>
      <c r="BD334" s="449"/>
      <c r="BE334" s="449"/>
      <c r="BF334" s="449"/>
      <c r="BG334" s="449"/>
      <c r="BH334" s="531"/>
      <c r="BI334" s="449"/>
      <c r="BJ334" s="449"/>
      <c r="BK334" s="449"/>
      <c r="BL334" s="449"/>
      <c r="BM334" s="449"/>
      <c r="BN334" s="449"/>
      <c r="BO334" s="449"/>
      <c r="BP334" s="449"/>
      <c r="BQ334" s="449"/>
      <c r="BR334" s="449"/>
      <c r="BS334" s="449"/>
      <c r="BT334" s="449"/>
    </row>
    <row r="335" spans="1:74" ht="15" x14ac:dyDescent="0.25">
      <c r="A335" s="502" t="s">
        <v>571</v>
      </c>
      <c r="B335" s="502" t="s">
        <v>572</v>
      </c>
      <c r="C335" s="538" t="s">
        <v>573</v>
      </c>
      <c r="D335" s="500">
        <f t="shared" ref="D335:D358" si="287">SUM(L335:W335)</f>
        <v>455283</v>
      </c>
      <c r="E335" s="449">
        <v>454569.8247</v>
      </c>
      <c r="F335" s="449">
        <f t="shared" ref="F335:F358" si="288">IFERROR(D335-E335,0)</f>
        <v>713.17530000000261</v>
      </c>
      <c r="G335" s="421">
        <f t="shared" ref="G335:G358" si="289">IFERROR(F335/ABS(E335),0)</f>
        <v>1.5689015443791788E-3</v>
      </c>
      <c r="H335" s="449">
        <v>455283</v>
      </c>
      <c r="I335" s="449">
        <f t="shared" ref="I335:I358" si="290">IFERROR(D335-H335,0)</f>
        <v>0</v>
      </c>
      <c r="J335" s="426">
        <f t="shared" ref="J335:J358" si="291">IFERROR(I335/ABS(H335),0)</f>
        <v>0</v>
      </c>
      <c r="K335" s="421"/>
      <c r="L335" s="449">
        <v>23589.63</v>
      </c>
      <c r="M335" s="449">
        <v>44341.919999999998</v>
      </c>
      <c r="N335" s="449">
        <v>34101.64</v>
      </c>
      <c r="O335" s="449">
        <v>33965.76999999999</v>
      </c>
      <c r="P335" s="449">
        <v>33999.74000000002</v>
      </c>
      <c r="Q335" s="449">
        <v>33999.739999999991</v>
      </c>
      <c r="R335" s="449">
        <f>($H335-SUM($L335:Q335))/R$694</f>
        <v>41880.76</v>
      </c>
      <c r="S335" s="449">
        <f>($H335-SUM($L335:R335))/S$694</f>
        <v>41880.759999999995</v>
      </c>
      <c r="T335" s="449">
        <f>($H335-SUM($L335:S335))/T$694</f>
        <v>41880.759999999995</v>
      </c>
      <c r="U335" s="449">
        <f>($H335-SUM($L335:T335))/U$694</f>
        <v>41880.759999999987</v>
      </c>
      <c r="V335" s="449">
        <f>($H335-SUM($L335:U335))/V$694</f>
        <v>41880.75999999998</v>
      </c>
      <c r="W335" s="449">
        <f>($H335-SUM($L335:V335))/W$694</f>
        <v>41880.760000000009</v>
      </c>
      <c r="X335" s="449"/>
      <c r="Y335" s="449">
        <f t="shared" ref="Y335:Y358" si="292">SUM(L335:W335)</f>
        <v>455283</v>
      </c>
      <c r="Z335" s="531"/>
      <c r="AA335" s="449">
        <f t="shared" ref="AA335:AL350" si="293">IFERROR($H335/12,0)</f>
        <v>37940.25</v>
      </c>
      <c r="AB335" s="449">
        <f t="shared" si="293"/>
        <v>37940.25</v>
      </c>
      <c r="AC335" s="449">
        <f t="shared" si="293"/>
        <v>37940.25</v>
      </c>
      <c r="AD335" s="449">
        <f t="shared" si="293"/>
        <v>37940.25</v>
      </c>
      <c r="AE335" s="449">
        <f t="shared" si="293"/>
        <v>37940.25</v>
      </c>
      <c r="AF335" s="449">
        <f t="shared" si="293"/>
        <v>37940.25</v>
      </c>
      <c r="AG335" s="449">
        <f t="shared" si="293"/>
        <v>37940.25</v>
      </c>
      <c r="AH335" s="449">
        <f t="shared" si="293"/>
        <v>37940.25</v>
      </c>
      <c r="AI335" s="449">
        <f t="shared" si="293"/>
        <v>37940.25</v>
      </c>
      <c r="AJ335" s="449">
        <f t="shared" si="293"/>
        <v>37940.25</v>
      </c>
      <c r="AK335" s="449">
        <f t="shared" si="293"/>
        <v>37940.25</v>
      </c>
      <c r="AL335" s="449">
        <f t="shared" si="293"/>
        <v>37940.25</v>
      </c>
      <c r="AN335" s="500">
        <f t="shared" ref="AN335:AN358" si="294">SUM(L335:W335)</f>
        <v>455283</v>
      </c>
      <c r="AO335" s="449">
        <f t="shared" ref="AO335:AO358" si="295">SUM(BI335:BT335)</f>
        <v>514806.6079607844</v>
      </c>
      <c r="AP335" s="449">
        <f t="shared" ref="AP335:AP358" si="296">IFERROR(AO335-AN335,0)</f>
        <v>59523.6079607844</v>
      </c>
      <c r="AQ335" s="453">
        <f t="shared" ref="AQ335:AQ358" si="297">IFERROR(AP335/ABS(AN335),"-")</f>
        <v>0.13073979911568057</v>
      </c>
      <c r="AR335" s="449">
        <f t="shared" ref="AR335:AR358" si="298">SUM(BI335:BT335)</f>
        <v>514806.6079607844</v>
      </c>
      <c r="AS335" s="449">
        <f t="shared" ref="AS335:AS358" si="299">IFERROR(AO335-AR335,0)</f>
        <v>0</v>
      </c>
      <c r="AT335" s="426">
        <f t="shared" ref="AT335:AT358" si="300">IFERROR(AS335/ABS(AR335),0)</f>
        <v>0</v>
      </c>
      <c r="AU335" s="421"/>
      <c r="AV335" s="449">
        <f t="shared" ref="AV335:BG356" si="301">BI335</f>
        <v>42900.550663398702</v>
      </c>
      <c r="AW335" s="449">
        <f t="shared" si="301"/>
        <v>42900.550663398702</v>
      </c>
      <c r="AX335" s="449">
        <f t="shared" si="301"/>
        <v>42900.550663398702</v>
      </c>
      <c r="AY335" s="449">
        <f t="shared" si="301"/>
        <v>42900.550663398702</v>
      </c>
      <c r="AZ335" s="449">
        <f t="shared" si="301"/>
        <v>42900.550663398702</v>
      </c>
      <c r="BA335" s="449">
        <f t="shared" si="301"/>
        <v>42900.550663398702</v>
      </c>
      <c r="BB335" s="449">
        <f t="shared" si="301"/>
        <v>42900.550663398702</v>
      </c>
      <c r="BC335" s="449">
        <f t="shared" si="301"/>
        <v>42900.550663398702</v>
      </c>
      <c r="BD335" s="449">
        <f t="shared" si="301"/>
        <v>42900.550663398702</v>
      </c>
      <c r="BE335" s="449">
        <f t="shared" si="301"/>
        <v>42900.550663398702</v>
      </c>
      <c r="BF335" s="449">
        <f t="shared" si="301"/>
        <v>42900.550663398702</v>
      </c>
      <c r="BG335" s="449">
        <f t="shared" si="301"/>
        <v>42900.550663398702</v>
      </c>
      <c r="BH335" s="400"/>
      <c r="BI335" s="449">
        <f>0.05*(BI$30+BI$36+BI$39)</f>
        <v>42900.550663398702</v>
      </c>
      <c r="BJ335" s="449">
        <f t="shared" ref="BJ335:BT335" si="302">0.05*(BJ$30+BJ$36+BJ$39)</f>
        <v>42900.550663398702</v>
      </c>
      <c r="BK335" s="449">
        <f t="shared" si="302"/>
        <v>42900.550663398702</v>
      </c>
      <c r="BL335" s="449">
        <f t="shared" si="302"/>
        <v>42900.550663398702</v>
      </c>
      <c r="BM335" s="449">
        <f t="shared" si="302"/>
        <v>42900.550663398702</v>
      </c>
      <c r="BN335" s="449">
        <f t="shared" si="302"/>
        <v>42900.550663398702</v>
      </c>
      <c r="BO335" s="449">
        <f t="shared" si="302"/>
        <v>42900.550663398702</v>
      </c>
      <c r="BP335" s="449">
        <f t="shared" si="302"/>
        <v>42900.550663398702</v>
      </c>
      <c r="BQ335" s="449">
        <f t="shared" si="302"/>
        <v>42900.550663398702</v>
      </c>
      <c r="BR335" s="449">
        <f t="shared" si="302"/>
        <v>42900.550663398702</v>
      </c>
      <c r="BS335" s="449">
        <f t="shared" si="302"/>
        <v>42900.550663398702</v>
      </c>
      <c r="BT335" s="449">
        <f t="shared" si="302"/>
        <v>42900.550663398702</v>
      </c>
    </row>
    <row r="336" spans="1:74" ht="15" hidden="1" x14ac:dyDescent="0.25">
      <c r="A336" s="614" t="s">
        <v>574</v>
      </c>
      <c r="B336" s="614" t="s">
        <v>575</v>
      </c>
      <c r="C336" s="630"/>
      <c r="D336" s="500">
        <f t="shared" si="287"/>
        <v>0</v>
      </c>
      <c r="E336" s="449">
        <v>0</v>
      </c>
      <c r="F336" s="449">
        <f t="shared" si="288"/>
        <v>0</v>
      </c>
      <c r="G336" s="421">
        <f t="shared" si="289"/>
        <v>0</v>
      </c>
      <c r="H336" s="449">
        <v>0</v>
      </c>
      <c r="I336" s="449">
        <f t="shared" si="290"/>
        <v>0</v>
      </c>
      <c r="J336" s="426">
        <f t="shared" si="291"/>
        <v>0</v>
      </c>
      <c r="K336" s="421"/>
      <c r="L336" s="449">
        <v>0</v>
      </c>
      <c r="M336" s="449">
        <v>0</v>
      </c>
      <c r="N336" s="449">
        <v>0</v>
      </c>
      <c r="O336" s="449">
        <v>0</v>
      </c>
      <c r="P336" s="449">
        <v>0</v>
      </c>
      <c r="Q336" s="449">
        <v>0</v>
      </c>
      <c r="R336" s="449">
        <f>($H336-SUM($L336:Q336))/R$694</f>
        <v>0</v>
      </c>
      <c r="S336" s="449">
        <f>($H336-SUM($L336:R336))/S$694</f>
        <v>0</v>
      </c>
      <c r="T336" s="449">
        <f>($H336-SUM($L336:S336))/T$694</f>
        <v>0</v>
      </c>
      <c r="U336" s="449">
        <f>($H336-SUM($L336:T336))/U$694</f>
        <v>0</v>
      </c>
      <c r="V336" s="449">
        <f>($H336-SUM($L336:U336))/V$694</f>
        <v>0</v>
      </c>
      <c r="W336" s="449">
        <f>($H336-SUM($L336:V336))/W$694</f>
        <v>0</v>
      </c>
      <c r="X336" s="449"/>
      <c r="Y336" s="449">
        <f t="shared" si="292"/>
        <v>0</v>
      </c>
      <c r="Z336" s="531"/>
      <c r="AA336" s="449">
        <f t="shared" si="293"/>
        <v>0</v>
      </c>
      <c r="AB336" s="449">
        <f t="shared" si="293"/>
        <v>0</v>
      </c>
      <c r="AC336" s="449">
        <f t="shared" si="293"/>
        <v>0</v>
      </c>
      <c r="AD336" s="449">
        <f t="shared" si="293"/>
        <v>0</v>
      </c>
      <c r="AE336" s="449">
        <f t="shared" si="293"/>
        <v>0</v>
      </c>
      <c r="AF336" s="449">
        <f t="shared" si="293"/>
        <v>0</v>
      </c>
      <c r="AG336" s="449">
        <f t="shared" si="293"/>
        <v>0</v>
      </c>
      <c r="AH336" s="449">
        <f t="shared" si="293"/>
        <v>0</v>
      </c>
      <c r="AI336" s="449">
        <f t="shared" si="293"/>
        <v>0</v>
      </c>
      <c r="AJ336" s="449">
        <f t="shared" si="293"/>
        <v>0</v>
      </c>
      <c r="AK336" s="449">
        <f t="shared" si="293"/>
        <v>0</v>
      </c>
      <c r="AL336" s="449">
        <f t="shared" si="293"/>
        <v>0</v>
      </c>
      <c r="AN336" s="500">
        <f t="shared" si="294"/>
        <v>0</v>
      </c>
      <c r="AO336" s="449">
        <f t="shared" si="295"/>
        <v>0</v>
      </c>
      <c r="AP336" s="449">
        <f t="shared" si="296"/>
        <v>0</v>
      </c>
      <c r="AQ336" s="453" t="str">
        <f t="shared" si="297"/>
        <v>-</v>
      </c>
      <c r="AR336" s="449">
        <f t="shared" si="298"/>
        <v>0</v>
      </c>
      <c r="AS336" s="449">
        <f t="shared" si="299"/>
        <v>0</v>
      </c>
      <c r="AT336" s="426">
        <f t="shared" si="300"/>
        <v>0</v>
      </c>
      <c r="AU336" s="421"/>
      <c r="AV336" s="449">
        <f t="shared" si="301"/>
        <v>0</v>
      </c>
      <c r="AW336" s="449">
        <f t="shared" si="301"/>
        <v>0</v>
      </c>
      <c r="AX336" s="449">
        <f t="shared" si="301"/>
        <v>0</v>
      </c>
      <c r="AY336" s="449">
        <f t="shared" si="301"/>
        <v>0</v>
      </c>
      <c r="AZ336" s="449">
        <f t="shared" si="301"/>
        <v>0</v>
      </c>
      <c r="BA336" s="449">
        <f t="shared" si="301"/>
        <v>0</v>
      </c>
      <c r="BB336" s="449">
        <f t="shared" si="301"/>
        <v>0</v>
      </c>
      <c r="BC336" s="449">
        <f t="shared" si="301"/>
        <v>0</v>
      </c>
      <c r="BD336" s="449">
        <f t="shared" si="301"/>
        <v>0</v>
      </c>
      <c r="BE336" s="449">
        <f t="shared" si="301"/>
        <v>0</v>
      </c>
      <c r="BF336" s="449">
        <f t="shared" si="301"/>
        <v>0</v>
      </c>
      <c r="BG336" s="449">
        <f t="shared" si="301"/>
        <v>0</v>
      </c>
      <c r="BH336" s="400"/>
      <c r="BI336" s="449">
        <v>0</v>
      </c>
      <c r="BJ336" s="449">
        <v>0</v>
      </c>
      <c r="BK336" s="449">
        <v>0</v>
      </c>
      <c r="BL336" s="449">
        <v>0</v>
      </c>
      <c r="BM336" s="449">
        <v>0</v>
      </c>
      <c r="BN336" s="449">
        <v>0</v>
      </c>
      <c r="BO336" s="449">
        <v>0</v>
      </c>
      <c r="BP336" s="449">
        <v>0</v>
      </c>
      <c r="BQ336" s="449">
        <v>0</v>
      </c>
      <c r="BR336" s="449">
        <v>0</v>
      </c>
      <c r="BS336" s="449">
        <v>0</v>
      </c>
      <c r="BT336" s="449">
        <v>0</v>
      </c>
    </row>
    <row r="337" spans="1:72" ht="15" x14ac:dyDescent="0.25">
      <c r="A337" s="502" t="s">
        <v>576</v>
      </c>
      <c r="B337" s="502" t="s">
        <v>577</v>
      </c>
      <c r="C337" s="630"/>
      <c r="D337" s="500">
        <f t="shared" si="287"/>
        <v>0</v>
      </c>
      <c r="E337" s="449">
        <v>0</v>
      </c>
      <c r="F337" s="449">
        <f t="shared" si="288"/>
        <v>0</v>
      </c>
      <c r="G337" s="421">
        <f t="shared" si="289"/>
        <v>0</v>
      </c>
      <c r="H337" s="449">
        <v>0</v>
      </c>
      <c r="I337" s="449">
        <f t="shared" si="290"/>
        <v>0</v>
      </c>
      <c r="J337" s="426">
        <f t="shared" si="291"/>
        <v>0</v>
      </c>
      <c r="K337" s="421"/>
      <c r="L337" s="449">
        <v>0</v>
      </c>
      <c r="M337" s="449">
        <v>0</v>
      </c>
      <c r="N337" s="449">
        <v>0</v>
      </c>
      <c r="O337" s="449">
        <v>0</v>
      </c>
      <c r="P337" s="449">
        <v>0</v>
      </c>
      <c r="Q337" s="449">
        <v>0</v>
      </c>
      <c r="R337" s="449">
        <f>($H337-SUM($L337:Q337))/R$694</f>
        <v>0</v>
      </c>
      <c r="S337" s="449">
        <f>($H337-SUM($L337:R337))/S$694</f>
        <v>0</v>
      </c>
      <c r="T337" s="449">
        <f>($H337-SUM($L337:S337))/T$694</f>
        <v>0</v>
      </c>
      <c r="U337" s="449">
        <f>($H337-SUM($L337:T337))/U$694</f>
        <v>0</v>
      </c>
      <c r="V337" s="449">
        <f>($H337-SUM($L337:U337))/V$694</f>
        <v>0</v>
      </c>
      <c r="W337" s="449">
        <f>($H337-SUM($L337:V337))/W$694</f>
        <v>0</v>
      </c>
      <c r="X337" s="449"/>
      <c r="Y337" s="449">
        <f t="shared" si="292"/>
        <v>0</v>
      </c>
      <c r="Z337" s="531"/>
      <c r="AA337" s="449">
        <f t="shared" si="293"/>
        <v>0</v>
      </c>
      <c r="AB337" s="449">
        <f t="shared" si="293"/>
        <v>0</v>
      </c>
      <c r="AC337" s="449">
        <f t="shared" si="293"/>
        <v>0</v>
      </c>
      <c r="AD337" s="449">
        <f t="shared" si="293"/>
        <v>0</v>
      </c>
      <c r="AE337" s="449">
        <f t="shared" si="293"/>
        <v>0</v>
      </c>
      <c r="AF337" s="449">
        <f t="shared" si="293"/>
        <v>0</v>
      </c>
      <c r="AG337" s="449">
        <f t="shared" si="293"/>
        <v>0</v>
      </c>
      <c r="AH337" s="449">
        <f t="shared" si="293"/>
        <v>0</v>
      </c>
      <c r="AI337" s="449">
        <f t="shared" si="293"/>
        <v>0</v>
      </c>
      <c r="AJ337" s="449">
        <f t="shared" si="293"/>
        <v>0</v>
      </c>
      <c r="AK337" s="449">
        <f t="shared" si="293"/>
        <v>0</v>
      </c>
      <c r="AL337" s="449">
        <f t="shared" si="293"/>
        <v>0</v>
      </c>
      <c r="AN337" s="500">
        <f t="shared" si="294"/>
        <v>0</v>
      </c>
      <c r="AO337" s="449">
        <f t="shared" si="295"/>
        <v>19142.879599999997</v>
      </c>
      <c r="AP337" s="449">
        <f t="shared" si="296"/>
        <v>19142.879599999997</v>
      </c>
      <c r="AQ337" s="453" t="str">
        <f t="shared" si="297"/>
        <v>-</v>
      </c>
      <c r="AR337" s="449">
        <f t="shared" si="298"/>
        <v>19142.879599999997</v>
      </c>
      <c r="AS337" s="449">
        <f t="shared" si="299"/>
        <v>0</v>
      </c>
      <c r="AT337" s="426">
        <f t="shared" si="300"/>
        <v>0</v>
      </c>
      <c r="AU337" s="421"/>
      <c r="AV337" s="449">
        <f t="shared" si="301"/>
        <v>0</v>
      </c>
      <c r="AW337" s="449">
        <f t="shared" si="301"/>
        <v>1595.2399666666668</v>
      </c>
      <c r="AX337" s="449">
        <f t="shared" si="301"/>
        <v>1595.2399666666668</v>
      </c>
      <c r="AY337" s="449">
        <f t="shared" si="301"/>
        <v>1595.2399666666668</v>
      </c>
      <c r="AZ337" s="449">
        <f t="shared" si="301"/>
        <v>1595.2399666666668</v>
      </c>
      <c r="BA337" s="449">
        <f t="shared" si="301"/>
        <v>1595.2399666666668</v>
      </c>
      <c r="BB337" s="449">
        <f t="shared" si="301"/>
        <v>1595.2399666666668</v>
      </c>
      <c r="BC337" s="449">
        <f t="shared" si="301"/>
        <v>1595.2399666666668</v>
      </c>
      <c r="BD337" s="449">
        <f t="shared" si="301"/>
        <v>1595.2399666666668</v>
      </c>
      <c r="BE337" s="449">
        <f t="shared" si="301"/>
        <v>1595.2399666666668</v>
      </c>
      <c r="BF337" s="449">
        <f t="shared" si="301"/>
        <v>1595.2399666666668</v>
      </c>
      <c r="BG337" s="449">
        <f t="shared" si="301"/>
        <v>3190.4799333333335</v>
      </c>
      <c r="BH337" s="400"/>
      <c r="BI337" s="449">
        <v>0</v>
      </c>
      <c r="BJ337" s="449">
        <f>SUM('FY19 Staffing V1-1 (3)'!$P$246)/12</f>
        <v>1595.2399666666668</v>
      </c>
      <c r="BK337" s="449">
        <f>SUM('FY19 Staffing V1-1 (3)'!$P$246)/12</f>
        <v>1595.2399666666668</v>
      </c>
      <c r="BL337" s="449">
        <f>SUM('FY19 Staffing V1-1 (3)'!$P$246)/12</f>
        <v>1595.2399666666668</v>
      </c>
      <c r="BM337" s="449">
        <f>SUM('FY19 Staffing V1-1 (3)'!$P$246)/12</f>
        <v>1595.2399666666668</v>
      </c>
      <c r="BN337" s="449">
        <f>SUM('FY19 Staffing V1-1 (3)'!$P$246)/12</f>
        <v>1595.2399666666668</v>
      </c>
      <c r="BO337" s="449">
        <f>SUM('FY19 Staffing V1-1 (3)'!$P$246)/12</f>
        <v>1595.2399666666668</v>
      </c>
      <c r="BP337" s="449">
        <f>SUM('FY19 Staffing V1-1 (3)'!$P$246)/12</f>
        <v>1595.2399666666668</v>
      </c>
      <c r="BQ337" s="449">
        <f>SUM('FY19 Staffing V1-1 (3)'!$P$246)/12</f>
        <v>1595.2399666666668</v>
      </c>
      <c r="BR337" s="449">
        <f>SUM('FY19 Staffing V1-1 (3)'!$P$246)/12</f>
        <v>1595.2399666666668</v>
      </c>
      <c r="BS337" s="449">
        <f>SUM('FY19 Staffing V1-1 (3)'!$P$246)/12</f>
        <v>1595.2399666666668</v>
      </c>
      <c r="BT337" s="449">
        <f>SUM('FY19 Staffing V1-1 (3)'!$P$246)/12*2</f>
        <v>3190.4799333333335</v>
      </c>
    </row>
    <row r="338" spans="1:72" ht="15" x14ac:dyDescent="0.25">
      <c r="A338" s="537" t="s">
        <v>578</v>
      </c>
      <c r="B338" s="537" t="s">
        <v>579</v>
      </c>
      <c r="C338" s="630"/>
      <c r="D338" s="500">
        <f>SUM(L338:W338)</f>
        <v>0</v>
      </c>
      <c r="E338" s="449">
        <v>0</v>
      </c>
      <c r="F338" s="449">
        <f t="shared" si="288"/>
        <v>0</v>
      </c>
      <c r="G338" s="421">
        <f t="shared" si="289"/>
        <v>0</v>
      </c>
      <c r="H338" s="449">
        <v>0</v>
      </c>
      <c r="I338" s="449">
        <f t="shared" si="290"/>
        <v>0</v>
      </c>
      <c r="J338" s="426">
        <f t="shared" si="291"/>
        <v>0</v>
      </c>
      <c r="K338" s="421"/>
      <c r="L338" s="449">
        <v>0</v>
      </c>
      <c r="M338" s="449">
        <v>0</v>
      </c>
      <c r="N338" s="449">
        <v>0</v>
      </c>
      <c r="O338" s="449">
        <v>0</v>
      </c>
      <c r="P338" s="449">
        <v>0</v>
      </c>
      <c r="Q338" s="449">
        <v>0</v>
      </c>
      <c r="R338" s="449">
        <f>($H338-SUM($L338:Q338))/R$694</f>
        <v>0</v>
      </c>
      <c r="S338" s="449">
        <f>($H338-SUM($L338:R338))/S$694</f>
        <v>0</v>
      </c>
      <c r="T338" s="449">
        <f>($H338-SUM($L338:S338))/T$694</f>
        <v>0</v>
      </c>
      <c r="U338" s="449">
        <f>($H338-SUM($L338:T338))/U$694</f>
        <v>0</v>
      </c>
      <c r="V338" s="449">
        <f>($H338-SUM($L338:U338))/V$694</f>
        <v>0</v>
      </c>
      <c r="W338" s="449">
        <f>($H338-SUM($L338:V338))/W$694</f>
        <v>0</v>
      </c>
      <c r="X338" s="449"/>
      <c r="Y338" s="449">
        <f t="shared" si="292"/>
        <v>0</v>
      </c>
      <c r="Z338" s="531"/>
      <c r="AA338" s="449">
        <f t="shared" si="293"/>
        <v>0</v>
      </c>
      <c r="AB338" s="449">
        <f t="shared" si="293"/>
        <v>0</v>
      </c>
      <c r="AC338" s="449">
        <f t="shared" si="293"/>
        <v>0</v>
      </c>
      <c r="AD338" s="449">
        <f t="shared" si="293"/>
        <v>0</v>
      </c>
      <c r="AE338" s="449">
        <f t="shared" si="293"/>
        <v>0</v>
      </c>
      <c r="AF338" s="449">
        <f t="shared" si="293"/>
        <v>0</v>
      </c>
      <c r="AG338" s="449">
        <f t="shared" si="293"/>
        <v>0</v>
      </c>
      <c r="AH338" s="449">
        <f t="shared" si="293"/>
        <v>0</v>
      </c>
      <c r="AI338" s="449">
        <f t="shared" si="293"/>
        <v>0</v>
      </c>
      <c r="AJ338" s="449">
        <f t="shared" si="293"/>
        <v>0</v>
      </c>
      <c r="AK338" s="449">
        <f t="shared" si="293"/>
        <v>0</v>
      </c>
      <c r="AL338" s="449">
        <f t="shared" si="293"/>
        <v>0</v>
      </c>
      <c r="AN338" s="500">
        <f>SUM(L338:W338)</f>
        <v>0</v>
      </c>
      <c r="AO338" s="449">
        <f>SUM(BI338:BT338)</f>
        <v>0</v>
      </c>
      <c r="AP338" s="449">
        <f t="shared" si="296"/>
        <v>0</v>
      </c>
      <c r="AQ338" s="453" t="str">
        <f t="shared" si="297"/>
        <v>-</v>
      </c>
      <c r="AR338" s="449">
        <f t="shared" si="298"/>
        <v>0</v>
      </c>
      <c r="AS338" s="449">
        <f t="shared" si="299"/>
        <v>0</v>
      </c>
      <c r="AT338" s="426">
        <f t="shared" si="300"/>
        <v>0</v>
      </c>
      <c r="AU338" s="421"/>
      <c r="AV338" s="449">
        <f t="shared" si="301"/>
        <v>0</v>
      </c>
      <c r="AW338" s="449">
        <f t="shared" si="301"/>
        <v>0</v>
      </c>
      <c r="AX338" s="449">
        <f t="shared" si="301"/>
        <v>0</v>
      </c>
      <c r="AY338" s="449">
        <f t="shared" si="301"/>
        <v>0</v>
      </c>
      <c r="AZ338" s="449">
        <f t="shared" si="301"/>
        <v>0</v>
      </c>
      <c r="BA338" s="449">
        <f t="shared" si="301"/>
        <v>0</v>
      </c>
      <c r="BB338" s="449">
        <f t="shared" si="301"/>
        <v>0</v>
      </c>
      <c r="BC338" s="449">
        <f t="shared" si="301"/>
        <v>0</v>
      </c>
      <c r="BD338" s="449">
        <f t="shared" si="301"/>
        <v>0</v>
      </c>
      <c r="BE338" s="449">
        <f t="shared" si="301"/>
        <v>0</v>
      </c>
      <c r="BF338" s="449">
        <f t="shared" si="301"/>
        <v>0</v>
      </c>
      <c r="BG338" s="449">
        <f t="shared" si="301"/>
        <v>0</v>
      </c>
      <c r="BH338" s="400"/>
      <c r="BI338" s="449">
        <f t="shared" ref="BI338:BS338" si="303">IFERROR((($H338/$H$5)*BI$5)/12,0)</f>
        <v>0</v>
      </c>
      <c r="BJ338" s="449">
        <f t="shared" si="303"/>
        <v>0</v>
      </c>
      <c r="BK338" s="449">
        <f t="shared" si="303"/>
        <v>0</v>
      </c>
      <c r="BL338" s="449">
        <f t="shared" si="303"/>
        <v>0</v>
      </c>
      <c r="BM338" s="449">
        <f t="shared" si="303"/>
        <v>0</v>
      </c>
      <c r="BN338" s="449">
        <f t="shared" si="303"/>
        <v>0</v>
      </c>
      <c r="BO338" s="449">
        <f t="shared" si="303"/>
        <v>0</v>
      </c>
      <c r="BP338" s="449">
        <f t="shared" si="303"/>
        <v>0</v>
      </c>
      <c r="BQ338" s="449">
        <f t="shared" si="303"/>
        <v>0</v>
      </c>
      <c r="BR338" s="449">
        <f t="shared" si="303"/>
        <v>0</v>
      </c>
      <c r="BS338" s="449">
        <f t="shared" si="303"/>
        <v>0</v>
      </c>
      <c r="BT338" s="449">
        <f>IFERROR((($H338/$H$5)*BT$5)/12*2,0)</f>
        <v>0</v>
      </c>
    </row>
    <row r="339" spans="1:72" ht="15" hidden="1" x14ac:dyDescent="0.25">
      <c r="A339" s="614" t="s">
        <v>580</v>
      </c>
      <c r="B339" s="614" t="s">
        <v>581</v>
      </c>
      <c r="C339" s="630"/>
      <c r="D339" s="500">
        <f t="shared" si="287"/>
        <v>30000</v>
      </c>
      <c r="E339" s="449">
        <v>30000</v>
      </c>
      <c r="F339" s="449">
        <f t="shared" si="288"/>
        <v>0</v>
      </c>
      <c r="G339" s="421">
        <f t="shared" si="289"/>
        <v>0</v>
      </c>
      <c r="H339" s="449">
        <v>30000</v>
      </c>
      <c r="I339" s="449">
        <f t="shared" si="290"/>
        <v>0</v>
      </c>
      <c r="J339" s="426">
        <f t="shared" si="291"/>
        <v>0</v>
      </c>
      <c r="K339" s="421"/>
      <c r="L339" s="449">
        <v>0</v>
      </c>
      <c r="M339" s="449">
        <v>0</v>
      </c>
      <c r="N339" s="449">
        <v>0</v>
      </c>
      <c r="O339" s="449">
        <v>0</v>
      </c>
      <c r="P339" s="449">
        <v>0</v>
      </c>
      <c r="Q339" s="449">
        <v>0</v>
      </c>
      <c r="R339" s="449">
        <f>($H339-SUM($L339:Q339))/R$694</f>
        <v>5000</v>
      </c>
      <c r="S339" s="449">
        <f>($H339-SUM($L339:R339))/S$694</f>
        <v>5000</v>
      </c>
      <c r="T339" s="449">
        <f>($H339-SUM($L339:S339))/T$694</f>
        <v>5000</v>
      </c>
      <c r="U339" s="449">
        <f>($H339-SUM($L339:T339))/U$694</f>
        <v>5000</v>
      </c>
      <c r="V339" s="449">
        <f>($H339-SUM($L339:U339))/V$694</f>
        <v>5000</v>
      </c>
      <c r="W339" s="449">
        <f>($H339-SUM($L339:V339))/W$694</f>
        <v>5000</v>
      </c>
      <c r="X339" s="449"/>
      <c r="Y339" s="449">
        <f t="shared" si="292"/>
        <v>30000</v>
      </c>
      <c r="Z339" s="531"/>
      <c r="AA339" s="449">
        <f t="shared" si="293"/>
        <v>2500</v>
      </c>
      <c r="AB339" s="449">
        <f t="shared" si="293"/>
        <v>2500</v>
      </c>
      <c r="AC339" s="449">
        <f t="shared" si="293"/>
        <v>2500</v>
      </c>
      <c r="AD339" s="449">
        <f t="shared" si="293"/>
        <v>2500</v>
      </c>
      <c r="AE339" s="449">
        <f t="shared" si="293"/>
        <v>2500</v>
      </c>
      <c r="AF339" s="449">
        <f t="shared" si="293"/>
        <v>2500</v>
      </c>
      <c r="AG339" s="449">
        <f t="shared" si="293"/>
        <v>2500</v>
      </c>
      <c r="AH339" s="449">
        <f t="shared" si="293"/>
        <v>2500</v>
      </c>
      <c r="AI339" s="449">
        <f t="shared" si="293"/>
        <v>2500</v>
      </c>
      <c r="AJ339" s="449">
        <f t="shared" si="293"/>
        <v>2500</v>
      </c>
      <c r="AK339" s="449">
        <f t="shared" si="293"/>
        <v>2500</v>
      </c>
      <c r="AL339" s="449">
        <f t="shared" si="293"/>
        <v>2500</v>
      </c>
      <c r="AN339" s="500">
        <f t="shared" si="294"/>
        <v>30000</v>
      </c>
      <c r="AO339" s="449">
        <f t="shared" si="295"/>
        <v>0</v>
      </c>
      <c r="AP339" s="449">
        <f t="shared" si="296"/>
        <v>-30000</v>
      </c>
      <c r="AQ339" s="453">
        <f t="shared" si="297"/>
        <v>-1</v>
      </c>
      <c r="AR339" s="449">
        <f t="shared" si="298"/>
        <v>0</v>
      </c>
      <c r="AS339" s="449">
        <f t="shared" si="299"/>
        <v>0</v>
      </c>
      <c r="AT339" s="426">
        <f t="shared" si="300"/>
        <v>0</v>
      </c>
      <c r="AU339" s="421"/>
      <c r="AV339" s="449">
        <f t="shared" si="301"/>
        <v>0</v>
      </c>
      <c r="AW339" s="449">
        <f t="shared" si="301"/>
        <v>0</v>
      </c>
      <c r="AX339" s="449">
        <f t="shared" si="301"/>
        <v>0</v>
      </c>
      <c r="AY339" s="449">
        <f t="shared" si="301"/>
        <v>0</v>
      </c>
      <c r="AZ339" s="449">
        <f t="shared" si="301"/>
        <v>0</v>
      </c>
      <c r="BA339" s="449">
        <f t="shared" si="301"/>
        <v>0</v>
      </c>
      <c r="BB339" s="449">
        <f t="shared" si="301"/>
        <v>0</v>
      </c>
      <c r="BC339" s="449">
        <f t="shared" si="301"/>
        <v>0</v>
      </c>
      <c r="BD339" s="449">
        <f t="shared" si="301"/>
        <v>0</v>
      </c>
      <c r="BE339" s="449">
        <f t="shared" si="301"/>
        <v>0</v>
      </c>
      <c r="BF339" s="449">
        <f t="shared" si="301"/>
        <v>0</v>
      </c>
      <c r="BG339" s="449">
        <f t="shared" si="301"/>
        <v>0</v>
      </c>
      <c r="BH339" s="400"/>
      <c r="BI339" s="449">
        <v>0</v>
      </c>
      <c r="BJ339" s="449">
        <v>0</v>
      </c>
      <c r="BK339" s="449">
        <v>0</v>
      </c>
      <c r="BL339" s="449">
        <v>0</v>
      </c>
      <c r="BM339" s="449">
        <v>0</v>
      </c>
      <c r="BN339" s="449">
        <v>0</v>
      </c>
      <c r="BO339" s="449">
        <v>0</v>
      </c>
      <c r="BP339" s="449">
        <v>0</v>
      </c>
      <c r="BQ339" s="449">
        <v>0</v>
      </c>
      <c r="BR339" s="449">
        <v>0</v>
      </c>
      <c r="BS339" s="449">
        <v>0</v>
      </c>
      <c r="BT339" s="449">
        <v>0</v>
      </c>
    </row>
    <row r="340" spans="1:72" ht="15" x14ac:dyDescent="0.25">
      <c r="A340" s="537" t="s">
        <v>578</v>
      </c>
      <c r="B340" s="537" t="s">
        <v>582</v>
      </c>
      <c r="C340" s="630"/>
      <c r="D340" s="500">
        <f t="shared" si="287"/>
        <v>0</v>
      </c>
      <c r="E340" s="449">
        <v>0</v>
      </c>
      <c r="F340" s="449">
        <f t="shared" si="288"/>
        <v>0</v>
      </c>
      <c r="G340" s="421">
        <f t="shared" si="289"/>
        <v>0</v>
      </c>
      <c r="H340" s="449">
        <v>0</v>
      </c>
      <c r="I340" s="449">
        <f t="shared" si="290"/>
        <v>0</v>
      </c>
      <c r="J340" s="426">
        <f t="shared" si="291"/>
        <v>0</v>
      </c>
      <c r="K340" s="421"/>
      <c r="L340" s="449">
        <v>0</v>
      </c>
      <c r="M340" s="449">
        <v>0</v>
      </c>
      <c r="N340" s="449">
        <v>0</v>
      </c>
      <c r="O340" s="449">
        <v>0</v>
      </c>
      <c r="P340" s="449">
        <v>0</v>
      </c>
      <c r="Q340" s="449">
        <v>0</v>
      </c>
      <c r="R340" s="449">
        <f>($H340-SUM($L340:Q340))/R$694</f>
        <v>0</v>
      </c>
      <c r="S340" s="449">
        <f>($H340-SUM($L340:R340))/S$694</f>
        <v>0</v>
      </c>
      <c r="T340" s="449">
        <f>($H340-SUM($L340:S340))/T$694</f>
        <v>0</v>
      </c>
      <c r="U340" s="449">
        <f>($H340-SUM($L340:T340))/U$694</f>
        <v>0</v>
      </c>
      <c r="V340" s="449">
        <f>($H340-SUM($L340:U340))/V$694</f>
        <v>0</v>
      </c>
      <c r="W340" s="449">
        <f>($H340-SUM($L340:V340))/W$694</f>
        <v>0</v>
      </c>
      <c r="X340" s="449"/>
      <c r="Y340" s="449">
        <f t="shared" si="292"/>
        <v>0</v>
      </c>
      <c r="Z340" s="531"/>
      <c r="AA340" s="449">
        <f t="shared" si="293"/>
        <v>0</v>
      </c>
      <c r="AB340" s="449">
        <f t="shared" si="293"/>
        <v>0</v>
      </c>
      <c r="AC340" s="449">
        <f t="shared" si="293"/>
        <v>0</v>
      </c>
      <c r="AD340" s="449">
        <f t="shared" si="293"/>
        <v>0</v>
      </c>
      <c r="AE340" s="449">
        <f t="shared" si="293"/>
        <v>0</v>
      </c>
      <c r="AF340" s="449">
        <f t="shared" si="293"/>
        <v>0</v>
      </c>
      <c r="AG340" s="449">
        <f t="shared" si="293"/>
        <v>0</v>
      </c>
      <c r="AH340" s="449">
        <f t="shared" si="293"/>
        <v>0</v>
      </c>
      <c r="AI340" s="449">
        <f t="shared" si="293"/>
        <v>0</v>
      </c>
      <c r="AJ340" s="449">
        <f t="shared" si="293"/>
        <v>0</v>
      </c>
      <c r="AK340" s="449">
        <f t="shared" si="293"/>
        <v>0</v>
      </c>
      <c r="AL340" s="449">
        <f t="shared" si="293"/>
        <v>0</v>
      </c>
      <c r="AN340" s="500">
        <f t="shared" si="294"/>
        <v>0</v>
      </c>
      <c r="AO340" s="449">
        <f t="shared" si="295"/>
        <v>0</v>
      </c>
      <c r="AP340" s="449">
        <f t="shared" si="296"/>
        <v>0</v>
      </c>
      <c r="AQ340" s="453" t="str">
        <f t="shared" si="297"/>
        <v>-</v>
      </c>
      <c r="AR340" s="449">
        <f t="shared" si="298"/>
        <v>0</v>
      </c>
      <c r="AS340" s="449">
        <f t="shared" si="299"/>
        <v>0</v>
      </c>
      <c r="AT340" s="426">
        <f t="shared" si="300"/>
        <v>0</v>
      </c>
      <c r="AU340" s="421"/>
      <c r="AV340" s="449">
        <f t="shared" si="301"/>
        <v>0</v>
      </c>
      <c r="AW340" s="449">
        <f t="shared" si="301"/>
        <v>0</v>
      </c>
      <c r="AX340" s="449">
        <f t="shared" si="301"/>
        <v>0</v>
      </c>
      <c r="AY340" s="449">
        <f t="shared" si="301"/>
        <v>0</v>
      </c>
      <c r="AZ340" s="449">
        <f t="shared" si="301"/>
        <v>0</v>
      </c>
      <c r="BA340" s="449">
        <f t="shared" si="301"/>
        <v>0</v>
      </c>
      <c r="BB340" s="449">
        <f t="shared" si="301"/>
        <v>0</v>
      </c>
      <c r="BC340" s="449">
        <f t="shared" si="301"/>
        <v>0</v>
      </c>
      <c r="BD340" s="449">
        <f t="shared" si="301"/>
        <v>0</v>
      </c>
      <c r="BE340" s="449">
        <f t="shared" si="301"/>
        <v>0</v>
      </c>
      <c r="BF340" s="449">
        <f t="shared" si="301"/>
        <v>0</v>
      </c>
      <c r="BG340" s="449">
        <f t="shared" si="301"/>
        <v>0</v>
      </c>
      <c r="BH340" s="400"/>
      <c r="BI340" s="449">
        <v>0</v>
      </c>
      <c r="BJ340" s="449">
        <v>0</v>
      </c>
      <c r="BK340" s="449">
        <v>0</v>
      </c>
      <c r="BL340" s="449">
        <f>SUM('FY19 Staffing V1-1 (3)'!$J$246)</f>
        <v>0</v>
      </c>
      <c r="BM340" s="449">
        <v>0</v>
      </c>
      <c r="BN340" s="449">
        <v>0</v>
      </c>
      <c r="BO340" s="449">
        <v>0</v>
      </c>
      <c r="BP340" s="449">
        <v>0</v>
      </c>
      <c r="BQ340" s="449">
        <v>0</v>
      </c>
      <c r="BR340" s="449">
        <v>0</v>
      </c>
      <c r="BS340" s="449">
        <v>0</v>
      </c>
      <c r="BT340" s="449">
        <v>0</v>
      </c>
    </row>
    <row r="341" spans="1:72" ht="15" hidden="1" x14ac:dyDescent="0.25">
      <c r="A341" s="614" t="s">
        <v>583</v>
      </c>
      <c r="B341" s="614" t="s">
        <v>584</v>
      </c>
      <c r="C341" s="630"/>
      <c r="D341" s="500">
        <f t="shared" si="287"/>
        <v>0</v>
      </c>
      <c r="E341" s="449">
        <v>0</v>
      </c>
      <c r="F341" s="449">
        <f t="shared" si="288"/>
        <v>0</v>
      </c>
      <c r="G341" s="421">
        <f t="shared" si="289"/>
        <v>0</v>
      </c>
      <c r="H341" s="449">
        <v>0</v>
      </c>
      <c r="I341" s="449">
        <f t="shared" si="290"/>
        <v>0</v>
      </c>
      <c r="J341" s="426">
        <f t="shared" si="291"/>
        <v>0</v>
      </c>
      <c r="K341" s="421"/>
      <c r="L341" s="449">
        <v>0</v>
      </c>
      <c r="M341" s="449">
        <v>0</v>
      </c>
      <c r="N341" s="449">
        <v>0</v>
      </c>
      <c r="O341" s="449">
        <v>0</v>
      </c>
      <c r="P341" s="449">
        <v>0</v>
      </c>
      <c r="Q341" s="449">
        <v>0</v>
      </c>
      <c r="R341" s="449">
        <f>($H341-SUM($L341:Q341))/R$694</f>
        <v>0</v>
      </c>
      <c r="S341" s="449">
        <f>($H341-SUM($L341:R341))/S$694</f>
        <v>0</v>
      </c>
      <c r="T341" s="449">
        <f>($H341-SUM($L341:S341))/T$694</f>
        <v>0</v>
      </c>
      <c r="U341" s="449">
        <f>($H341-SUM($L341:T341))/U$694</f>
        <v>0</v>
      </c>
      <c r="V341" s="449">
        <f>($H341-SUM($L341:U341))/V$694</f>
        <v>0</v>
      </c>
      <c r="W341" s="449">
        <f>($H341-SUM($L341:V341))/W$694</f>
        <v>0</v>
      </c>
      <c r="X341" s="449"/>
      <c r="Y341" s="449">
        <f t="shared" si="292"/>
        <v>0</v>
      </c>
      <c r="Z341" s="531"/>
      <c r="AA341" s="449">
        <f t="shared" si="293"/>
        <v>0</v>
      </c>
      <c r="AB341" s="449">
        <f t="shared" si="293"/>
        <v>0</v>
      </c>
      <c r="AC341" s="449">
        <f t="shared" si="293"/>
        <v>0</v>
      </c>
      <c r="AD341" s="449">
        <f t="shared" si="293"/>
        <v>0</v>
      </c>
      <c r="AE341" s="449">
        <f t="shared" si="293"/>
        <v>0</v>
      </c>
      <c r="AF341" s="449">
        <f t="shared" si="293"/>
        <v>0</v>
      </c>
      <c r="AG341" s="449">
        <f t="shared" si="293"/>
        <v>0</v>
      </c>
      <c r="AH341" s="449">
        <f t="shared" si="293"/>
        <v>0</v>
      </c>
      <c r="AI341" s="449">
        <f t="shared" si="293"/>
        <v>0</v>
      </c>
      <c r="AJ341" s="449">
        <f t="shared" si="293"/>
        <v>0</v>
      </c>
      <c r="AK341" s="449">
        <f t="shared" si="293"/>
        <v>0</v>
      </c>
      <c r="AL341" s="449">
        <f t="shared" si="293"/>
        <v>0</v>
      </c>
      <c r="AN341" s="500">
        <f t="shared" si="294"/>
        <v>0</v>
      </c>
      <c r="AO341" s="449">
        <f t="shared" si="295"/>
        <v>0</v>
      </c>
      <c r="AP341" s="449">
        <f t="shared" si="296"/>
        <v>0</v>
      </c>
      <c r="AQ341" s="453" t="str">
        <f t="shared" si="297"/>
        <v>-</v>
      </c>
      <c r="AR341" s="449">
        <f t="shared" si="298"/>
        <v>0</v>
      </c>
      <c r="AS341" s="449">
        <f t="shared" si="299"/>
        <v>0</v>
      </c>
      <c r="AT341" s="426">
        <f t="shared" si="300"/>
        <v>0</v>
      </c>
      <c r="AU341" s="421"/>
      <c r="AV341" s="449">
        <f t="shared" si="301"/>
        <v>0</v>
      </c>
      <c r="AW341" s="449">
        <f t="shared" si="301"/>
        <v>0</v>
      </c>
      <c r="AX341" s="449">
        <f t="shared" si="301"/>
        <v>0</v>
      </c>
      <c r="AY341" s="449">
        <f t="shared" si="301"/>
        <v>0</v>
      </c>
      <c r="AZ341" s="449">
        <f t="shared" si="301"/>
        <v>0</v>
      </c>
      <c r="BA341" s="449">
        <f t="shared" si="301"/>
        <v>0</v>
      </c>
      <c r="BB341" s="449">
        <f t="shared" si="301"/>
        <v>0</v>
      </c>
      <c r="BC341" s="449">
        <f t="shared" si="301"/>
        <v>0</v>
      </c>
      <c r="BD341" s="449">
        <f t="shared" si="301"/>
        <v>0</v>
      </c>
      <c r="BE341" s="449">
        <f t="shared" si="301"/>
        <v>0</v>
      </c>
      <c r="BF341" s="449">
        <f t="shared" si="301"/>
        <v>0</v>
      </c>
      <c r="BG341" s="449">
        <f t="shared" si="301"/>
        <v>0</v>
      </c>
      <c r="BH341" s="400"/>
      <c r="BI341" s="449">
        <v>0</v>
      </c>
      <c r="BJ341" s="449">
        <v>0</v>
      </c>
      <c r="BK341" s="449">
        <v>0</v>
      </c>
      <c r="BL341" s="449">
        <v>0</v>
      </c>
      <c r="BM341" s="449">
        <v>0</v>
      </c>
      <c r="BN341" s="449">
        <v>0</v>
      </c>
      <c r="BO341" s="449">
        <v>0</v>
      </c>
      <c r="BP341" s="449">
        <v>0</v>
      </c>
      <c r="BQ341" s="449">
        <v>0</v>
      </c>
      <c r="BR341" s="449">
        <v>0</v>
      </c>
      <c r="BS341" s="449">
        <v>0</v>
      </c>
      <c r="BT341" s="449">
        <v>0</v>
      </c>
    </row>
    <row r="342" spans="1:72" ht="15" hidden="1" x14ac:dyDescent="0.25">
      <c r="A342" s="614" t="s">
        <v>585</v>
      </c>
      <c r="B342" s="614" t="s">
        <v>586</v>
      </c>
      <c r="C342" s="541"/>
      <c r="D342" s="500">
        <f t="shared" si="287"/>
        <v>0</v>
      </c>
      <c r="E342" s="449">
        <v>0</v>
      </c>
      <c r="F342" s="449">
        <f t="shared" si="288"/>
        <v>0</v>
      </c>
      <c r="G342" s="421">
        <f t="shared" si="289"/>
        <v>0</v>
      </c>
      <c r="H342" s="449">
        <v>0</v>
      </c>
      <c r="I342" s="449">
        <f t="shared" si="290"/>
        <v>0</v>
      </c>
      <c r="J342" s="426">
        <f t="shared" si="291"/>
        <v>0</v>
      </c>
      <c r="K342" s="421"/>
      <c r="L342" s="449">
        <v>0</v>
      </c>
      <c r="M342" s="449">
        <v>0</v>
      </c>
      <c r="N342" s="449">
        <v>0</v>
      </c>
      <c r="O342" s="449">
        <v>0</v>
      </c>
      <c r="P342" s="449">
        <v>0</v>
      </c>
      <c r="Q342" s="449">
        <v>0</v>
      </c>
      <c r="R342" s="449">
        <f>($H342-SUM($L342:Q342))/R$694</f>
        <v>0</v>
      </c>
      <c r="S342" s="449">
        <f>($H342-SUM($L342:R342))/S$694</f>
        <v>0</v>
      </c>
      <c r="T342" s="449">
        <f>($H342-SUM($L342:S342))/T$694</f>
        <v>0</v>
      </c>
      <c r="U342" s="449">
        <f>($H342-SUM($L342:T342))/U$694</f>
        <v>0</v>
      </c>
      <c r="V342" s="449">
        <f>($H342-SUM($L342:U342))/V$694</f>
        <v>0</v>
      </c>
      <c r="W342" s="449">
        <f>($H342-SUM($L342:V342))/W$694</f>
        <v>0</v>
      </c>
      <c r="X342" s="449"/>
      <c r="Y342" s="449">
        <f t="shared" si="292"/>
        <v>0</v>
      </c>
      <c r="Z342" s="531"/>
      <c r="AA342" s="449">
        <f t="shared" si="293"/>
        <v>0</v>
      </c>
      <c r="AB342" s="449">
        <f t="shared" si="293"/>
        <v>0</v>
      </c>
      <c r="AC342" s="449">
        <f t="shared" si="293"/>
        <v>0</v>
      </c>
      <c r="AD342" s="449">
        <f t="shared" si="293"/>
        <v>0</v>
      </c>
      <c r="AE342" s="449">
        <f t="shared" si="293"/>
        <v>0</v>
      </c>
      <c r="AF342" s="449">
        <f t="shared" si="293"/>
        <v>0</v>
      </c>
      <c r="AG342" s="449">
        <f t="shared" si="293"/>
        <v>0</v>
      </c>
      <c r="AH342" s="449">
        <f t="shared" si="293"/>
        <v>0</v>
      </c>
      <c r="AI342" s="449">
        <f t="shared" si="293"/>
        <v>0</v>
      </c>
      <c r="AJ342" s="449">
        <f t="shared" si="293"/>
        <v>0</v>
      </c>
      <c r="AK342" s="449">
        <f t="shared" si="293"/>
        <v>0</v>
      </c>
      <c r="AL342" s="449">
        <f t="shared" si="293"/>
        <v>0</v>
      </c>
      <c r="AN342" s="500">
        <f t="shared" si="294"/>
        <v>0</v>
      </c>
      <c r="AO342" s="449">
        <f t="shared" si="295"/>
        <v>0</v>
      </c>
      <c r="AP342" s="449">
        <f t="shared" si="296"/>
        <v>0</v>
      </c>
      <c r="AQ342" s="453" t="str">
        <f t="shared" si="297"/>
        <v>-</v>
      </c>
      <c r="AR342" s="449">
        <f t="shared" si="298"/>
        <v>0</v>
      </c>
      <c r="AS342" s="449">
        <f t="shared" si="299"/>
        <v>0</v>
      </c>
      <c r="AT342" s="426">
        <f t="shared" si="300"/>
        <v>0</v>
      </c>
      <c r="AU342" s="421"/>
      <c r="AV342" s="449">
        <f t="shared" si="301"/>
        <v>0</v>
      </c>
      <c r="AW342" s="449">
        <f t="shared" si="301"/>
        <v>0</v>
      </c>
      <c r="AX342" s="449">
        <f t="shared" si="301"/>
        <v>0</v>
      </c>
      <c r="AY342" s="449">
        <f t="shared" si="301"/>
        <v>0</v>
      </c>
      <c r="AZ342" s="449">
        <f t="shared" si="301"/>
        <v>0</v>
      </c>
      <c r="BA342" s="449">
        <f t="shared" si="301"/>
        <v>0</v>
      </c>
      <c r="BB342" s="449">
        <f t="shared" si="301"/>
        <v>0</v>
      </c>
      <c r="BC342" s="449">
        <f t="shared" si="301"/>
        <v>0</v>
      </c>
      <c r="BD342" s="449">
        <f t="shared" si="301"/>
        <v>0</v>
      </c>
      <c r="BE342" s="449">
        <f t="shared" si="301"/>
        <v>0</v>
      </c>
      <c r="BF342" s="449">
        <f t="shared" si="301"/>
        <v>0</v>
      </c>
      <c r="BG342" s="449">
        <f t="shared" si="301"/>
        <v>0</v>
      </c>
      <c r="BH342" s="400"/>
      <c r="BI342" s="449">
        <v>0</v>
      </c>
      <c r="BJ342" s="449">
        <v>0</v>
      </c>
      <c r="BK342" s="449">
        <v>0</v>
      </c>
      <c r="BL342" s="449">
        <v>0</v>
      </c>
      <c r="BM342" s="449">
        <v>0</v>
      </c>
      <c r="BN342" s="449">
        <v>0</v>
      </c>
      <c r="BO342" s="449">
        <v>0</v>
      </c>
      <c r="BP342" s="449">
        <v>0</v>
      </c>
      <c r="BQ342" s="449">
        <v>0</v>
      </c>
      <c r="BR342" s="449">
        <v>0</v>
      </c>
      <c r="BS342" s="449">
        <v>0</v>
      </c>
      <c r="BT342" s="449">
        <v>0</v>
      </c>
    </row>
    <row r="343" spans="1:72" ht="15" hidden="1" x14ac:dyDescent="0.25">
      <c r="A343" s="502" t="s">
        <v>587</v>
      </c>
      <c r="B343" s="502" t="s">
        <v>588</v>
      </c>
      <c r="C343" s="541"/>
      <c r="D343" s="500">
        <f t="shared" si="287"/>
        <v>0</v>
      </c>
      <c r="E343" s="449">
        <v>0</v>
      </c>
      <c r="F343" s="449">
        <f t="shared" si="288"/>
        <v>0</v>
      </c>
      <c r="G343" s="421">
        <f t="shared" si="289"/>
        <v>0</v>
      </c>
      <c r="H343" s="449">
        <v>0</v>
      </c>
      <c r="I343" s="449">
        <f t="shared" si="290"/>
        <v>0</v>
      </c>
      <c r="J343" s="426">
        <f t="shared" si="291"/>
        <v>0</v>
      </c>
      <c r="K343" s="421"/>
      <c r="L343" s="449">
        <v>0</v>
      </c>
      <c r="M343" s="449">
        <v>0</v>
      </c>
      <c r="N343" s="449">
        <v>0</v>
      </c>
      <c r="O343" s="449">
        <v>0</v>
      </c>
      <c r="P343" s="449">
        <v>0</v>
      </c>
      <c r="Q343" s="449">
        <v>0</v>
      </c>
      <c r="R343" s="449">
        <f>($H343-SUM($L343:Q343))/R$694</f>
        <v>0</v>
      </c>
      <c r="S343" s="449">
        <f>($H343-SUM($L343:R343))/S$694</f>
        <v>0</v>
      </c>
      <c r="T343" s="449">
        <f>($H343-SUM($L343:S343))/T$694</f>
        <v>0</v>
      </c>
      <c r="U343" s="449">
        <f>($H343-SUM($L343:T343))/U$694</f>
        <v>0</v>
      </c>
      <c r="V343" s="449">
        <f>($H343-SUM($L343:U343))/V$694</f>
        <v>0</v>
      </c>
      <c r="W343" s="449">
        <f>($H343-SUM($L343:V343))/W$694</f>
        <v>0</v>
      </c>
      <c r="X343" s="449"/>
      <c r="Y343" s="449">
        <f t="shared" si="292"/>
        <v>0</v>
      </c>
      <c r="Z343" s="531"/>
      <c r="AA343" s="449">
        <f t="shared" si="293"/>
        <v>0</v>
      </c>
      <c r="AB343" s="449">
        <f t="shared" si="293"/>
        <v>0</v>
      </c>
      <c r="AC343" s="449">
        <f t="shared" si="293"/>
        <v>0</v>
      </c>
      <c r="AD343" s="449">
        <f t="shared" si="293"/>
        <v>0</v>
      </c>
      <c r="AE343" s="449">
        <f t="shared" si="293"/>
        <v>0</v>
      </c>
      <c r="AF343" s="449">
        <f t="shared" si="293"/>
        <v>0</v>
      </c>
      <c r="AG343" s="449">
        <f t="shared" si="293"/>
        <v>0</v>
      </c>
      <c r="AH343" s="449">
        <f t="shared" si="293"/>
        <v>0</v>
      </c>
      <c r="AI343" s="449">
        <f t="shared" si="293"/>
        <v>0</v>
      </c>
      <c r="AJ343" s="449">
        <f t="shared" si="293"/>
        <v>0</v>
      </c>
      <c r="AK343" s="449">
        <f t="shared" si="293"/>
        <v>0</v>
      </c>
      <c r="AL343" s="449">
        <f t="shared" si="293"/>
        <v>0</v>
      </c>
      <c r="AN343" s="500">
        <f t="shared" si="294"/>
        <v>0</v>
      </c>
      <c r="AO343" s="449">
        <f t="shared" si="295"/>
        <v>0</v>
      </c>
      <c r="AP343" s="449">
        <f t="shared" si="296"/>
        <v>0</v>
      </c>
      <c r="AQ343" s="453" t="str">
        <f t="shared" si="297"/>
        <v>-</v>
      </c>
      <c r="AR343" s="449">
        <f t="shared" si="298"/>
        <v>0</v>
      </c>
      <c r="AS343" s="449">
        <f t="shared" si="299"/>
        <v>0</v>
      </c>
      <c r="AT343" s="426">
        <f t="shared" si="300"/>
        <v>0</v>
      </c>
      <c r="AU343" s="421"/>
      <c r="AV343" s="449">
        <f t="shared" si="301"/>
        <v>0</v>
      </c>
      <c r="AW343" s="449">
        <f t="shared" si="301"/>
        <v>0</v>
      </c>
      <c r="AX343" s="449">
        <f t="shared" si="301"/>
        <v>0</v>
      </c>
      <c r="AY343" s="449">
        <f t="shared" si="301"/>
        <v>0</v>
      </c>
      <c r="AZ343" s="449">
        <f t="shared" si="301"/>
        <v>0</v>
      </c>
      <c r="BA343" s="449">
        <f t="shared" si="301"/>
        <v>0</v>
      </c>
      <c r="BB343" s="449">
        <f t="shared" si="301"/>
        <v>0</v>
      </c>
      <c r="BC343" s="449">
        <f t="shared" si="301"/>
        <v>0</v>
      </c>
      <c r="BD343" s="449">
        <f t="shared" si="301"/>
        <v>0</v>
      </c>
      <c r="BE343" s="449">
        <f t="shared" si="301"/>
        <v>0</v>
      </c>
      <c r="BF343" s="449">
        <f t="shared" si="301"/>
        <v>0</v>
      </c>
      <c r="BG343" s="449">
        <f t="shared" si="301"/>
        <v>0</v>
      </c>
      <c r="BH343" s="400"/>
      <c r="BI343" s="449">
        <v>0</v>
      </c>
      <c r="BJ343" s="449">
        <v>0</v>
      </c>
      <c r="BK343" s="449">
        <v>0</v>
      </c>
      <c r="BL343" s="449">
        <v>0</v>
      </c>
      <c r="BM343" s="449">
        <v>0</v>
      </c>
      <c r="BN343" s="449">
        <v>0</v>
      </c>
      <c r="BO343" s="449">
        <v>0</v>
      </c>
      <c r="BP343" s="449">
        <v>0</v>
      </c>
      <c r="BQ343" s="449">
        <v>0</v>
      </c>
      <c r="BR343" s="449">
        <v>0</v>
      </c>
      <c r="BS343" s="449">
        <v>0</v>
      </c>
      <c r="BT343" s="449">
        <v>0</v>
      </c>
    </row>
    <row r="344" spans="1:72" ht="15" hidden="1" x14ac:dyDescent="0.25">
      <c r="A344" s="614" t="s">
        <v>589</v>
      </c>
      <c r="B344" s="614" t="s">
        <v>590</v>
      </c>
      <c r="C344" s="541"/>
      <c r="D344" s="500">
        <f t="shared" si="287"/>
        <v>0</v>
      </c>
      <c r="E344" s="449">
        <v>0</v>
      </c>
      <c r="F344" s="449">
        <f t="shared" si="288"/>
        <v>0</v>
      </c>
      <c r="G344" s="421">
        <f t="shared" si="289"/>
        <v>0</v>
      </c>
      <c r="H344" s="449">
        <v>0</v>
      </c>
      <c r="I344" s="449">
        <f t="shared" si="290"/>
        <v>0</v>
      </c>
      <c r="J344" s="426">
        <f t="shared" si="291"/>
        <v>0</v>
      </c>
      <c r="K344" s="421"/>
      <c r="L344" s="449">
        <v>0</v>
      </c>
      <c r="M344" s="449">
        <v>0</v>
      </c>
      <c r="N344" s="449">
        <v>0</v>
      </c>
      <c r="O344" s="449">
        <v>0</v>
      </c>
      <c r="P344" s="449">
        <v>0</v>
      </c>
      <c r="Q344" s="449">
        <v>0</v>
      </c>
      <c r="R344" s="449">
        <f>($H344-SUM($L344:Q344))/R$694</f>
        <v>0</v>
      </c>
      <c r="S344" s="449">
        <f>($H344-SUM($L344:R344))/S$694</f>
        <v>0</v>
      </c>
      <c r="T344" s="449">
        <f>($H344-SUM($L344:S344))/T$694</f>
        <v>0</v>
      </c>
      <c r="U344" s="449">
        <f>($H344-SUM($L344:T344))/U$694</f>
        <v>0</v>
      </c>
      <c r="V344" s="449">
        <f>($H344-SUM($L344:U344))/V$694</f>
        <v>0</v>
      </c>
      <c r="W344" s="449">
        <f>($H344-SUM($L344:V344))/W$694</f>
        <v>0</v>
      </c>
      <c r="X344" s="449"/>
      <c r="Y344" s="449">
        <f t="shared" si="292"/>
        <v>0</v>
      </c>
      <c r="Z344" s="531"/>
      <c r="AA344" s="449">
        <f t="shared" si="293"/>
        <v>0</v>
      </c>
      <c r="AB344" s="449">
        <f t="shared" si="293"/>
        <v>0</v>
      </c>
      <c r="AC344" s="449">
        <f t="shared" si="293"/>
        <v>0</v>
      </c>
      <c r="AD344" s="449">
        <f t="shared" si="293"/>
        <v>0</v>
      </c>
      <c r="AE344" s="449">
        <f t="shared" si="293"/>
        <v>0</v>
      </c>
      <c r="AF344" s="449">
        <f t="shared" si="293"/>
        <v>0</v>
      </c>
      <c r="AG344" s="449">
        <f t="shared" si="293"/>
        <v>0</v>
      </c>
      <c r="AH344" s="449">
        <f t="shared" si="293"/>
        <v>0</v>
      </c>
      <c r="AI344" s="449">
        <f t="shared" si="293"/>
        <v>0</v>
      </c>
      <c r="AJ344" s="449">
        <f t="shared" si="293"/>
        <v>0</v>
      </c>
      <c r="AK344" s="449">
        <f t="shared" si="293"/>
        <v>0</v>
      </c>
      <c r="AL344" s="449">
        <f t="shared" si="293"/>
        <v>0</v>
      </c>
      <c r="AN344" s="500">
        <f t="shared" si="294"/>
        <v>0</v>
      </c>
      <c r="AO344" s="449">
        <f t="shared" si="295"/>
        <v>0</v>
      </c>
      <c r="AP344" s="449">
        <f t="shared" si="296"/>
        <v>0</v>
      </c>
      <c r="AQ344" s="453" t="str">
        <f t="shared" si="297"/>
        <v>-</v>
      </c>
      <c r="AR344" s="449">
        <f t="shared" si="298"/>
        <v>0</v>
      </c>
      <c r="AS344" s="449">
        <f t="shared" si="299"/>
        <v>0</v>
      </c>
      <c r="AT344" s="426">
        <f t="shared" si="300"/>
        <v>0</v>
      </c>
      <c r="AU344" s="421"/>
      <c r="AV344" s="449">
        <f t="shared" si="301"/>
        <v>0</v>
      </c>
      <c r="AW344" s="449">
        <f t="shared" si="301"/>
        <v>0</v>
      </c>
      <c r="AX344" s="449">
        <f t="shared" si="301"/>
        <v>0</v>
      </c>
      <c r="AY344" s="449">
        <f t="shared" si="301"/>
        <v>0</v>
      </c>
      <c r="AZ344" s="449">
        <f t="shared" si="301"/>
        <v>0</v>
      </c>
      <c r="BA344" s="449">
        <f t="shared" si="301"/>
        <v>0</v>
      </c>
      <c r="BB344" s="449">
        <f t="shared" si="301"/>
        <v>0</v>
      </c>
      <c r="BC344" s="449">
        <f t="shared" si="301"/>
        <v>0</v>
      </c>
      <c r="BD344" s="449">
        <f t="shared" si="301"/>
        <v>0</v>
      </c>
      <c r="BE344" s="449">
        <f t="shared" si="301"/>
        <v>0</v>
      </c>
      <c r="BF344" s="449">
        <f t="shared" si="301"/>
        <v>0</v>
      </c>
      <c r="BG344" s="449">
        <f t="shared" si="301"/>
        <v>0</v>
      </c>
      <c r="BH344" s="400"/>
      <c r="BI344" s="449">
        <v>0</v>
      </c>
      <c r="BJ344" s="449">
        <v>0</v>
      </c>
      <c r="BK344" s="449">
        <v>0</v>
      </c>
      <c r="BL344" s="449">
        <v>0</v>
      </c>
      <c r="BM344" s="449">
        <v>0</v>
      </c>
      <c r="BN344" s="449">
        <v>0</v>
      </c>
      <c r="BO344" s="449">
        <v>0</v>
      </c>
      <c r="BP344" s="449">
        <v>0</v>
      </c>
      <c r="BQ344" s="449">
        <v>0</v>
      </c>
      <c r="BR344" s="449">
        <v>0</v>
      </c>
      <c r="BS344" s="449">
        <v>0</v>
      </c>
      <c r="BT344" s="449">
        <v>0</v>
      </c>
    </row>
    <row r="345" spans="1:72" ht="15" x14ac:dyDescent="0.25">
      <c r="A345" s="502" t="s">
        <v>591</v>
      </c>
      <c r="B345" s="502" t="s">
        <v>532</v>
      </c>
      <c r="C345" s="541"/>
      <c r="D345" s="500">
        <f t="shared" si="287"/>
        <v>2295</v>
      </c>
      <c r="E345" s="449">
        <v>2295</v>
      </c>
      <c r="F345" s="449">
        <f t="shared" si="288"/>
        <v>0</v>
      </c>
      <c r="G345" s="421">
        <f t="shared" si="289"/>
        <v>0</v>
      </c>
      <c r="H345" s="449">
        <v>2295</v>
      </c>
      <c r="I345" s="449">
        <f t="shared" si="290"/>
        <v>0</v>
      </c>
      <c r="J345" s="426">
        <f t="shared" si="291"/>
        <v>0</v>
      </c>
      <c r="K345" s="421"/>
      <c r="L345" s="449">
        <v>0</v>
      </c>
      <c r="M345" s="449">
        <v>0</v>
      </c>
      <c r="N345" s="449">
        <v>0</v>
      </c>
      <c r="O345" s="449">
        <v>0</v>
      </c>
      <c r="P345" s="449">
        <v>0</v>
      </c>
      <c r="Q345" s="449">
        <v>0</v>
      </c>
      <c r="R345" s="449">
        <f>($H345-SUM($L345:Q345))/R$694</f>
        <v>382.5</v>
      </c>
      <c r="S345" s="449">
        <f>($H345-SUM($L345:R345))/S$694</f>
        <v>382.5</v>
      </c>
      <c r="T345" s="449">
        <f>($H345-SUM($L345:S345))/T$694</f>
        <v>382.5</v>
      </c>
      <c r="U345" s="449">
        <f>($H345-SUM($L345:T345))/U$694</f>
        <v>382.5</v>
      </c>
      <c r="V345" s="449">
        <f>($H345-SUM($L345:U345))/V$694</f>
        <v>382.5</v>
      </c>
      <c r="W345" s="449">
        <f>($H345-SUM($L345:V345))/W$694</f>
        <v>382.5</v>
      </c>
      <c r="X345" s="449"/>
      <c r="Y345" s="449">
        <f t="shared" si="292"/>
        <v>2295</v>
      </c>
      <c r="Z345" s="531"/>
      <c r="AA345" s="449">
        <f t="shared" si="293"/>
        <v>191.25</v>
      </c>
      <c r="AB345" s="449">
        <f t="shared" si="293"/>
        <v>191.25</v>
      </c>
      <c r="AC345" s="449">
        <f t="shared" si="293"/>
        <v>191.25</v>
      </c>
      <c r="AD345" s="449">
        <f t="shared" si="293"/>
        <v>191.25</v>
      </c>
      <c r="AE345" s="449">
        <f t="shared" si="293"/>
        <v>191.25</v>
      </c>
      <c r="AF345" s="449">
        <f t="shared" si="293"/>
        <v>191.25</v>
      </c>
      <c r="AG345" s="449">
        <f t="shared" si="293"/>
        <v>191.25</v>
      </c>
      <c r="AH345" s="449">
        <f t="shared" si="293"/>
        <v>191.25</v>
      </c>
      <c r="AI345" s="449">
        <f t="shared" si="293"/>
        <v>191.25</v>
      </c>
      <c r="AJ345" s="449">
        <f t="shared" si="293"/>
        <v>191.25</v>
      </c>
      <c r="AK345" s="449">
        <f t="shared" si="293"/>
        <v>191.25</v>
      </c>
      <c r="AL345" s="449">
        <f t="shared" si="293"/>
        <v>191.25</v>
      </c>
      <c r="AN345" s="500">
        <f t="shared" si="294"/>
        <v>2295</v>
      </c>
      <c r="AO345" s="449">
        <f t="shared" si="295"/>
        <v>2274.9299999999994</v>
      </c>
      <c r="AP345" s="449">
        <f t="shared" si="296"/>
        <v>-20.070000000000618</v>
      </c>
      <c r="AQ345" s="453">
        <f t="shared" si="297"/>
        <v>-8.7450980392159549E-3</v>
      </c>
      <c r="AR345" s="449">
        <f t="shared" si="298"/>
        <v>2274.9299999999994</v>
      </c>
      <c r="AS345" s="449">
        <f t="shared" si="299"/>
        <v>0</v>
      </c>
      <c r="AT345" s="426">
        <f t="shared" si="300"/>
        <v>0</v>
      </c>
      <c r="AU345" s="421"/>
      <c r="AV345" s="449">
        <f t="shared" si="301"/>
        <v>0</v>
      </c>
      <c r="AW345" s="449">
        <f t="shared" si="301"/>
        <v>189.57749999999999</v>
      </c>
      <c r="AX345" s="449">
        <f t="shared" si="301"/>
        <v>189.57749999999999</v>
      </c>
      <c r="AY345" s="449">
        <f t="shared" si="301"/>
        <v>189.57749999999999</v>
      </c>
      <c r="AZ345" s="449">
        <f t="shared" si="301"/>
        <v>189.57749999999999</v>
      </c>
      <c r="BA345" s="449">
        <f t="shared" si="301"/>
        <v>189.57749999999999</v>
      </c>
      <c r="BB345" s="449">
        <f t="shared" si="301"/>
        <v>189.57749999999999</v>
      </c>
      <c r="BC345" s="449">
        <f t="shared" si="301"/>
        <v>189.57749999999999</v>
      </c>
      <c r="BD345" s="449">
        <f t="shared" si="301"/>
        <v>189.57749999999999</v>
      </c>
      <c r="BE345" s="449">
        <f t="shared" si="301"/>
        <v>189.57749999999999</v>
      </c>
      <c r="BF345" s="449">
        <f t="shared" si="301"/>
        <v>189.57749999999999</v>
      </c>
      <c r="BG345" s="449">
        <f t="shared" si="301"/>
        <v>379.15499999999997</v>
      </c>
      <c r="BH345" s="400"/>
      <c r="BI345" s="449">
        <v>0</v>
      </c>
      <c r="BJ345" s="449">
        <f>SUM('FY19 Staffing V1-1 (3)'!$Q$246:$R$246,'FY19 Staffing V1-1 (3)'!$T$246:$U$246)/12</f>
        <v>189.57749999999999</v>
      </c>
      <c r="BK345" s="449">
        <f>SUM('FY19 Staffing V1-1 (3)'!$Q$246:$R$246,'FY19 Staffing V1-1 (3)'!$T$246:$U$246)/12</f>
        <v>189.57749999999999</v>
      </c>
      <c r="BL345" s="449">
        <f>SUM('FY19 Staffing V1-1 (3)'!$Q$246:$R$246,'FY19 Staffing V1-1 (3)'!$T$246:$U$246)/12</f>
        <v>189.57749999999999</v>
      </c>
      <c r="BM345" s="449">
        <f>SUM('FY19 Staffing V1-1 (3)'!$Q$246:$R$246,'FY19 Staffing V1-1 (3)'!$T$246:$U$246)/12</f>
        <v>189.57749999999999</v>
      </c>
      <c r="BN345" s="449">
        <f>SUM('FY19 Staffing V1-1 (3)'!$Q$246:$R$246,'FY19 Staffing V1-1 (3)'!$T$246:$U$246)/12</f>
        <v>189.57749999999999</v>
      </c>
      <c r="BO345" s="449">
        <f>SUM('FY19 Staffing V1-1 (3)'!$Q$246:$R$246,'FY19 Staffing V1-1 (3)'!$T$246:$U$246)/12</f>
        <v>189.57749999999999</v>
      </c>
      <c r="BP345" s="449">
        <f>SUM('FY19 Staffing V1-1 (3)'!$Q$246:$R$246,'FY19 Staffing V1-1 (3)'!$T$246:$U$246)/12</f>
        <v>189.57749999999999</v>
      </c>
      <c r="BQ345" s="449">
        <f>SUM('FY19 Staffing V1-1 (3)'!$Q$246:$R$246,'FY19 Staffing V1-1 (3)'!$T$246:$U$246)/12</f>
        <v>189.57749999999999</v>
      </c>
      <c r="BR345" s="449">
        <f>SUM('FY19 Staffing V1-1 (3)'!$Q$246:$R$246,'FY19 Staffing V1-1 (3)'!$T$246:$U$246)/12</f>
        <v>189.57749999999999</v>
      </c>
      <c r="BS345" s="449">
        <f>SUM('FY19 Staffing V1-1 (3)'!$Q$246:$R$246,'FY19 Staffing V1-1 (3)'!$T$246:$U$246)/12</f>
        <v>189.57749999999999</v>
      </c>
      <c r="BT345" s="449">
        <f>SUM('FY19 Staffing V1-1 (3)'!$Q$246:$R$246,'FY19 Staffing V1-1 (3)'!$T$246:$U$246)/12*2</f>
        <v>379.15499999999997</v>
      </c>
    </row>
    <row r="346" spans="1:72" ht="15" hidden="1" x14ac:dyDescent="0.25">
      <c r="A346" s="614" t="s">
        <v>592</v>
      </c>
      <c r="B346" s="614" t="s">
        <v>593</v>
      </c>
      <c r="C346" s="541"/>
      <c r="D346" s="500">
        <f t="shared" si="287"/>
        <v>0</v>
      </c>
      <c r="E346" s="449">
        <v>0</v>
      </c>
      <c r="F346" s="449">
        <f t="shared" si="288"/>
        <v>0</v>
      </c>
      <c r="G346" s="421">
        <f t="shared" si="289"/>
        <v>0</v>
      </c>
      <c r="H346" s="449">
        <v>0</v>
      </c>
      <c r="I346" s="449">
        <f t="shared" si="290"/>
        <v>0</v>
      </c>
      <c r="J346" s="426">
        <f t="shared" si="291"/>
        <v>0</v>
      </c>
      <c r="K346" s="421"/>
      <c r="L346" s="449">
        <v>0</v>
      </c>
      <c r="M346" s="449">
        <v>0</v>
      </c>
      <c r="N346" s="449">
        <v>0</v>
      </c>
      <c r="O346" s="449">
        <v>0</v>
      </c>
      <c r="P346" s="449">
        <v>0</v>
      </c>
      <c r="Q346" s="449">
        <v>0</v>
      </c>
      <c r="R346" s="449">
        <f>($H346-SUM($L346:Q346))/R$694</f>
        <v>0</v>
      </c>
      <c r="S346" s="449">
        <f>($H346-SUM($L346:R346))/S$694</f>
        <v>0</v>
      </c>
      <c r="T346" s="449">
        <f>($H346-SUM($L346:S346))/T$694</f>
        <v>0</v>
      </c>
      <c r="U346" s="449">
        <f>($H346-SUM($L346:T346))/U$694</f>
        <v>0</v>
      </c>
      <c r="V346" s="449">
        <f>($H346-SUM($L346:U346))/V$694</f>
        <v>0</v>
      </c>
      <c r="W346" s="449">
        <f>($H346-SUM($L346:V346))/W$694</f>
        <v>0</v>
      </c>
      <c r="X346" s="449"/>
      <c r="Y346" s="449">
        <f t="shared" si="292"/>
        <v>0</v>
      </c>
      <c r="Z346" s="531"/>
      <c r="AA346" s="449">
        <f t="shared" si="293"/>
        <v>0</v>
      </c>
      <c r="AB346" s="449">
        <f t="shared" si="293"/>
        <v>0</v>
      </c>
      <c r="AC346" s="449">
        <f t="shared" si="293"/>
        <v>0</v>
      </c>
      <c r="AD346" s="449">
        <f t="shared" si="293"/>
        <v>0</v>
      </c>
      <c r="AE346" s="449">
        <f t="shared" si="293"/>
        <v>0</v>
      </c>
      <c r="AF346" s="449">
        <f t="shared" si="293"/>
        <v>0</v>
      </c>
      <c r="AG346" s="449">
        <f t="shared" si="293"/>
        <v>0</v>
      </c>
      <c r="AH346" s="449">
        <f t="shared" si="293"/>
        <v>0</v>
      </c>
      <c r="AI346" s="449">
        <f t="shared" si="293"/>
        <v>0</v>
      </c>
      <c r="AJ346" s="449">
        <f t="shared" si="293"/>
        <v>0</v>
      </c>
      <c r="AK346" s="449">
        <f t="shared" si="293"/>
        <v>0</v>
      </c>
      <c r="AL346" s="449">
        <f t="shared" si="293"/>
        <v>0</v>
      </c>
      <c r="AN346" s="500">
        <f t="shared" si="294"/>
        <v>0</v>
      </c>
      <c r="AO346" s="449">
        <f t="shared" si="295"/>
        <v>0</v>
      </c>
      <c r="AP346" s="449">
        <f t="shared" si="296"/>
        <v>0</v>
      </c>
      <c r="AQ346" s="453" t="str">
        <f t="shared" si="297"/>
        <v>-</v>
      </c>
      <c r="AR346" s="449">
        <f t="shared" si="298"/>
        <v>0</v>
      </c>
      <c r="AS346" s="449">
        <f t="shared" si="299"/>
        <v>0</v>
      </c>
      <c r="AT346" s="426">
        <f t="shared" si="300"/>
        <v>0</v>
      </c>
      <c r="AU346" s="421"/>
      <c r="AV346" s="449">
        <f t="shared" si="301"/>
        <v>0</v>
      </c>
      <c r="AW346" s="449">
        <f t="shared" si="301"/>
        <v>0</v>
      </c>
      <c r="AX346" s="449">
        <f t="shared" si="301"/>
        <v>0</v>
      </c>
      <c r="AY346" s="449">
        <f t="shared" si="301"/>
        <v>0</v>
      </c>
      <c r="AZ346" s="449">
        <f t="shared" si="301"/>
        <v>0</v>
      </c>
      <c r="BA346" s="449">
        <f t="shared" si="301"/>
        <v>0</v>
      </c>
      <c r="BB346" s="449">
        <f t="shared" si="301"/>
        <v>0</v>
      </c>
      <c r="BC346" s="449">
        <f t="shared" si="301"/>
        <v>0</v>
      </c>
      <c r="BD346" s="449">
        <f t="shared" si="301"/>
        <v>0</v>
      </c>
      <c r="BE346" s="449">
        <f t="shared" si="301"/>
        <v>0</v>
      </c>
      <c r="BF346" s="449">
        <f t="shared" si="301"/>
        <v>0</v>
      </c>
      <c r="BG346" s="449">
        <f t="shared" si="301"/>
        <v>0</v>
      </c>
      <c r="BH346" s="400"/>
      <c r="BI346" s="449">
        <v>0</v>
      </c>
      <c r="BJ346" s="449">
        <v>0</v>
      </c>
      <c r="BK346" s="449">
        <v>0</v>
      </c>
      <c r="BL346" s="449">
        <v>0</v>
      </c>
      <c r="BM346" s="449">
        <v>0</v>
      </c>
      <c r="BN346" s="449">
        <v>0</v>
      </c>
      <c r="BO346" s="449">
        <v>0</v>
      </c>
      <c r="BP346" s="449">
        <v>0</v>
      </c>
      <c r="BQ346" s="449">
        <v>0</v>
      </c>
      <c r="BR346" s="449">
        <v>0</v>
      </c>
      <c r="BS346" s="449">
        <v>0</v>
      </c>
      <c r="BT346" s="449">
        <v>0</v>
      </c>
    </row>
    <row r="347" spans="1:72" ht="15" hidden="1" x14ac:dyDescent="0.25">
      <c r="A347" s="614" t="s">
        <v>594</v>
      </c>
      <c r="B347" s="614" t="s">
        <v>595</v>
      </c>
      <c r="C347" s="541"/>
      <c r="D347" s="500">
        <f t="shared" si="287"/>
        <v>0</v>
      </c>
      <c r="E347" s="449">
        <v>0</v>
      </c>
      <c r="F347" s="449">
        <f t="shared" si="288"/>
        <v>0</v>
      </c>
      <c r="G347" s="421">
        <f t="shared" si="289"/>
        <v>0</v>
      </c>
      <c r="H347" s="449">
        <v>0</v>
      </c>
      <c r="I347" s="449">
        <f t="shared" si="290"/>
        <v>0</v>
      </c>
      <c r="J347" s="426">
        <f t="shared" si="291"/>
        <v>0</v>
      </c>
      <c r="K347" s="421"/>
      <c r="L347" s="449">
        <v>0</v>
      </c>
      <c r="M347" s="449">
        <v>0</v>
      </c>
      <c r="N347" s="449">
        <v>0</v>
      </c>
      <c r="O347" s="449">
        <v>0</v>
      </c>
      <c r="P347" s="449">
        <v>0</v>
      </c>
      <c r="Q347" s="449">
        <v>0</v>
      </c>
      <c r="R347" s="449">
        <f>($H347-SUM($L347:Q347))/R$694</f>
        <v>0</v>
      </c>
      <c r="S347" s="449">
        <f>($H347-SUM($L347:R347))/S$694</f>
        <v>0</v>
      </c>
      <c r="T347" s="449">
        <f>($H347-SUM($L347:S347))/T$694</f>
        <v>0</v>
      </c>
      <c r="U347" s="449">
        <f>($H347-SUM($L347:T347))/U$694</f>
        <v>0</v>
      </c>
      <c r="V347" s="449">
        <f>($H347-SUM($L347:U347))/V$694</f>
        <v>0</v>
      </c>
      <c r="W347" s="449">
        <f>($H347-SUM($L347:V347))/W$694</f>
        <v>0</v>
      </c>
      <c r="X347" s="449"/>
      <c r="Y347" s="449">
        <f t="shared" si="292"/>
        <v>0</v>
      </c>
      <c r="Z347" s="531"/>
      <c r="AA347" s="449">
        <f t="shared" si="293"/>
        <v>0</v>
      </c>
      <c r="AB347" s="449">
        <f t="shared" si="293"/>
        <v>0</v>
      </c>
      <c r="AC347" s="449">
        <f t="shared" si="293"/>
        <v>0</v>
      </c>
      <c r="AD347" s="449">
        <f t="shared" si="293"/>
        <v>0</v>
      </c>
      <c r="AE347" s="449">
        <f t="shared" si="293"/>
        <v>0</v>
      </c>
      <c r="AF347" s="449">
        <f t="shared" si="293"/>
        <v>0</v>
      </c>
      <c r="AG347" s="449">
        <f t="shared" si="293"/>
        <v>0</v>
      </c>
      <c r="AH347" s="449">
        <f t="shared" si="293"/>
        <v>0</v>
      </c>
      <c r="AI347" s="449">
        <f t="shared" si="293"/>
        <v>0</v>
      </c>
      <c r="AJ347" s="449">
        <f t="shared" si="293"/>
        <v>0</v>
      </c>
      <c r="AK347" s="449">
        <f t="shared" si="293"/>
        <v>0</v>
      </c>
      <c r="AL347" s="449">
        <f t="shared" si="293"/>
        <v>0</v>
      </c>
      <c r="AN347" s="500">
        <f t="shared" si="294"/>
        <v>0</v>
      </c>
      <c r="AO347" s="449">
        <f t="shared" si="295"/>
        <v>0</v>
      </c>
      <c r="AP347" s="449">
        <f t="shared" si="296"/>
        <v>0</v>
      </c>
      <c r="AQ347" s="453" t="str">
        <f t="shared" si="297"/>
        <v>-</v>
      </c>
      <c r="AR347" s="449">
        <f t="shared" si="298"/>
        <v>0</v>
      </c>
      <c r="AS347" s="449">
        <f t="shared" si="299"/>
        <v>0</v>
      </c>
      <c r="AT347" s="426">
        <f t="shared" si="300"/>
        <v>0</v>
      </c>
      <c r="AU347" s="421"/>
      <c r="AV347" s="449">
        <f t="shared" si="301"/>
        <v>0</v>
      </c>
      <c r="AW347" s="449">
        <f t="shared" si="301"/>
        <v>0</v>
      </c>
      <c r="AX347" s="449">
        <f t="shared" si="301"/>
        <v>0</v>
      </c>
      <c r="AY347" s="449">
        <f t="shared" si="301"/>
        <v>0</v>
      </c>
      <c r="AZ347" s="449">
        <f t="shared" si="301"/>
        <v>0</v>
      </c>
      <c r="BA347" s="449">
        <f t="shared" si="301"/>
        <v>0</v>
      </c>
      <c r="BB347" s="449">
        <f t="shared" si="301"/>
        <v>0</v>
      </c>
      <c r="BC347" s="449">
        <f t="shared" si="301"/>
        <v>0</v>
      </c>
      <c r="BD347" s="449">
        <f t="shared" si="301"/>
        <v>0</v>
      </c>
      <c r="BE347" s="449">
        <f t="shared" si="301"/>
        <v>0</v>
      </c>
      <c r="BF347" s="449">
        <f t="shared" si="301"/>
        <v>0</v>
      </c>
      <c r="BG347" s="449">
        <f t="shared" si="301"/>
        <v>0</v>
      </c>
      <c r="BH347" s="400"/>
      <c r="BI347" s="449">
        <v>0</v>
      </c>
      <c r="BJ347" s="449">
        <v>0</v>
      </c>
      <c r="BK347" s="449">
        <v>0</v>
      </c>
      <c r="BL347" s="449">
        <v>0</v>
      </c>
      <c r="BM347" s="449">
        <v>0</v>
      </c>
      <c r="BN347" s="449">
        <v>0</v>
      </c>
      <c r="BO347" s="449">
        <v>0</v>
      </c>
      <c r="BP347" s="449">
        <v>0</v>
      </c>
      <c r="BQ347" s="449">
        <v>0</v>
      </c>
      <c r="BR347" s="449">
        <v>0</v>
      </c>
      <c r="BS347" s="449">
        <v>0</v>
      </c>
      <c r="BT347" s="449">
        <v>0</v>
      </c>
    </row>
    <row r="348" spans="1:72" ht="15" x14ac:dyDescent="0.25">
      <c r="A348" s="502" t="s">
        <v>596</v>
      </c>
      <c r="B348" s="502" t="s">
        <v>536</v>
      </c>
      <c r="C348" s="541"/>
      <c r="D348" s="500">
        <f t="shared" si="287"/>
        <v>0</v>
      </c>
      <c r="E348" s="449">
        <v>0</v>
      </c>
      <c r="F348" s="449">
        <f t="shared" si="288"/>
        <v>0</v>
      </c>
      <c r="G348" s="421">
        <f t="shared" si="289"/>
        <v>0</v>
      </c>
      <c r="H348" s="449">
        <v>0</v>
      </c>
      <c r="I348" s="449">
        <f t="shared" si="290"/>
        <v>0</v>
      </c>
      <c r="J348" s="426">
        <f t="shared" si="291"/>
        <v>0</v>
      </c>
      <c r="K348" s="421"/>
      <c r="L348" s="449">
        <v>0</v>
      </c>
      <c r="M348" s="449">
        <v>0</v>
      </c>
      <c r="N348" s="449">
        <v>0</v>
      </c>
      <c r="O348" s="449">
        <v>0</v>
      </c>
      <c r="P348" s="449">
        <v>0</v>
      </c>
      <c r="Q348" s="449">
        <v>0</v>
      </c>
      <c r="R348" s="449">
        <f>($H348-SUM($L348:Q348))/R$694</f>
        <v>0</v>
      </c>
      <c r="S348" s="449">
        <f>($H348-SUM($L348:R348))/S$694</f>
        <v>0</v>
      </c>
      <c r="T348" s="449">
        <f>($H348-SUM($L348:S348))/T$694</f>
        <v>0</v>
      </c>
      <c r="U348" s="449">
        <f>($H348-SUM($L348:T348))/U$694</f>
        <v>0</v>
      </c>
      <c r="V348" s="449">
        <f>($H348-SUM($L348:U348))/V$694</f>
        <v>0</v>
      </c>
      <c r="W348" s="449">
        <f>($H348-SUM($L348:V348))/W$694</f>
        <v>0</v>
      </c>
      <c r="X348" s="449"/>
      <c r="Y348" s="449">
        <f t="shared" si="292"/>
        <v>0</v>
      </c>
      <c r="Z348" s="531"/>
      <c r="AA348" s="449">
        <f t="shared" si="293"/>
        <v>0</v>
      </c>
      <c r="AB348" s="449">
        <f t="shared" si="293"/>
        <v>0</v>
      </c>
      <c r="AC348" s="449">
        <f t="shared" si="293"/>
        <v>0</v>
      </c>
      <c r="AD348" s="449">
        <f t="shared" si="293"/>
        <v>0</v>
      </c>
      <c r="AE348" s="449">
        <f t="shared" si="293"/>
        <v>0</v>
      </c>
      <c r="AF348" s="449">
        <f t="shared" si="293"/>
        <v>0</v>
      </c>
      <c r="AG348" s="449">
        <f t="shared" si="293"/>
        <v>0</v>
      </c>
      <c r="AH348" s="449">
        <f t="shared" si="293"/>
        <v>0</v>
      </c>
      <c r="AI348" s="449">
        <f t="shared" si="293"/>
        <v>0</v>
      </c>
      <c r="AJ348" s="449">
        <f t="shared" si="293"/>
        <v>0</v>
      </c>
      <c r="AK348" s="449">
        <f t="shared" si="293"/>
        <v>0</v>
      </c>
      <c r="AL348" s="449">
        <f t="shared" si="293"/>
        <v>0</v>
      </c>
      <c r="AN348" s="500">
        <f t="shared" si="294"/>
        <v>0</v>
      </c>
      <c r="AO348" s="449">
        <f t="shared" si="295"/>
        <v>2921.2034269599999</v>
      </c>
      <c r="AP348" s="449">
        <f t="shared" si="296"/>
        <v>2921.2034269599999</v>
      </c>
      <c r="AQ348" s="453" t="str">
        <f t="shared" si="297"/>
        <v>-</v>
      </c>
      <c r="AR348" s="449">
        <f t="shared" si="298"/>
        <v>2921.2034269599999</v>
      </c>
      <c r="AS348" s="449">
        <f t="shared" si="299"/>
        <v>0</v>
      </c>
      <c r="AT348" s="426">
        <f t="shared" si="300"/>
        <v>0</v>
      </c>
      <c r="AU348" s="421"/>
      <c r="AV348" s="449">
        <f t="shared" si="301"/>
        <v>0</v>
      </c>
      <c r="AW348" s="449">
        <f t="shared" si="301"/>
        <v>243.43361891333336</v>
      </c>
      <c r="AX348" s="449">
        <f t="shared" si="301"/>
        <v>243.43361891333336</v>
      </c>
      <c r="AY348" s="449">
        <f t="shared" si="301"/>
        <v>243.43361891333336</v>
      </c>
      <c r="AZ348" s="449">
        <f t="shared" si="301"/>
        <v>243.43361891333336</v>
      </c>
      <c r="BA348" s="449">
        <f t="shared" si="301"/>
        <v>243.43361891333336</v>
      </c>
      <c r="BB348" s="449">
        <f t="shared" si="301"/>
        <v>243.43361891333336</v>
      </c>
      <c r="BC348" s="449">
        <f t="shared" si="301"/>
        <v>243.43361891333336</v>
      </c>
      <c r="BD348" s="449">
        <f t="shared" si="301"/>
        <v>243.43361891333336</v>
      </c>
      <c r="BE348" s="449">
        <f t="shared" si="301"/>
        <v>243.43361891333336</v>
      </c>
      <c r="BF348" s="449">
        <f t="shared" si="301"/>
        <v>243.43361891333336</v>
      </c>
      <c r="BG348" s="449">
        <f t="shared" si="301"/>
        <v>486.86723782666672</v>
      </c>
      <c r="BH348" s="400"/>
      <c r="BI348" s="449">
        <v>0</v>
      </c>
      <c r="BJ348" s="449">
        <f>SUM('FY19 Staffing V1-1 (3)'!$W$246)/12</f>
        <v>243.43361891333336</v>
      </c>
      <c r="BK348" s="449">
        <f>SUM('FY19 Staffing V1-1 (3)'!$W$246)/12</f>
        <v>243.43361891333336</v>
      </c>
      <c r="BL348" s="449">
        <f>SUM('FY19 Staffing V1-1 (3)'!$W$246)/12</f>
        <v>243.43361891333336</v>
      </c>
      <c r="BM348" s="449">
        <f>SUM('FY19 Staffing V1-1 (3)'!$W$246)/12</f>
        <v>243.43361891333336</v>
      </c>
      <c r="BN348" s="449">
        <f>SUM('FY19 Staffing V1-1 (3)'!$W$246)/12</f>
        <v>243.43361891333336</v>
      </c>
      <c r="BO348" s="449">
        <f>SUM('FY19 Staffing V1-1 (3)'!$W$246)/12</f>
        <v>243.43361891333336</v>
      </c>
      <c r="BP348" s="449">
        <f>SUM('FY19 Staffing V1-1 (3)'!$W$246)/12</f>
        <v>243.43361891333336</v>
      </c>
      <c r="BQ348" s="449">
        <f>SUM('FY19 Staffing V1-1 (3)'!$W$246)/12</f>
        <v>243.43361891333336</v>
      </c>
      <c r="BR348" s="449">
        <f>SUM('FY19 Staffing V1-1 (3)'!$W$246)/12</f>
        <v>243.43361891333336</v>
      </c>
      <c r="BS348" s="449">
        <f>SUM('FY19 Staffing V1-1 (3)'!$W$246)/12</f>
        <v>243.43361891333336</v>
      </c>
      <c r="BT348" s="449">
        <f>SUM('FY19 Staffing V1-1 (3)'!$W$246)/12*2</f>
        <v>486.86723782666672</v>
      </c>
    </row>
    <row r="349" spans="1:72" ht="15" hidden="1" x14ac:dyDescent="0.25">
      <c r="A349" s="614" t="s">
        <v>597</v>
      </c>
      <c r="B349" s="614" t="s">
        <v>598</v>
      </c>
      <c r="C349" s="541"/>
      <c r="D349" s="500">
        <f t="shared" si="287"/>
        <v>0</v>
      </c>
      <c r="E349" s="449">
        <v>0</v>
      </c>
      <c r="F349" s="449">
        <f t="shared" si="288"/>
        <v>0</v>
      </c>
      <c r="G349" s="421">
        <f t="shared" si="289"/>
        <v>0</v>
      </c>
      <c r="H349" s="449">
        <v>0</v>
      </c>
      <c r="I349" s="449">
        <f t="shared" si="290"/>
        <v>0</v>
      </c>
      <c r="J349" s="426">
        <f t="shared" si="291"/>
        <v>0</v>
      </c>
      <c r="K349" s="421"/>
      <c r="L349" s="449">
        <v>0</v>
      </c>
      <c r="M349" s="449">
        <v>0</v>
      </c>
      <c r="N349" s="449">
        <v>0</v>
      </c>
      <c r="O349" s="449">
        <v>0</v>
      </c>
      <c r="P349" s="449">
        <v>0</v>
      </c>
      <c r="Q349" s="449">
        <v>0</v>
      </c>
      <c r="R349" s="449">
        <f>($H349-SUM($L349:Q349))/R$694</f>
        <v>0</v>
      </c>
      <c r="S349" s="449">
        <f>($H349-SUM($L349:R349))/S$694</f>
        <v>0</v>
      </c>
      <c r="T349" s="449">
        <f>($H349-SUM($L349:S349))/T$694</f>
        <v>0</v>
      </c>
      <c r="U349" s="449">
        <f>($H349-SUM($L349:T349))/U$694</f>
        <v>0</v>
      </c>
      <c r="V349" s="449">
        <f>($H349-SUM($L349:U349))/V$694</f>
        <v>0</v>
      </c>
      <c r="W349" s="449">
        <f>($H349-SUM($L349:V349))/W$694</f>
        <v>0</v>
      </c>
      <c r="X349" s="449"/>
      <c r="Y349" s="449">
        <f t="shared" si="292"/>
        <v>0</v>
      </c>
      <c r="Z349" s="531"/>
      <c r="AA349" s="449">
        <f t="shared" si="293"/>
        <v>0</v>
      </c>
      <c r="AB349" s="449">
        <f t="shared" si="293"/>
        <v>0</v>
      </c>
      <c r="AC349" s="449">
        <f t="shared" si="293"/>
        <v>0</v>
      </c>
      <c r="AD349" s="449">
        <f t="shared" si="293"/>
        <v>0</v>
      </c>
      <c r="AE349" s="449">
        <f t="shared" si="293"/>
        <v>0</v>
      </c>
      <c r="AF349" s="449">
        <f t="shared" si="293"/>
        <v>0</v>
      </c>
      <c r="AG349" s="449">
        <f t="shared" si="293"/>
        <v>0</v>
      </c>
      <c r="AH349" s="449">
        <f t="shared" si="293"/>
        <v>0</v>
      </c>
      <c r="AI349" s="449">
        <f t="shared" si="293"/>
        <v>0</v>
      </c>
      <c r="AJ349" s="449">
        <f t="shared" si="293"/>
        <v>0</v>
      </c>
      <c r="AK349" s="449">
        <f t="shared" si="293"/>
        <v>0</v>
      </c>
      <c r="AL349" s="449">
        <f t="shared" si="293"/>
        <v>0</v>
      </c>
      <c r="AN349" s="500">
        <f t="shared" si="294"/>
        <v>0</v>
      </c>
      <c r="AO349" s="449">
        <f t="shared" si="295"/>
        <v>0</v>
      </c>
      <c r="AP349" s="449">
        <f t="shared" si="296"/>
        <v>0</v>
      </c>
      <c r="AQ349" s="453" t="str">
        <f t="shared" si="297"/>
        <v>-</v>
      </c>
      <c r="AR349" s="449">
        <f t="shared" si="298"/>
        <v>0</v>
      </c>
      <c r="AS349" s="449">
        <f t="shared" si="299"/>
        <v>0</v>
      </c>
      <c r="AT349" s="426">
        <f t="shared" si="300"/>
        <v>0</v>
      </c>
      <c r="AU349" s="421"/>
      <c r="AV349" s="449">
        <f t="shared" si="301"/>
        <v>0</v>
      </c>
      <c r="AW349" s="449">
        <f t="shared" si="301"/>
        <v>0</v>
      </c>
      <c r="AX349" s="449">
        <f t="shared" si="301"/>
        <v>0</v>
      </c>
      <c r="AY349" s="449">
        <f t="shared" si="301"/>
        <v>0</v>
      </c>
      <c r="AZ349" s="449">
        <f t="shared" si="301"/>
        <v>0</v>
      </c>
      <c r="BA349" s="449">
        <f t="shared" si="301"/>
        <v>0</v>
      </c>
      <c r="BB349" s="449">
        <f t="shared" si="301"/>
        <v>0</v>
      </c>
      <c r="BC349" s="449">
        <f t="shared" si="301"/>
        <v>0</v>
      </c>
      <c r="BD349" s="449">
        <f t="shared" si="301"/>
        <v>0</v>
      </c>
      <c r="BE349" s="449">
        <f t="shared" si="301"/>
        <v>0</v>
      </c>
      <c r="BF349" s="449">
        <f t="shared" si="301"/>
        <v>0</v>
      </c>
      <c r="BG349" s="449">
        <f t="shared" si="301"/>
        <v>0</v>
      </c>
      <c r="BH349" s="400"/>
      <c r="BI349" s="449">
        <v>0</v>
      </c>
      <c r="BJ349" s="449">
        <v>0</v>
      </c>
      <c r="BK349" s="449">
        <v>0</v>
      </c>
      <c r="BL349" s="449">
        <v>0</v>
      </c>
      <c r="BM349" s="449">
        <v>0</v>
      </c>
      <c r="BN349" s="449">
        <v>0</v>
      </c>
      <c r="BO349" s="449">
        <v>0</v>
      </c>
      <c r="BP349" s="449">
        <v>0</v>
      </c>
      <c r="BQ349" s="449">
        <v>0</v>
      </c>
      <c r="BR349" s="449">
        <v>0</v>
      </c>
      <c r="BS349" s="449">
        <v>0</v>
      </c>
      <c r="BT349" s="449">
        <v>0</v>
      </c>
    </row>
    <row r="350" spans="1:72" ht="15" hidden="1" x14ac:dyDescent="0.25">
      <c r="A350" s="502" t="s">
        <v>599</v>
      </c>
      <c r="B350" s="502" t="s">
        <v>540</v>
      </c>
      <c r="C350" s="541"/>
      <c r="D350" s="500">
        <f t="shared" si="287"/>
        <v>0</v>
      </c>
      <c r="E350" s="449">
        <v>0</v>
      </c>
      <c r="F350" s="449">
        <f t="shared" si="288"/>
        <v>0</v>
      </c>
      <c r="G350" s="421">
        <f t="shared" si="289"/>
        <v>0</v>
      </c>
      <c r="H350" s="449">
        <v>0</v>
      </c>
      <c r="I350" s="449">
        <f t="shared" si="290"/>
        <v>0</v>
      </c>
      <c r="J350" s="426">
        <f t="shared" si="291"/>
        <v>0</v>
      </c>
      <c r="K350" s="421"/>
      <c r="L350" s="449">
        <v>0</v>
      </c>
      <c r="M350" s="449">
        <v>0</v>
      </c>
      <c r="N350" s="449">
        <v>0</v>
      </c>
      <c r="O350" s="449">
        <v>0</v>
      </c>
      <c r="P350" s="449">
        <v>0</v>
      </c>
      <c r="Q350" s="449">
        <v>0</v>
      </c>
      <c r="R350" s="449">
        <f>($H350-SUM($L350:Q350))/R$694</f>
        <v>0</v>
      </c>
      <c r="S350" s="449">
        <f>($H350-SUM($L350:R350))/S$694</f>
        <v>0</v>
      </c>
      <c r="T350" s="449">
        <f>($H350-SUM($L350:S350))/T$694</f>
        <v>0</v>
      </c>
      <c r="U350" s="449">
        <f>($H350-SUM($L350:T350))/U$694</f>
        <v>0</v>
      </c>
      <c r="V350" s="449">
        <f>($H350-SUM($L350:U350))/V$694</f>
        <v>0</v>
      </c>
      <c r="W350" s="449">
        <f>($H350-SUM($L350:V350))/W$694</f>
        <v>0</v>
      </c>
      <c r="X350" s="449"/>
      <c r="Y350" s="449">
        <f t="shared" si="292"/>
        <v>0</v>
      </c>
      <c r="Z350" s="531"/>
      <c r="AA350" s="449">
        <f t="shared" si="293"/>
        <v>0</v>
      </c>
      <c r="AB350" s="449">
        <f t="shared" si="293"/>
        <v>0</v>
      </c>
      <c r="AC350" s="449">
        <f t="shared" si="293"/>
        <v>0</v>
      </c>
      <c r="AD350" s="449">
        <f t="shared" si="293"/>
        <v>0</v>
      </c>
      <c r="AE350" s="449">
        <f t="shared" si="293"/>
        <v>0</v>
      </c>
      <c r="AF350" s="449">
        <f t="shared" si="293"/>
        <v>0</v>
      </c>
      <c r="AG350" s="449">
        <f t="shared" si="293"/>
        <v>0</v>
      </c>
      <c r="AH350" s="449">
        <f t="shared" si="293"/>
        <v>0</v>
      </c>
      <c r="AI350" s="449">
        <f t="shared" si="293"/>
        <v>0</v>
      </c>
      <c r="AJ350" s="449">
        <f t="shared" si="293"/>
        <v>0</v>
      </c>
      <c r="AK350" s="449">
        <f t="shared" si="293"/>
        <v>0</v>
      </c>
      <c r="AL350" s="449">
        <f t="shared" si="293"/>
        <v>0</v>
      </c>
      <c r="AN350" s="500">
        <f t="shared" si="294"/>
        <v>0</v>
      </c>
      <c r="AO350" s="449">
        <f t="shared" si="295"/>
        <v>0</v>
      </c>
      <c r="AP350" s="449">
        <f t="shared" si="296"/>
        <v>0</v>
      </c>
      <c r="AQ350" s="453" t="str">
        <f t="shared" si="297"/>
        <v>-</v>
      </c>
      <c r="AR350" s="449">
        <f t="shared" si="298"/>
        <v>0</v>
      </c>
      <c r="AS350" s="449">
        <f t="shared" si="299"/>
        <v>0</v>
      </c>
      <c r="AT350" s="426">
        <f t="shared" si="300"/>
        <v>0</v>
      </c>
      <c r="AU350" s="421"/>
      <c r="AV350" s="449">
        <f t="shared" si="301"/>
        <v>0</v>
      </c>
      <c r="AW350" s="449">
        <f t="shared" si="301"/>
        <v>0</v>
      </c>
      <c r="AX350" s="449">
        <f t="shared" si="301"/>
        <v>0</v>
      </c>
      <c r="AY350" s="449">
        <f t="shared" si="301"/>
        <v>0</v>
      </c>
      <c r="AZ350" s="449">
        <f t="shared" si="301"/>
        <v>0</v>
      </c>
      <c r="BA350" s="449">
        <f t="shared" si="301"/>
        <v>0</v>
      </c>
      <c r="BB350" s="449">
        <f t="shared" si="301"/>
        <v>0</v>
      </c>
      <c r="BC350" s="449">
        <f t="shared" si="301"/>
        <v>0</v>
      </c>
      <c r="BD350" s="449">
        <f t="shared" si="301"/>
        <v>0</v>
      </c>
      <c r="BE350" s="449">
        <f t="shared" si="301"/>
        <v>0</v>
      </c>
      <c r="BF350" s="449">
        <f t="shared" si="301"/>
        <v>0</v>
      </c>
      <c r="BG350" s="449">
        <f t="shared" si="301"/>
        <v>0</v>
      </c>
      <c r="BH350" s="400"/>
      <c r="BI350" s="449">
        <v>0</v>
      </c>
      <c r="BJ350" s="449">
        <v>0</v>
      </c>
      <c r="BK350" s="449">
        <v>0</v>
      </c>
      <c r="BL350" s="449">
        <v>0</v>
      </c>
      <c r="BM350" s="449">
        <v>0</v>
      </c>
      <c r="BN350" s="449">
        <v>0</v>
      </c>
      <c r="BO350" s="449">
        <v>0</v>
      </c>
      <c r="BP350" s="449">
        <v>0</v>
      </c>
      <c r="BQ350" s="449">
        <v>0</v>
      </c>
      <c r="BR350" s="449">
        <v>0</v>
      </c>
      <c r="BS350" s="449">
        <v>0</v>
      </c>
      <c r="BT350" s="449">
        <v>0</v>
      </c>
    </row>
    <row r="351" spans="1:72" ht="15" hidden="1" x14ac:dyDescent="0.25">
      <c r="A351" s="614" t="s">
        <v>600</v>
      </c>
      <c r="B351" s="614" t="s">
        <v>601</v>
      </c>
      <c r="C351" s="541"/>
      <c r="D351" s="500">
        <f t="shared" si="287"/>
        <v>0</v>
      </c>
      <c r="E351" s="449">
        <v>0</v>
      </c>
      <c r="F351" s="449">
        <f t="shared" si="288"/>
        <v>0</v>
      </c>
      <c r="G351" s="421">
        <f t="shared" si="289"/>
        <v>0</v>
      </c>
      <c r="H351" s="449">
        <v>0</v>
      </c>
      <c r="I351" s="449">
        <f t="shared" si="290"/>
        <v>0</v>
      </c>
      <c r="J351" s="426">
        <f t="shared" si="291"/>
        <v>0</v>
      </c>
      <c r="K351" s="421"/>
      <c r="L351" s="449">
        <v>0</v>
      </c>
      <c r="M351" s="449">
        <v>0</v>
      </c>
      <c r="N351" s="449">
        <v>0</v>
      </c>
      <c r="O351" s="449">
        <v>0</v>
      </c>
      <c r="P351" s="449">
        <v>0</v>
      </c>
      <c r="Q351" s="449">
        <v>0</v>
      </c>
      <c r="R351" s="449">
        <f>($H351-SUM($L351:Q351))/R$694</f>
        <v>0</v>
      </c>
      <c r="S351" s="449">
        <f>($H351-SUM($L351:R351))/S$694</f>
        <v>0</v>
      </c>
      <c r="T351" s="449">
        <f>($H351-SUM($L351:S351))/T$694</f>
        <v>0</v>
      </c>
      <c r="U351" s="449">
        <f>($H351-SUM($L351:T351))/U$694</f>
        <v>0</v>
      </c>
      <c r="V351" s="449">
        <f>($H351-SUM($L351:U351))/V$694</f>
        <v>0</v>
      </c>
      <c r="W351" s="449">
        <f>($H351-SUM($L351:V351))/W$694</f>
        <v>0</v>
      </c>
      <c r="X351" s="449"/>
      <c r="Y351" s="449">
        <f t="shared" si="292"/>
        <v>0</v>
      </c>
      <c r="Z351" s="531"/>
      <c r="AA351" s="449">
        <f t="shared" ref="AA351:AL358" si="304">IFERROR($H351/12,0)</f>
        <v>0</v>
      </c>
      <c r="AB351" s="449">
        <f t="shared" si="304"/>
        <v>0</v>
      </c>
      <c r="AC351" s="449">
        <f t="shared" si="304"/>
        <v>0</v>
      </c>
      <c r="AD351" s="449">
        <f t="shared" si="304"/>
        <v>0</v>
      </c>
      <c r="AE351" s="449">
        <f t="shared" si="304"/>
        <v>0</v>
      </c>
      <c r="AF351" s="449">
        <f t="shared" si="304"/>
        <v>0</v>
      </c>
      <c r="AG351" s="449">
        <f t="shared" si="304"/>
        <v>0</v>
      </c>
      <c r="AH351" s="449">
        <f t="shared" si="304"/>
        <v>0</v>
      </c>
      <c r="AI351" s="449">
        <f t="shared" si="304"/>
        <v>0</v>
      </c>
      <c r="AJ351" s="449">
        <f t="shared" si="304"/>
        <v>0</v>
      </c>
      <c r="AK351" s="449">
        <f t="shared" si="304"/>
        <v>0</v>
      </c>
      <c r="AL351" s="449">
        <f t="shared" si="304"/>
        <v>0</v>
      </c>
      <c r="AN351" s="500">
        <f t="shared" si="294"/>
        <v>0</v>
      </c>
      <c r="AO351" s="449">
        <f t="shared" si="295"/>
        <v>0</v>
      </c>
      <c r="AP351" s="449">
        <f t="shared" si="296"/>
        <v>0</v>
      </c>
      <c r="AQ351" s="453" t="str">
        <f t="shared" si="297"/>
        <v>-</v>
      </c>
      <c r="AR351" s="449">
        <f t="shared" si="298"/>
        <v>0</v>
      </c>
      <c r="AS351" s="449">
        <f t="shared" si="299"/>
        <v>0</v>
      </c>
      <c r="AT351" s="426">
        <f t="shared" si="300"/>
        <v>0</v>
      </c>
      <c r="AU351" s="421"/>
      <c r="AV351" s="449">
        <f t="shared" si="301"/>
        <v>0</v>
      </c>
      <c r="AW351" s="449">
        <f t="shared" si="301"/>
        <v>0</v>
      </c>
      <c r="AX351" s="449">
        <f t="shared" si="301"/>
        <v>0</v>
      </c>
      <c r="AY351" s="449">
        <f t="shared" si="301"/>
        <v>0</v>
      </c>
      <c r="AZ351" s="449">
        <f t="shared" si="301"/>
        <v>0</v>
      </c>
      <c r="BA351" s="449">
        <f t="shared" si="301"/>
        <v>0</v>
      </c>
      <c r="BB351" s="449">
        <f t="shared" si="301"/>
        <v>0</v>
      </c>
      <c r="BC351" s="449">
        <f t="shared" si="301"/>
        <v>0</v>
      </c>
      <c r="BD351" s="449">
        <f t="shared" si="301"/>
        <v>0</v>
      </c>
      <c r="BE351" s="449">
        <f t="shared" si="301"/>
        <v>0</v>
      </c>
      <c r="BF351" s="449">
        <f t="shared" si="301"/>
        <v>0</v>
      </c>
      <c r="BG351" s="449">
        <f t="shared" si="301"/>
        <v>0</v>
      </c>
      <c r="BH351" s="400"/>
      <c r="BI351" s="449">
        <v>0</v>
      </c>
      <c r="BJ351" s="449">
        <v>0</v>
      </c>
      <c r="BK351" s="449">
        <v>0</v>
      </c>
      <c r="BL351" s="449">
        <v>0</v>
      </c>
      <c r="BM351" s="449">
        <v>0</v>
      </c>
      <c r="BN351" s="449">
        <v>0</v>
      </c>
      <c r="BO351" s="449">
        <v>0</v>
      </c>
      <c r="BP351" s="449">
        <v>0</v>
      </c>
      <c r="BQ351" s="449">
        <v>0</v>
      </c>
      <c r="BR351" s="449">
        <v>0</v>
      </c>
      <c r="BS351" s="449">
        <v>0</v>
      </c>
      <c r="BT351" s="449">
        <v>0</v>
      </c>
    </row>
    <row r="352" spans="1:72" ht="15" hidden="1" x14ac:dyDescent="0.25">
      <c r="A352" s="502" t="s">
        <v>602</v>
      </c>
      <c r="B352" s="502" t="s">
        <v>603</v>
      </c>
      <c r="C352" s="541"/>
      <c r="D352" s="500">
        <f t="shared" si="287"/>
        <v>0</v>
      </c>
      <c r="E352" s="449">
        <v>0</v>
      </c>
      <c r="F352" s="449">
        <f t="shared" si="288"/>
        <v>0</v>
      </c>
      <c r="G352" s="421">
        <f t="shared" si="289"/>
        <v>0</v>
      </c>
      <c r="H352" s="449">
        <v>0</v>
      </c>
      <c r="I352" s="449">
        <f t="shared" si="290"/>
        <v>0</v>
      </c>
      <c r="J352" s="426">
        <f t="shared" si="291"/>
        <v>0</v>
      </c>
      <c r="K352" s="421"/>
      <c r="L352" s="449">
        <v>0</v>
      </c>
      <c r="M352" s="449">
        <v>0</v>
      </c>
      <c r="N352" s="449">
        <v>0</v>
      </c>
      <c r="O352" s="449">
        <v>0</v>
      </c>
      <c r="P352" s="449">
        <v>0</v>
      </c>
      <c r="Q352" s="449">
        <v>0</v>
      </c>
      <c r="R352" s="449">
        <f>($H352-SUM($L352:Q352))/R$694</f>
        <v>0</v>
      </c>
      <c r="S352" s="449">
        <f>($H352-SUM($L352:R352))/S$694</f>
        <v>0</v>
      </c>
      <c r="T352" s="449">
        <f>($H352-SUM($L352:S352))/T$694</f>
        <v>0</v>
      </c>
      <c r="U352" s="449">
        <f>($H352-SUM($L352:T352))/U$694</f>
        <v>0</v>
      </c>
      <c r="V352" s="449">
        <f>($H352-SUM($L352:U352))/V$694</f>
        <v>0</v>
      </c>
      <c r="W352" s="449">
        <f>($H352-SUM($L352:V352))/W$694</f>
        <v>0</v>
      </c>
      <c r="X352" s="449"/>
      <c r="Y352" s="449">
        <f t="shared" si="292"/>
        <v>0</v>
      </c>
      <c r="Z352" s="531"/>
      <c r="AA352" s="449">
        <f t="shared" si="304"/>
        <v>0</v>
      </c>
      <c r="AB352" s="449">
        <f t="shared" si="304"/>
        <v>0</v>
      </c>
      <c r="AC352" s="449">
        <f t="shared" si="304"/>
        <v>0</v>
      </c>
      <c r="AD352" s="449">
        <f t="shared" si="304"/>
        <v>0</v>
      </c>
      <c r="AE352" s="449">
        <f t="shared" si="304"/>
        <v>0</v>
      </c>
      <c r="AF352" s="449">
        <f t="shared" si="304"/>
        <v>0</v>
      </c>
      <c r="AG352" s="449">
        <f t="shared" si="304"/>
        <v>0</v>
      </c>
      <c r="AH352" s="449">
        <f t="shared" si="304"/>
        <v>0</v>
      </c>
      <c r="AI352" s="449">
        <f t="shared" si="304"/>
        <v>0</v>
      </c>
      <c r="AJ352" s="449">
        <f t="shared" si="304"/>
        <v>0</v>
      </c>
      <c r="AK352" s="449">
        <f t="shared" si="304"/>
        <v>0</v>
      </c>
      <c r="AL352" s="449">
        <f t="shared" si="304"/>
        <v>0</v>
      </c>
      <c r="AN352" s="500">
        <f t="shared" si="294"/>
        <v>0</v>
      </c>
      <c r="AO352" s="449">
        <f t="shared" si="295"/>
        <v>0</v>
      </c>
      <c r="AP352" s="449">
        <f t="shared" si="296"/>
        <v>0</v>
      </c>
      <c r="AQ352" s="453" t="str">
        <f t="shared" si="297"/>
        <v>-</v>
      </c>
      <c r="AR352" s="449">
        <f t="shared" si="298"/>
        <v>0</v>
      </c>
      <c r="AS352" s="449">
        <f t="shared" si="299"/>
        <v>0</v>
      </c>
      <c r="AT352" s="426">
        <f t="shared" si="300"/>
        <v>0</v>
      </c>
      <c r="AU352" s="421"/>
      <c r="AV352" s="449">
        <f t="shared" si="301"/>
        <v>0</v>
      </c>
      <c r="AW352" s="449">
        <f t="shared" si="301"/>
        <v>0</v>
      </c>
      <c r="AX352" s="449">
        <f t="shared" si="301"/>
        <v>0</v>
      </c>
      <c r="AY352" s="449">
        <f t="shared" si="301"/>
        <v>0</v>
      </c>
      <c r="AZ352" s="449">
        <f t="shared" si="301"/>
        <v>0</v>
      </c>
      <c r="BA352" s="449">
        <f t="shared" si="301"/>
        <v>0</v>
      </c>
      <c r="BB352" s="449">
        <f t="shared" si="301"/>
        <v>0</v>
      </c>
      <c r="BC352" s="449">
        <f t="shared" si="301"/>
        <v>0</v>
      </c>
      <c r="BD352" s="449">
        <f t="shared" si="301"/>
        <v>0</v>
      </c>
      <c r="BE352" s="449">
        <f t="shared" si="301"/>
        <v>0</v>
      </c>
      <c r="BF352" s="449">
        <f t="shared" si="301"/>
        <v>0</v>
      </c>
      <c r="BG352" s="449">
        <f t="shared" si="301"/>
        <v>0</v>
      </c>
      <c r="BH352" s="400"/>
      <c r="BI352" s="449">
        <v>0</v>
      </c>
      <c r="BJ352" s="449">
        <v>0</v>
      </c>
      <c r="BK352" s="449">
        <v>0</v>
      </c>
      <c r="BL352" s="449">
        <v>0</v>
      </c>
      <c r="BM352" s="449">
        <v>0</v>
      </c>
      <c r="BN352" s="449">
        <v>0</v>
      </c>
      <c r="BO352" s="449">
        <v>0</v>
      </c>
      <c r="BP352" s="449">
        <v>0</v>
      </c>
      <c r="BQ352" s="449">
        <v>0</v>
      </c>
      <c r="BR352" s="449">
        <v>0</v>
      </c>
      <c r="BS352" s="449">
        <v>0</v>
      </c>
      <c r="BT352" s="449">
        <v>0</v>
      </c>
    </row>
    <row r="353" spans="1:74" ht="15" hidden="1" x14ac:dyDescent="0.25">
      <c r="A353" s="614" t="s">
        <v>604</v>
      </c>
      <c r="B353" s="614" t="s">
        <v>605</v>
      </c>
      <c r="C353" s="541"/>
      <c r="D353" s="500">
        <f t="shared" si="287"/>
        <v>0</v>
      </c>
      <c r="E353" s="449">
        <v>0</v>
      </c>
      <c r="F353" s="449">
        <f t="shared" si="288"/>
        <v>0</v>
      </c>
      <c r="G353" s="421">
        <f t="shared" si="289"/>
        <v>0</v>
      </c>
      <c r="H353" s="449">
        <v>0</v>
      </c>
      <c r="I353" s="449">
        <f t="shared" si="290"/>
        <v>0</v>
      </c>
      <c r="J353" s="426">
        <f t="shared" si="291"/>
        <v>0</v>
      </c>
      <c r="K353" s="421"/>
      <c r="L353" s="449">
        <v>0</v>
      </c>
      <c r="M353" s="449">
        <v>0</v>
      </c>
      <c r="N353" s="449">
        <v>0</v>
      </c>
      <c r="O353" s="449">
        <v>0</v>
      </c>
      <c r="P353" s="449">
        <v>0</v>
      </c>
      <c r="Q353" s="449">
        <v>0</v>
      </c>
      <c r="R353" s="449">
        <f>($H353-SUM($L353:Q353))/R$694</f>
        <v>0</v>
      </c>
      <c r="S353" s="449">
        <f>($H353-SUM($L353:R353))/S$694</f>
        <v>0</v>
      </c>
      <c r="T353" s="449">
        <f>($H353-SUM($L353:S353))/T$694</f>
        <v>0</v>
      </c>
      <c r="U353" s="449">
        <f>($H353-SUM($L353:T353))/U$694</f>
        <v>0</v>
      </c>
      <c r="V353" s="449">
        <f>($H353-SUM($L353:U353))/V$694</f>
        <v>0</v>
      </c>
      <c r="W353" s="449">
        <f>($H353-SUM($L353:V353))/W$694</f>
        <v>0</v>
      </c>
      <c r="X353" s="449"/>
      <c r="Y353" s="449">
        <f t="shared" si="292"/>
        <v>0</v>
      </c>
      <c r="Z353" s="531"/>
      <c r="AA353" s="449">
        <f t="shared" si="304"/>
        <v>0</v>
      </c>
      <c r="AB353" s="449">
        <f t="shared" si="304"/>
        <v>0</v>
      </c>
      <c r="AC353" s="449">
        <f t="shared" si="304"/>
        <v>0</v>
      </c>
      <c r="AD353" s="449">
        <f t="shared" si="304"/>
        <v>0</v>
      </c>
      <c r="AE353" s="449">
        <f t="shared" si="304"/>
        <v>0</v>
      </c>
      <c r="AF353" s="449">
        <f t="shared" si="304"/>
        <v>0</v>
      </c>
      <c r="AG353" s="449">
        <f t="shared" si="304"/>
        <v>0</v>
      </c>
      <c r="AH353" s="449">
        <f t="shared" si="304"/>
        <v>0</v>
      </c>
      <c r="AI353" s="449">
        <f t="shared" si="304"/>
        <v>0</v>
      </c>
      <c r="AJ353" s="449">
        <f t="shared" si="304"/>
        <v>0</v>
      </c>
      <c r="AK353" s="449">
        <f t="shared" si="304"/>
        <v>0</v>
      </c>
      <c r="AL353" s="449">
        <f t="shared" si="304"/>
        <v>0</v>
      </c>
      <c r="AN353" s="500">
        <f t="shared" si="294"/>
        <v>0</v>
      </c>
      <c r="AO353" s="449">
        <f t="shared" si="295"/>
        <v>0</v>
      </c>
      <c r="AP353" s="449">
        <f t="shared" si="296"/>
        <v>0</v>
      </c>
      <c r="AQ353" s="453" t="str">
        <f t="shared" si="297"/>
        <v>-</v>
      </c>
      <c r="AR353" s="449">
        <f t="shared" si="298"/>
        <v>0</v>
      </c>
      <c r="AS353" s="449">
        <f t="shared" si="299"/>
        <v>0</v>
      </c>
      <c r="AT353" s="426">
        <f t="shared" si="300"/>
        <v>0</v>
      </c>
      <c r="AU353" s="421"/>
      <c r="AV353" s="449">
        <f t="shared" si="301"/>
        <v>0</v>
      </c>
      <c r="AW353" s="449">
        <f t="shared" si="301"/>
        <v>0</v>
      </c>
      <c r="AX353" s="449">
        <f t="shared" si="301"/>
        <v>0</v>
      </c>
      <c r="AY353" s="449">
        <f t="shared" si="301"/>
        <v>0</v>
      </c>
      <c r="AZ353" s="449">
        <f t="shared" si="301"/>
        <v>0</v>
      </c>
      <c r="BA353" s="449">
        <f t="shared" si="301"/>
        <v>0</v>
      </c>
      <c r="BB353" s="449">
        <f t="shared" si="301"/>
        <v>0</v>
      </c>
      <c r="BC353" s="449">
        <f t="shared" si="301"/>
        <v>0</v>
      </c>
      <c r="BD353" s="449">
        <f t="shared" si="301"/>
        <v>0</v>
      </c>
      <c r="BE353" s="449">
        <f t="shared" si="301"/>
        <v>0</v>
      </c>
      <c r="BF353" s="449">
        <f t="shared" si="301"/>
        <v>0</v>
      </c>
      <c r="BG353" s="449">
        <f t="shared" si="301"/>
        <v>0</v>
      </c>
      <c r="BH353" s="400"/>
      <c r="BI353" s="449">
        <v>0</v>
      </c>
      <c r="BJ353" s="449">
        <v>0</v>
      </c>
      <c r="BK353" s="449">
        <v>0</v>
      </c>
      <c r="BL353" s="449">
        <v>0</v>
      </c>
      <c r="BM353" s="449">
        <v>0</v>
      </c>
      <c r="BN353" s="449">
        <v>0</v>
      </c>
      <c r="BO353" s="449">
        <v>0</v>
      </c>
      <c r="BP353" s="449">
        <v>0</v>
      </c>
      <c r="BQ353" s="449">
        <v>0</v>
      </c>
      <c r="BR353" s="449">
        <v>0</v>
      </c>
      <c r="BS353" s="449">
        <v>0</v>
      </c>
      <c r="BT353" s="449">
        <v>0</v>
      </c>
    </row>
    <row r="354" spans="1:74" ht="15" x14ac:dyDescent="0.25">
      <c r="A354" s="502" t="s">
        <v>606</v>
      </c>
      <c r="B354" s="502" t="s">
        <v>548</v>
      </c>
      <c r="C354" s="541"/>
      <c r="D354" s="500">
        <f t="shared" si="287"/>
        <v>0</v>
      </c>
      <c r="E354" s="449">
        <v>0</v>
      </c>
      <c r="F354" s="449">
        <f t="shared" si="288"/>
        <v>0</v>
      </c>
      <c r="G354" s="421">
        <f t="shared" si="289"/>
        <v>0</v>
      </c>
      <c r="H354" s="449">
        <v>0</v>
      </c>
      <c r="I354" s="449">
        <f t="shared" si="290"/>
        <v>0</v>
      </c>
      <c r="J354" s="426">
        <f t="shared" si="291"/>
        <v>0</v>
      </c>
      <c r="K354" s="421"/>
      <c r="L354" s="449">
        <v>0</v>
      </c>
      <c r="M354" s="449">
        <v>0</v>
      </c>
      <c r="N354" s="449">
        <v>0</v>
      </c>
      <c r="O354" s="449">
        <v>0</v>
      </c>
      <c r="P354" s="449">
        <v>0</v>
      </c>
      <c r="Q354" s="449">
        <v>0</v>
      </c>
      <c r="R354" s="449">
        <f>($H354-SUM($L354:Q354))/R$694</f>
        <v>0</v>
      </c>
      <c r="S354" s="449">
        <f>($H354-SUM($L354:R354))/S$694</f>
        <v>0</v>
      </c>
      <c r="T354" s="449">
        <f>($H354-SUM($L354:S354))/T$694</f>
        <v>0</v>
      </c>
      <c r="U354" s="449">
        <f>($H354-SUM($L354:T354))/U$694</f>
        <v>0</v>
      </c>
      <c r="V354" s="449">
        <f>($H354-SUM($L354:U354))/V$694</f>
        <v>0</v>
      </c>
      <c r="W354" s="449">
        <f>($H354-SUM($L354:V354))/W$694</f>
        <v>0</v>
      </c>
      <c r="X354" s="449"/>
      <c r="Y354" s="449">
        <f t="shared" si="292"/>
        <v>0</v>
      </c>
      <c r="Z354" s="531"/>
      <c r="AA354" s="449">
        <f t="shared" si="304"/>
        <v>0</v>
      </c>
      <c r="AB354" s="449">
        <f t="shared" si="304"/>
        <v>0</v>
      </c>
      <c r="AC354" s="449">
        <f t="shared" si="304"/>
        <v>0</v>
      </c>
      <c r="AD354" s="449">
        <f t="shared" si="304"/>
        <v>0</v>
      </c>
      <c r="AE354" s="449">
        <f t="shared" si="304"/>
        <v>0</v>
      </c>
      <c r="AF354" s="449">
        <f t="shared" si="304"/>
        <v>0</v>
      </c>
      <c r="AG354" s="449">
        <f t="shared" si="304"/>
        <v>0</v>
      </c>
      <c r="AH354" s="449">
        <f t="shared" si="304"/>
        <v>0</v>
      </c>
      <c r="AI354" s="449">
        <f t="shared" si="304"/>
        <v>0</v>
      </c>
      <c r="AJ354" s="449">
        <f t="shared" si="304"/>
        <v>0</v>
      </c>
      <c r="AK354" s="449">
        <f t="shared" si="304"/>
        <v>0</v>
      </c>
      <c r="AL354" s="449">
        <f t="shared" si="304"/>
        <v>0</v>
      </c>
      <c r="AN354" s="500">
        <f t="shared" si="294"/>
        <v>0</v>
      </c>
      <c r="AO354" s="449">
        <f t="shared" si="295"/>
        <v>765.71999999999991</v>
      </c>
      <c r="AP354" s="449">
        <f t="shared" si="296"/>
        <v>765.71999999999991</v>
      </c>
      <c r="AQ354" s="453" t="str">
        <f t="shared" si="297"/>
        <v>-</v>
      </c>
      <c r="AR354" s="449">
        <f t="shared" si="298"/>
        <v>765.71999999999991</v>
      </c>
      <c r="AS354" s="449">
        <f t="shared" si="299"/>
        <v>0</v>
      </c>
      <c r="AT354" s="426">
        <f t="shared" si="300"/>
        <v>0</v>
      </c>
      <c r="AU354" s="421"/>
      <c r="AV354" s="449">
        <f t="shared" si="301"/>
        <v>0</v>
      </c>
      <c r="AW354" s="449">
        <f t="shared" si="301"/>
        <v>63.81</v>
      </c>
      <c r="AX354" s="449">
        <f t="shared" si="301"/>
        <v>63.81</v>
      </c>
      <c r="AY354" s="449">
        <f t="shared" si="301"/>
        <v>63.81</v>
      </c>
      <c r="AZ354" s="449">
        <f t="shared" si="301"/>
        <v>63.81</v>
      </c>
      <c r="BA354" s="449">
        <f t="shared" si="301"/>
        <v>63.81</v>
      </c>
      <c r="BB354" s="449">
        <f t="shared" si="301"/>
        <v>63.81</v>
      </c>
      <c r="BC354" s="449">
        <f t="shared" si="301"/>
        <v>63.81</v>
      </c>
      <c r="BD354" s="449">
        <f t="shared" si="301"/>
        <v>63.81</v>
      </c>
      <c r="BE354" s="449">
        <f t="shared" si="301"/>
        <v>63.81</v>
      </c>
      <c r="BF354" s="449">
        <f t="shared" si="301"/>
        <v>63.81</v>
      </c>
      <c r="BG354" s="449">
        <f t="shared" si="301"/>
        <v>127.62</v>
      </c>
      <c r="BH354" s="400"/>
      <c r="BI354" s="449">
        <v>0</v>
      </c>
      <c r="BJ354" s="449">
        <f>SUM('FY19 Staffing V1-1 (3)'!$S$246)/12</f>
        <v>63.81</v>
      </c>
      <c r="BK354" s="449">
        <f>SUM('FY19 Staffing V1-1 (3)'!$S$246)/12</f>
        <v>63.81</v>
      </c>
      <c r="BL354" s="449">
        <f>SUM('FY19 Staffing V1-1 (3)'!$S$246)/12</f>
        <v>63.81</v>
      </c>
      <c r="BM354" s="449">
        <f>SUM('FY19 Staffing V1-1 (3)'!$S$246)/12</f>
        <v>63.81</v>
      </c>
      <c r="BN354" s="449">
        <f>SUM('FY19 Staffing V1-1 (3)'!$S$246)/12</f>
        <v>63.81</v>
      </c>
      <c r="BO354" s="449">
        <f>SUM('FY19 Staffing V1-1 (3)'!$S$246)/12</f>
        <v>63.81</v>
      </c>
      <c r="BP354" s="449">
        <f>SUM('FY19 Staffing V1-1 (3)'!$S$246)/12</f>
        <v>63.81</v>
      </c>
      <c r="BQ354" s="449">
        <f>SUM('FY19 Staffing V1-1 (3)'!$S$246)/12</f>
        <v>63.81</v>
      </c>
      <c r="BR354" s="449">
        <f>SUM('FY19 Staffing V1-1 (3)'!$S$246)/12</f>
        <v>63.81</v>
      </c>
      <c r="BS354" s="449">
        <f>SUM('FY19 Staffing V1-1 (3)'!$S$246)/12</f>
        <v>63.81</v>
      </c>
      <c r="BT354" s="449">
        <f>SUM('FY19 Staffing V1-1 (3)'!$S$246)/12*2</f>
        <v>127.62</v>
      </c>
    </row>
    <row r="355" spans="1:74" ht="15" x14ac:dyDescent="0.25">
      <c r="A355" s="502" t="s">
        <v>607</v>
      </c>
      <c r="B355" s="502" t="s">
        <v>608</v>
      </c>
      <c r="C355" s="543" t="s">
        <v>267</v>
      </c>
      <c r="D355" s="500">
        <f t="shared" si="287"/>
        <v>61000</v>
      </c>
      <c r="E355" s="449">
        <v>37776.25</v>
      </c>
      <c r="F355" s="449">
        <f t="shared" si="288"/>
        <v>23223.75</v>
      </c>
      <c r="G355" s="421">
        <f t="shared" si="289"/>
        <v>0.61477118559941757</v>
      </c>
      <c r="H355" s="449">
        <v>61000</v>
      </c>
      <c r="I355" s="449">
        <f t="shared" si="290"/>
        <v>0</v>
      </c>
      <c r="J355" s="426">
        <f t="shared" si="291"/>
        <v>0</v>
      </c>
      <c r="K355" s="421"/>
      <c r="L355" s="449">
        <v>0</v>
      </c>
      <c r="M355" s="449">
        <v>0</v>
      </c>
      <c r="N355" s="449">
        <v>23150</v>
      </c>
      <c r="O355" s="449">
        <v>0</v>
      </c>
      <c r="P355" s="449">
        <v>0</v>
      </c>
      <c r="Q355" s="449">
        <v>0</v>
      </c>
      <c r="R355" s="449">
        <f>($H355-SUM($L355:Q355))/R$694</f>
        <v>6308.333333333333</v>
      </c>
      <c r="S355" s="449">
        <f>($H355-SUM($L355:R355))/S$694</f>
        <v>6308.3333333333339</v>
      </c>
      <c r="T355" s="449">
        <f>($H355-SUM($L355:S355))/T$694</f>
        <v>6308.3333333333339</v>
      </c>
      <c r="U355" s="449">
        <f>($H355-SUM($L355:T355))/U$694</f>
        <v>6308.333333333333</v>
      </c>
      <c r="V355" s="449">
        <f>($H355-SUM($L355:U355))/V$694</f>
        <v>6308.3333333333321</v>
      </c>
      <c r="W355" s="449">
        <f>($H355-SUM($L355:V355))/W$694</f>
        <v>6308.3333333333285</v>
      </c>
      <c r="X355" s="449"/>
      <c r="Y355" s="449">
        <f t="shared" si="292"/>
        <v>61000</v>
      </c>
      <c r="Z355" s="531"/>
      <c r="AA355" s="449">
        <f t="shared" si="304"/>
        <v>5083.333333333333</v>
      </c>
      <c r="AB355" s="449">
        <f t="shared" si="304"/>
        <v>5083.333333333333</v>
      </c>
      <c r="AC355" s="449">
        <f t="shared" si="304"/>
        <v>5083.333333333333</v>
      </c>
      <c r="AD355" s="449">
        <f t="shared" si="304"/>
        <v>5083.333333333333</v>
      </c>
      <c r="AE355" s="449">
        <f t="shared" si="304"/>
        <v>5083.333333333333</v>
      </c>
      <c r="AF355" s="449">
        <f t="shared" si="304"/>
        <v>5083.333333333333</v>
      </c>
      <c r="AG355" s="449">
        <f t="shared" si="304"/>
        <v>5083.333333333333</v>
      </c>
      <c r="AH355" s="449">
        <f t="shared" si="304"/>
        <v>5083.333333333333</v>
      </c>
      <c r="AI355" s="449">
        <f t="shared" si="304"/>
        <v>5083.333333333333</v>
      </c>
      <c r="AJ355" s="449">
        <f t="shared" si="304"/>
        <v>5083.333333333333</v>
      </c>
      <c r="AK355" s="449">
        <f t="shared" si="304"/>
        <v>5083.333333333333</v>
      </c>
      <c r="AL355" s="449">
        <f t="shared" si="304"/>
        <v>5083.333333333333</v>
      </c>
      <c r="AN355" s="500">
        <f t="shared" si="294"/>
        <v>61000</v>
      </c>
      <c r="AO355" s="449">
        <f t="shared" si="295"/>
        <v>40000</v>
      </c>
      <c r="AP355" s="449">
        <f t="shared" si="296"/>
        <v>-21000</v>
      </c>
      <c r="AQ355" s="453">
        <f t="shared" si="297"/>
        <v>-0.34426229508196721</v>
      </c>
      <c r="AR355" s="449">
        <f t="shared" si="298"/>
        <v>40000</v>
      </c>
      <c r="AS355" s="449">
        <f t="shared" si="299"/>
        <v>0</v>
      </c>
      <c r="AT355" s="426">
        <f t="shared" si="300"/>
        <v>0</v>
      </c>
      <c r="AU355" s="421"/>
      <c r="AV355" s="449">
        <f t="shared" si="301"/>
        <v>3333.3333333333335</v>
      </c>
      <c r="AW355" s="449">
        <f t="shared" si="301"/>
        <v>3333.3333333333335</v>
      </c>
      <c r="AX355" s="449">
        <f t="shared" si="301"/>
        <v>3333.3333333333335</v>
      </c>
      <c r="AY355" s="449">
        <f t="shared" si="301"/>
        <v>3333.3333333333335</v>
      </c>
      <c r="AZ355" s="449">
        <f t="shared" si="301"/>
        <v>3333.3333333333335</v>
      </c>
      <c r="BA355" s="449">
        <f t="shared" si="301"/>
        <v>3333.3333333333335</v>
      </c>
      <c r="BB355" s="449">
        <f t="shared" si="301"/>
        <v>3333.3333333333335</v>
      </c>
      <c r="BC355" s="449">
        <f t="shared" si="301"/>
        <v>3333.3333333333335</v>
      </c>
      <c r="BD355" s="449">
        <f t="shared" si="301"/>
        <v>3333.3333333333335</v>
      </c>
      <c r="BE355" s="449">
        <f t="shared" si="301"/>
        <v>3333.3333333333335</v>
      </c>
      <c r="BF355" s="449">
        <f t="shared" si="301"/>
        <v>3333.3333333333335</v>
      </c>
      <c r="BG355" s="449">
        <f t="shared" si="301"/>
        <v>3333.3333333333335</v>
      </c>
      <c r="BH355" s="400"/>
      <c r="BI355" s="449">
        <f>IFERROR((40000)/12,0)</f>
        <v>3333.3333333333335</v>
      </c>
      <c r="BJ355" s="449">
        <f t="shared" ref="BJ355:BT355" si="305">IFERROR((40000)/12,0)</f>
        <v>3333.3333333333335</v>
      </c>
      <c r="BK355" s="449">
        <f t="shared" si="305"/>
        <v>3333.3333333333335</v>
      </c>
      <c r="BL355" s="449">
        <f t="shared" si="305"/>
        <v>3333.3333333333335</v>
      </c>
      <c r="BM355" s="449">
        <f t="shared" si="305"/>
        <v>3333.3333333333335</v>
      </c>
      <c r="BN355" s="449">
        <f t="shared" si="305"/>
        <v>3333.3333333333335</v>
      </c>
      <c r="BO355" s="449">
        <f t="shared" si="305"/>
        <v>3333.3333333333335</v>
      </c>
      <c r="BP355" s="449">
        <f t="shared" si="305"/>
        <v>3333.3333333333335</v>
      </c>
      <c r="BQ355" s="449">
        <f t="shared" si="305"/>
        <v>3333.3333333333335</v>
      </c>
      <c r="BR355" s="449">
        <f t="shared" si="305"/>
        <v>3333.3333333333335</v>
      </c>
      <c r="BS355" s="449">
        <f t="shared" si="305"/>
        <v>3333.3333333333335</v>
      </c>
      <c r="BT355" s="449">
        <f t="shared" si="305"/>
        <v>3333.3333333333335</v>
      </c>
    </row>
    <row r="356" spans="1:74" ht="15" x14ac:dyDescent="0.25">
      <c r="A356" s="502" t="s">
        <v>609</v>
      </c>
      <c r="B356" s="502" t="s">
        <v>610</v>
      </c>
      <c r="C356" s="543"/>
      <c r="D356" s="500">
        <f t="shared" si="287"/>
        <v>12860</v>
      </c>
      <c r="E356" s="449">
        <v>12860</v>
      </c>
      <c r="F356" s="449">
        <f t="shared" si="288"/>
        <v>0</v>
      </c>
      <c r="G356" s="421">
        <f t="shared" si="289"/>
        <v>0</v>
      </c>
      <c r="H356" s="449">
        <v>12860</v>
      </c>
      <c r="I356" s="449">
        <f t="shared" si="290"/>
        <v>0</v>
      </c>
      <c r="J356" s="426">
        <f t="shared" si="291"/>
        <v>0</v>
      </c>
      <c r="K356" s="421"/>
      <c r="L356" s="449">
        <v>0</v>
      </c>
      <c r="M356" s="449">
        <v>0</v>
      </c>
      <c r="N356" s="449">
        <v>0</v>
      </c>
      <c r="O356" s="449">
        <v>5600</v>
      </c>
      <c r="P356" s="449">
        <v>250</v>
      </c>
      <c r="Q356" s="449">
        <v>455.25</v>
      </c>
      <c r="R356" s="449">
        <f>($H356-SUM($L356:Q356))/R$694</f>
        <v>1092.4583333333333</v>
      </c>
      <c r="S356" s="449">
        <f>($H356-SUM($L356:R356))/S$694</f>
        <v>1092.4583333333335</v>
      </c>
      <c r="T356" s="449">
        <f>($H356-SUM($L356:S356))/T$694</f>
        <v>1092.4583333333335</v>
      </c>
      <c r="U356" s="449">
        <f>($H356-SUM($L356:T356))/U$694</f>
        <v>1092.4583333333333</v>
      </c>
      <c r="V356" s="449">
        <f>($H356-SUM($L356:U356))/V$694</f>
        <v>1092.458333333333</v>
      </c>
      <c r="W356" s="449">
        <f>($H356-SUM($L356:V356))/W$694</f>
        <v>1092.4583333333321</v>
      </c>
      <c r="X356" s="449"/>
      <c r="Y356" s="449">
        <f t="shared" si="292"/>
        <v>12860</v>
      </c>
      <c r="Z356" s="531"/>
      <c r="AA356" s="449">
        <f t="shared" si="304"/>
        <v>1071.6666666666667</v>
      </c>
      <c r="AB356" s="449">
        <f t="shared" si="304"/>
        <v>1071.6666666666667</v>
      </c>
      <c r="AC356" s="449">
        <f t="shared" si="304"/>
        <v>1071.6666666666667</v>
      </c>
      <c r="AD356" s="449">
        <f t="shared" si="304"/>
        <v>1071.6666666666667</v>
      </c>
      <c r="AE356" s="449">
        <f t="shared" si="304"/>
        <v>1071.6666666666667</v>
      </c>
      <c r="AF356" s="449">
        <f t="shared" si="304"/>
        <v>1071.6666666666667</v>
      </c>
      <c r="AG356" s="449">
        <f t="shared" si="304"/>
        <v>1071.6666666666667</v>
      </c>
      <c r="AH356" s="449">
        <f t="shared" si="304"/>
        <v>1071.6666666666667</v>
      </c>
      <c r="AI356" s="449">
        <f t="shared" si="304"/>
        <v>1071.6666666666667</v>
      </c>
      <c r="AJ356" s="449">
        <f t="shared" si="304"/>
        <v>1071.6666666666667</v>
      </c>
      <c r="AK356" s="449">
        <f t="shared" si="304"/>
        <v>1071.6666666666667</v>
      </c>
      <c r="AL356" s="449">
        <f t="shared" si="304"/>
        <v>1071.6666666666667</v>
      </c>
      <c r="AN356" s="500">
        <f t="shared" si="294"/>
        <v>12860</v>
      </c>
      <c r="AO356" s="449">
        <f t="shared" si="295"/>
        <v>5656.3341365461856</v>
      </c>
      <c r="AP356" s="449">
        <f t="shared" si="296"/>
        <v>-7203.6658634538144</v>
      </c>
      <c r="AQ356" s="453">
        <f t="shared" si="297"/>
        <v>-0.56016064257028109</v>
      </c>
      <c r="AR356" s="449">
        <f t="shared" si="298"/>
        <v>5656.3341365461856</v>
      </c>
      <c r="AS356" s="449">
        <f t="shared" si="299"/>
        <v>0</v>
      </c>
      <c r="AT356" s="426">
        <f t="shared" si="300"/>
        <v>0</v>
      </c>
      <c r="AU356" s="421"/>
      <c r="AV356" s="449">
        <f t="shared" si="301"/>
        <v>471.36117804551543</v>
      </c>
      <c r="AW356" s="449">
        <f t="shared" si="301"/>
        <v>471.36117804551543</v>
      </c>
      <c r="AX356" s="449">
        <f t="shared" si="301"/>
        <v>471.36117804551543</v>
      </c>
      <c r="AY356" s="449">
        <f t="shared" ref="AY356:BG358" si="306">BL356</f>
        <v>471.36117804551543</v>
      </c>
      <c r="AZ356" s="449">
        <f t="shared" si="306"/>
        <v>471.36117804551543</v>
      </c>
      <c r="BA356" s="449">
        <f t="shared" si="306"/>
        <v>471.36117804551543</v>
      </c>
      <c r="BB356" s="449">
        <f t="shared" si="306"/>
        <v>471.36117804551543</v>
      </c>
      <c r="BC356" s="449">
        <f t="shared" si="306"/>
        <v>471.36117804551543</v>
      </c>
      <c r="BD356" s="449">
        <f t="shared" si="306"/>
        <v>471.36117804551543</v>
      </c>
      <c r="BE356" s="449">
        <f t="shared" si="306"/>
        <v>471.36117804551543</v>
      </c>
      <c r="BF356" s="449">
        <f t="shared" si="306"/>
        <v>471.36117804551543</v>
      </c>
      <c r="BG356" s="449">
        <f t="shared" si="306"/>
        <v>471.36117804551543</v>
      </c>
      <c r="BH356" s="400"/>
      <c r="BI356" s="449">
        <f>IFERROR((($H356/$H$5)*BI$5)/12,0)*0.4</f>
        <v>471.36117804551543</v>
      </c>
      <c r="BJ356" s="449">
        <f t="shared" ref="BJ356:BT356" si="307">IFERROR((($H356/$H$5)*BJ$5)/12,0)*0.4</f>
        <v>471.36117804551543</v>
      </c>
      <c r="BK356" s="449">
        <f t="shared" si="307"/>
        <v>471.36117804551543</v>
      </c>
      <c r="BL356" s="449">
        <f t="shared" si="307"/>
        <v>471.36117804551543</v>
      </c>
      <c r="BM356" s="449">
        <f t="shared" si="307"/>
        <v>471.36117804551543</v>
      </c>
      <c r="BN356" s="449">
        <f t="shared" si="307"/>
        <v>471.36117804551543</v>
      </c>
      <c r="BO356" s="449">
        <f t="shared" si="307"/>
        <v>471.36117804551543</v>
      </c>
      <c r="BP356" s="449">
        <f t="shared" si="307"/>
        <v>471.36117804551543</v>
      </c>
      <c r="BQ356" s="449">
        <f t="shared" si="307"/>
        <v>471.36117804551543</v>
      </c>
      <c r="BR356" s="449">
        <f t="shared" si="307"/>
        <v>471.36117804551543</v>
      </c>
      <c r="BS356" s="449">
        <f t="shared" si="307"/>
        <v>471.36117804551543</v>
      </c>
      <c r="BT356" s="449">
        <f t="shared" si="307"/>
        <v>471.36117804551543</v>
      </c>
    </row>
    <row r="357" spans="1:74" ht="15" x14ac:dyDescent="0.25">
      <c r="A357" s="502" t="s">
        <v>611</v>
      </c>
      <c r="B357" s="502" t="s">
        <v>612</v>
      </c>
      <c r="C357" s="543"/>
      <c r="D357" s="500">
        <f t="shared" si="287"/>
        <v>5600</v>
      </c>
      <c r="E357" s="449">
        <v>0</v>
      </c>
      <c r="F357" s="449">
        <f t="shared" si="288"/>
        <v>5600</v>
      </c>
      <c r="G357" s="421">
        <f t="shared" si="289"/>
        <v>0</v>
      </c>
      <c r="H357" s="449">
        <v>0</v>
      </c>
      <c r="I357" s="449">
        <f t="shared" si="290"/>
        <v>5600</v>
      </c>
      <c r="J357" s="426">
        <f t="shared" si="291"/>
        <v>0</v>
      </c>
      <c r="K357" s="421"/>
      <c r="L357" s="449">
        <v>0</v>
      </c>
      <c r="M357" s="449">
        <v>0</v>
      </c>
      <c r="N357" s="449">
        <v>0</v>
      </c>
      <c r="O357" s="449">
        <v>5600</v>
      </c>
      <c r="P357" s="449">
        <v>0</v>
      </c>
      <c r="Q357" s="449">
        <v>0</v>
      </c>
      <c r="R357" s="449">
        <v>0</v>
      </c>
      <c r="S357" s="449">
        <v>0</v>
      </c>
      <c r="T357" s="449">
        <v>0</v>
      </c>
      <c r="U357" s="449">
        <v>0</v>
      </c>
      <c r="V357" s="449">
        <v>0</v>
      </c>
      <c r="W357" s="449">
        <v>0</v>
      </c>
      <c r="X357" s="449"/>
      <c r="Y357" s="449">
        <f t="shared" si="292"/>
        <v>5600</v>
      </c>
      <c r="Z357" s="531"/>
      <c r="AA357" s="449">
        <f t="shared" si="304"/>
        <v>0</v>
      </c>
      <c r="AB357" s="449">
        <f t="shared" si="304"/>
        <v>0</v>
      </c>
      <c r="AC357" s="449">
        <f t="shared" si="304"/>
        <v>0</v>
      </c>
      <c r="AD357" s="449">
        <f t="shared" si="304"/>
        <v>0</v>
      </c>
      <c r="AE357" s="449">
        <f t="shared" si="304"/>
        <v>0</v>
      </c>
      <c r="AF357" s="449">
        <f t="shared" si="304"/>
        <v>0</v>
      </c>
      <c r="AG357" s="449">
        <f t="shared" si="304"/>
        <v>0</v>
      </c>
      <c r="AH357" s="449">
        <f t="shared" si="304"/>
        <v>0</v>
      </c>
      <c r="AI357" s="449">
        <f t="shared" si="304"/>
        <v>0</v>
      </c>
      <c r="AJ357" s="449">
        <f t="shared" si="304"/>
        <v>0</v>
      </c>
      <c r="AK357" s="449">
        <f t="shared" si="304"/>
        <v>0</v>
      </c>
      <c r="AL357" s="449">
        <f t="shared" si="304"/>
        <v>0</v>
      </c>
      <c r="AN357" s="500">
        <f t="shared" si="294"/>
        <v>5600</v>
      </c>
      <c r="AO357" s="449">
        <f t="shared" si="295"/>
        <v>8484.5012048192748</v>
      </c>
      <c r="AP357" s="449">
        <f t="shared" si="296"/>
        <v>2884.5012048192748</v>
      </c>
      <c r="AQ357" s="453">
        <f t="shared" si="297"/>
        <v>0.5150895008605848</v>
      </c>
      <c r="AR357" s="449">
        <f t="shared" si="298"/>
        <v>8484.5012048192748</v>
      </c>
      <c r="AS357" s="449">
        <f t="shared" si="299"/>
        <v>0</v>
      </c>
      <c r="AT357" s="426">
        <f t="shared" si="300"/>
        <v>0</v>
      </c>
      <c r="AU357" s="421"/>
      <c r="AV357" s="449">
        <f t="shared" ref="AV357:AX358" si="308">BI357</f>
        <v>707.04176706827309</v>
      </c>
      <c r="AW357" s="449">
        <f t="shared" si="308"/>
        <v>707.04176706827309</v>
      </c>
      <c r="AX357" s="449">
        <f t="shared" si="308"/>
        <v>707.04176706827309</v>
      </c>
      <c r="AY357" s="449">
        <f t="shared" si="306"/>
        <v>707.04176706827309</v>
      </c>
      <c r="AZ357" s="449">
        <f t="shared" si="306"/>
        <v>707.04176706827309</v>
      </c>
      <c r="BA357" s="449">
        <f t="shared" si="306"/>
        <v>707.04176706827309</v>
      </c>
      <c r="BB357" s="449">
        <f t="shared" si="306"/>
        <v>707.04176706827309</v>
      </c>
      <c r="BC357" s="449">
        <f t="shared" si="306"/>
        <v>707.04176706827309</v>
      </c>
      <c r="BD357" s="449">
        <f t="shared" si="306"/>
        <v>707.04176706827309</v>
      </c>
      <c r="BE357" s="449">
        <f t="shared" si="306"/>
        <v>707.04176706827309</v>
      </c>
      <c r="BF357" s="449">
        <f t="shared" si="306"/>
        <v>707.04176706827309</v>
      </c>
      <c r="BG357" s="449">
        <f t="shared" si="306"/>
        <v>707.04176706827309</v>
      </c>
      <c r="BH357" s="400"/>
      <c r="BI357" s="449">
        <f>IFERROR((($D356/$H$5)*BI$5)/12,0)*0.6</f>
        <v>707.04176706827309</v>
      </c>
      <c r="BJ357" s="449">
        <f t="shared" ref="BJ357:BT357" si="309">IFERROR((($D356/$H$5)*BJ$5)/12,0)*0.6</f>
        <v>707.04176706827309</v>
      </c>
      <c r="BK357" s="449">
        <f t="shared" si="309"/>
        <v>707.04176706827309</v>
      </c>
      <c r="BL357" s="449">
        <f t="shared" si="309"/>
        <v>707.04176706827309</v>
      </c>
      <c r="BM357" s="449">
        <f t="shared" si="309"/>
        <v>707.04176706827309</v>
      </c>
      <c r="BN357" s="449">
        <f t="shared" si="309"/>
        <v>707.04176706827309</v>
      </c>
      <c r="BO357" s="449">
        <f t="shared" si="309"/>
        <v>707.04176706827309</v>
      </c>
      <c r="BP357" s="449">
        <f t="shared" si="309"/>
        <v>707.04176706827309</v>
      </c>
      <c r="BQ357" s="449">
        <f t="shared" si="309"/>
        <v>707.04176706827309</v>
      </c>
      <c r="BR357" s="449">
        <f t="shared" si="309"/>
        <v>707.04176706827309</v>
      </c>
      <c r="BS357" s="449">
        <f t="shared" si="309"/>
        <v>707.04176706827309</v>
      </c>
      <c r="BT357" s="449">
        <f t="shared" si="309"/>
        <v>707.04176706827309</v>
      </c>
    </row>
    <row r="358" spans="1:74" ht="15" x14ac:dyDescent="0.25">
      <c r="A358" s="502" t="s">
        <v>613</v>
      </c>
      <c r="B358" s="502" t="s">
        <v>614</v>
      </c>
      <c r="C358" s="597"/>
      <c r="D358" s="500">
        <f t="shared" si="287"/>
        <v>2411</v>
      </c>
      <c r="E358" s="449">
        <v>2411.25</v>
      </c>
      <c r="F358" s="449">
        <f t="shared" si="288"/>
        <v>-0.25</v>
      </c>
      <c r="G358" s="421">
        <f t="shared" si="289"/>
        <v>-1.0368066355624676E-4</v>
      </c>
      <c r="H358" s="449">
        <v>2411</v>
      </c>
      <c r="I358" s="449">
        <f t="shared" si="290"/>
        <v>0</v>
      </c>
      <c r="J358" s="426">
        <f t="shared" si="291"/>
        <v>0</v>
      </c>
      <c r="K358" s="421"/>
      <c r="L358" s="449">
        <v>0</v>
      </c>
      <c r="M358" s="449">
        <v>0</v>
      </c>
      <c r="N358" s="449">
        <v>0</v>
      </c>
      <c r="O358" s="449">
        <v>0</v>
      </c>
      <c r="P358" s="449">
        <v>55.41</v>
      </c>
      <c r="Q358" s="449">
        <v>0</v>
      </c>
      <c r="R358" s="449">
        <f>($H358-SUM($L358:Q358))/R$694</f>
        <v>392.59833333333336</v>
      </c>
      <c r="S358" s="449">
        <f>($H358-SUM($L358:R358))/S$694</f>
        <v>392.59833333333336</v>
      </c>
      <c r="T358" s="449">
        <f>($H358-SUM($L358:S358))/T$694</f>
        <v>392.59833333333336</v>
      </c>
      <c r="U358" s="449">
        <f>($H358-SUM($L358:T358))/U$694</f>
        <v>392.59833333333336</v>
      </c>
      <c r="V358" s="449">
        <f>($H358-SUM($L358:U358))/V$694</f>
        <v>392.59833333333336</v>
      </c>
      <c r="W358" s="449">
        <f>($H358-SUM($L358:V358))/W$694</f>
        <v>392.59833333333336</v>
      </c>
      <c r="X358" s="449"/>
      <c r="Y358" s="449">
        <f t="shared" si="292"/>
        <v>2411</v>
      </c>
      <c r="Z358" s="531"/>
      <c r="AA358" s="449">
        <f t="shared" si="304"/>
        <v>200.91666666666666</v>
      </c>
      <c r="AB358" s="449">
        <f t="shared" si="304"/>
        <v>200.91666666666666</v>
      </c>
      <c r="AC358" s="449">
        <f t="shared" si="304"/>
        <v>200.91666666666666</v>
      </c>
      <c r="AD358" s="449">
        <f t="shared" si="304"/>
        <v>200.91666666666666</v>
      </c>
      <c r="AE358" s="449">
        <f t="shared" si="304"/>
        <v>200.91666666666666</v>
      </c>
      <c r="AF358" s="449">
        <f t="shared" si="304"/>
        <v>200.91666666666666</v>
      </c>
      <c r="AG358" s="449">
        <f t="shared" si="304"/>
        <v>200.91666666666666</v>
      </c>
      <c r="AH358" s="449">
        <f t="shared" si="304"/>
        <v>200.91666666666666</v>
      </c>
      <c r="AI358" s="449">
        <f t="shared" si="304"/>
        <v>200.91666666666666</v>
      </c>
      <c r="AJ358" s="449">
        <f t="shared" si="304"/>
        <v>200.91666666666666</v>
      </c>
      <c r="AK358" s="449">
        <f t="shared" si="304"/>
        <v>200.91666666666666</v>
      </c>
      <c r="AL358" s="449">
        <f t="shared" si="304"/>
        <v>200.91666666666666</v>
      </c>
      <c r="AN358" s="500">
        <f t="shared" si="294"/>
        <v>2411</v>
      </c>
      <c r="AO358" s="449">
        <f t="shared" si="295"/>
        <v>2651.1317269076299</v>
      </c>
      <c r="AP358" s="449">
        <f t="shared" si="296"/>
        <v>240.13172690762985</v>
      </c>
      <c r="AQ358" s="453">
        <f t="shared" si="297"/>
        <v>9.9598393574296909E-2</v>
      </c>
      <c r="AR358" s="449">
        <f t="shared" si="298"/>
        <v>2651.1317269076299</v>
      </c>
      <c r="AS358" s="449">
        <f t="shared" si="299"/>
        <v>0</v>
      </c>
      <c r="AT358" s="426">
        <f t="shared" si="300"/>
        <v>0</v>
      </c>
      <c r="AU358" s="421"/>
      <c r="AV358" s="449">
        <f t="shared" si="308"/>
        <v>530.22634538152613</v>
      </c>
      <c r="AW358" s="449">
        <f t="shared" si="308"/>
        <v>530.22634538152613</v>
      </c>
      <c r="AX358" s="449">
        <f t="shared" si="308"/>
        <v>353.48423025435068</v>
      </c>
      <c r="AY358" s="449">
        <f t="shared" si="306"/>
        <v>353.48423025435068</v>
      </c>
      <c r="AZ358" s="449">
        <f t="shared" si="306"/>
        <v>353.48423025435068</v>
      </c>
      <c r="BA358" s="449">
        <f t="shared" si="306"/>
        <v>75.746620768789441</v>
      </c>
      <c r="BB358" s="449">
        <f t="shared" si="306"/>
        <v>75.746620768789441</v>
      </c>
      <c r="BC358" s="449">
        <f t="shared" si="306"/>
        <v>75.746620768789441</v>
      </c>
      <c r="BD358" s="449">
        <f t="shared" si="306"/>
        <v>75.746620768789441</v>
      </c>
      <c r="BE358" s="449">
        <f t="shared" si="306"/>
        <v>75.746620768789441</v>
      </c>
      <c r="BF358" s="449">
        <f t="shared" si="306"/>
        <v>75.746620768789441</v>
      </c>
      <c r="BG358" s="449">
        <f t="shared" si="306"/>
        <v>75.746620768789441</v>
      </c>
      <c r="BH358" s="400"/>
      <c r="BI358" s="449">
        <f t="shared" ref="BI358:BT358" si="310">(IFERROR((($H358/$H$5)*BI$5),0))*BI$696</f>
        <v>530.22634538152613</v>
      </c>
      <c r="BJ358" s="449">
        <f t="shared" si="310"/>
        <v>530.22634538152613</v>
      </c>
      <c r="BK358" s="449">
        <f t="shared" si="310"/>
        <v>353.48423025435068</v>
      </c>
      <c r="BL358" s="449">
        <f t="shared" si="310"/>
        <v>353.48423025435068</v>
      </c>
      <c r="BM358" s="449">
        <f t="shared" si="310"/>
        <v>353.48423025435068</v>
      </c>
      <c r="BN358" s="449">
        <f t="shared" si="310"/>
        <v>75.746620768789441</v>
      </c>
      <c r="BO358" s="449">
        <f t="shared" si="310"/>
        <v>75.746620768789441</v>
      </c>
      <c r="BP358" s="449">
        <f t="shared" si="310"/>
        <v>75.746620768789441</v>
      </c>
      <c r="BQ358" s="449">
        <f t="shared" si="310"/>
        <v>75.746620768789441</v>
      </c>
      <c r="BR358" s="449">
        <f t="shared" si="310"/>
        <v>75.746620768789441</v>
      </c>
      <c r="BS358" s="449">
        <f t="shared" si="310"/>
        <v>75.746620768789441</v>
      </c>
      <c r="BT358" s="449">
        <f t="shared" si="310"/>
        <v>75.746620768789441</v>
      </c>
    </row>
    <row r="359" spans="1:74" ht="15" x14ac:dyDescent="0.25">
      <c r="A359" s="587"/>
      <c r="B359" s="502"/>
      <c r="C359" s="597"/>
      <c r="D359" s="500"/>
      <c r="E359" s="449"/>
      <c r="F359" s="449"/>
      <c r="G359" s="421"/>
      <c r="H359" s="449"/>
      <c r="I359" s="449"/>
      <c r="J359" s="426"/>
      <c r="K359" s="421"/>
      <c r="L359" s="449"/>
      <c r="M359" s="449"/>
      <c r="N359" s="449"/>
      <c r="O359" s="449"/>
      <c r="P359" s="449"/>
      <c r="Q359" s="449"/>
      <c r="R359" s="449"/>
      <c r="S359" s="449"/>
      <c r="T359" s="449"/>
      <c r="U359" s="449"/>
      <c r="V359" s="449"/>
      <c r="W359" s="449"/>
      <c r="X359" s="449"/>
      <c r="Y359" s="449"/>
      <c r="Z359" s="531"/>
      <c r="AA359" s="449"/>
      <c r="AB359" s="449"/>
      <c r="AC359" s="449"/>
      <c r="AD359" s="449"/>
      <c r="AE359" s="449"/>
      <c r="AF359" s="449"/>
      <c r="AG359" s="449"/>
      <c r="AH359" s="449"/>
      <c r="AI359" s="449"/>
      <c r="AJ359" s="449"/>
      <c r="AK359" s="449"/>
      <c r="AL359" s="449"/>
      <c r="AN359" s="500"/>
      <c r="AO359" s="449"/>
      <c r="AP359" s="449"/>
      <c r="AQ359" s="453"/>
      <c r="AR359" s="449"/>
      <c r="AS359" s="449"/>
      <c r="AT359" s="426"/>
      <c r="AU359" s="421"/>
      <c r="AV359" s="449"/>
      <c r="AW359" s="449"/>
      <c r="AX359" s="449"/>
      <c r="AY359" s="449"/>
      <c r="AZ359" s="449"/>
      <c r="BA359" s="449"/>
      <c r="BB359" s="449"/>
      <c r="BC359" s="449"/>
      <c r="BD359" s="449"/>
      <c r="BE359" s="449"/>
      <c r="BF359" s="449"/>
      <c r="BG359" s="449"/>
      <c r="BH359" s="531"/>
      <c r="BI359" s="449"/>
      <c r="BJ359" s="449"/>
      <c r="BK359" s="449"/>
      <c r="BL359" s="449"/>
      <c r="BM359" s="449"/>
      <c r="BN359" s="449"/>
      <c r="BO359" s="449"/>
      <c r="BP359" s="449"/>
      <c r="BQ359" s="449"/>
      <c r="BR359" s="449"/>
      <c r="BS359" s="449"/>
      <c r="BT359" s="449"/>
    </row>
    <row r="360" spans="1:74" s="536" customFormat="1" ht="15.75" thickBot="1" x14ac:dyDescent="0.3">
      <c r="A360" s="526"/>
      <c r="B360" s="524" t="s">
        <v>615</v>
      </c>
      <c r="C360" s="599"/>
      <c r="D360" s="532">
        <f>SUM(D335:D359)</f>
        <v>569449</v>
      </c>
      <c r="E360" s="533">
        <f>SUM(E335:E359)</f>
        <v>539912.3247</v>
      </c>
      <c r="F360" s="533">
        <f>IFERROR(D360-E360,0)</f>
        <v>29536.675300000003</v>
      </c>
      <c r="G360" s="520">
        <f>IFERROR(F360/ABS(E360),0)</f>
        <v>5.4706429078854479E-2</v>
      </c>
      <c r="H360" s="533">
        <f>SUM(H335:H359)</f>
        <v>563849</v>
      </c>
      <c r="I360" s="533">
        <f>IFERROR(D360-H360,0)</f>
        <v>5600</v>
      </c>
      <c r="J360" s="521">
        <f>IFERROR(I360/ABS(H360),0)</f>
        <v>9.9317370430735893E-3</v>
      </c>
      <c r="K360" s="507"/>
      <c r="L360" s="533">
        <f t="shared" ref="L360:W360" si="311">SUM(L335:L359)</f>
        <v>23589.63</v>
      </c>
      <c r="M360" s="533">
        <f t="shared" si="311"/>
        <v>44341.919999999998</v>
      </c>
      <c r="N360" s="533">
        <f t="shared" si="311"/>
        <v>57251.64</v>
      </c>
      <c r="O360" s="533">
        <f t="shared" si="311"/>
        <v>45165.76999999999</v>
      </c>
      <c r="P360" s="533">
        <f t="shared" si="311"/>
        <v>34305.150000000023</v>
      </c>
      <c r="Q360" s="533">
        <f t="shared" si="311"/>
        <v>34454.989999999991</v>
      </c>
      <c r="R360" s="533">
        <f t="shared" si="311"/>
        <v>55056.650000000009</v>
      </c>
      <c r="S360" s="533">
        <f t="shared" si="311"/>
        <v>55056.65</v>
      </c>
      <c r="T360" s="533">
        <f t="shared" si="311"/>
        <v>55056.65</v>
      </c>
      <c r="U360" s="533">
        <f t="shared" si="311"/>
        <v>55056.649999999994</v>
      </c>
      <c r="V360" s="533">
        <f t="shared" si="311"/>
        <v>55056.64999999998</v>
      </c>
      <c r="W360" s="533">
        <f t="shared" si="311"/>
        <v>55056.65</v>
      </c>
      <c r="X360" s="533"/>
      <c r="Y360" s="533">
        <f>SUM(L360:W360)</f>
        <v>569449</v>
      </c>
      <c r="Z360" s="508"/>
      <c r="AA360" s="533">
        <f t="shared" ref="AA360:AL360" si="312">SUM(AA335:AA359)</f>
        <v>46987.416666666664</v>
      </c>
      <c r="AB360" s="533">
        <f t="shared" si="312"/>
        <v>46987.416666666664</v>
      </c>
      <c r="AC360" s="533">
        <f t="shared" si="312"/>
        <v>46987.416666666664</v>
      </c>
      <c r="AD360" s="533">
        <f t="shared" si="312"/>
        <v>46987.416666666664</v>
      </c>
      <c r="AE360" s="533">
        <f t="shared" si="312"/>
        <v>46987.416666666664</v>
      </c>
      <c r="AF360" s="533">
        <f t="shared" si="312"/>
        <v>46987.416666666664</v>
      </c>
      <c r="AG360" s="533">
        <f t="shared" si="312"/>
        <v>46987.416666666664</v>
      </c>
      <c r="AH360" s="533">
        <f t="shared" si="312"/>
        <v>46987.416666666664</v>
      </c>
      <c r="AI360" s="533">
        <f t="shared" si="312"/>
        <v>46987.416666666664</v>
      </c>
      <c r="AJ360" s="533">
        <f t="shared" si="312"/>
        <v>46987.416666666664</v>
      </c>
      <c r="AK360" s="533">
        <f t="shared" si="312"/>
        <v>46987.416666666664</v>
      </c>
      <c r="AL360" s="533">
        <f t="shared" si="312"/>
        <v>46987.416666666664</v>
      </c>
      <c r="AN360" s="532">
        <f>SUM(AN335:AN359)</f>
        <v>569449</v>
      </c>
      <c r="AO360" s="533">
        <f>SUM(AO335:AO359)</f>
        <v>596703.30805601773</v>
      </c>
      <c r="AP360" s="533">
        <f>IFERROR(AO360-AN360,0)</f>
        <v>27254.308056017733</v>
      </c>
      <c r="AQ360" s="523">
        <f>IFERROR(AP360/ABS(AN360),"-")</f>
        <v>4.7860841016522521E-2</v>
      </c>
      <c r="AR360" s="533">
        <f>SUM(AR335:AR359)</f>
        <v>596703.30805601773</v>
      </c>
      <c r="AS360" s="533">
        <f>IFERROR(AO360-AR360,0)</f>
        <v>0</v>
      </c>
      <c r="AT360" s="521">
        <f>IFERROR(AS360/ABS(AR360),0)</f>
        <v>0</v>
      </c>
      <c r="AU360" s="507"/>
      <c r="AV360" s="533">
        <f t="shared" ref="AV360:BG360" si="313">SUM(AV335:AV359)</f>
        <v>47942.513287227353</v>
      </c>
      <c r="AW360" s="533">
        <f t="shared" si="313"/>
        <v>50034.57437280735</v>
      </c>
      <c r="AX360" s="533">
        <f t="shared" si="313"/>
        <v>49857.832257680173</v>
      </c>
      <c r="AY360" s="533">
        <f t="shared" si="313"/>
        <v>49857.832257680173</v>
      </c>
      <c r="AZ360" s="533">
        <f t="shared" si="313"/>
        <v>49857.832257680173</v>
      </c>
      <c r="BA360" s="533">
        <f t="shared" si="313"/>
        <v>49580.094648194616</v>
      </c>
      <c r="BB360" s="533">
        <f t="shared" si="313"/>
        <v>49580.094648194616</v>
      </c>
      <c r="BC360" s="533">
        <f t="shared" si="313"/>
        <v>49580.094648194616</v>
      </c>
      <c r="BD360" s="533">
        <f t="shared" si="313"/>
        <v>49580.094648194616</v>
      </c>
      <c r="BE360" s="533">
        <f t="shared" si="313"/>
        <v>49580.094648194616</v>
      </c>
      <c r="BF360" s="533">
        <f t="shared" si="313"/>
        <v>49580.094648194616</v>
      </c>
      <c r="BG360" s="533">
        <f t="shared" si="313"/>
        <v>51672.15573377462</v>
      </c>
      <c r="BH360" s="508"/>
      <c r="BI360" s="533">
        <f t="shared" ref="BI360:BT360" si="314">SUM(BI335:BI359)</f>
        <v>47942.513287227353</v>
      </c>
      <c r="BJ360" s="533">
        <f t="shared" si="314"/>
        <v>50034.57437280735</v>
      </c>
      <c r="BK360" s="533">
        <f t="shared" si="314"/>
        <v>49857.832257680173</v>
      </c>
      <c r="BL360" s="533">
        <f t="shared" si="314"/>
        <v>49857.832257680173</v>
      </c>
      <c r="BM360" s="533">
        <f t="shared" si="314"/>
        <v>49857.832257680173</v>
      </c>
      <c r="BN360" s="533">
        <f t="shared" si="314"/>
        <v>49580.094648194616</v>
      </c>
      <c r="BO360" s="533">
        <f t="shared" si="314"/>
        <v>49580.094648194616</v>
      </c>
      <c r="BP360" s="533">
        <f t="shared" si="314"/>
        <v>49580.094648194616</v>
      </c>
      <c r="BQ360" s="533">
        <f t="shared" si="314"/>
        <v>49580.094648194616</v>
      </c>
      <c r="BR360" s="533">
        <f t="shared" si="314"/>
        <v>49580.094648194616</v>
      </c>
      <c r="BS360" s="533">
        <f t="shared" si="314"/>
        <v>49580.094648194616</v>
      </c>
      <c r="BT360" s="533">
        <f t="shared" si="314"/>
        <v>51672.15573377462</v>
      </c>
      <c r="BV360" s="400"/>
    </row>
    <row r="361" spans="1:74" ht="15.75" thickTop="1" x14ac:dyDescent="0.25">
      <c r="A361" s="587"/>
      <c r="B361" s="502"/>
      <c r="C361" s="597"/>
      <c r="D361" s="500"/>
      <c r="E361" s="449"/>
      <c r="F361" s="449"/>
      <c r="G361" s="421"/>
      <c r="H361" s="449"/>
      <c r="I361" s="449"/>
      <c r="J361" s="426"/>
      <c r="K361" s="421"/>
      <c r="L361" s="449"/>
      <c r="M361" s="449"/>
      <c r="N361" s="449"/>
      <c r="O361" s="449"/>
      <c r="P361" s="449"/>
      <c r="Q361" s="449"/>
      <c r="R361" s="449"/>
      <c r="S361" s="449"/>
      <c r="T361" s="449"/>
      <c r="U361" s="449"/>
      <c r="V361" s="449"/>
      <c r="W361" s="449"/>
      <c r="X361" s="449"/>
      <c r="Y361" s="449"/>
      <c r="Z361" s="531"/>
      <c r="AA361" s="449"/>
      <c r="AB361" s="449"/>
      <c r="AC361" s="449"/>
      <c r="AD361" s="449"/>
      <c r="AE361" s="449"/>
      <c r="AF361" s="449"/>
      <c r="AG361" s="449"/>
      <c r="AH361" s="449"/>
      <c r="AI361" s="449"/>
      <c r="AJ361" s="449"/>
      <c r="AK361" s="449"/>
      <c r="AL361" s="449"/>
      <c r="AN361" s="500"/>
      <c r="AO361" s="449"/>
      <c r="AP361" s="449"/>
      <c r="AQ361" s="453"/>
      <c r="AR361" s="449"/>
      <c r="AS361" s="449"/>
      <c r="AT361" s="426"/>
      <c r="AU361" s="421"/>
      <c r="AV361" s="449"/>
      <c r="AW361" s="449"/>
      <c r="AX361" s="449"/>
      <c r="AY361" s="449"/>
      <c r="AZ361" s="449"/>
      <c r="BA361" s="449"/>
      <c r="BB361" s="449"/>
      <c r="BC361" s="449"/>
      <c r="BD361" s="449"/>
      <c r="BE361" s="449"/>
      <c r="BF361" s="449"/>
      <c r="BG361" s="449"/>
      <c r="BH361" s="531"/>
      <c r="BI361" s="449"/>
      <c r="BJ361" s="449"/>
      <c r="BK361" s="449"/>
      <c r="BL361" s="449"/>
      <c r="BM361" s="449"/>
      <c r="BN361" s="449"/>
      <c r="BO361" s="449"/>
      <c r="BP361" s="449"/>
      <c r="BQ361" s="449"/>
      <c r="BR361" s="449"/>
      <c r="BS361" s="449"/>
      <c r="BT361" s="449"/>
    </row>
    <row r="362" spans="1:74" ht="15.75" x14ac:dyDescent="0.25">
      <c r="A362" s="587"/>
      <c r="B362" s="525" t="s">
        <v>616</v>
      </c>
      <c r="C362" s="597"/>
      <c r="D362" s="500"/>
      <c r="E362" s="449"/>
      <c r="F362" s="449"/>
      <c r="G362" s="421"/>
      <c r="H362" s="449"/>
      <c r="I362" s="449"/>
      <c r="J362" s="426"/>
      <c r="K362" s="421"/>
      <c r="L362" s="449"/>
      <c r="M362" s="449"/>
      <c r="N362" s="449"/>
      <c r="O362" s="449"/>
      <c r="P362" s="449"/>
      <c r="Q362" s="449"/>
      <c r="R362" s="449"/>
      <c r="S362" s="449"/>
      <c r="T362" s="449"/>
      <c r="U362" s="449"/>
      <c r="V362" s="449"/>
      <c r="W362" s="449"/>
      <c r="X362" s="449"/>
      <c r="Y362" s="449"/>
      <c r="Z362" s="531"/>
      <c r="AA362" s="449"/>
      <c r="AB362" s="449"/>
      <c r="AC362" s="449"/>
      <c r="AD362" s="449"/>
      <c r="AE362" s="449"/>
      <c r="AF362" s="449"/>
      <c r="AG362" s="449"/>
      <c r="AH362" s="449"/>
      <c r="AI362" s="449"/>
      <c r="AJ362" s="449"/>
      <c r="AK362" s="449"/>
      <c r="AL362" s="449"/>
      <c r="AN362" s="500"/>
      <c r="AO362" s="449"/>
      <c r="AP362" s="449"/>
      <c r="AQ362" s="453"/>
      <c r="AR362" s="449"/>
      <c r="AS362" s="449"/>
      <c r="AT362" s="426"/>
      <c r="AU362" s="421"/>
      <c r="AV362" s="449"/>
      <c r="AW362" s="449"/>
      <c r="AX362" s="449"/>
      <c r="AY362" s="449"/>
      <c r="AZ362" s="449"/>
      <c r="BA362" s="449"/>
      <c r="BB362" s="449"/>
      <c r="BC362" s="449"/>
      <c r="BD362" s="449"/>
      <c r="BE362" s="449"/>
      <c r="BF362" s="449"/>
      <c r="BG362" s="449"/>
      <c r="BH362" s="531"/>
      <c r="BI362" s="449"/>
      <c r="BJ362" s="449"/>
      <c r="BK362" s="449"/>
      <c r="BL362" s="449"/>
      <c r="BM362" s="449"/>
      <c r="BN362" s="449"/>
      <c r="BO362" s="449"/>
      <c r="BP362" s="449"/>
      <c r="BQ362" s="449"/>
      <c r="BR362" s="449"/>
      <c r="BS362" s="449"/>
      <c r="BT362" s="449"/>
    </row>
    <row r="363" spans="1:74" ht="10.5" customHeight="1" x14ac:dyDescent="0.25">
      <c r="A363" s="587"/>
      <c r="B363" s="525"/>
      <c r="C363" s="597"/>
      <c r="D363" s="500"/>
      <c r="E363" s="449"/>
      <c r="F363" s="449"/>
      <c r="G363" s="421"/>
      <c r="H363" s="449"/>
      <c r="I363" s="449"/>
      <c r="J363" s="426"/>
      <c r="K363" s="421"/>
      <c r="L363" s="449"/>
      <c r="M363" s="449"/>
      <c r="N363" s="449"/>
      <c r="O363" s="449"/>
      <c r="P363" s="449"/>
      <c r="Q363" s="449"/>
      <c r="R363" s="449"/>
      <c r="S363" s="449"/>
      <c r="T363" s="449"/>
      <c r="U363" s="449"/>
      <c r="V363" s="449"/>
      <c r="W363" s="449"/>
      <c r="X363" s="449"/>
      <c r="Y363" s="449"/>
      <c r="Z363" s="531"/>
      <c r="AA363" s="449"/>
      <c r="AB363" s="449"/>
      <c r="AC363" s="449"/>
      <c r="AD363" s="449"/>
      <c r="AE363" s="449"/>
      <c r="AF363" s="449"/>
      <c r="AG363" s="449"/>
      <c r="AH363" s="449"/>
      <c r="AI363" s="449"/>
      <c r="AJ363" s="449"/>
      <c r="AK363" s="449"/>
      <c r="AL363" s="449"/>
      <c r="AN363" s="500"/>
      <c r="AO363" s="449"/>
      <c r="AP363" s="449"/>
      <c r="AQ363" s="453"/>
      <c r="AR363" s="449"/>
      <c r="AS363" s="449"/>
      <c r="AT363" s="426"/>
      <c r="AU363" s="421"/>
      <c r="AV363" s="449"/>
      <c r="AW363" s="449"/>
      <c r="AX363" s="449"/>
      <c r="AY363" s="449"/>
      <c r="AZ363" s="449"/>
      <c r="BA363" s="449"/>
      <c r="BB363" s="449"/>
      <c r="BC363" s="449"/>
      <c r="BD363" s="449"/>
      <c r="BE363" s="449"/>
      <c r="BF363" s="449"/>
      <c r="BG363" s="449"/>
      <c r="BH363" s="531"/>
      <c r="BI363" s="449"/>
      <c r="BJ363" s="449"/>
      <c r="BK363" s="449"/>
      <c r="BL363" s="449"/>
      <c r="BM363" s="449"/>
      <c r="BN363" s="449"/>
      <c r="BO363" s="449"/>
      <c r="BP363" s="449"/>
      <c r="BQ363" s="449"/>
      <c r="BR363" s="449"/>
      <c r="BS363" s="449"/>
      <c r="BT363" s="449"/>
    </row>
    <row r="364" spans="1:74" ht="15" x14ac:dyDescent="0.25">
      <c r="A364" s="502" t="s">
        <v>617</v>
      </c>
      <c r="B364" s="502" t="s">
        <v>618</v>
      </c>
      <c r="C364" s="597"/>
      <c r="D364" s="500">
        <f>SUM(L364:W364)</f>
        <v>5000</v>
      </c>
      <c r="E364" s="449">
        <v>2456.2599999999998</v>
      </c>
      <c r="F364" s="449">
        <f>IFERROR(D364-E364,0)</f>
        <v>2543.7400000000002</v>
      </c>
      <c r="G364" s="421">
        <f>IFERROR(F364/ABS(E364),0)</f>
        <v>1.0356151221776198</v>
      </c>
      <c r="H364" s="449">
        <v>5000</v>
      </c>
      <c r="I364" s="449">
        <f>IFERROR(D364-H364,0)</f>
        <v>0</v>
      </c>
      <c r="J364" s="426">
        <f>IFERROR(I364/ABS(H364),0)</f>
        <v>0</v>
      </c>
      <c r="K364" s="421"/>
      <c r="L364" s="449">
        <v>0</v>
      </c>
      <c r="M364" s="449">
        <v>0</v>
      </c>
      <c r="N364" s="449">
        <v>0</v>
      </c>
      <c r="O364" s="449">
        <v>0</v>
      </c>
      <c r="P364" s="449">
        <v>0</v>
      </c>
      <c r="Q364" s="449">
        <v>0</v>
      </c>
      <c r="R364" s="449">
        <f>($H364-SUM($L364:Q364))/R$694</f>
        <v>833.33333333333337</v>
      </c>
      <c r="S364" s="449">
        <f>($H364-SUM($L364:R364))/S$694</f>
        <v>833.33333333333337</v>
      </c>
      <c r="T364" s="449">
        <f>($H364-SUM($L364:S364))/T$694</f>
        <v>833.33333333333326</v>
      </c>
      <c r="U364" s="449">
        <f>($H364-SUM($L364:T364))/U$694</f>
        <v>833.33333333333337</v>
      </c>
      <c r="V364" s="449">
        <f>($H364-SUM($L364:U364))/V$694</f>
        <v>833.33333333333326</v>
      </c>
      <c r="W364" s="449">
        <f>($H364-SUM($L364:V364))/W$694</f>
        <v>833.33333333333303</v>
      </c>
      <c r="X364" s="449"/>
      <c r="Y364" s="449">
        <f>SUM(L364:W364)</f>
        <v>5000</v>
      </c>
      <c r="Z364" s="531"/>
      <c r="AA364" s="449">
        <f t="shared" ref="AA364:AL364" si="315">IFERROR($H364/12,0)</f>
        <v>416.66666666666669</v>
      </c>
      <c r="AB364" s="449">
        <f t="shared" si="315"/>
        <v>416.66666666666669</v>
      </c>
      <c r="AC364" s="449">
        <f t="shared" si="315"/>
        <v>416.66666666666669</v>
      </c>
      <c r="AD364" s="449">
        <f t="shared" si="315"/>
        <v>416.66666666666669</v>
      </c>
      <c r="AE364" s="449">
        <f t="shared" si="315"/>
        <v>416.66666666666669</v>
      </c>
      <c r="AF364" s="449">
        <f t="shared" si="315"/>
        <v>416.66666666666669</v>
      </c>
      <c r="AG364" s="449">
        <f t="shared" si="315"/>
        <v>416.66666666666669</v>
      </c>
      <c r="AH364" s="449">
        <f t="shared" si="315"/>
        <v>416.66666666666669</v>
      </c>
      <c r="AI364" s="449">
        <f t="shared" si="315"/>
        <v>416.66666666666669</v>
      </c>
      <c r="AJ364" s="449">
        <f t="shared" si="315"/>
        <v>416.66666666666669</v>
      </c>
      <c r="AK364" s="449">
        <f t="shared" si="315"/>
        <v>416.66666666666669</v>
      </c>
      <c r="AL364" s="449">
        <f t="shared" si="315"/>
        <v>416.66666666666669</v>
      </c>
      <c r="AN364" s="500">
        <f>SUM(L364:W364)</f>
        <v>5000</v>
      </c>
      <c r="AO364" s="449">
        <f>SUM(BI364:BT364)</f>
        <v>5497.9919678714868</v>
      </c>
      <c r="AP364" s="449">
        <f>IFERROR(AO364-AN364,0)</f>
        <v>497.99196787148685</v>
      </c>
      <c r="AQ364" s="453">
        <f>IFERROR(AP364/ABS(AN364),"-")</f>
        <v>9.9598393574297367E-2</v>
      </c>
      <c r="AR364" s="449">
        <f>SUM(BI364:BT364)</f>
        <v>5497.9919678714868</v>
      </c>
      <c r="AS364" s="449">
        <f>IFERROR(AO364-AR364,0)</f>
        <v>0</v>
      </c>
      <c r="AT364" s="426">
        <f>IFERROR(AS364/ABS(AR364),0)</f>
        <v>0</v>
      </c>
      <c r="AU364" s="421"/>
      <c r="AV364" s="449">
        <f>BI364</f>
        <v>1099.5983935742972</v>
      </c>
      <c r="AW364" s="449">
        <f t="shared" ref="AW364:BG364" si="316">BJ364</f>
        <v>1099.5983935742972</v>
      </c>
      <c r="AX364" s="449">
        <f t="shared" si="316"/>
        <v>733.06559571619812</v>
      </c>
      <c r="AY364" s="449">
        <f t="shared" si="316"/>
        <v>733.06559571619812</v>
      </c>
      <c r="AZ364" s="449">
        <f t="shared" si="316"/>
        <v>733.06559571619812</v>
      </c>
      <c r="BA364" s="449">
        <f t="shared" si="316"/>
        <v>157.08548479632816</v>
      </c>
      <c r="BB364" s="449">
        <f t="shared" si="316"/>
        <v>157.08548479632816</v>
      </c>
      <c r="BC364" s="449">
        <f t="shared" si="316"/>
        <v>157.08548479632816</v>
      </c>
      <c r="BD364" s="449">
        <f t="shared" si="316"/>
        <v>157.08548479632816</v>
      </c>
      <c r="BE364" s="449">
        <f t="shared" si="316"/>
        <v>157.08548479632816</v>
      </c>
      <c r="BF364" s="449">
        <f t="shared" si="316"/>
        <v>157.08548479632816</v>
      </c>
      <c r="BG364" s="449">
        <f t="shared" si="316"/>
        <v>157.08548479632816</v>
      </c>
      <c r="BH364" s="400"/>
      <c r="BI364" s="449">
        <f t="shared" ref="BI364:BT364" si="317">(IFERROR((($H364/$H$5)*BI$5),0))*BI$696</f>
        <v>1099.5983935742972</v>
      </c>
      <c r="BJ364" s="449">
        <f t="shared" si="317"/>
        <v>1099.5983935742972</v>
      </c>
      <c r="BK364" s="449">
        <f t="shared" si="317"/>
        <v>733.06559571619812</v>
      </c>
      <c r="BL364" s="449">
        <f t="shared" si="317"/>
        <v>733.06559571619812</v>
      </c>
      <c r="BM364" s="449">
        <f t="shared" si="317"/>
        <v>733.06559571619812</v>
      </c>
      <c r="BN364" s="449">
        <f t="shared" si="317"/>
        <v>157.08548479632816</v>
      </c>
      <c r="BO364" s="449">
        <f t="shared" si="317"/>
        <v>157.08548479632816</v>
      </c>
      <c r="BP364" s="449">
        <f t="shared" si="317"/>
        <v>157.08548479632816</v>
      </c>
      <c r="BQ364" s="449">
        <f t="shared" si="317"/>
        <v>157.08548479632816</v>
      </c>
      <c r="BR364" s="449">
        <f t="shared" si="317"/>
        <v>157.08548479632816</v>
      </c>
      <c r="BS364" s="449">
        <f t="shared" si="317"/>
        <v>157.08548479632816</v>
      </c>
      <c r="BT364" s="449">
        <f t="shared" si="317"/>
        <v>157.08548479632816</v>
      </c>
    </row>
    <row r="365" spans="1:74" ht="15" x14ac:dyDescent="0.25">
      <c r="A365" s="587"/>
      <c r="B365" s="502"/>
      <c r="C365" s="597"/>
      <c r="D365" s="500"/>
      <c r="E365" s="449"/>
      <c r="F365" s="449"/>
      <c r="G365" s="421"/>
      <c r="H365" s="449"/>
      <c r="I365" s="449"/>
      <c r="J365" s="426"/>
      <c r="K365" s="421"/>
      <c r="L365" s="449"/>
      <c r="M365" s="449"/>
      <c r="N365" s="449"/>
      <c r="O365" s="449"/>
      <c r="P365" s="449"/>
      <c r="Q365" s="449"/>
      <c r="R365" s="449"/>
      <c r="S365" s="449"/>
      <c r="T365" s="449"/>
      <c r="U365" s="449"/>
      <c r="V365" s="449"/>
      <c r="W365" s="449"/>
      <c r="X365" s="449"/>
      <c r="Y365" s="449"/>
      <c r="Z365" s="531"/>
      <c r="AA365" s="449"/>
      <c r="AB365" s="449"/>
      <c r="AC365" s="449"/>
      <c r="AD365" s="449"/>
      <c r="AE365" s="449"/>
      <c r="AF365" s="449"/>
      <c r="AG365" s="449"/>
      <c r="AH365" s="449"/>
      <c r="AI365" s="449"/>
      <c r="AJ365" s="449"/>
      <c r="AK365" s="449"/>
      <c r="AL365" s="449"/>
      <c r="AN365" s="500"/>
      <c r="AO365" s="449"/>
      <c r="AP365" s="449"/>
      <c r="AQ365" s="453"/>
      <c r="AR365" s="449"/>
      <c r="AS365" s="449"/>
      <c r="AT365" s="426"/>
      <c r="AU365" s="421"/>
      <c r="AV365" s="449"/>
      <c r="AW365" s="449"/>
      <c r="AX365" s="449"/>
      <c r="AY365" s="449"/>
      <c r="AZ365" s="449"/>
      <c r="BA365" s="449"/>
      <c r="BB365" s="449"/>
      <c r="BC365" s="449"/>
      <c r="BD365" s="449"/>
      <c r="BE365" s="449"/>
      <c r="BF365" s="449"/>
      <c r="BG365" s="449"/>
      <c r="BH365" s="531"/>
      <c r="BI365" s="449"/>
      <c r="BJ365" s="449"/>
      <c r="BK365" s="449"/>
      <c r="BL365" s="449"/>
      <c r="BM365" s="449"/>
      <c r="BN365" s="449"/>
      <c r="BO365" s="449"/>
      <c r="BP365" s="449"/>
      <c r="BQ365" s="449"/>
      <c r="BR365" s="449"/>
      <c r="BS365" s="449"/>
      <c r="BT365" s="449"/>
    </row>
    <row r="366" spans="1:74" ht="15.75" thickBot="1" x14ac:dyDescent="0.3">
      <c r="A366" s="587"/>
      <c r="B366" s="524" t="s">
        <v>619</v>
      </c>
      <c r="C366" s="597"/>
      <c r="D366" s="532">
        <f>SUM(D364:D365)</f>
        <v>5000</v>
      </c>
      <c r="E366" s="533">
        <f>SUM(E364:E365)</f>
        <v>2456.2599999999998</v>
      </c>
      <c r="F366" s="533">
        <f>IFERROR(D366-E366,0)</f>
        <v>2543.7400000000002</v>
      </c>
      <c r="G366" s="520">
        <f>IFERROR(F366/ABS(E366),0)</f>
        <v>1.0356151221776198</v>
      </c>
      <c r="H366" s="533">
        <f>SUM(H364)</f>
        <v>5000</v>
      </c>
      <c r="I366" s="533">
        <f>IFERROR(D366-H366,0)</f>
        <v>0</v>
      </c>
      <c r="J366" s="521">
        <f>IFERROR(I366/ABS(H366),0)</f>
        <v>0</v>
      </c>
      <c r="K366" s="507"/>
      <c r="L366" s="533">
        <f>SUM(L364:L365)</f>
        <v>0</v>
      </c>
      <c r="M366" s="533">
        <f t="shared" ref="M366:W366" si="318">SUM(M364:M365)</f>
        <v>0</v>
      </c>
      <c r="N366" s="533">
        <f t="shared" si="318"/>
        <v>0</v>
      </c>
      <c r="O366" s="533">
        <f t="shared" si="318"/>
        <v>0</v>
      </c>
      <c r="P366" s="533">
        <f t="shared" si="318"/>
        <v>0</v>
      </c>
      <c r="Q366" s="533">
        <f t="shared" si="318"/>
        <v>0</v>
      </c>
      <c r="R366" s="533">
        <f t="shared" si="318"/>
        <v>833.33333333333337</v>
      </c>
      <c r="S366" s="533">
        <f t="shared" si="318"/>
        <v>833.33333333333337</v>
      </c>
      <c r="T366" s="533">
        <f t="shared" si="318"/>
        <v>833.33333333333326</v>
      </c>
      <c r="U366" s="533">
        <f t="shared" si="318"/>
        <v>833.33333333333337</v>
      </c>
      <c r="V366" s="533">
        <f t="shared" si="318"/>
        <v>833.33333333333326</v>
      </c>
      <c r="W366" s="533">
        <f t="shared" si="318"/>
        <v>833.33333333333303</v>
      </c>
      <c r="X366" s="533"/>
      <c r="Y366" s="533">
        <f>SUM(L366:W366)</f>
        <v>5000</v>
      </c>
      <c r="Z366" s="508"/>
      <c r="AA366" s="533">
        <f t="shared" ref="AA366:AL366" si="319">SUM(AA364:AA365)</f>
        <v>416.66666666666669</v>
      </c>
      <c r="AB366" s="533">
        <f t="shared" si="319"/>
        <v>416.66666666666669</v>
      </c>
      <c r="AC366" s="533">
        <f t="shared" si="319"/>
        <v>416.66666666666669</v>
      </c>
      <c r="AD366" s="533">
        <f t="shared" si="319"/>
        <v>416.66666666666669</v>
      </c>
      <c r="AE366" s="533">
        <f t="shared" si="319"/>
        <v>416.66666666666669</v>
      </c>
      <c r="AF366" s="533">
        <f t="shared" si="319"/>
        <v>416.66666666666669</v>
      </c>
      <c r="AG366" s="533">
        <f t="shared" si="319"/>
        <v>416.66666666666669</v>
      </c>
      <c r="AH366" s="533">
        <f t="shared" si="319"/>
        <v>416.66666666666669</v>
      </c>
      <c r="AI366" s="533">
        <f t="shared" si="319"/>
        <v>416.66666666666669</v>
      </c>
      <c r="AJ366" s="533">
        <f t="shared" si="319"/>
        <v>416.66666666666669</v>
      </c>
      <c r="AK366" s="533">
        <f t="shared" si="319"/>
        <v>416.66666666666669</v>
      </c>
      <c r="AL366" s="533">
        <f t="shared" si="319"/>
        <v>416.66666666666669</v>
      </c>
      <c r="AN366" s="532">
        <f>SUM(AN364:AN365)</f>
        <v>5000</v>
      </c>
      <c r="AO366" s="533">
        <f>SUM(AO364:AO365)</f>
        <v>5497.9919678714868</v>
      </c>
      <c r="AP366" s="533">
        <f>IFERROR(AO366-AN366,0)</f>
        <v>497.99196787148685</v>
      </c>
      <c r="AQ366" s="523">
        <f>IFERROR(AP366/ABS(AN366),"-")</f>
        <v>9.9598393574297367E-2</v>
      </c>
      <c r="AR366" s="533">
        <f>SUM(AR364)</f>
        <v>5497.9919678714868</v>
      </c>
      <c r="AS366" s="533">
        <f>IFERROR(AO366-AR366,0)</f>
        <v>0</v>
      </c>
      <c r="AT366" s="521">
        <f>IFERROR(AS366/ABS(AR366),0)</f>
        <v>0</v>
      </c>
      <c r="AU366" s="507"/>
      <c r="AV366" s="533">
        <f>SUM(AV364:AV365)</f>
        <v>1099.5983935742972</v>
      </c>
      <c r="AW366" s="533">
        <f t="shared" ref="AW366:BG366" si="320">SUM(AW364:AW365)</f>
        <v>1099.5983935742972</v>
      </c>
      <c r="AX366" s="533">
        <f t="shared" si="320"/>
        <v>733.06559571619812</v>
      </c>
      <c r="AY366" s="533">
        <f t="shared" si="320"/>
        <v>733.06559571619812</v>
      </c>
      <c r="AZ366" s="533">
        <f t="shared" si="320"/>
        <v>733.06559571619812</v>
      </c>
      <c r="BA366" s="533">
        <f t="shared" si="320"/>
        <v>157.08548479632816</v>
      </c>
      <c r="BB366" s="533">
        <f t="shared" si="320"/>
        <v>157.08548479632816</v>
      </c>
      <c r="BC366" s="533">
        <f t="shared" si="320"/>
        <v>157.08548479632816</v>
      </c>
      <c r="BD366" s="533">
        <f t="shared" si="320"/>
        <v>157.08548479632816</v>
      </c>
      <c r="BE366" s="533">
        <f t="shared" si="320"/>
        <v>157.08548479632816</v>
      </c>
      <c r="BF366" s="533">
        <f t="shared" si="320"/>
        <v>157.08548479632816</v>
      </c>
      <c r="BG366" s="533">
        <f t="shared" si="320"/>
        <v>157.08548479632816</v>
      </c>
      <c r="BH366" s="508"/>
      <c r="BI366" s="533">
        <f t="shared" ref="BI366:BT366" si="321">SUM(BI364:BI365)</f>
        <v>1099.5983935742972</v>
      </c>
      <c r="BJ366" s="533">
        <f t="shared" si="321"/>
        <v>1099.5983935742972</v>
      </c>
      <c r="BK366" s="533">
        <f t="shared" si="321"/>
        <v>733.06559571619812</v>
      </c>
      <c r="BL366" s="533">
        <f t="shared" si="321"/>
        <v>733.06559571619812</v>
      </c>
      <c r="BM366" s="533">
        <f t="shared" si="321"/>
        <v>733.06559571619812</v>
      </c>
      <c r="BN366" s="533">
        <f t="shared" si="321"/>
        <v>157.08548479632816</v>
      </c>
      <c r="BO366" s="533">
        <f t="shared" si="321"/>
        <v>157.08548479632816</v>
      </c>
      <c r="BP366" s="533">
        <f t="shared" si="321"/>
        <v>157.08548479632816</v>
      </c>
      <c r="BQ366" s="533">
        <f t="shared" si="321"/>
        <v>157.08548479632816</v>
      </c>
      <c r="BR366" s="533">
        <f t="shared" si="321"/>
        <v>157.08548479632816</v>
      </c>
      <c r="BS366" s="533">
        <f t="shared" si="321"/>
        <v>157.08548479632816</v>
      </c>
      <c r="BT366" s="533">
        <f t="shared" si="321"/>
        <v>157.08548479632816</v>
      </c>
    </row>
    <row r="367" spans="1:74" ht="15.75" thickTop="1" x14ac:dyDescent="0.25">
      <c r="A367" s="587"/>
      <c r="B367" s="502"/>
      <c r="C367" s="597"/>
      <c r="D367" s="500"/>
      <c r="E367" s="449"/>
      <c r="F367" s="449"/>
      <c r="G367" s="421"/>
      <c r="H367" s="449"/>
      <c r="I367" s="449"/>
      <c r="J367" s="426"/>
      <c r="K367" s="421"/>
      <c r="L367" s="449"/>
      <c r="M367" s="449"/>
      <c r="N367" s="449"/>
      <c r="O367" s="449"/>
      <c r="P367" s="449"/>
      <c r="Q367" s="449"/>
      <c r="R367" s="449"/>
      <c r="S367" s="449"/>
      <c r="T367" s="449"/>
      <c r="U367" s="449"/>
      <c r="V367" s="449"/>
      <c r="W367" s="449"/>
      <c r="X367" s="449"/>
      <c r="Y367" s="449"/>
      <c r="Z367" s="531"/>
      <c r="AA367" s="449"/>
      <c r="AB367" s="449"/>
      <c r="AC367" s="449"/>
      <c r="AD367" s="449"/>
      <c r="AE367" s="449"/>
      <c r="AF367" s="449"/>
      <c r="AG367" s="449"/>
      <c r="AH367" s="449"/>
      <c r="AI367" s="449"/>
      <c r="AJ367" s="449"/>
      <c r="AK367" s="449"/>
      <c r="AL367" s="449"/>
      <c r="AN367" s="500"/>
      <c r="AO367" s="449"/>
      <c r="AP367" s="449"/>
      <c r="AQ367" s="453"/>
      <c r="AR367" s="449"/>
      <c r="AS367" s="449"/>
      <c r="AT367" s="426"/>
      <c r="AU367" s="421"/>
      <c r="AV367" s="449"/>
      <c r="AW367" s="449"/>
      <c r="AX367" s="449"/>
      <c r="AY367" s="449"/>
      <c r="AZ367" s="449"/>
      <c r="BA367" s="449"/>
      <c r="BB367" s="449"/>
      <c r="BC367" s="449"/>
      <c r="BD367" s="449"/>
      <c r="BE367" s="449"/>
      <c r="BF367" s="449"/>
      <c r="BG367" s="449"/>
      <c r="BH367" s="531"/>
      <c r="BI367" s="449"/>
      <c r="BJ367" s="449"/>
      <c r="BK367" s="449"/>
      <c r="BL367" s="449"/>
      <c r="BM367" s="449"/>
      <c r="BN367" s="449"/>
      <c r="BO367" s="449"/>
      <c r="BP367" s="449"/>
      <c r="BQ367" s="449"/>
      <c r="BR367" s="449"/>
      <c r="BS367" s="449"/>
      <c r="BT367" s="449"/>
    </row>
    <row r="368" spans="1:74" ht="15.75" x14ac:dyDescent="0.25">
      <c r="A368" s="587"/>
      <c r="B368" s="525" t="s">
        <v>620</v>
      </c>
      <c r="C368" s="597"/>
      <c r="D368" s="500"/>
      <c r="E368" s="449"/>
      <c r="F368" s="449"/>
      <c r="G368" s="421"/>
      <c r="H368" s="449"/>
      <c r="I368" s="449"/>
      <c r="J368" s="426"/>
      <c r="K368" s="421"/>
      <c r="L368" s="449"/>
      <c r="M368" s="449"/>
      <c r="N368" s="449"/>
      <c r="O368" s="449"/>
      <c r="P368" s="449"/>
      <c r="Q368" s="449"/>
      <c r="R368" s="449"/>
      <c r="S368" s="449"/>
      <c r="T368" s="449"/>
      <c r="U368" s="449"/>
      <c r="V368" s="449"/>
      <c r="W368" s="449"/>
      <c r="X368" s="449"/>
      <c r="Y368" s="449"/>
      <c r="Z368" s="531"/>
      <c r="AA368" s="449"/>
      <c r="AB368" s="449"/>
      <c r="AC368" s="449"/>
      <c r="AD368" s="449"/>
      <c r="AE368" s="449"/>
      <c r="AF368" s="449"/>
      <c r="AG368" s="449"/>
      <c r="AH368" s="449"/>
      <c r="AI368" s="449"/>
      <c r="AJ368" s="449"/>
      <c r="AK368" s="449"/>
      <c r="AL368" s="449"/>
      <c r="AN368" s="500"/>
      <c r="AO368" s="449"/>
      <c r="AP368" s="449"/>
      <c r="AQ368" s="453"/>
      <c r="AR368" s="449"/>
      <c r="AS368" s="449"/>
      <c r="AT368" s="426"/>
      <c r="AU368" s="421"/>
      <c r="AV368" s="449"/>
      <c r="AW368" s="449"/>
      <c r="AX368" s="449"/>
      <c r="AY368" s="449"/>
      <c r="AZ368" s="449"/>
      <c r="BA368" s="449"/>
      <c r="BB368" s="449"/>
      <c r="BC368" s="449"/>
      <c r="BD368" s="449"/>
      <c r="BE368" s="449"/>
      <c r="BF368" s="449"/>
      <c r="BG368" s="449"/>
      <c r="BH368" s="531"/>
      <c r="BI368" s="449"/>
      <c r="BJ368" s="449"/>
      <c r="BK368" s="449"/>
      <c r="BL368" s="449"/>
      <c r="BM368" s="449"/>
      <c r="BN368" s="449"/>
      <c r="BO368" s="449"/>
      <c r="BP368" s="449"/>
      <c r="BQ368" s="449"/>
      <c r="BR368" s="449"/>
      <c r="BS368" s="449"/>
      <c r="BT368" s="449"/>
    </row>
    <row r="369" spans="1:74" ht="7.5" customHeight="1" x14ac:dyDescent="0.25">
      <c r="A369" s="587"/>
      <c r="B369" s="502"/>
      <c r="C369" s="597"/>
      <c r="D369" s="500"/>
      <c r="E369" s="449"/>
      <c r="F369" s="449"/>
      <c r="G369" s="421"/>
      <c r="H369" s="449"/>
      <c r="I369" s="449"/>
      <c r="J369" s="426"/>
      <c r="K369" s="421"/>
      <c r="L369" s="449"/>
      <c r="M369" s="449"/>
      <c r="N369" s="449"/>
      <c r="O369" s="449"/>
      <c r="P369" s="449"/>
      <c r="Q369" s="449"/>
      <c r="R369" s="449"/>
      <c r="S369" s="449"/>
      <c r="T369" s="449"/>
      <c r="U369" s="449"/>
      <c r="V369" s="449"/>
      <c r="W369" s="449"/>
      <c r="X369" s="449"/>
      <c r="Y369" s="449"/>
      <c r="Z369" s="531"/>
      <c r="AA369" s="449"/>
      <c r="AB369" s="449"/>
      <c r="AC369" s="449"/>
      <c r="AD369" s="449"/>
      <c r="AE369" s="449"/>
      <c r="AF369" s="449"/>
      <c r="AG369" s="449"/>
      <c r="AH369" s="449"/>
      <c r="AI369" s="449"/>
      <c r="AJ369" s="449"/>
      <c r="AK369" s="449"/>
      <c r="AL369" s="449"/>
      <c r="AN369" s="500"/>
      <c r="AO369" s="449"/>
      <c r="AP369" s="449"/>
      <c r="AQ369" s="453"/>
      <c r="AR369" s="449"/>
      <c r="AS369" s="449"/>
      <c r="AT369" s="426"/>
      <c r="AU369" s="421"/>
      <c r="AV369" s="449"/>
      <c r="AW369" s="449"/>
      <c r="AX369" s="449"/>
      <c r="AY369" s="449"/>
      <c r="AZ369" s="449"/>
      <c r="BA369" s="449"/>
      <c r="BB369" s="449"/>
      <c r="BC369" s="449"/>
      <c r="BD369" s="449"/>
      <c r="BE369" s="449"/>
      <c r="BF369" s="449"/>
      <c r="BG369" s="449"/>
      <c r="BH369" s="531"/>
      <c r="BI369" s="449"/>
      <c r="BJ369" s="449"/>
      <c r="BK369" s="449"/>
      <c r="BL369" s="449"/>
      <c r="BM369" s="449"/>
      <c r="BN369" s="449"/>
      <c r="BO369" s="449"/>
      <c r="BP369" s="449"/>
      <c r="BQ369" s="449"/>
      <c r="BR369" s="449"/>
      <c r="BS369" s="449"/>
      <c r="BT369" s="449"/>
    </row>
    <row r="370" spans="1:74" ht="15" x14ac:dyDescent="0.25">
      <c r="A370" s="502" t="s">
        <v>621</v>
      </c>
      <c r="B370" s="502" t="s">
        <v>622</v>
      </c>
      <c r="C370" s="543"/>
      <c r="D370" s="500">
        <f>SUM(L370:W370)</f>
        <v>4500</v>
      </c>
      <c r="E370" s="449">
        <v>4500</v>
      </c>
      <c r="F370" s="449">
        <f>IFERROR(D370-E370,0)</f>
        <v>0</v>
      </c>
      <c r="G370" s="421">
        <f>IFERROR(F370/ABS(E370),0)</f>
        <v>0</v>
      </c>
      <c r="H370" s="449">
        <v>4500</v>
      </c>
      <c r="I370" s="449">
        <f>IFERROR(D370-H370,0)</f>
        <v>0</v>
      </c>
      <c r="J370" s="426">
        <f>IFERROR(I370/ABS(H370),0)</f>
        <v>0</v>
      </c>
      <c r="K370" s="421"/>
      <c r="L370" s="449">
        <v>0</v>
      </c>
      <c r="M370" s="449">
        <v>0</v>
      </c>
      <c r="N370" s="449">
        <v>0</v>
      </c>
      <c r="O370" s="449">
        <v>0</v>
      </c>
      <c r="P370" s="449">
        <v>0</v>
      </c>
      <c r="Q370" s="449">
        <v>0</v>
      </c>
      <c r="R370" s="449">
        <f>($H370-SUM($L370:Q370))/R$694</f>
        <v>750</v>
      </c>
      <c r="S370" s="449">
        <f>($H370-SUM($L370:R370))/S$694</f>
        <v>750</v>
      </c>
      <c r="T370" s="449">
        <f>($H370-SUM($L370:S370))/T$694</f>
        <v>750</v>
      </c>
      <c r="U370" s="449">
        <f>($H370-SUM($L370:T370))/U$694</f>
        <v>750</v>
      </c>
      <c r="V370" s="449">
        <f>($H370-SUM($L370:U370))/V$694</f>
        <v>750</v>
      </c>
      <c r="W370" s="449">
        <f>($H370-SUM($L370:V370))/W$694</f>
        <v>750</v>
      </c>
      <c r="X370" s="449"/>
      <c r="Y370" s="449">
        <f>SUM(L370:W370)</f>
        <v>4500</v>
      </c>
      <c r="Z370" s="531"/>
      <c r="AA370" s="449">
        <f t="shared" ref="AA370:AL372" si="322">IFERROR($H370/12,0)</f>
        <v>375</v>
      </c>
      <c r="AB370" s="449">
        <f t="shared" si="322"/>
        <v>375</v>
      </c>
      <c r="AC370" s="449">
        <f t="shared" si="322"/>
        <v>375</v>
      </c>
      <c r="AD370" s="449">
        <f t="shared" si="322"/>
        <v>375</v>
      </c>
      <c r="AE370" s="449">
        <f t="shared" si="322"/>
        <v>375</v>
      </c>
      <c r="AF370" s="449">
        <f t="shared" si="322"/>
        <v>375</v>
      </c>
      <c r="AG370" s="449">
        <f t="shared" si="322"/>
        <v>375</v>
      </c>
      <c r="AH370" s="449">
        <f t="shared" si="322"/>
        <v>375</v>
      </c>
      <c r="AI370" s="449">
        <f t="shared" si="322"/>
        <v>375</v>
      </c>
      <c r="AJ370" s="449">
        <f t="shared" si="322"/>
        <v>375</v>
      </c>
      <c r="AK370" s="449">
        <f t="shared" si="322"/>
        <v>375</v>
      </c>
      <c r="AL370" s="449">
        <f t="shared" si="322"/>
        <v>375</v>
      </c>
      <c r="AN370" s="500">
        <f>SUM(L370:W370)</f>
        <v>4500</v>
      </c>
      <c r="AO370" s="449">
        <f>SUM(BI370:BT370)</f>
        <v>4948.1927710843374</v>
      </c>
      <c r="AP370" s="449">
        <f>IFERROR(AO370-AN370,0)</f>
        <v>448.19277108433744</v>
      </c>
      <c r="AQ370" s="453">
        <f>IFERROR(AP370/ABS(AN370),"-")</f>
        <v>9.9598393574297214E-2</v>
      </c>
      <c r="AR370" s="449">
        <f>SUM(BI370:BT370)</f>
        <v>4948.1927710843374</v>
      </c>
      <c r="AS370" s="449">
        <f>IFERROR(AO370-AR370,0)</f>
        <v>0</v>
      </c>
      <c r="AT370" s="426">
        <f>IFERROR(AS370/ABS(AR370),0)</f>
        <v>0</v>
      </c>
      <c r="AU370" s="421"/>
      <c r="AV370" s="449">
        <f t="shared" ref="AV370:BG372" si="323">BI370</f>
        <v>412.34939759036143</v>
      </c>
      <c r="AW370" s="449">
        <f t="shared" si="323"/>
        <v>412.34939759036143</v>
      </c>
      <c r="AX370" s="449">
        <f t="shared" si="323"/>
        <v>412.34939759036143</v>
      </c>
      <c r="AY370" s="449">
        <f t="shared" si="323"/>
        <v>412.34939759036143</v>
      </c>
      <c r="AZ370" s="449">
        <f t="shared" si="323"/>
        <v>412.34939759036143</v>
      </c>
      <c r="BA370" s="449">
        <f t="shared" si="323"/>
        <v>412.34939759036143</v>
      </c>
      <c r="BB370" s="449">
        <f t="shared" si="323"/>
        <v>412.34939759036143</v>
      </c>
      <c r="BC370" s="449">
        <f t="shared" si="323"/>
        <v>412.34939759036143</v>
      </c>
      <c r="BD370" s="449">
        <f t="shared" si="323"/>
        <v>412.34939759036143</v>
      </c>
      <c r="BE370" s="449">
        <f t="shared" si="323"/>
        <v>412.34939759036143</v>
      </c>
      <c r="BF370" s="449">
        <f t="shared" si="323"/>
        <v>412.34939759036143</v>
      </c>
      <c r="BG370" s="449">
        <f t="shared" si="323"/>
        <v>412.34939759036143</v>
      </c>
      <c r="BH370" s="400"/>
      <c r="BI370" s="449">
        <f t="shared" ref="BI370:BT371" si="324">IFERROR((($H370/$H$5)*BI$5)/12,0)</f>
        <v>412.34939759036143</v>
      </c>
      <c r="BJ370" s="449">
        <f t="shared" si="324"/>
        <v>412.34939759036143</v>
      </c>
      <c r="BK370" s="449">
        <f t="shared" si="324"/>
        <v>412.34939759036143</v>
      </c>
      <c r="BL370" s="449">
        <f t="shared" si="324"/>
        <v>412.34939759036143</v>
      </c>
      <c r="BM370" s="449">
        <f t="shared" si="324"/>
        <v>412.34939759036143</v>
      </c>
      <c r="BN370" s="449">
        <f t="shared" si="324"/>
        <v>412.34939759036143</v>
      </c>
      <c r="BO370" s="449">
        <f t="shared" si="324"/>
        <v>412.34939759036143</v>
      </c>
      <c r="BP370" s="449">
        <f t="shared" si="324"/>
        <v>412.34939759036143</v>
      </c>
      <c r="BQ370" s="449">
        <f t="shared" si="324"/>
        <v>412.34939759036143</v>
      </c>
      <c r="BR370" s="449">
        <f t="shared" si="324"/>
        <v>412.34939759036143</v>
      </c>
      <c r="BS370" s="449">
        <f t="shared" si="324"/>
        <v>412.34939759036143</v>
      </c>
      <c r="BT370" s="449">
        <f t="shared" si="324"/>
        <v>412.34939759036143</v>
      </c>
    </row>
    <row r="371" spans="1:74" ht="15" x14ac:dyDescent="0.25">
      <c r="A371" s="502" t="s">
        <v>623</v>
      </c>
      <c r="B371" s="502" t="s">
        <v>624</v>
      </c>
      <c r="C371" s="538"/>
      <c r="D371" s="500">
        <f>SUM(L371:W371)</f>
        <v>2456</v>
      </c>
      <c r="E371" s="449">
        <v>12456.26</v>
      </c>
      <c r="F371" s="449">
        <f>IFERROR(D371-E371,0)</f>
        <v>-10000.26</v>
      </c>
      <c r="G371" s="421">
        <f>IFERROR(F371/ABS(E371),0)</f>
        <v>-0.80283006295629666</v>
      </c>
      <c r="H371" s="449">
        <v>2456</v>
      </c>
      <c r="I371" s="449">
        <f>IFERROR(D371-H371,0)</f>
        <v>0</v>
      </c>
      <c r="J371" s="426">
        <f>IFERROR(I371/ABS(H371),0)</f>
        <v>0</v>
      </c>
      <c r="K371" s="421"/>
      <c r="L371" s="449">
        <v>0</v>
      </c>
      <c r="M371" s="449">
        <v>0</v>
      </c>
      <c r="N371" s="449">
        <v>0</v>
      </c>
      <c r="O371" s="449">
        <v>0</v>
      </c>
      <c r="P371" s="449">
        <v>0</v>
      </c>
      <c r="Q371" s="449">
        <v>0</v>
      </c>
      <c r="R371" s="449">
        <f>($H371-SUM($L371:Q371))/R$694</f>
        <v>409.33333333333331</v>
      </c>
      <c r="S371" s="449">
        <f>($H371-SUM($L371:R371))/S$694</f>
        <v>409.33333333333337</v>
      </c>
      <c r="T371" s="449">
        <f>($H371-SUM($L371:S371))/T$694</f>
        <v>409.33333333333331</v>
      </c>
      <c r="U371" s="449">
        <f>($H371-SUM($L371:T371))/U$694</f>
        <v>409.33333333333331</v>
      </c>
      <c r="V371" s="449">
        <f>($H371-SUM($L371:U371))/V$694</f>
        <v>409.33333333333337</v>
      </c>
      <c r="W371" s="449">
        <f>($H371-SUM($L371:V371))/W$694</f>
        <v>409.33333333333348</v>
      </c>
      <c r="X371" s="449"/>
      <c r="Y371" s="449">
        <f>SUM(L371:W371)</f>
        <v>2456</v>
      </c>
      <c r="Z371" s="531"/>
      <c r="AA371" s="449">
        <f t="shared" si="322"/>
        <v>204.66666666666666</v>
      </c>
      <c r="AB371" s="449">
        <f t="shared" si="322"/>
        <v>204.66666666666666</v>
      </c>
      <c r="AC371" s="449">
        <f t="shared" si="322"/>
        <v>204.66666666666666</v>
      </c>
      <c r="AD371" s="449">
        <f t="shared" si="322"/>
        <v>204.66666666666666</v>
      </c>
      <c r="AE371" s="449">
        <f t="shared" si="322"/>
        <v>204.66666666666666</v>
      </c>
      <c r="AF371" s="449">
        <f t="shared" si="322"/>
        <v>204.66666666666666</v>
      </c>
      <c r="AG371" s="449">
        <f t="shared" si="322"/>
        <v>204.66666666666666</v>
      </c>
      <c r="AH371" s="449">
        <f t="shared" si="322"/>
        <v>204.66666666666666</v>
      </c>
      <c r="AI371" s="449">
        <f t="shared" si="322"/>
        <v>204.66666666666666</v>
      </c>
      <c r="AJ371" s="449">
        <f t="shared" si="322"/>
        <v>204.66666666666666</v>
      </c>
      <c r="AK371" s="449">
        <f t="shared" si="322"/>
        <v>204.66666666666666</v>
      </c>
      <c r="AL371" s="449">
        <f t="shared" si="322"/>
        <v>204.66666666666666</v>
      </c>
      <c r="AN371" s="500">
        <f>SUM(L371:W371)</f>
        <v>2456</v>
      </c>
      <c r="AO371" s="449">
        <f>SUM(BI371:BT371)</f>
        <v>2700.6136546184739</v>
      </c>
      <c r="AP371" s="449">
        <f>IFERROR(AO371-AN371,0)</f>
        <v>244.6136546184739</v>
      </c>
      <c r="AQ371" s="453">
        <f>IFERROR(AP371/ABS(AN371),"-")</f>
        <v>9.9598393574297187E-2</v>
      </c>
      <c r="AR371" s="449">
        <f>SUM(BI371:BT371)</f>
        <v>2700.6136546184739</v>
      </c>
      <c r="AS371" s="449">
        <f>IFERROR(AO371-AR371,0)</f>
        <v>0</v>
      </c>
      <c r="AT371" s="426">
        <f>IFERROR(AS371/ABS(AR371),0)</f>
        <v>0</v>
      </c>
      <c r="AU371" s="421"/>
      <c r="AV371" s="449">
        <f t="shared" si="323"/>
        <v>225.05113788487282</v>
      </c>
      <c r="AW371" s="449">
        <f t="shared" si="323"/>
        <v>225.05113788487282</v>
      </c>
      <c r="AX371" s="449">
        <f t="shared" si="323"/>
        <v>225.05113788487282</v>
      </c>
      <c r="AY371" s="449">
        <f t="shared" si="323"/>
        <v>225.05113788487282</v>
      </c>
      <c r="AZ371" s="449">
        <f t="shared" si="323"/>
        <v>225.05113788487282</v>
      </c>
      <c r="BA371" s="449">
        <f t="shared" si="323"/>
        <v>225.05113788487282</v>
      </c>
      <c r="BB371" s="449">
        <f t="shared" si="323"/>
        <v>225.05113788487282</v>
      </c>
      <c r="BC371" s="449">
        <f t="shared" si="323"/>
        <v>225.05113788487282</v>
      </c>
      <c r="BD371" s="449">
        <f t="shared" si="323"/>
        <v>225.05113788487282</v>
      </c>
      <c r="BE371" s="449">
        <f t="shared" si="323"/>
        <v>225.05113788487282</v>
      </c>
      <c r="BF371" s="449">
        <f t="shared" si="323"/>
        <v>225.05113788487282</v>
      </c>
      <c r="BG371" s="449">
        <f t="shared" si="323"/>
        <v>225.05113788487282</v>
      </c>
      <c r="BH371" s="400"/>
      <c r="BI371" s="449">
        <f t="shared" si="324"/>
        <v>225.05113788487282</v>
      </c>
      <c r="BJ371" s="449">
        <f t="shared" si="324"/>
        <v>225.05113788487282</v>
      </c>
      <c r="BK371" s="449">
        <f t="shared" si="324"/>
        <v>225.05113788487282</v>
      </c>
      <c r="BL371" s="449">
        <f t="shared" si="324"/>
        <v>225.05113788487282</v>
      </c>
      <c r="BM371" s="449">
        <f t="shared" si="324"/>
        <v>225.05113788487282</v>
      </c>
      <c r="BN371" s="449">
        <f t="shared" si="324"/>
        <v>225.05113788487282</v>
      </c>
      <c r="BO371" s="449">
        <f t="shared" si="324"/>
        <v>225.05113788487282</v>
      </c>
      <c r="BP371" s="449">
        <f t="shared" si="324"/>
        <v>225.05113788487282</v>
      </c>
      <c r="BQ371" s="449">
        <f t="shared" si="324"/>
        <v>225.05113788487282</v>
      </c>
      <c r="BR371" s="449">
        <f t="shared" si="324"/>
        <v>225.05113788487282</v>
      </c>
      <c r="BS371" s="449">
        <f t="shared" si="324"/>
        <v>225.05113788487282</v>
      </c>
      <c r="BT371" s="449">
        <f t="shared" si="324"/>
        <v>225.05113788487282</v>
      </c>
    </row>
    <row r="372" spans="1:74" ht="15" x14ac:dyDescent="0.25">
      <c r="A372" s="502" t="s">
        <v>625</v>
      </c>
      <c r="B372" s="502" t="s">
        <v>626</v>
      </c>
      <c r="C372" s="538"/>
      <c r="D372" s="500">
        <f>SUM(L372:W372)</f>
        <v>5000</v>
      </c>
      <c r="E372" s="449">
        <v>5000</v>
      </c>
      <c r="F372" s="449">
        <f>IFERROR(D372-E372,0)</f>
        <v>0</v>
      </c>
      <c r="G372" s="421">
        <f>IFERROR(F372/ABS(E372),0)</f>
        <v>0</v>
      </c>
      <c r="H372" s="449">
        <v>5000</v>
      </c>
      <c r="I372" s="449">
        <f>IFERROR(D372-H372,0)</f>
        <v>0</v>
      </c>
      <c r="J372" s="426">
        <f>IFERROR(I372/ABS(H372),0)</f>
        <v>0</v>
      </c>
      <c r="K372" s="421"/>
      <c r="L372" s="449">
        <v>0</v>
      </c>
      <c r="M372" s="449">
        <v>0</v>
      </c>
      <c r="N372" s="449">
        <v>0</v>
      </c>
      <c r="O372" s="449">
        <v>0</v>
      </c>
      <c r="P372" s="449">
        <v>0</v>
      </c>
      <c r="Q372" s="449">
        <v>0</v>
      </c>
      <c r="R372" s="449">
        <f>($H372-SUM($L372:Q372))/R$694</f>
        <v>833.33333333333337</v>
      </c>
      <c r="S372" s="449">
        <f>($H372-SUM($L372:R372))/S$694</f>
        <v>833.33333333333337</v>
      </c>
      <c r="T372" s="449">
        <f>($H372-SUM($L372:S372))/T$694</f>
        <v>833.33333333333326</v>
      </c>
      <c r="U372" s="449">
        <f>($H372-SUM($L372:T372))/U$694</f>
        <v>833.33333333333337</v>
      </c>
      <c r="V372" s="449">
        <f>($H372-SUM($L372:U372))/V$694</f>
        <v>833.33333333333326</v>
      </c>
      <c r="W372" s="449">
        <f>($H372-SUM($L372:V372))/W$694</f>
        <v>833.33333333333303</v>
      </c>
      <c r="X372" s="449"/>
      <c r="Y372" s="449">
        <f>SUM(L372:W372)</f>
        <v>5000</v>
      </c>
      <c r="Z372" s="531"/>
      <c r="AA372" s="449">
        <f t="shared" si="322"/>
        <v>416.66666666666669</v>
      </c>
      <c r="AB372" s="449">
        <f t="shared" si="322"/>
        <v>416.66666666666669</v>
      </c>
      <c r="AC372" s="449">
        <f t="shared" si="322"/>
        <v>416.66666666666669</v>
      </c>
      <c r="AD372" s="449">
        <f t="shared" si="322"/>
        <v>416.66666666666669</v>
      </c>
      <c r="AE372" s="449">
        <f t="shared" si="322"/>
        <v>416.66666666666669</v>
      </c>
      <c r="AF372" s="449">
        <f t="shared" si="322"/>
        <v>416.66666666666669</v>
      </c>
      <c r="AG372" s="449">
        <f t="shared" si="322"/>
        <v>416.66666666666669</v>
      </c>
      <c r="AH372" s="449">
        <f t="shared" si="322"/>
        <v>416.66666666666669</v>
      </c>
      <c r="AI372" s="449">
        <f t="shared" si="322"/>
        <v>416.66666666666669</v>
      </c>
      <c r="AJ372" s="449">
        <f t="shared" si="322"/>
        <v>416.66666666666669</v>
      </c>
      <c r="AK372" s="449">
        <f t="shared" si="322"/>
        <v>416.66666666666669</v>
      </c>
      <c r="AL372" s="449">
        <f t="shared" si="322"/>
        <v>416.66666666666669</v>
      </c>
      <c r="AN372" s="500">
        <f>SUM(L372:W372)</f>
        <v>5000</v>
      </c>
      <c r="AO372" s="449">
        <f>SUM(BI372:BT372)</f>
        <v>5000</v>
      </c>
      <c r="AP372" s="449">
        <f>IFERROR(AO372-AN372,0)</f>
        <v>0</v>
      </c>
      <c r="AQ372" s="453">
        <f>IFERROR(AP372/ABS(AN372),"-")</f>
        <v>0</v>
      </c>
      <c r="AR372" s="449">
        <f>SUM(BI372:BT372)</f>
        <v>5000</v>
      </c>
      <c r="AS372" s="449">
        <f>IFERROR(AO372-AR372,0)</f>
        <v>0</v>
      </c>
      <c r="AT372" s="426">
        <f>IFERROR(AS372/ABS(AR372),0)</f>
        <v>0</v>
      </c>
      <c r="AU372" s="421"/>
      <c r="AV372" s="449">
        <f t="shared" si="323"/>
        <v>416.66666666666669</v>
      </c>
      <c r="AW372" s="449">
        <f t="shared" si="323"/>
        <v>416.66666666666669</v>
      </c>
      <c r="AX372" s="449">
        <f t="shared" si="323"/>
        <v>416.66666666666669</v>
      </c>
      <c r="AY372" s="449">
        <f t="shared" si="323"/>
        <v>416.66666666666669</v>
      </c>
      <c r="AZ372" s="449">
        <f t="shared" si="323"/>
        <v>416.66666666666669</v>
      </c>
      <c r="BA372" s="449">
        <f t="shared" si="323"/>
        <v>416.66666666666669</v>
      </c>
      <c r="BB372" s="449">
        <f t="shared" si="323"/>
        <v>416.66666666666669</v>
      </c>
      <c r="BC372" s="449">
        <f t="shared" si="323"/>
        <v>416.66666666666669</v>
      </c>
      <c r="BD372" s="449">
        <f t="shared" si="323"/>
        <v>416.66666666666669</v>
      </c>
      <c r="BE372" s="449">
        <f t="shared" si="323"/>
        <v>416.66666666666669</v>
      </c>
      <c r="BF372" s="449">
        <f t="shared" si="323"/>
        <v>416.66666666666669</v>
      </c>
      <c r="BG372" s="449">
        <f t="shared" si="323"/>
        <v>416.66666666666669</v>
      </c>
      <c r="BH372" s="400"/>
      <c r="BI372" s="449">
        <f t="shared" ref="BI372:BT372" si="325">IFERROR($H372/12,0)</f>
        <v>416.66666666666669</v>
      </c>
      <c r="BJ372" s="449">
        <f t="shared" si="325"/>
        <v>416.66666666666669</v>
      </c>
      <c r="BK372" s="449">
        <f t="shared" si="325"/>
        <v>416.66666666666669</v>
      </c>
      <c r="BL372" s="449">
        <f t="shared" si="325"/>
        <v>416.66666666666669</v>
      </c>
      <c r="BM372" s="449">
        <f t="shared" si="325"/>
        <v>416.66666666666669</v>
      </c>
      <c r="BN372" s="449">
        <f t="shared" si="325"/>
        <v>416.66666666666669</v>
      </c>
      <c r="BO372" s="449">
        <f t="shared" si="325"/>
        <v>416.66666666666669</v>
      </c>
      <c r="BP372" s="449">
        <f t="shared" si="325"/>
        <v>416.66666666666669</v>
      </c>
      <c r="BQ372" s="449">
        <f t="shared" si="325"/>
        <v>416.66666666666669</v>
      </c>
      <c r="BR372" s="449">
        <f t="shared" si="325"/>
        <v>416.66666666666669</v>
      </c>
      <c r="BS372" s="449">
        <f t="shared" si="325"/>
        <v>416.66666666666669</v>
      </c>
      <c r="BT372" s="449">
        <f t="shared" si="325"/>
        <v>416.66666666666669</v>
      </c>
    </row>
    <row r="373" spans="1:74" ht="15" x14ac:dyDescent="0.25">
      <c r="A373" s="502"/>
      <c r="B373" s="502"/>
      <c r="C373" s="538"/>
      <c r="D373" s="500"/>
      <c r="E373" s="449"/>
      <c r="F373" s="449"/>
      <c r="G373" s="421"/>
      <c r="H373" s="449"/>
      <c r="I373" s="449"/>
      <c r="J373" s="426"/>
      <c r="K373" s="421"/>
      <c r="L373" s="449"/>
      <c r="M373" s="449"/>
      <c r="N373" s="449"/>
      <c r="O373" s="449"/>
      <c r="P373" s="449"/>
      <c r="Q373" s="449"/>
      <c r="R373" s="449"/>
      <c r="S373" s="449"/>
      <c r="T373" s="449"/>
      <c r="U373" s="449"/>
      <c r="V373" s="449"/>
      <c r="W373" s="449"/>
      <c r="X373" s="449"/>
      <c r="Y373" s="449"/>
      <c r="Z373" s="531"/>
      <c r="AA373" s="449"/>
      <c r="AB373" s="449"/>
      <c r="AC373" s="449"/>
      <c r="AD373" s="449"/>
      <c r="AE373" s="449"/>
      <c r="AF373" s="449"/>
      <c r="AG373" s="449"/>
      <c r="AH373" s="449"/>
      <c r="AI373" s="449"/>
      <c r="AJ373" s="449"/>
      <c r="AK373" s="449"/>
      <c r="AL373" s="449"/>
      <c r="AN373" s="500"/>
      <c r="AO373" s="449"/>
      <c r="AP373" s="449"/>
      <c r="AQ373" s="453"/>
      <c r="AR373" s="449"/>
      <c r="AS373" s="449"/>
      <c r="AT373" s="426"/>
      <c r="AU373" s="421"/>
      <c r="AV373" s="449"/>
      <c r="AW373" s="449"/>
      <c r="AX373" s="449"/>
      <c r="AY373" s="449"/>
      <c r="AZ373" s="449"/>
      <c r="BA373" s="449"/>
      <c r="BB373" s="449"/>
      <c r="BC373" s="449"/>
      <c r="BD373" s="449"/>
      <c r="BE373" s="449"/>
      <c r="BF373" s="449"/>
      <c r="BG373" s="449"/>
      <c r="BH373" s="531"/>
      <c r="BI373" s="449"/>
      <c r="BJ373" s="449"/>
      <c r="BK373" s="449"/>
      <c r="BL373" s="449"/>
      <c r="BM373" s="449"/>
      <c r="BN373" s="449"/>
      <c r="BO373" s="449"/>
      <c r="BP373" s="449"/>
      <c r="BQ373" s="449"/>
      <c r="BR373" s="449"/>
      <c r="BS373" s="449"/>
      <c r="BT373" s="449"/>
    </row>
    <row r="374" spans="1:74" s="536" customFormat="1" ht="15.75" thickBot="1" x14ac:dyDescent="0.3">
      <c r="A374" s="524"/>
      <c r="B374" s="524" t="s">
        <v>627</v>
      </c>
      <c r="C374" s="535"/>
      <c r="D374" s="532">
        <f>SUM(D370:D373)</f>
        <v>11956</v>
      </c>
      <c r="E374" s="533">
        <f>SUM(E370:E373)</f>
        <v>21956.260000000002</v>
      </c>
      <c r="F374" s="533">
        <f>IFERROR(D374-E374,0)</f>
        <v>-10000.260000000002</v>
      </c>
      <c r="G374" s="520">
        <f>IFERROR(F374/ABS(E374),0)</f>
        <v>-0.45546281561613866</v>
      </c>
      <c r="H374" s="533">
        <f>SUM(H370:H373)</f>
        <v>11956</v>
      </c>
      <c r="I374" s="533">
        <f>IFERROR(D374-H374,0)</f>
        <v>0</v>
      </c>
      <c r="J374" s="521">
        <f>IFERROR(I374/ABS(H374),0)</f>
        <v>0</v>
      </c>
      <c r="K374" s="507"/>
      <c r="L374" s="533">
        <f>SUM(L370:L373)</f>
        <v>0</v>
      </c>
      <c r="M374" s="533">
        <f t="shared" ref="M374:W374" si="326">SUM(M370:M373)</f>
        <v>0</v>
      </c>
      <c r="N374" s="533">
        <f t="shared" si="326"/>
        <v>0</v>
      </c>
      <c r="O374" s="533">
        <f t="shared" si="326"/>
        <v>0</v>
      </c>
      <c r="P374" s="533">
        <f t="shared" si="326"/>
        <v>0</v>
      </c>
      <c r="Q374" s="533">
        <f t="shared" si="326"/>
        <v>0</v>
      </c>
      <c r="R374" s="533">
        <f t="shared" si="326"/>
        <v>1992.6666666666665</v>
      </c>
      <c r="S374" s="533">
        <f t="shared" si="326"/>
        <v>1992.666666666667</v>
      </c>
      <c r="T374" s="533">
        <f t="shared" si="326"/>
        <v>1992.6666666666665</v>
      </c>
      <c r="U374" s="533">
        <f t="shared" si="326"/>
        <v>1992.6666666666665</v>
      </c>
      <c r="V374" s="533">
        <f t="shared" si="326"/>
        <v>1992.6666666666667</v>
      </c>
      <c r="W374" s="533">
        <f t="shared" si="326"/>
        <v>1992.6666666666665</v>
      </c>
      <c r="X374" s="533"/>
      <c r="Y374" s="533">
        <f>SUM(L374:W374)</f>
        <v>11955.999999999998</v>
      </c>
      <c r="Z374" s="508"/>
      <c r="AA374" s="533">
        <f t="shared" ref="AA374:AL374" si="327">SUM(AA370:AA373)</f>
        <v>996.33333333333326</v>
      </c>
      <c r="AB374" s="533">
        <f t="shared" si="327"/>
        <v>996.33333333333326</v>
      </c>
      <c r="AC374" s="533">
        <f t="shared" si="327"/>
        <v>996.33333333333326</v>
      </c>
      <c r="AD374" s="533">
        <f t="shared" si="327"/>
        <v>996.33333333333326</v>
      </c>
      <c r="AE374" s="533">
        <f t="shared" si="327"/>
        <v>996.33333333333326</v>
      </c>
      <c r="AF374" s="533">
        <f t="shared" si="327"/>
        <v>996.33333333333326</v>
      </c>
      <c r="AG374" s="533">
        <f t="shared" si="327"/>
        <v>996.33333333333326</v>
      </c>
      <c r="AH374" s="533">
        <f t="shared" si="327"/>
        <v>996.33333333333326</v>
      </c>
      <c r="AI374" s="533">
        <f t="shared" si="327"/>
        <v>996.33333333333326</v>
      </c>
      <c r="AJ374" s="533">
        <f t="shared" si="327"/>
        <v>996.33333333333326</v>
      </c>
      <c r="AK374" s="533">
        <f t="shared" si="327"/>
        <v>996.33333333333326</v>
      </c>
      <c r="AL374" s="533">
        <f t="shared" si="327"/>
        <v>996.33333333333326</v>
      </c>
      <c r="AN374" s="532">
        <f>SUM(AN370:AN373)</f>
        <v>11956</v>
      </c>
      <c r="AO374" s="533">
        <f>SUM(AO370:AO373)</f>
        <v>12648.806425702811</v>
      </c>
      <c r="AP374" s="533">
        <f>IFERROR(AO374-AN374,0)</f>
        <v>692.80642570281088</v>
      </c>
      <c r="AQ374" s="523">
        <f>IFERROR(AP374/ABS(AN374),"-")</f>
        <v>5.7946338717197295E-2</v>
      </c>
      <c r="AR374" s="533">
        <f>SUM(AR370:AR373)</f>
        <v>12648.806425702811</v>
      </c>
      <c r="AS374" s="533">
        <f>IFERROR(AO374-AR374,0)</f>
        <v>0</v>
      </c>
      <c r="AT374" s="521">
        <f>IFERROR(AS374/ABS(AR374),0)</f>
        <v>0</v>
      </c>
      <c r="AU374" s="507"/>
      <c r="AV374" s="533">
        <f>SUM(AV370:AV373)</f>
        <v>1054.0672021419009</v>
      </c>
      <c r="AW374" s="533">
        <f t="shared" ref="AW374:BG374" si="328">SUM(AW370:AW373)</f>
        <v>1054.0672021419009</v>
      </c>
      <c r="AX374" s="533">
        <f t="shared" si="328"/>
        <v>1054.0672021419009</v>
      </c>
      <c r="AY374" s="533">
        <f t="shared" si="328"/>
        <v>1054.0672021419009</v>
      </c>
      <c r="AZ374" s="533">
        <f t="shared" si="328"/>
        <v>1054.0672021419009</v>
      </c>
      <c r="BA374" s="533">
        <f t="shared" si="328"/>
        <v>1054.0672021419009</v>
      </c>
      <c r="BB374" s="533">
        <f t="shared" si="328"/>
        <v>1054.0672021419009</v>
      </c>
      <c r="BC374" s="533">
        <f t="shared" si="328"/>
        <v>1054.0672021419009</v>
      </c>
      <c r="BD374" s="533">
        <f t="shared" si="328"/>
        <v>1054.0672021419009</v>
      </c>
      <c r="BE374" s="533">
        <f t="shared" si="328"/>
        <v>1054.0672021419009</v>
      </c>
      <c r="BF374" s="533">
        <f t="shared" si="328"/>
        <v>1054.0672021419009</v>
      </c>
      <c r="BG374" s="533">
        <f t="shared" si="328"/>
        <v>1054.0672021419009</v>
      </c>
      <c r="BH374" s="508"/>
      <c r="BI374" s="533">
        <f t="shared" ref="BI374:BT374" si="329">SUM(BI370:BI373)</f>
        <v>1054.0672021419009</v>
      </c>
      <c r="BJ374" s="533">
        <f t="shared" si="329"/>
        <v>1054.0672021419009</v>
      </c>
      <c r="BK374" s="533">
        <f t="shared" si="329"/>
        <v>1054.0672021419009</v>
      </c>
      <c r="BL374" s="533">
        <f t="shared" si="329"/>
        <v>1054.0672021419009</v>
      </c>
      <c r="BM374" s="533">
        <f t="shared" si="329"/>
        <v>1054.0672021419009</v>
      </c>
      <c r="BN374" s="533">
        <f t="shared" si="329"/>
        <v>1054.0672021419009</v>
      </c>
      <c r="BO374" s="533">
        <f t="shared" si="329"/>
        <v>1054.0672021419009</v>
      </c>
      <c r="BP374" s="533">
        <f t="shared" si="329"/>
        <v>1054.0672021419009</v>
      </c>
      <c r="BQ374" s="533">
        <f t="shared" si="329"/>
        <v>1054.0672021419009</v>
      </c>
      <c r="BR374" s="533">
        <f t="shared" si="329"/>
        <v>1054.0672021419009</v>
      </c>
      <c r="BS374" s="533">
        <f t="shared" si="329"/>
        <v>1054.0672021419009</v>
      </c>
      <c r="BT374" s="533">
        <f t="shared" si="329"/>
        <v>1054.0672021419009</v>
      </c>
      <c r="BV374" s="400"/>
    </row>
    <row r="375" spans="1:74" ht="15.75" thickTop="1" x14ac:dyDescent="0.25">
      <c r="A375" s="502"/>
      <c r="B375" s="502"/>
      <c r="C375" s="538"/>
      <c r="D375" s="500"/>
      <c r="E375" s="449"/>
      <c r="F375" s="449"/>
      <c r="G375" s="421"/>
      <c r="H375" s="449"/>
      <c r="I375" s="449"/>
      <c r="J375" s="426"/>
      <c r="K375" s="421"/>
      <c r="L375" s="449"/>
      <c r="M375" s="449"/>
      <c r="N375" s="449"/>
      <c r="O375" s="449"/>
      <c r="P375" s="449"/>
      <c r="Q375" s="449"/>
      <c r="R375" s="449"/>
      <c r="S375" s="449"/>
      <c r="T375" s="449"/>
      <c r="U375" s="449"/>
      <c r="V375" s="449"/>
      <c r="W375" s="449"/>
      <c r="X375" s="449"/>
      <c r="Y375" s="449"/>
      <c r="Z375" s="531"/>
      <c r="AA375" s="449"/>
      <c r="AB375" s="449"/>
      <c r="AC375" s="449"/>
      <c r="AD375" s="449"/>
      <c r="AE375" s="449"/>
      <c r="AF375" s="449"/>
      <c r="AG375" s="449"/>
      <c r="AH375" s="449"/>
      <c r="AI375" s="449"/>
      <c r="AJ375" s="449"/>
      <c r="AK375" s="449"/>
      <c r="AL375" s="449"/>
      <c r="AN375" s="500"/>
      <c r="AO375" s="449"/>
      <c r="AP375" s="449"/>
      <c r="AQ375" s="453"/>
      <c r="AR375" s="449"/>
      <c r="AS375" s="449"/>
      <c r="AT375" s="426"/>
      <c r="AU375" s="421"/>
      <c r="AV375" s="449"/>
      <c r="AW375" s="449"/>
      <c r="AX375" s="449"/>
      <c r="AY375" s="449"/>
      <c r="AZ375" s="449"/>
      <c r="BA375" s="449"/>
      <c r="BB375" s="449"/>
      <c r="BC375" s="449"/>
      <c r="BD375" s="449"/>
      <c r="BE375" s="449"/>
      <c r="BF375" s="449"/>
      <c r="BG375" s="449"/>
      <c r="BH375" s="531"/>
      <c r="BI375" s="449"/>
      <c r="BJ375" s="449"/>
      <c r="BK375" s="449"/>
      <c r="BL375" s="449"/>
      <c r="BM375" s="449"/>
      <c r="BN375" s="449"/>
      <c r="BO375" s="449"/>
      <c r="BP375" s="449"/>
      <c r="BQ375" s="449"/>
      <c r="BR375" s="449"/>
      <c r="BS375" s="449"/>
      <c r="BT375" s="449"/>
    </row>
    <row r="376" spans="1:74" ht="15.75" x14ac:dyDescent="0.25">
      <c r="A376" s="502"/>
      <c r="B376" s="525" t="s">
        <v>628</v>
      </c>
      <c r="C376" s="538"/>
      <c r="D376" s="500"/>
      <c r="E376" s="449"/>
      <c r="F376" s="449"/>
      <c r="G376" s="421"/>
      <c r="H376" s="449"/>
      <c r="I376" s="449"/>
      <c r="J376" s="426"/>
      <c r="K376" s="421"/>
      <c r="L376" s="449"/>
      <c r="M376" s="449"/>
      <c r="N376" s="449"/>
      <c r="O376" s="449"/>
      <c r="P376" s="449"/>
      <c r="Q376" s="449"/>
      <c r="R376" s="449"/>
      <c r="S376" s="449"/>
      <c r="T376" s="449"/>
      <c r="U376" s="449"/>
      <c r="V376" s="449"/>
      <c r="W376" s="449"/>
      <c r="X376" s="449"/>
      <c r="Y376" s="449"/>
      <c r="Z376" s="531"/>
      <c r="AA376" s="449"/>
      <c r="AB376" s="449"/>
      <c r="AC376" s="449"/>
      <c r="AD376" s="449"/>
      <c r="AE376" s="449"/>
      <c r="AF376" s="449"/>
      <c r="AG376" s="449"/>
      <c r="AH376" s="449"/>
      <c r="AI376" s="449"/>
      <c r="AJ376" s="449"/>
      <c r="AK376" s="449"/>
      <c r="AL376" s="449"/>
      <c r="AN376" s="500"/>
      <c r="AO376" s="449"/>
      <c r="AP376" s="449"/>
      <c r="AQ376" s="453"/>
      <c r="AR376" s="449"/>
      <c r="AS376" s="449"/>
      <c r="AT376" s="426"/>
      <c r="AU376" s="421"/>
      <c r="AV376" s="449"/>
      <c r="AW376" s="449"/>
      <c r="AX376" s="449"/>
      <c r="AY376" s="449"/>
      <c r="AZ376" s="449"/>
      <c r="BA376" s="449"/>
      <c r="BB376" s="449"/>
      <c r="BC376" s="449"/>
      <c r="BD376" s="449"/>
      <c r="BE376" s="449"/>
      <c r="BF376" s="449"/>
      <c r="BG376" s="449"/>
      <c r="BH376" s="531"/>
      <c r="BI376" s="449"/>
      <c r="BJ376" s="449"/>
      <c r="BK376" s="449"/>
      <c r="BL376" s="449"/>
      <c r="BM376" s="449"/>
      <c r="BN376" s="449"/>
      <c r="BO376" s="449"/>
      <c r="BP376" s="449"/>
      <c r="BQ376" s="449"/>
      <c r="BR376" s="449"/>
      <c r="BS376" s="449"/>
      <c r="BT376" s="449"/>
    </row>
    <row r="377" spans="1:74" ht="8.25" customHeight="1" x14ac:dyDescent="0.25">
      <c r="A377" s="502"/>
      <c r="B377" s="502"/>
      <c r="C377" s="538"/>
      <c r="D377" s="500"/>
      <c r="E377" s="449"/>
      <c r="F377" s="449"/>
      <c r="G377" s="421"/>
      <c r="H377" s="449"/>
      <c r="I377" s="449"/>
      <c r="J377" s="426"/>
      <c r="K377" s="421"/>
      <c r="L377" s="449"/>
      <c r="M377" s="449"/>
      <c r="N377" s="449"/>
      <c r="O377" s="449"/>
      <c r="P377" s="449"/>
      <c r="Q377" s="449"/>
      <c r="R377" s="449"/>
      <c r="S377" s="449"/>
      <c r="T377" s="449"/>
      <c r="U377" s="449"/>
      <c r="V377" s="449"/>
      <c r="W377" s="449"/>
      <c r="X377" s="449"/>
      <c r="Y377" s="449"/>
      <c r="Z377" s="531"/>
      <c r="AA377" s="449"/>
      <c r="AB377" s="449"/>
      <c r="AC377" s="449"/>
      <c r="AD377" s="449"/>
      <c r="AE377" s="449"/>
      <c r="AF377" s="449"/>
      <c r="AG377" s="449"/>
      <c r="AH377" s="449"/>
      <c r="AI377" s="449"/>
      <c r="AJ377" s="449"/>
      <c r="AK377" s="449"/>
      <c r="AL377" s="449"/>
      <c r="AN377" s="500"/>
      <c r="AO377" s="449"/>
      <c r="AP377" s="449"/>
      <c r="AQ377" s="453"/>
      <c r="AR377" s="449"/>
      <c r="AS377" s="449"/>
      <c r="AT377" s="426"/>
      <c r="AU377" s="421"/>
      <c r="AV377" s="449"/>
      <c r="AW377" s="449"/>
      <c r="AX377" s="449"/>
      <c r="AY377" s="449"/>
      <c r="AZ377" s="449"/>
      <c r="BA377" s="449"/>
      <c r="BB377" s="449"/>
      <c r="BC377" s="449"/>
      <c r="BD377" s="449"/>
      <c r="BE377" s="449"/>
      <c r="BF377" s="449"/>
      <c r="BG377" s="449"/>
      <c r="BH377" s="531"/>
      <c r="BI377" s="449"/>
      <c r="BJ377" s="449"/>
      <c r="BK377" s="449"/>
      <c r="BL377" s="449"/>
      <c r="BM377" s="449"/>
      <c r="BN377" s="449"/>
      <c r="BO377" s="449"/>
      <c r="BP377" s="449"/>
      <c r="BQ377" s="449"/>
      <c r="BR377" s="449"/>
      <c r="BS377" s="449"/>
      <c r="BT377" s="449"/>
    </row>
    <row r="378" spans="1:74" ht="15" x14ac:dyDescent="0.25">
      <c r="A378" s="502" t="s">
        <v>629</v>
      </c>
      <c r="B378" s="502" t="s">
        <v>630</v>
      </c>
      <c r="C378" s="538"/>
      <c r="D378" s="500">
        <f>SUM(L378:W378)</f>
        <v>12056</v>
      </c>
      <c r="E378" s="449">
        <v>12056.25</v>
      </c>
      <c r="F378" s="449">
        <f>IFERROR(D378-E378,0)</f>
        <v>-0.25</v>
      </c>
      <c r="G378" s="421">
        <f>IFERROR(F378/ABS(E378),0)</f>
        <v>-2.0736132711249351E-5</v>
      </c>
      <c r="H378" s="449">
        <v>12056</v>
      </c>
      <c r="I378" s="449">
        <f>IFERROR(D378-H378,0)</f>
        <v>0</v>
      </c>
      <c r="J378" s="426">
        <f>IFERROR(I378/ABS(H378),0)</f>
        <v>0</v>
      </c>
      <c r="K378" s="421"/>
      <c r="L378" s="449">
        <v>0</v>
      </c>
      <c r="M378" s="449">
        <v>0</v>
      </c>
      <c r="N378" s="449">
        <v>0</v>
      </c>
      <c r="O378" s="449">
        <v>0</v>
      </c>
      <c r="P378" s="449">
        <v>0</v>
      </c>
      <c r="Q378" s="449">
        <v>0</v>
      </c>
      <c r="R378" s="449">
        <f>($H378-SUM($L378:Q378))/R$694</f>
        <v>2009.3333333333333</v>
      </c>
      <c r="S378" s="449">
        <f>($H378-SUM($L378:R378))/S$694</f>
        <v>2009.3333333333333</v>
      </c>
      <c r="T378" s="449">
        <f>($H378-SUM($L378:S378))/T$694</f>
        <v>2009.3333333333335</v>
      </c>
      <c r="U378" s="449">
        <f>($H378-SUM($L378:T378))/U$694</f>
        <v>2009.3333333333333</v>
      </c>
      <c r="V378" s="449">
        <f>($H378-SUM($L378:U378))/V$694</f>
        <v>2009.3333333333335</v>
      </c>
      <c r="W378" s="449">
        <f>($H378-SUM($L378:V378))/W$694</f>
        <v>2009.3333333333339</v>
      </c>
      <c r="X378" s="449"/>
      <c r="Y378" s="449">
        <f>SUM(L378:W378)</f>
        <v>12056</v>
      </c>
      <c r="Z378" s="531"/>
      <c r="AA378" s="449">
        <f t="shared" ref="AA378:AL380" si="330">IFERROR($H378/12,0)</f>
        <v>1004.6666666666666</v>
      </c>
      <c r="AB378" s="449">
        <f t="shared" si="330"/>
        <v>1004.6666666666666</v>
      </c>
      <c r="AC378" s="449">
        <f t="shared" si="330"/>
        <v>1004.6666666666666</v>
      </c>
      <c r="AD378" s="449">
        <f t="shared" si="330"/>
        <v>1004.6666666666666</v>
      </c>
      <c r="AE378" s="449">
        <f t="shared" si="330"/>
        <v>1004.6666666666666</v>
      </c>
      <c r="AF378" s="449">
        <f t="shared" si="330"/>
        <v>1004.6666666666666</v>
      </c>
      <c r="AG378" s="449">
        <f t="shared" si="330"/>
        <v>1004.6666666666666</v>
      </c>
      <c r="AH378" s="449">
        <f t="shared" si="330"/>
        <v>1004.6666666666666</v>
      </c>
      <c r="AI378" s="449">
        <f t="shared" si="330"/>
        <v>1004.6666666666666</v>
      </c>
      <c r="AJ378" s="449">
        <f t="shared" si="330"/>
        <v>1004.6666666666666</v>
      </c>
      <c r="AK378" s="449">
        <f t="shared" si="330"/>
        <v>1004.6666666666666</v>
      </c>
      <c r="AL378" s="449">
        <f t="shared" si="330"/>
        <v>1004.6666666666666</v>
      </c>
      <c r="AN378" s="500">
        <f>SUM(L378:W378)</f>
        <v>12056</v>
      </c>
      <c r="AO378" s="449">
        <f>SUM(BI378:BT378)</f>
        <v>12417.680000000002</v>
      </c>
      <c r="AP378" s="449">
        <f>IFERROR(AO378-AN378,0)</f>
        <v>361.68000000000211</v>
      </c>
      <c r="AQ378" s="453">
        <f>IFERROR(AP378/ABS(AN378),"-")</f>
        <v>3.0000000000000176E-2</v>
      </c>
      <c r="AR378" s="449">
        <f>SUM(BI378:BT378)</f>
        <v>12417.680000000002</v>
      </c>
      <c r="AS378" s="449">
        <f>IFERROR(AO378-AR378,0)</f>
        <v>0</v>
      </c>
      <c r="AT378" s="426">
        <f>IFERROR(AS378/ABS(AR378),0)</f>
        <v>0</v>
      </c>
      <c r="AU378" s="421"/>
      <c r="AV378" s="449">
        <f t="shared" ref="AV378:BG380" si="331">BI378</f>
        <v>1034.8066666666666</v>
      </c>
      <c r="AW378" s="449">
        <f t="shared" si="331"/>
        <v>1034.8066666666666</v>
      </c>
      <c r="AX378" s="449">
        <f t="shared" si="331"/>
        <v>1034.8066666666666</v>
      </c>
      <c r="AY378" s="449">
        <f t="shared" si="331"/>
        <v>1034.8066666666666</v>
      </c>
      <c r="AZ378" s="449">
        <f t="shared" si="331"/>
        <v>1034.8066666666666</v>
      </c>
      <c r="BA378" s="449">
        <f t="shared" si="331"/>
        <v>1034.8066666666666</v>
      </c>
      <c r="BB378" s="449">
        <f t="shared" si="331"/>
        <v>1034.8066666666666</v>
      </c>
      <c r="BC378" s="449">
        <f t="shared" si="331"/>
        <v>1034.8066666666666</v>
      </c>
      <c r="BD378" s="449">
        <f t="shared" si="331"/>
        <v>1034.8066666666666</v>
      </c>
      <c r="BE378" s="449">
        <f t="shared" si="331"/>
        <v>1034.8066666666666</v>
      </c>
      <c r="BF378" s="449">
        <f t="shared" si="331"/>
        <v>1034.8066666666666</v>
      </c>
      <c r="BG378" s="449">
        <f t="shared" si="331"/>
        <v>1034.8066666666666</v>
      </c>
      <c r="BH378" s="400"/>
      <c r="BI378" s="449">
        <f t="shared" ref="BI378:BT379" si="332">IFERROR(($H378*1.03)/12,0)</f>
        <v>1034.8066666666666</v>
      </c>
      <c r="BJ378" s="449">
        <f t="shared" si="332"/>
        <v>1034.8066666666666</v>
      </c>
      <c r="BK378" s="449">
        <f t="shared" si="332"/>
        <v>1034.8066666666666</v>
      </c>
      <c r="BL378" s="449">
        <f t="shared" si="332"/>
        <v>1034.8066666666666</v>
      </c>
      <c r="BM378" s="449">
        <f t="shared" si="332"/>
        <v>1034.8066666666666</v>
      </c>
      <c r="BN378" s="449">
        <f t="shared" si="332"/>
        <v>1034.8066666666666</v>
      </c>
      <c r="BO378" s="449">
        <f t="shared" si="332"/>
        <v>1034.8066666666666</v>
      </c>
      <c r="BP378" s="449">
        <f t="shared" si="332"/>
        <v>1034.8066666666666</v>
      </c>
      <c r="BQ378" s="449">
        <f t="shared" si="332"/>
        <v>1034.8066666666666</v>
      </c>
      <c r="BR378" s="449">
        <f t="shared" si="332"/>
        <v>1034.8066666666666</v>
      </c>
      <c r="BS378" s="449">
        <f t="shared" si="332"/>
        <v>1034.8066666666666</v>
      </c>
      <c r="BT378" s="449">
        <f t="shared" si="332"/>
        <v>1034.8066666666666</v>
      </c>
    </row>
    <row r="379" spans="1:74" ht="15" x14ac:dyDescent="0.25">
      <c r="A379" s="502" t="s">
        <v>631</v>
      </c>
      <c r="B379" s="502" t="s">
        <v>632</v>
      </c>
      <c r="C379" s="538"/>
      <c r="D379" s="500">
        <f>SUM(L379:W379)</f>
        <v>12860</v>
      </c>
      <c r="E379" s="449">
        <v>12860</v>
      </c>
      <c r="F379" s="449">
        <f>IFERROR(D379-E379,0)</f>
        <v>0</v>
      </c>
      <c r="G379" s="421">
        <f>IFERROR(F379/ABS(E379),0)</f>
        <v>0</v>
      </c>
      <c r="H379" s="449">
        <v>12860</v>
      </c>
      <c r="I379" s="449">
        <f>IFERROR(D379-H379,0)</f>
        <v>0</v>
      </c>
      <c r="J379" s="426">
        <f>IFERROR(I379/ABS(H379),0)</f>
        <v>0</v>
      </c>
      <c r="K379" s="421"/>
      <c r="L379" s="449">
        <v>0</v>
      </c>
      <c r="M379" s="449">
        <v>2700</v>
      </c>
      <c r="N379" s="449">
        <v>0</v>
      </c>
      <c r="O379" s="449">
        <v>4500</v>
      </c>
      <c r="P379" s="449">
        <v>0</v>
      </c>
      <c r="Q379" s="449">
        <v>1500</v>
      </c>
      <c r="R379" s="449">
        <f>($H379-SUM($L379:Q379))/R$694</f>
        <v>693.33333333333337</v>
      </c>
      <c r="S379" s="449">
        <f>($H379-SUM($L379:R379))/S$694</f>
        <v>693.33333333333326</v>
      </c>
      <c r="T379" s="449">
        <f>($H379-SUM($L379:S379))/T$694</f>
        <v>693.33333333333303</v>
      </c>
      <c r="U379" s="449">
        <f>($H379-SUM($L379:T379))/U$694</f>
        <v>693.33333333333337</v>
      </c>
      <c r="V379" s="449">
        <f>($H379-SUM($L379:U379))/V$694</f>
        <v>693.33333333333303</v>
      </c>
      <c r="W379" s="449">
        <f>($H379-SUM($L379:V379))/W$694</f>
        <v>693.33333333333212</v>
      </c>
      <c r="X379" s="449"/>
      <c r="Y379" s="449">
        <f>SUM(L379:W379)</f>
        <v>12860</v>
      </c>
      <c r="Z379" s="531"/>
      <c r="AA379" s="449">
        <f t="shared" si="330"/>
        <v>1071.6666666666667</v>
      </c>
      <c r="AB379" s="449">
        <f t="shared" si="330"/>
        <v>1071.6666666666667</v>
      </c>
      <c r="AC379" s="449">
        <f t="shared" si="330"/>
        <v>1071.6666666666667</v>
      </c>
      <c r="AD379" s="449">
        <f t="shared" si="330"/>
        <v>1071.6666666666667</v>
      </c>
      <c r="AE379" s="449">
        <f t="shared" si="330"/>
        <v>1071.6666666666667</v>
      </c>
      <c r="AF379" s="449">
        <f t="shared" si="330"/>
        <v>1071.6666666666667</v>
      </c>
      <c r="AG379" s="449">
        <f t="shared" si="330"/>
        <v>1071.6666666666667</v>
      </c>
      <c r="AH379" s="449">
        <f t="shared" si="330"/>
        <v>1071.6666666666667</v>
      </c>
      <c r="AI379" s="449">
        <f t="shared" si="330"/>
        <v>1071.6666666666667</v>
      </c>
      <c r="AJ379" s="449">
        <f t="shared" si="330"/>
        <v>1071.6666666666667</v>
      </c>
      <c r="AK379" s="449">
        <f t="shared" si="330"/>
        <v>1071.6666666666667</v>
      </c>
      <c r="AL379" s="449">
        <f t="shared" si="330"/>
        <v>1071.6666666666667</v>
      </c>
      <c r="AN379" s="500">
        <f>SUM(L379:W379)</f>
        <v>12860</v>
      </c>
      <c r="AO379" s="449">
        <f>SUM(BI379:BT379)</f>
        <v>13245.800000000005</v>
      </c>
      <c r="AP379" s="449">
        <f>IFERROR(AO379-AN379,0)</f>
        <v>385.80000000000473</v>
      </c>
      <c r="AQ379" s="453">
        <f>IFERROR(AP379/ABS(AN379),"-")</f>
        <v>3.0000000000000367E-2</v>
      </c>
      <c r="AR379" s="449">
        <f>SUM(BI379:BT379)</f>
        <v>13245.800000000005</v>
      </c>
      <c r="AS379" s="449">
        <f>IFERROR(AO379-AR379,0)</f>
        <v>0</v>
      </c>
      <c r="AT379" s="426">
        <f>IFERROR(AS379/ABS(AR379),0)</f>
        <v>0</v>
      </c>
      <c r="AU379" s="421"/>
      <c r="AV379" s="449">
        <f t="shared" si="331"/>
        <v>1103.8166666666668</v>
      </c>
      <c r="AW379" s="449">
        <f t="shared" si="331"/>
        <v>1103.8166666666668</v>
      </c>
      <c r="AX379" s="449">
        <f t="shared" si="331"/>
        <v>1103.8166666666668</v>
      </c>
      <c r="AY379" s="449">
        <f t="shared" si="331"/>
        <v>1103.8166666666668</v>
      </c>
      <c r="AZ379" s="449">
        <f t="shared" si="331"/>
        <v>1103.8166666666668</v>
      </c>
      <c r="BA379" s="449">
        <f t="shared" si="331"/>
        <v>1103.8166666666668</v>
      </c>
      <c r="BB379" s="449">
        <f t="shared" si="331"/>
        <v>1103.8166666666668</v>
      </c>
      <c r="BC379" s="449">
        <f t="shared" si="331"/>
        <v>1103.8166666666668</v>
      </c>
      <c r="BD379" s="449">
        <f t="shared" si="331"/>
        <v>1103.8166666666668</v>
      </c>
      <c r="BE379" s="449">
        <f t="shared" si="331"/>
        <v>1103.8166666666668</v>
      </c>
      <c r="BF379" s="449">
        <f t="shared" si="331"/>
        <v>1103.8166666666668</v>
      </c>
      <c r="BG379" s="449">
        <f t="shared" si="331"/>
        <v>1103.8166666666668</v>
      </c>
      <c r="BH379" s="400"/>
      <c r="BI379" s="449">
        <f t="shared" si="332"/>
        <v>1103.8166666666668</v>
      </c>
      <c r="BJ379" s="449">
        <f t="shared" si="332"/>
        <v>1103.8166666666668</v>
      </c>
      <c r="BK379" s="449">
        <f t="shared" si="332"/>
        <v>1103.8166666666668</v>
      </c>
      <c r="BL379" s="449">
        <f t="shared" si="332"/>
        <v>1103.8166666666668</v>
      </c>
      <c r="BM379" s="449">
        <f t="shared" si="332"/>
        <v>1103.8166666666668</v>
      </c>
      <c r="BN379" s="449">
        <f t="shared" si="332"/>
        <v>1103.8166666666668</v>
      </c>
      <c r="BO379" s="449">
        <f t="shared" si="332"/>
        <v>1103.8166666666668</v>
      </c>
      <c r="BP379" s="449">
        <f t="shared" si="332"/>
        <v>1103.8166666666668</v>
      </c>
      <c r="BQ379" s="449">
        <f t="shared" si="332"/>
        <v>1103.8166666666668</v>
      </c>
      <c r="BR379" s="449">
        <f t="shared" si="332"/>
        <v>1103.8166666666668</v>
      </c>
      <c r="BS379" s="449">
        <f t="shared" si="332"/>
        <v>1103.8166666666668</v>
      </c>
      <c r="BT379" s="449">
        <f t="shared" si="332"/>
        <v>1103.8166666666668</v>
      </c>
    </row>
    <row r="380" spans="1:74" ht="15" x14ac:dyDescent="0.25">
      <c r="A380" s="502" t="s">
        <v>633</v>
      </c>
      <c r="B380" s="502" t="s">
        <v>634</v>
      </c>
      <c r="C380" s="538" t="s">
        <v>573</v>
      </c>
      <c r="D380" s="500">
        <f>SUM(L380:W380)</f>
        <v>364226.03</v>
      </c>
      <c r="E380" s="449">
        <v>318198.87728999997</v>
      </c>
      <c r="F380" s="449">
        <f>IFERROR(D380-E380,0)</f>
        <v>46027.152710000053</v>
      </c>
      <c r="G380" s="421">
        <f>IFERROR(F380/ABS(E380),0)</f>
        <v>0.14464901039877601</v>
      </c>
      <c r="H380" s="449">
        <v>364226.03</v>
      </c>
      <c r="I380" s="449">
        <f>IFERROR(D380-H380,0)</f>
        <v>0</v>
      </c>
      <c r="J380" s="426">
        <f>IFERROR(I380/ABS(H380),0)</f>
        <v>0</v>
      </c>
      <c r="K380" s="421"/>
      <c r="L380" s="449">
        <v>23589.62</v>
      </c>
      <c r="M380" s="449">
        <v>44341.919999999998</v>
      </c>
      <c r="N380" s="449">
        <v>34101.64</v>
      </c>
      <c r="O380" s="449">
        <v>33965.770000000019</v>
      </c>
      <c r="P380" s="449">
        <v>33999.739999999991</v>
      </c>
      <c r="Q380" s="449">
        <v>33999.739999999991</v>
      </c>
      <c r="R380" s="449">
        <f>($H380-SUM($L380:Q380))/R$694</f>
        <v>26704.600000000006</v>
      </c>
      <c r="S380" s="449">
        <f>($H380-SUM($L380:R380))/S$694</f>
        <v>26704.600000000006</v>
      </c>
      <c r="T380" s="449">
        <f>($H380-SUM($L380:S380))/T$694</f>
        <v>26704.600000000006</v>
      </c>
      <c r="U380" s="449">
        <f>($H380-SUM($L380:T380))/U$694</f>
        <v>26704.600000000017</v>
      </c>
      <c r="V380" s="449">
        <f>($H380-SUM($L380:U380))/V$694</f>
        <v>26704.600000000006</v>
      </c>
      <c r="W380" s="449">
        <f>($H380-SUM($L380:V380))/W$694</f>
        <v>26704.599999999977</v>
      </c>
      <c r="X380" s="449"/>
      <c r="Y380" s="449">
        <f>SUM(L380:W380)</f>
        <v>364226.03</v>
      </c>
      <c r="Z380" s="531"/>
      <c r="AA380" s="449">
        <f t="shared" si="330"/>
        <v>30352.16916666667</v>
      </c>
      <c r="AB380" s="449">
        <f t="shared" si="330"/>
        <v>30352.16916666667</v>
      </c>
      <c r="AC380" s="449">
        <f t="shared" si="330"/>
        <v>30352.16916666667</v>
      </c>
      <c r="AD380" s="449">
        <f t="shared" si="330"/>
        <v>30352.16916666667</v>
      </c>
      <c r="AE380" s="449">
        <f t="shared" si="330"/>
        <v>30352.16916666667</v>
      </c>
      <c r="AF380" s="449">
        <f t="shared" si="330"/>
        <v>30352.16916666667</v>
      </c>
      <c r="AG380" s="449">
        <f t="shared" si="330"/>
        <v>30352.16916666667</v>
      </c>
      <c r="AH380" s="449">
        <f t="shared" si="330"/>
        <v>30352.16916666667</v>
      </c>
      <c r="AI380" s="449">
        <f t="shared" si="330"/>
        <v>30352.16916666667</v>
      </c>
      <c r="AJ380" s="449">
        <f t="shared" si="330"/>
        <v>30352.16916666667</v>
      </c>
      <c r="AK380" s="449">
        <f t="shared" si="330"/>
        <v>30352.16916666667</v>
      </c>
      <c r="AL380" s="449">
        <f t="shared" si="330"/>
        <v>30352.16916666667</v>
      </c>
      <c r="AN380" s="500">
        <f>SUM(L380:W380)</f>
        <v>364226.03</v>
      </c>
      <c r="AO380" s="449">
        <f>SUM(BI380:BT380)</f>
        <v>360364.62557254912</v>
      </c>
      <c r="AP380" s="449">
        <f>IFERROR(AO380-AN380,0)</f>
        <v>-3861.404427450907</v>
      </c>
      <c r="AQ380" s="453">
        <f>IFERROR(AP380/ABS(AN380),"-")</f>
        <v>-1.0601670691825367E-2</v>
      </c>
      <c r="AR380" s="449">
        <f>SUM(BI380:BT380)</f>
        <v>360364.62557254912</v>
      </c>
      <c r="AS380" s="449">
        <f>IFERROR(AO380-AR380,0)</f>
        <v>0</v>
      </c>
      <c r="AT380" s="426">
        <f>IFERROR(AS380/ABS(AR380),0)</f>
        <v>0</v>
      </c>
      <c r="AU380" s="421"/>
      <c r="AV380" s="449">
        <f t="shared" si="331"/>
        <v>30030.385464379095</v>
      </c>
      <c r="AW380" s="449">
        <f t="shared" si="331"/>
        <v>30030.385464379095</v>
      </c>
      <c r="AX380" s="449">
        <f t="shared" si="331"/>
        <v>30030.385464379095</v>
      </c>
      <c r="AY380" s="449">
        <f t="shared" si="331"/>
        <v>30030.385464379095</v>
      </c>
      <c r="AZ380" s="449">
        <f t="shared" si="331"/>
        <v>30030.385464379095</v>
      </c>
      <c r="BA380" s="449">
        <f t="shared" si="331"/>
        <v>30030.385464379095</v>
      </c>
      <c r="BB380" s="449">
        <f t="shared" si="331"/>
        <v>30030.385464379095</v>
      </c>
      <c r="BC380" s="449">
        <f t="shared" si="331"/>
        <v>30030.385464379095</v>
      </c>
      <c r="BD380" s="449">
        <f t="shared" si="331"/>
        <v>30030.385464379095</v>
      </c>
      <c r="BE380" s="449">
        <f t="shared" si="331"/>
        <v>30030.385464379095</v>
      </c>
      <c r="BF380" s="449">
        <f t="shared" si="331"/>
        <v>30030.385464379095</v>
      </c>
      <c r="BG380" s="449">
        <f t="shared" si="331"/>
        <v>30030.385464379095</v>
      </c>
      <c r="BH380" s="400"/>
      <c r="BI380" s="449">
        <f>0.035*(BI$30+BI$36+BI$39)</f>
        <v>30030.385464379095</v>
      </c>
      <c r="BJ380" s="449">
        <f t="shared" ref="BJ380:BT380" si="333">0.035*(BJ$30+BJ$36+BJ$39)</f>
        <v>30030.385464379095</v>
      </c>
      <c r="BK380" s="449">
        <f t="shared" si="333"/>
        <v>30030.385464379095</v>
      </c>
      <c r="BL380" s="449">
        <f t="shared" si="333"/>
        <v>30030.385464379095</v>
      </c>
      <c r="BM380" s="449">
        <f t="shared" si="333"/>
        <v>30030.385464379095</v>
      </c>
      <c r="BN380" s="449">
        <f t="shared" si="333"/>
        <v>30030.385464379095</v>
      </c>
      <c r="BO380" s="449">
        <f t="shared" si="333"/>
        <v>30030.385464379095</v>
      </c>
      <c r="BP380" s="449">
        <f t="shared" si="333"/>
        <v>30030.385464379095</v>
      </c>
      <c r="BQ380" s="449">
        <f t="shared" si="333"/>
        <v>30030.385464379095</v>
      </c>
      <c r="BR380" s="449">
        <f t="shared" si="333"/>
        <v>30030.385464379095</v>
      </c>
      <c r="BS380" s="449">
        <f t="shared" si="333"/>
        <v>30030.385464379095</v>
      </c>
      <c r="BT380" s="449">
        <f t="shared" si="333"/>
        <v>30030.385464379095</v>
      </c>
    </row>
    <row r="381" spans="1:74" ht="15" x14ac:dyDescent="0.25">
      <c r="A381" s="502"/>
      <c r="B381" s="502"/>
      <c r="C381" s="538"/>
      <c r="D381" s="500"/>
      <c r="E381" s="449"/>
      <c r="F381" s="449"/>
      <c r="G381" s="421"/>
      <c r="H381" s="449"/>
      <c r="I381" s="449"/>
      <c r="J381" s="426"/>
      <c r="K381" s="421"/>
      <c r="L381" s="449"/>
      <c r="M381" s="449"/>
      <c r="N381" s="449"/>
      <c r="O381" s="449"/>
      <c r="P381" s="449"/>
      <c r="Q381" s="449"/>
      <c r="R381" s="449"/>
      <c r="S381" s="449"/>
      <c r="T381" s="449"/>
      <c r="U381" s="449"/>
      <c r="V381" s="449"/>
      <c r="W381" s="449"/>
      <c r="X381" s="449"/>
      <c r="Y381" s="449"/>
      <c r="Z381" s="531"/>
      <c r="AA381" s="449"/>
      <c r="AB381" s="449"/>
      <c r="AC381" s="449"/>
      <c r="AD381" s="449"/>
      <c r="AE381" s="449"/>
      <c r="AF381" s="449"/>
      <c r="AG381" s="449"/>
      <c r="AH381" s="449"/>
      <c r="AI381" s="449"/>
      <c r="AJ381" s="449"/>
      <c r="AK381" s="449"/>
      <c r="AL381" s="449"/>
      <c r="AN381" s="500"/>
      <c r="AO381" s="449"/>
      <c r="AP381" s="449"/>
      <c r="AQ381" s="453"/>
      <c r="AR381" s="449"/>
      <c r="AS381" s="449"/>
      <c r="AT381" s="426"/>
      <c r="AU381" s="421"/>
      <c r="AV381" s="449"/>
      <c r="AW381" s="449"/>
      <c r="AX381" s="449"/>
      <c r="AY381" s="449"/>
      <c r="AZ381" s="449"/>
      <c r="BA381" s="449"/>
      <c r="BB381" s="449"/>
      <c r="BC381" s="449"/>
      <c r="BD381" s="449"/>
      <c r="BE381" s="449"/>
      <c r="BF381" s="449"/>
      <c r="BG381" s="449"/>
      <c r="BH381" s="531"/>
      <c r="BI381" s="449"/>
      <c r="BJ381" s="449"/>
      <c r="BK381" s="449"/>
      <c r="BL381" s="449"/>
      <c r="BM381" s="449"/>
      <c r="BN381" s="449"/>
      <c r="BO381" s="449"/>
      <c r="BP381" s="449"/>
      <c r="BQ381" s="449"/>
      <c r="BR381" s="449"/>
      <c r="BS381" s="449"/>
      <c r="BT381" s="449"/>
    </row>
    <row r="382" spans="1:74" s="536" customFormat="1" ht="15.75" thickBot="1" x14ac:dyDescent="0.3">
      <c r="A382" s="524"/>
      <c r="B382" s="524" t="s">
        <v>635</v>
      </c>
      <c r="C382" s="535"/>
      <c r="D382" s="532">
        <f>SUM(D378:D381)</f>
        <v>389142.03</v>
      </c>
      <c r="E382" s="533">
        <f>SUM(E378:E381)</f>
        <v>343115.12728999997</v>
      </c>
      <c r="F382" s="533">
        <f>IFERROR(D382-E382,0)</f>
        <v>46026.902710000053</v>
      </c>
      <c r="G382" s="520">
        <f>IFERROR(F382/ABS(E382),0)</f>
        <v>0.13414419548776771</v>
      </c>
      <c r="H382" s="533">
        <f>SUM(H378:H381)</f>
        <v>389142.03</v>
      </c>
      <c r="I382" s="533">
        <f>IFERROR(D382-H382,0)</f>
        <v>0</v>
      </c>
      <c r="J382" s="521">
        <f>IFERROR(I382/ABS(H382),0)</f>
        <v>0</v>
      </c>
      <c r="K382" s="507"/>
      <c r="L382" s="533">
        <f>SUM(L378:L381)</f>
        <v>23589.62</v>
      </c>
      <c r="M382" s="533">
        <f t="shared" ref="M382:W382" si="334">SUM(M378:M381)</f>
        <v>47041.919999999998</v>
      </c>
      <c r="N382" s="533">
        <f t="shared" si="334"/>
        <v>34101.64</v>
      </c>
      <c r="O382" s="533">
        <f t="shared" si="334"/>
        <v>38465.770000000019</v>
      </c>
      <c r="P382" s="533">
        <f t="shared" si="334"/>
        <v>33999.739999999991</v>
      </c>
      <c r="Q382" s="533">
        <f t="shared" si="334"/>
        <v>35499.739999999991</v>
      </c>
      <c r="R382" s="533">
        <f t="shared" si="334"/>
        <v>29407.266666666674</v>
      </c>
      <c r="S382" s="533">
        <f t="shared" si="334"/>
        <v>29407.266666666674</v>
      </c>
      <c r="T382" s="533">
        <f t="shared" si="334"/>
        <v>29407.266666666674</v>
      </c>
      <c r="U382" s="533">
        <f t="shared" si="334"/>
        <v>29407.266666666685</v>
      </c>
      <c r="V382" s="533">
        <f t="shared" si="334"/>
        <v>29407.266666666674</v>
      </c>
      <c r="W382" s="533">
        <f t="shared" si="334"/>
        <v>29407.266666666641</v>
      </c>
      <c r="X382" s="533"/>
      <c r="Y382" s="533">
        <f>SUM(L382:W382)</f>
        <v>389142.02999999997</v>
      </c>
      <c r="Z382" s="508"/>
      <c r="AA382" s="533">
        <f t="shared" ref="AA382:AL382" si="335">SUM(AA378:AA381)</f>
        <v>32428.502500000002</v>
      </c>
      <c r="AB382" s="533">
        <f t="shared" si="335"/>
        <v>32428.502500000002</v>
      </c>
      <c r="AC382" s="533">
        <f t="shared" si="335"/>
        <v>32428.502500000002</v>
      </c>
      <c r="AD382" s="533">
        <f t="shared" si="335"/>
        <v>32428.502500000002</v>
      </c>
      <c r="AE382" s="533">
        <f t="shared" si="335"/>
        <v>32428.502500000002</v>
      </c>
      <c r="AF382" s="533">
        <f t="shared" si="335"/>
        <v>32428.502500000002</v>
      </c>
      <c r="AG382" s="533">
        <f t="shared" si="335"/>
        <v>32428.502500000002</v>
      </c>
      <c r="AH382" s="533">
        <f t="shared" si="335"/>
        <v>32428.502500000002</v>
      </c>
      <c r="AI382" s="533">
        <f t="shared" si="335"/>
        <v>32428.502500000002</v>
      </c>
      <c r="AJ382" s="533">
        <f t="shared" si="335"/>
        <v>32428.502500000002</v>
      </c>
      <c r="AK382" s="533">
        <f t="shared" si="335"/>
        <v>32428.502500000002</v>
      </c>
      <c r="AL382" s="533">
        <f t="shared" si="335"/>
        <v>32428.502500000002</v>
      </c>
      <c r="AN382" s="532">
        <f>SUM(AN378:AN381)</f>
        <v>389142.03</v>
      </c>
      <c r="AO382" s="533">
        <f>SUM(AO378:AO381)</f>
        <v>386028.1055725491</v>
      </c>
      <c r="AP382" s="533">
        <f>IFERROR(AO382-AN382,0)</f>
        <v>-3113.9244274509256</v>
      </c>
      <c r="AQ382" s="523">
        <f>IFERROR(AP382/ABS(AN382),"-")</f>
        <v>-8.0020254492965594E-3</v>
      </c>
      <c r="AR382" s="533">
        <f>SUM(AR378:AR381)</f>
        <v>386028.1055725491</v>
      </c>
      <c r="AS382" s="533">
        <f>IFERROR(AO382-AR382,0)</f>
        <v>0</v>
      </c>
      <c r="AT382" s="521">
        <f>IFERROR(AS382/ABS(AR382),0)</f>
        <v>0</v>
      </c>
      <c r="AU382" s="507"/>
      <c r="AV382" s="533">
        <f>SUM(AV378:AV381)</f>
        <v>32169.008797712428</v>
      </c>
      <c r="AW382" s="533">
        <f t="shared" ref="AW382:BG382" si="336">SUM(AW378:AW381)</f>
        <v>32169.008797712428</v>
      </c>
      <c r="AX382" s="533">
        <f t="shared" si="336"/>
        <v>32169.008797712428</v>
      </c>
      <c r="AY382" s="533">
        <f t="shared" si="336"/>
        <v>32169.008797712428</v>
      </c>
      <c r="AZ382" s="533">
        <f t="shared" si="336"/>
        <v>32169.008797712428</v>
      </c>
      <c r="BA382" s="533">
        <f t="shared" si="336"/>
        <v>32169.008797712428</v>
      </c>
      <c r="BB382" s="533">
        <f t="shared" si="336"/>
        <v>32169.008797712428</v>
      </c>
      <c r="BC382" s="533">
        <f t="shared" si="336"/>
        <v>32169.008797712428</v>
      </c>
      <c r="BD382" s="533">
        <f t="shared" si="336"/>
        <v>32169.008797712428</v>
      </c>
      <c r="BE382" s="533">
        <f t="shared" si="336"/>
        <v>32169.008797712428</v>
      </c>
      <c r="BF382" s="533">
        <f t="shared" si="336"/>
        <v>32169.008797712428</v>
      </c>
      <c r="BG382" s="533">
        <f t="shared" si="336"/>
        <v>32169.008797712428</v>
      </c>
      <c r="BH382" s="508"/>
      <c r="BI382" s="533">
        <f t="shared" ref="BI382:BT382" si="337">SUM(BI378:BI381)</f>
        <v>32169.008797712428</v>
      </c>
      <c r="BJ382" s="533">
        <f t="shared" si="337"/>
        <v>32169.008797712428</v>
      </c>
      <c r="BK382" s="533">
        <f t="shared" si="337"/>
        <v>32169.008797712428</v>
      </c>
      <c r="BL382" s="533">
        <f t="shared" si="337"/>
        <v>32169.008797712428</v>
      </c>
      <c r="BM382" s="533">
        <f t="shared" si="337"/>
        <v>32169.008797712428</v>
      </c>
      <c r="BN382" s="533">
        <f t="shared" si="337"/>
        <v>32169.008797712428</v>
      </c>
      <c r="BO382" s="533">
        <f t="shared" si="337"/>
        <v>32169.008797712428</v>
      </c>
      <c r="BP382" s="533">
        <f t="shared" si="337"/>
        <v>32169.008797712428</v>
      </c>
      <c r="BQ382" s="533">
        <f t="shared" si="337"/>
        <v>32169.008797712428</v>
      </c>
      <c r="BR382" s="533">
        <f t="shared" si="337"/>
        <v>32169.008797712428</v>
      </c>
      <c r="BS382" s="533">
        <f t="shared" si="337"/>
        <v>32169.008797712428</v>
      </c>
      <c r="BT382" s="533">
        <f t="shared" si="337"/>
        <v>32169.008797712428</v>
      </c>
      <c r="BV382" s="400"/>
    </row>
    <row r="383" spans="1:74" ht="15.75" thickTop="1" x14ac:dyDescent="0.25">
      <c r="A383" s="502"/>
      <c r="B383" s="502"/>
      <c r="C383" s="538"/>
      <c r="D383" s="500"/>
      <c r="E383" s="449"/>
      <c r="F383" s="449"/>
      <c r="G383" s="421"/>
      <c r="H383" s="449"/>
      <c r="I383" s="449"/>
      <c r="J383" s="426"/>
      <c r="K383" s="421"/>
      <c r="L383" s="449"/>
      <c r="M383" s="449"/>
      <c r="N383" s="449"/>
      <c r="O383" s="449"/>
      <c r="P383" s="449"/>
      <c r="Q383" s="449"/>
      <c r="R383" s="449"/>
      <c r="S383" s="449"/>
      <c r="T383" s="449"/>
      <c r="U383" s="449"/>
      <c r="V383" s="449"/>
      <c r="W383" s="449"/>
      <c r="X383" s="449"/>
      <c r="Y383" s="449"/>
      <c r="Z383" s="531"/>
      <c r="AA383" s="449"/>
      <c r="AB383" s="449"/>
      <c r="AC383" s="449"/>
      <c r="AD383" s="449"/>
      <c r="AE383" s="449"/>
      <c r="AF383" s="449"/>
      <c r="AG383" s="449"/>
      <c r="AH383" s="449"/>
      <c r="AI383" s="449"/>
      <c r="AJ383" s="449"/>
      <c r="AK383" s="449"/>
      <c r="AL383" s="449"/>
      <c r="AN383" s="500"/>
      <c r="AO383" s="449"/>
      <c r="AP383" s="449"/>
      <c r="AQ383" s="453"/>
      <c r="AR383" s="449"/>
      <c r="AS383" s="449"/>
      <c r="AT383" s="426"/>
      <c r="AU383" s="421"/>
      <c r="AV383" s="449"/>
      <c r="AW383" s="449"/>
      <c r="AX383" s="449"/>
      <c r="AY383" s="449"/>
      <c r="AZ383" s="449"/>
      <c r="BA383" s="449"/>
      <c r="BB383" s="449"/>
      <c r="BC383" s="449"/>
      <c r="BD383" s="449"/>
      <c r="BE383" s="449"/>
      <c r="BF383" s="449"/>
      <c r="BG383" s="449"/>
      <c r="BH383" s="531"/>
      <c r="BI383" s="449"/>
      <c r="BJ383" s="449"/>
      <c r="BK383" s="449"/>
      <c r="BL383" s="449"/>
      <c r="BM383" s="449"/>
      <c r="BN383" s="449"/>
      <c r="BO383" s="449"/>
      <c r="BP383" s="449"/>
      <c r="BQ383" s="449"/>
      <c r="BR383" s="449"/>
      <c r="BS383" s="449"/>
      <c r="BT383" s="449"/>
    </row>
    <row r="384" spans="1:74" ht="15.75" x14ac:dyDescent="0.25">
      <c r="A384" s="502"/>
      <c r="B384" s="525" t="s">
        <v>636</v>
      </c>
      <c r="C384" s="538"/>
      <c r="D384" s="500"/>
      <c r="E384" s="449"/>
      <c r="F384" s="449"/>
      <c r="G384" s="421"/>
      <c r="H384" s="449"/>
      <c r="I384" s="449"/>
      <c r="J384" s="426"/>
      <c r="K384" s="421"/>
      <c r="L384" s="449"/>
      <c r="M384" s="449"/>
      <c r="N384" s="449"/>
      <c r="O384" s="449"/>
      <c r="P384" s="449"/>
      <c r="Q384" s="449"/>
      <c r="R384" s="449"/>
      <c r="S384" s="449"/>
      <c r="T384" s="449"/>
      <c r="U384" s="449"/>
      <c r="V384" s="449"/>
      <c r="W384" s="449"/>
      <c r="X384" s="449"/>
      <c r="Y384" s="449"/>
      <c r="Z384" s="531"/>
      <c r="AA384" s="449"/>
      <c r="AB384" s="449"/>
      <c r="AC384" s="449"/>
      <c r="AD384" s="449"/>
      <c r="AE384" s="449"/>
      <c r="AF384" s="449"/>
      <c r="AG384" s="449"/>
      <c r="AH384" s="449"/>
      <c r="AI384" s="449"/>
      <c r="AJ384" s="449"/>
      <c r="AK384" s="449"/>
      <c r="AL384" s="449"/>
      <c r="AN384" s="500"/>
      <c r="AO384" s="449"/>
      <c r="AP384" s="449"/>
      <c r="AQ384" s="453"/>
      <c r="AR384" s="449"/>
      <c r="AS384" s="449"/>
      <c r="AT384" s="426"/>
      <c r="AU384" s="421"/>
      <c r="AV384" s="449"/>
      <c r="AW384" s="449"/>
      <c r="AX384" s="449"/>
      <c r="AY384" s="449"/>
      <c r="AZ384" s="449"/>
      <c r="BA384" s="449"/>
      <c r="BB384" s="449"/>
      <c r="BC384" s="449"/>
      <c r="BD384" s="449"/>
      <c r="BE384" s="449"/>
      <c r="BF384" s="449"/>
      <c r="BG384" s="449"/>
      <c r="BH384" s="531"/>
      <c r="BI384" s="449"/>
      <c r="BJ384" s="449"/>
      <c r="BK384" s="449"/>
      <c r="BL384" s="449"/>
      <c r="BM384" s="449"/>
      <c r="BN384" s="449"/>
      <c r="BO384" s="449"/>
      <c r="BP384" s="449"/>
      <c r="BQ384" s="449"/>
      <c r="BR384" s="449"/>
      <c r="BS384" s="449"/>
      <c r="BT384" s="449"/>
    </row>
    <row r="385" spans="1:72" ht="9" customHeight="1" x14ac:dyDescent="0.25">
      <c r="A385" s="502"/>
      <c r="B385" s="502"/>
      <c r="C385" s="538"/>
      <c r="D385" s="500"/>
      <c r="E385" s="449"/>
      <c r="F385" s="449"/>
      <c r="G385" s="421"/>
      <c r="H385" s="449"/>
      <c r="I385" s="449"/>
      <c r="J385" s="426"/>
      <c r="K385" s="421"/>
      <c r="L385" s="449"/>
      <c r="M385" s="449"/>
      <c r="N385" s="449"/>
      <c r="O385" s="449"/>
      <c r="P385" s="449"/>
      <c r="Q385" s="449"/>
      <c r="R385" s="449"/>
      <c r="S385" s="449"/>
      <c r="T385" s="449"/>
      <c r="U385" s="449"/>
      <c r="V385" s="449"/>
      <c r="W385" s="449"/>
      <c r="X385" s="449"/>
      <c r="Y385" s="449"/>
      <c r="Z385" s="531"/>
      <c r="AA385" s="449"/>
      <c r="AB385" s="449"/>
      <c r="AC385" s="449"/>
      <c r="AD385" s="449"/>
      <c r="AE385" s="449"/>
      <c r="AF385" s="449"/>
      <c r="AG385" s="449"/>
      <c r="AH385" s="449"/>
      <c r="AI385" s="449"/>
      <c r="AJ385" s="449"/>
      <c r="AK385" s="449"/>
      <c r="AL385" s="449"/>
      <c r="AN385" s="500"/>
      <c r="AO385" s="449"/>
      <c r="AP385" s="449"/>
      <c r="AQ385" s="453"/>
      <c r="AR385" s="449"/>
      <c r="AS385" s="449"/>
      <c r="AT385" s="426"/>
      <c r="AU385" s="421"/>
      <c r="AV385" s="449"/>
      <c r="AW385" s="449"/>
      <c r="AX385" s="449"/>
      <c r="AY385" s="449"/>
      <c r="AZ385" s="449"/>
      <c r="BA385" s="449"/>
      <c r="BB385" s="449"/>
      <c r="BC385" s="449"/>
      <c r="BD385" s="449"/>
      <c r="BE385" s="449"/>
      <c r="BF385" s="449"/>
      <c r="BG385" s="449"/>
      <c r="BH385" s="531"/>
      <c r="BI385" s="449"/>
      <c r="BJ385" s="449"/>
      <c r="BK385" s="449"/>
      <c r="BL385" s="449"/>
      <c r="BM385" s="449"/>
      <c r="BN385" s="449"/>
      <c r="BO385" s="449"/>
      <c r="BP385" s="449"/>
      <c r="BQ385" s="449"/>
      <c r="BR385" s="449"/>
      <c r="BS385" s="449"/>
      <c r="BT385" s="449"/>
    </row>
    <row r="386" spans="1:72" ht="15" x14ac:dyDescent="0.25">
      <c r="A386" s="502" t="s">
        <v>637</v>
      </c>
      <c r="B386" s="502" t="s">
        <v>638</v>
      </c>
      <c r="C386" s="630"/>
      <c r="D386" s="500">
        <f t="shared" ref="D386:D455" si="338">SUM(L386:W386)</f>
        <v>98500</v>
      </c>
      <c r="E386" s="449">
        <v>98500</v>
      </c>
      <c r="F386" s="449">
        <f t="shared" ref="F386:F449" si="339">IFERROR(D386-E386,0)</f>
        <v>0</v>
      </c>
      <c r="G386" s="421">
        <f t="shared" ref="G386:G455" si="340">IFERROR(F386/ABS(E386),0)</f>
        <v>0</v>
      </c>
      <c r="H386" s="449">
        <v>98500</v>
      </c>
      <c r="I386" s="449">
        <f t="shared" ref="I386:I455" si="341">IFERROR(D386-H386,0)</f>
        <v>0</v>
      </c>
      <c r="J386" s="426">
        <f t="shared" ref="J386:J455" si="342">IFERROR(I386/ABS(H386),0)</f>
        <v>0</v>
      </c>
      <c r="K386" s="421"/>
      <c r="L386" s="449">
        <v>5682.69</v>
      </c>
      <c r="M386" s="449">
        <v>10986.530000000002</v>
      </c>
      <c r="N386" s="449">
        <v>7955.77</v>
      </c>
      <c r="O386" s="449">
        <v>7576.9199999999983</v>
      </c>
      <c r="P386" s="449">
        <v>7576.9200000000019</v>
      </c>
      <c r="Q386" s="449">
        <v>9471.1500000000015</v>
      </c>
      <c r="R386" s="449">
        <f>($H386-SUM($L386:Q386))/R$694</f>
        <v>8208.3366666666661</v>
      </c>
      <c r="S386" s="449">
        <f>($H386-SUM($L386:R386))/S$694</f>
        <v>8208.3366666666661</v>
      </c>
      <c r="T386" s="449">
        <f>($H386-SUM($L386:S386))/T$694</f>
        <v>8208.3366666666661</v>
      </c>
      <c r="U386" s="449">
        <f>($H386-SUM($L386:T386))/U$694</f>
        <v>8208.3366666666643</v>
      </c>
      <c r="V386" s="449">
        <f>($H386-SUM($L386:U386))/V$694</f>
        <v>8208.3366666666625</v>
      </c>
      <c r="W386" s="449">
        <f>($H386-SUM($L386:V386))/W$694</f>
        <v>8208.3366666666698</v>
      </c>
      <c r="X386" s="449"/>
      <c r="Y386" s="449">
        <f t="shared" ref="Y386:Y455" si="343">SUM(L386:W386)</f>
        <v>98500</v>
      </c>
      <c r="Z386" s="531"/>
      <c r="AA386" s="449">
        <f t="shared" ref="AA386:AL401" si="344">IFERROR($H386/12,0)</f>
        <v>8208.3333333333339</v>
      </c>
      <c r="AB386" s="449">
        <f t="shared" si="344"/>
        <v>8208.3333333333339</v>
      </c>
      <c r="AC386" s="449">
        <f t="shared" si="344"/>
        <v>8208.3333333333339</v>
      </c>
      <c r="AD386" s="449">
        <f t="shared" si="344"/>
        <v>8208.3333333333339</v>
      </c>
      <c r="AE386" s="449">
        <f t="shared" si="344"/>
        <v>8208.3333333333339</v>
      </c>
      <c r="AF386" s="449">
        <f t="shared" si="344"/>
        <v>8208.3333333333339</v>
      </c>
      <c r="AG386" s="449">
        <f t="shared" si="344"/>
        <v>8208.3333333333339</v>
      </c>
      <c r="AH386" s="449">
        <f t="shared" si="344"/>
        <v>8208.3333333333339</v>
      </c>
      <c r="AI386" s="449">
        <f t="shared" si="344"/>
        <v>8208.3333333333339</v>
      </c>
      <c r="AJ386" s="449">
        <f t="shared" si="344"/>
        <v>8208.3333333333339</v>
      </c>
      <c r="AK386" s="449">
        <f t="shared" si="344"/>
        <v>8208.3333333333339</v>
      </c>
      <c r="AL386" s="449">
        <f t="shared" si="344"/>
        <v>8208.3333333333339</v>
      </c>
      <c r="AN386" s="500">
        <f t="shared" ref="AN386:AN425" si="345">SUM(L386:W386)</f>
        <v>98500</v>
      </c>
      <c r="AO386" s="449">
        <f t="shared" ref="AO386:AO455" si="346">SUM(BI386:BT386)</f>
        <v>98499.999999999985</v>
      </c>
      <c r="AP386" s="449">
        <f t="shared" ref="AP386:AP449" si="347">IFERROR(AO386-AN386,0)</f>
        <v>-1.4551915228366852E-11</v>
      </c>
      <c r="AQ386" s="453">
        <f t="shared" ref="AQ386:AQ449" si="348">IFERROR(AP386/ABS(AN386),"-")</f>
        <v>-1.4773517998341981E-16</v>
      </c>
      <c r="AR386" s="449">
        <f t="shared" ref="AR386:AR455" si="349">SUM(BI386:BT386)</f>
        <v>98499.999999999985</v>
      </c>
      <c r="AS386" s="449">
        <f t="shared" ref="AS386:AS449" si="350">IFERROR(AO386-AR386,0)</f>
        <v>0</v>
      </c>
      <c r="AT386" s="426">
        <f t="shared" ref="AT386:AT455" si="351">IFERROR(AS386/ABS(AR386),0)</f>
        <v>0</v>
      </c>
      <c r="AU386" s="421"/>
      <c r="AV386" s="449">
        <f t="shared" ref="AV386:BG407" si="352">BI386</f>
        <v>8208.3333333333339</v>
      </c>
      <c r="AW386" s="449">
        <f t="shared" si="352"/>
        <v>8208.3333333333339</v>
      </c>
      <c r="AX386" s="449">
        <f t="shared" si="352"/>
        <v>8208.3333333333339</v>
      </c>
      <c r="AY386" s="449">
        <f t="shared" si="352"/>
        <v>8208.3333333333339</v>
      </c>
      <c r="AZ386" s="449">
        <f t="shared" si="352"/>
        <v>8208.3333333333339</v>
      </c>
      <c r="BA386" s="449">
        <f t="shared" si="352"/>
        <v>8208.3333333333339</v>
      </c>
      <c r="BB386" s="449">
        <f t="shared" si="352"/>
        <v>8208.3333333333339</v>
      </c>
      <c r="BC386" s="449">
        <f t="shared" si="352"/>
        <v>8208.3333333333339</v>
      </c>
      <c r="BD386" s="449">
        <f t="shared" si="352"/>
        <v>8208.3333333333339</v>
      </c>
      <c r="BE386" s="449">
        <f t="shared" si="352"/>
        <v>8208.3333333333339</v>
      </c>
      <c r="BF386" s="449">
        <f t="shared" si="352"/>
        <v>8208.3333333333339</v>
      </c>
      <c r="BG386" s="449">
        <f t="shared" si="352"/>
        <v>8208.3333333333339</v>
      </c>
      <c r="BH386" s="400"/>
      <c r="BI386" s="449">
        <f>SUM('FY19 Staffing V1-1 (3)'!$P$207)/12</f>
        <v>8208.3333333333339</v>
      </c>
      <c r="BJ386" s="449">
        <f>SUM('FY19 Staffing V1-1 (3)'!$P$207)/12</f>
        <v>8208.3333333333339</v>
      </c>
      <c r="BK386" s="449">
        <f>SUM('FY19 Staffing V1-1 (3)'!$P$207)/12</f>
        <v>8208.3333333333339</v>
      </c>
      <c r="BL386" s="449">
        <f>SUM('FY19 Staffing V1-1 (3)'!$P$207)/12</f>
        <v>8208.3333333333339</v>
      </c>
      <c r="BM386" s="449">
        <f>SUM('FY19 Staffing V1-1 (3)'!$P$207)/12</f>
        <v>8208.3333333333339</v>
      </c>
      <c r="BN386" s="449">
        <f>SUM('FY19 Staffing V1-1 (3)'!$P$207)/12</f>
        <v>8208.3333333333339</v>
      </c>
      <c r="BO386" s="449">
        <f>SUM('FY19 Staffing V1-1 (3)'!$P$207)/12</f>
        <v>8208.3333333333339</v>
      </c>
      <c r="BP386" s="449">
        <f>SUM('FY19 Staffing V1-1 (3)'!$P$207)/12</f>
        <v>8208.3333333333339</v>
      </c>
      <c r="BQ386" s="449">
        <f>SUM('FY19 Staffing V1-1 (3)'!$P$207)/12</f>
        <v>8208.3333333333339</v>
      </c>
      <c r="BR386" s="449">
        <f>SUM('FY19 Staffing V1-1 (3)'!$P$207)/12</f>
        <v>8208.3333333333339</v>
      </c>
      <c r="BS386" s="449">
        <f>SUM('FY19 Staffing V1-1 (3)'!$P$207)/12</f>
        <v>8208.3333333333339</v>
      </c>
      <c r="BT386" s="449">
        <f>SUM('FY19 Staffing V1-1 (3)'!$P$207)/12</f>
        <v>8208.3333333333339</v>
      </c>
    </row>
    <row r="387" spans="1:72" ht="15" x14ac:dyDescent="0.25">
      <c r="A387" s="502" t="s">
        <v>639</v>
      </c>
      <c r="B387" s="502" t="s">
        <v>640</v>
      </c>
      <c r="C387" s="630"/>
      <c r="D387" s="500">
        <f t="shared" si="338"/>
        <v>0</v>
      </c>
      <c r="E387" s="449">
        <v>0</v>
      </c>
      <c r="F387" s="449">
        <f t="shared" si="339"/>
        <v>0</v>
      </c>
      <c r="G387" s="421">
        <f t="shared" si="340"/>
        <v>0</v>
      </c>
      <c r="H387" s="449">
        <v>0</v>
      </c>
      <c r="I387" s="449">
        <f t="shared" si="341"/>
        <v>0</v>
      </c>
      <c r="J387" s="426">
        <f t="shared" si="342"/>
        <v>0</v>
      </c>
      <c r="K387" s="421"/>
      <c r="L387" s="449">
        <v>0</v>
      </c>
      <c r="M387" s="449">
        <v>0</v>
      </c>
      <c r="N387" s="449">
        <v>0</v>
      </c>
      <c r="O387" s="449">
        <v>0</v>
      </c>
      <c r="P387" s="449">
        <v>0</v>
      </c>
      <c r="Q387" s="449">
        <v>0</v>
      </c>
      <c r="R387" s="449">
        <f>($H387-SUM($L387:Q387))/R$694</f>
        <v>0</v>
      </c>
      <c r="S387" s="449">
        <f>($H387-SUM($L387:R387))/S$694</f>
        <v>0</v>
      </c>
      <c r="T387" s="449">
        <f>($H387-SUM($L387:S387))/T$694</f>
        <v>0</v>
      </c>
      <c r="U387" s="449">
        <f>($H387-SUM($L387:T387))/U$694</f>
        <v>0</v>
      </c>
      <c r="V387" s="449">
        <f>($H387-SUM($L387:U387))/V$694</f>
        <v>0</v>
      </c>
      <c r="W387" s="449">
        <f>($H387-SUM($L387:V387))/W$694</f>
        <v>0</v>
      </c>
      <c r="X387" s="449"/>
      <c r="Y387" s="449">
        <f t="shared" si="343"/>
        <v>0</v>
      </c>
      <c r="Z387" s="531"/>
      <c r="AA387" s="449">
        <f t="shared" si="344"/>
        <v>0</v>
      </c>
      <c r="AB387" s="449">
        <f t="shared" si="344"/>
        <v>0</v>
      </c>
      <c r="AC387" s="449">
        <f t="shared" si="344"/>
        <v>0</v>
      </c>
      <c r="AD387" s="449">
        <f t="shared" si="344"/>
        <v>0</v>
      </c>
      <c r="AE387" s="449">
        <f t="shared" si="344"/>
        <v>0</v>
      </c>
      <c r="AF387" s="449">
        <f t="shared" si="344"/>
        <v>0</v>
      </c>
      <c r="AG387" s="449">
        <f t="shared" si="344"/>
        <v>0</v>
      </c>
      <c r="AH387" s="449">
        <f t="shared" si="344"/>
        <v>0</v>
      </c>
      <c r="AI387" s="449">
        <f t="shared" si="344"/>
        <v>0</v>
      </c>
      <c r="AJ387" s="449">
        <f t="shared" si="344"/>
        <v>0</v>
      </c>
      <c r="AK387" s="449">
        <f t="shared" si="344"/>
        <v>0</v>
      </c>
      <c r="AL387" s="449">
        <f t="shared" si="344"/>
        <v>0</v>
      </c>
      <c r="AN387" s="500">
        <f t="shared" si="345"/>
        <v>0</v>
      </c>
      <c r="AO387" s="449">
        <f t="shared" si="346"/>
        <v>3000</v>
      </c>
      <c r="AP387" s="449">
        <f t="shared" si="347"/>
        <v>3000</v>
      </c>
      <c r="AQ387" s="453" t="str">
        <f t="shared" si="348"/>
        <v>-</v>
      </c>
      <c r="AR387" s="449">
        <f t="shared" si="349"/>
        <v>3000</v>
      </c>
      <c r="AS387" s="449">
        <f t="shared" si="350"/>
        <v>0</v>
      </c>
      <c r="AT387" s="426">
        <f t="shared" si="351"/>
        <v>0</v>
      </c>
      <c r="AU387" s="421"/>
      <c r="AV387" s="449">
        <f t="shared" si="352"/>
        <v>0</v>
      </c>
      <c r="AW387" s="449">
        <f t="shared" si="352"/>
        <v>0</v>
      </c>
      <c r="AX387" s="449">
        <f t="shared" si="352"/>
        <v>0</v>
      </c>
      <c r="AY387" s="449">
        <f t="shared" si="352"/>
        <v>3000</v>
      </c>
      <c r="AZ387" s="449">
        <f t="shared" si="352"/>
        <v>0</v>
      </c>
      <c r="BA387" s="449">
        <f t="shared" si="352"/>
        <v>0</v>
      </c>
      <c r="BB387" s="449">
        <f t="shared" si="352"/>
        <v>0</v>
      </c>
      <c r="BC387" s="449">
        <f t="shared" si="352"/>
        <v>0</v>
      </c>
      <c r="BD387" s="449">
        <f t="shared" si="352"/>
        <v>0</v>
      </c>
      <c r="BE387" s="449">
        <f t="shared" si="352"/>
        <v>0</v>
      </c>
      <c r="BF387" s="449">
        <f t="shared" si="352"/>
        <v>0</v>
      </c>
      <c r="BG387" s="449">
        <f t="shared" si="352"/>
        <v>0</v>
      </c>
      <c r="BH387" s="400"/>
      <c r="BI387" s="449">
        <v>0</v>
      </c>
      <c r="BJ387" s="449">
        <v>0</v>
      </c>
      <c r="BK387" s="449">
        <v>0</v>
      </c>
      <c r="BL387" s="449">
        <f>SUM('FY19 Staffing V1-1 (3)'!$J$207)</f>
        <v>3000</v>
      </c>
      <c r="BM387" s="449">
        <v>0</v>
      </c>
      <c r="BN387" s="449">
        <v>0</v>
      </c>
      <c r="BO387" s="449">
        <v>0</v>
      </c>
      <c r="BP387" s="449">
        <v>0</v>
      </c>
      <c r="BQ387" s="449">
        <v>0</v>
      </c>
      <c r="BR387" s="449">
        <v>0</v>
      </c>
      <c r="BS387" s="449">
        <v>0</v>
      </c>
      <c r="BT387" s="449">
        <v>0</v>
      </c>
    </row>
    <row r="388" spans="1:72" ht="15" x14ac:dyDescent="0.25">
      <c r="A388" s="502" t="s">
        <v>641</v>
      </c>
      <c r="B388" s="502" t="s">
        <v>642</v>
      </c>
      <c r="C388" s="541"/>
      <c r="D388" s="500">
        <f t="shared" si="338"/>
        <v>7535</v>
      </c>
      <c r="E388" s="449">
        <v>14157</v>
      </c>
      <c r="F388" s="449">
        <f t="shared" si="339"/>
        <v>-6622</v>
      </c>
      <c r="G388" s="421">
        <f t="shared" si="340"/>
        <v>-0.46775446775446777</v>
      </c>
      <c r="H388" s="449">
        <v>7535</v>
      </c>
      <c r="I388" s="449">
        <f t="shared" si="341"/>
        <v>0</v>
      </c>
      <c r="J388" s="426">
        <f t="shared" si="342"/>
        <v>0</v>
      </c>
      <c r="K388" s="421"/>
      <c r="L388" s="449">
        <v>0</v>
      </c>
      <c r="M388" s="449">
        <v>2291.71</v>
      </c>
      <c r="N388" s="449">
        <v>430.05999999999995</v>
      </c>
      <c r="O388" s="449">
        <v>579.61999999999989</v>
      </c>
      <c r="P388" s="449">
        <v>579.62000000000035</v>
      </c>
      <c r="Q388" s="449">
        <v>724.52999999999975</v>
      </c>
      <c r="R388" s="449">
        <f>($H388-SUM($L388:Q388))/R$694</f>
        <v>488.24333333333334</v>
      </c>
      <c r="S388" s="449">
        <f>($H388-SUM($L388:R388))/S$694</f>
        <v>488.24333333333345</v>
      </c>
      <c r="T388" s="449">
        <f>($H388-SUM($L388:S388))/T$694</f>
        <v>488.24333333333334</v>
      </c>
      <c r="U388" s="449">
        <f>($H388-SUM($L388:T388))/U$694</f>
        <v>488.24333333333317</v>
      </c>
      <c r="V388" s="449">
        <f>($H388-SUM($L388:U388))/V$694</f>
        <v>488.24333333333334</v>
      </c>
      <c r="W388" s="449">
        <f>($H388-SUM($L388:V388))/W$694</f>
        <v>488.24333333333379</v>
      </c>
      <c r="X388" s="449"/>
      <c r="Y388" s="449">
        <f t="shared" si="343"/>
        <v>7535</v>
      </c>
      <c r="Z388" s="531"/>
      <c r="AA388" s="449">
        <f t="shared" si="344"/>
        <v>627.91666666666663</v>
      </c>
      <c r="AB388" s="449">
        <f t="shared" si="344"/>
        <v>627.91666666666663</v>
      </c>
      <c r="AC388" s="449">
        <f t="shared" si="344"/>
        <v>627.91666666666663</v>
      </c>
      <c r="AD388" s="449">
        <f t="shared" si="344"/>
        <v>627.91666666666663</v>
      </c>
      <c r="AE388" s="449">
        <f t="shared" si="344"/>
        <v>627.91666666666663</v>
      </c>
      <c r="AF388" s="449">
        <f t="shared" si="344"/>
        <v>627.91666666666663</v>
      </c>
      <c r="AG388" s="449">
        <f t="shared" si="344"/>
        <v>627.91666666666663</v>
      </c>
      <c r="AH388" s="449">
        <f t="shared" si="344"/>
        <v>627.91666666666663</v>
      </c>
      <c r="AI388" s="449">
        <f t="shared" si="344"/>
        <v>627.91666666666663</v>
      </c>
      <c r="AJ388" s="449">
        <f t="shared" si="344"/>
        <v>627.91666666666663</v>
      </c>
      <c r="AK388" s="449">
        <f t="shared" si="344"/>
        <v>627.91666666666663</v>
      </c>
      <c r="AL388" s="449">
        <f t="shared" si="344"/>
        <v>627.91666666666663</v>
      </c>
      <c r="AN388" s="500">
        <f t="shared" si="345"/>
        <v>7535</v>
      </c>
      <c r="AO388" s="449">
        <f t="shared" si="346"/>
        <v>9156.25</v>
      </c>
      <c r="AP388" s="449">
        <f t="shared" si="347"/>
        <v>1621.25</v>
      </c>
      <c r="AQ388" s="453">
        <f t="shared" si="348"/>
        <v>0.21516257465162575</v>
      </c>
      <c r="AR388" s="449">
        <f t="shared" si="349"/>
        <v>9156.25</v>
      </c>
      <c r="AS388" s="449">
        <f t="shared" si="350"/>
        <v>0</v>
      </c>
      <c r="AT388" s="426">
        <f t="shared" si="351"/>
        <v>0</v>
      </c>
      <c r="AU388" s="421"/>
      <c r="AV388" s="449">
        <f t="shared" si="352"/>
        <v>763.02083333333337</v>
      </c>
      <c r="AW388" s="449">
        <f t="shared" si="352"/>
        <v>763.02083333333337</v>
      </c>
      <c r="AX388" s="449">
        <f t="shared" si="352"/>
        <v>763.02083333333337</v>
      </c>
      <c r="AY388" s="449">
        <f t="shared" si="352"/>
        <v>763.02083333333337</v>
      </c>
      <c r="AZ388" s="449">
        <f t="shared" si="352"/>
        <v>763.02083333333337</v>
      </c>
      <c r="BA388" s="449">
        <f t="shared" si="352"/>
        <v>763.02083333333337</v>
      </c>
      <c r="BB388" s="449">
        <f t="shared" si="352"/>
        <v>763.02083333333337</v>
      </c>
      <c r="BC388" s="449">
        <f t="shared" si="352"/>
        <v>763.02083333333337</v>
      </c>
      <c r="BD388" s="449">
        <f t="shared" si="352"/>
        <v>763.02083333333337</v>
      </c>
      <c r="BE388" s="449">
        <f t="shared" si="352"/>
        <v>763.02083333333337</v>
      </c>
      <c r="BF388" s="449">
        <f t="shared" si="352"/>
        <v>763.02083333333337</v>
      </c>
      <c r="BG388" s="449">
        <f t="shared" si="352"/>
        <v>763.02083333333337</v>
      </c>
      <c r="BH388" s="400"/>
      <c r="BI388" s="449">
        <f>SUM('FY19 Staffing V1-1 (3)'!$Q$207:$R$207,'FY19 Staffing V1-1 (3)'!$T$207:$U$207)/12</f>
        <v>763.02083333333337</v>
      </c>
      <c r="BJ388" s="449">
        <f>SUM('FY19 Staffing V1-1 (3)'!$Q$207:$R$207,'FY19 Staffing V1-1 (3)'!$T$207:$U$207)/12</f>
        <v>763.02083333333337</v>
      </c>
      <c r="BK388" s="449">
        <f>SUM('FY19 Staffing V1-1 (3)'!$Q$207:$R$207,'FY19 Staffing V1-1 (3)'!$T$207:$U$207)/12</f>
        <v>763.02083333333337</v>
      </c>
      <c r="BL388" s="449">
        <f>SUM('FY19 Staffing V1-1 (3)'!$Q$207:$R$207,'FY19 Staffing V1-1 (3)'!$T$207:$U$207)/12</f>
        <v>763.02083333333337</v>
      </c>
      <c r="BM388" s="449">
        <f>SUM('FY19 Staffing V1-1 (3)'!$Q$207:$R$207,'FY19 Staffing V1-1 (3)'!$T$207:$U$207)/12</f>
        <v>763.02083333333337</v>
      </c>
      <c r="BN388" s="449">
        <f>SUM('FY19 Staffing V1-1 (3)'!$Q$207:$R$207,'FY19 Staffing V1-1 (3)'!$T$207:$U$207)/12</f>
        <v>763.02083333333337</v>
      </c>
      <c r="BO388" s="449">
        <f>SUM('FY19 Staffing V1-1 (3)'!$Q$207:$R$207,'FY19 Staffing V1-1 (3)'!$T$207:$U$207)/12</f>
        <v>763.02083333333337</v>
      </c>
      <c r="BP388" s="449">
        <f>SUM('FY19 Staffing V1-1 (3)'!$Q$207:$R$207,'FY19 Staffing V1-1 (3)'!$T$207:$U$207)/12</f>
        <v>763.02083333333337</v>
      </c>
      <c r="BQ388" s="449">
        <f>SUM('FY19 Staffing V1-1 (3)'!$Q$207:$R$207,'FY19 Staffing V1-1 (3)'!$T$207:$U$207)/12</f>
        <v>763.02083333333337</v>
      </c>
      <c r="BR388" s="449">
        <f>SUM('FY19 Staffing V1-1 (3)'!$Q$207:$R$207,'FY19 Staffing V1-1 (3)'!$T$207:$U$207)/12</f>
        <v>763.02083333333337</v>
      </c>
      <c r="BS388" s="449">
        <f>SUM('FY19 Staffing V1-1 (3)'!$Q$207:$R$207,'FY19 Staffing V1-1 (3)'!$T$207:$U$207)/12</f>
        <v>763.02083333333337</v>
      </c>
      <c r="BT388" s="449">
        <f>SUM('FY19 Staffing V1-1 (3)'!$Q$207:$R$207,'FY19 Staffing V1-1 (3)'!$T$207:$U$207)/12</f>
        <v>763.02083333333337</v>
      </c>
    </row>
    <row r="389" spans="1:72" ht="15" x14ac:dyDescent="0.25">
      <c r="A389" s="502" t="s">
        <v>643</v>
      </c>
      <c r="B389" s="502" t="s">
        <v>644</v>
      </c>
      <c r="C389" s="541"/>
      <c r="D389" s="500">
        <f t="shared" si="338"/>
        <v>13167</v>
      </c>
      <c r="E389" s="449">
        <v>4332</v>
      </c>
      <c r="F389" s="449">
        <f t="shared" si="339"/>
        <v>8835</v>
      </c>
      <c r="G389" s="421">
        <f t="shared" si="340"/>
        <v>2.0394736842105261</v>
      </c>
      <c r="H389" s="449">
        <f>4332+6626+2209</f>
        <v>13167</v>
      </c>
      <c r="I389" s="449">
        <f t="shared" si="341"/>
        <v>0</v>
      </c>
      <c r="J389" s="426">
        <f t="shared" si="342"/>
        <v>0</v>
      </c>
      <c r="K389" s="421"/>
      <c r="L389" s="449">
        <v>0</v>
      </c>
      <c r="M389" s="449">
        <v>1067.72</v>
      </c>
      <c r="N389" s="449">
        <v>874.11999999999989</v>
      </c>
      <c r="O389" s="449">
        <v>6282.2999999999993</v>
      </c>
      <c r="P389" s="449">
        <v>1424.92</v>
      </c>
      <c r="Q389" s="449">
        <v>834.52000000000044</v>
      </c>
      <c r="R389" s="449">
        <f>($H389-SUM($L389:Q389))/R$694</f>
        <v>447.23666666666668</v>
      </c>
      <c r="S389" s="449">
        <f>($H389-SUM($L389:R389))/S$694</f>
        <v>447.23666666666685</v>
      </c>
      <c r="T389" s="449">
        <f>($H389-SUM($L389:S389))/T$694</f>
        <v>447.23666666666668</v>
      </c>
      <c r="U389" s="449">
        <f>($H389-SUM($L389:T389))/U$694</f>
        <v>447.23666666666639</v>
      </c>
      <c r="V389" s="449">
        <f>($H389-SUM($L389:U389))/V$694</f>
        <v>447.23666666666668</v>
      </c>
      <c r="W389" s="449">
        <f>($H389-SUM($L389:V389))/W$694</f>
        <v>447.23666666666759</v>
      </c>
      <c r="X389" s="449"/>
      <c r="Y389" s="449">
        <f t="shared" si="343"/>
        <v>13167</v>
      </c>
      <c r="Z389" s="531"/>
      <c r="AA389" s="449">
        <f t="shared" si="344"/>
        <v>1097.25</v>
      </c>
      <c r="AB389" s="449">
        <f t="shared" si="344"/>
        <v>1097.25</v>
      </c>
      <c r="AC389" s="449">
        <f t="shared" si="344"/>
        <v>1097.25</v>
      </c>
      <c r="AD389" s="449">
        <f t="shared" si="344"/>
        <v>1097.25</v>
      </c>
      <c r="AE389" s="449">
        <f t="shared" si="344"/>
        <v>1097.25</v>
      </c>
      <c r="AF389" s="449">
        <f t="shared" si="344"/>
        <v>1097.25</v>
      </c>
      <c r="AG389" s="449">
        <f t="shared" si="344"/>
        <v>1097.25</v>
      </c>
      <c r="AH389" s="449">
        <f t="shared" si="344"/>
        <v>1097.25</v>
      </c>
      <c r="AI389" s="449">
        <f t="shared" si="344"/>
        <v>1097.25</v>
      </c>
      <c r="AJ389" s="449">
        <f t="shared" si="344"/>
        <v>1097.25</v>
      </c>
      <c r="AK389" s="449">
        <f t="shared" si="344"/>
        <v>1097.25</v>
      </c>
      <c r="AL389" s="449">
        <f t="shared" si="344"/>
        <v>1097.25</v>
      </c>
      <c r="AN389" s="500">
        <f t="shared" si="345"/>
        <v>13167</v>
      </c>
      <c r="AO389" s="449">
        <f t="shared" si="346"/>
        <v>15031.100000000004</v>
      </c>
      <c r="AP389" s="449">
        <f t="shared" si="347"/>
        <v>1864.100000000004</v>
      </c>
      <c r="AQ389" s="453">
        <f t="shared" si="348"/>
        <v>0.14157363104731557</v>
      </c>
      <c r="AR389" s="449">
        <f t="shared" si="349"/>
        <v>15031.100000000004</v>
      </c>
      <c r="AS389" s="449">
        <f t="shared" si="350"/>
        <v>0</v>
      </c>
      <c r="AT389" s="426">
        <f t="shared" si="351"/>
        <v>0</v>
      </c>
      <c r="AU389" s="421"/>
      <c r="AV389" s="449">
        <f t="shared" si="352"/>
        <v>1252.5916666666669</v>
      </c>
      <c r="AW389" s="449">
        <f t="shared" si="352"/>
        <v>1252.5916666666669</v>
      </c>
      <c r="AX389" s="449">
        <f t="shared" si="352"/>
        <v>1252.5916666666669</v>
      </c>
      <c r="AY389" s="449">
        <f t="shared" si="352"/>
        <v>1252.5916666666669</v>
      </c>
      <c r="AZ389" s="449">
        <f t="shared" si="352"/>
        <v>1252.5916666666669</v>
      </c>
      <c r="BA389" s="449">
        <f t="shared" si="352"/>
        <v>1252.5916666666669</v>
      </c>
      <c r="BB389" s="449">
        <f t="shared" si="352"/>
        <v>1252.5916666666669</v>
      </c>
      <c r="BC389" s="449">
        <f t="shared" si="352"/>
        <v>1252.5916666666669</v>
      </c>
      <c r="BD389" s="449">
        <f t="shared" si="352"/>
        <v>1252.5916666666669</v>
      </c>
      <c r="BE389" s="449">
        <f t="shared" si="352"/>
        <v>1252.5916666666669</v>
      </c>
      <c r="BF389" s="449">
        <f t="shared" si="352"/>
        <v>1252.5916666666669</v>
      </c>
      <c r="BG389" s="449">
        <f t="shared" si="352"/>
        <v>1252.5916666666669</v>
      </c>
      <c r="BH389" s="400"/>
      <c r="BI389" s="449">
        <f>SUM('FY19 Staffing V1-1 (3)'!$W$207)/12</f>
        <v>1252.5916666666669</v>
      </c>
      <c r="BJ389" s="449">
        <f>SUM('FY19 Staffing V1-1 (3)'!$W$207)/12</f>
        <v>1252.5916666666669</v>
      </c>
      <c r="BK389" s="449">
        <f>SUM('FY19 Staffing V1-1 (3)'!$W$207)/12</f>
        <v>1252.5916666666669</v>
      </c>
      <c r="BL389" s="449">
        <f>SUM('FY19 Staffing V1-1 (3)'!$W$207)/12</f>
        <v>1252.5916666666669</v>
      </c>
      <c r="BM389" s="449">
        <f>SUM('FY19 Staffing V1-1 (3)'!$W$207)/12</f>
        <v>1252.5916666666669</v>
      </c>
      <c r="BN389" s="449">
        <f>SUM('FY19 Staffing V1-1 (3)'!$W$207)/12</f>
        <v>1252.5916666666669</v>
      </c>
      <c r="BO389" s="449">
        <f>SUM('FY19 Staffing V1-1 (3)'!$W$207)/12</f>
        <v>1252.5916666666669</v>
      </c>
      <c r="BP389" s="449">
        <f>SUM('FY19 Staffing V1-1 (3)'!$W$207)/12</f>
        <v>1252.5916666666669</v>
      </c>
      <c r="BQ389" s="449">
        <f>SUM('FY19 Staffing V1-1 (3)'!$W$207)/12</f>
        <v>1252.5916666666669</v>
      </c>
      <c r="BR389" s="449">
        <f>SUM('FY19 Staffing V1-1 (3)'!$W$207)/12</f>
        <v>1252.5916666666669</v>
      </c>
      <c r="BS389" s="449">
        <f>SUM('FY19 Staffing V1-1 (3)'!$W$207)/12</f>
        <v>1252.5916666666669</v>
      </c>
      <c r="BT389" s="449">
        <f>SUM('FY19 Staffing V1-1 (3)'!$W$207)/12</f>
        <v>1252.5916666666669</v>
      </c>
    </row>
    <row r="390" spans="1:72" ht="15" x14ac:dyDescent="0.25">
      <c r="A390" s="502" t="s">
        <v>645</v>
      </c>
      <c r="B390" s="502" t="s">
        <v>646</v>
      </c>
      <c r="C390" s="541"/>
      <c r="D390" s="500">
        <f t="shared" si="338"/>
        <v>3940</v>
      </c>
      <c r="E390" s="449">
        <v>3940</v>
      </c>
      <c r="F390" s="449">
        <f t="shared" si="339"/>
        <v>0</v>
      </c>
      <c r="G390" s="421">
        <f t="shared" si="340"/>
        <v>0</v>
      </c>
      <c r="H390" s="449">
        <v>3940</v>
      </c>
      <c r="I390" s="449">
        <f t="shared" si="341"/>
        <v>0</v>
      </c>
      <c r="J390" s="426">
        <f t="shared" si="342"/>
        <v>0</v>
      </c>
      <c r="K390" s="421"/>
      <c r="L390" s="449">
        <v>0</v>
      </c>
      <c r="M390" s="449">
        <v>666.78</v>
      </c>
      <c r="N390" s="449">
        <v>318.23</v>
      </c>
      <c r="O390" s="449">
        <v>303.07999999999993</v>
      </c>
      <c r="P390" s="449">
        <v>303.08000000000015</v>
      </c>
      <c r="Q390" s="449">
        <v>378.84999999999991</v>
      </c>
      <c r="R390" s="449">
        <f>($H390-SUM($L390:Q390))/R$694</f>
        <v>328.33</v>
      </c>
      <c r="S390" s="449">
        <f>($H390-SUM($L390:R390))/S$694</f>
        <v>328.33000000000004</v>
      </c>
      <c r="T390" s="449">
        <f>($H390-SUM($L390:S390))/T$694</f>
        <v>328.33000000000004</v>
      </c>
      <c r="U390" s="449">
        <f>($H390-SUM($L390:T390))/U$694</f>
        <v>328.3300000000001</v>
      </c>
      <c r="V390" s="449">
        <f>($H390-SUM($L390:U390))/V$694</f>
        <v>328.33000000000015</v>
      </c>
      <c r="W390" s="449">
        <f>($H390-SUM($L390:V390))/W$694</f>
        <v>328.32999999999993</v>
      </c>
      <c r="X390" s="449"/>
      <c r="Y390" s="449">
        <f t="shared" si="343"/>
        <v>3940</v>
      </c>
      <c r="Z390" s="531"/>
      <c r="AA390" s="449">
        <f t="shared" si="344"/>
        <v>328.33333333333331</v>
      </c>
      <c r="AB390" s="449">
        <f t="shared" si="344"/>
        <v>328.33333333333331</v>
      </c>
      <c r="AC390" s="449">
        <f t="shared" si="344"/>
        <v>328.33333333333331</v>
      </c>
      <c r="AD390" s="449">
        <f t="shared" si="344"/>
        <v>328.33333333333331</v>
      </c>
      <c r="AE390" s="449">
        <f t="shared" si="344"/>
        <v>328.33333333333331</v>
      </c>
      <c r="AF390" s="449">
        <f t="shared" si="344"/>
        <v>328.33333333333331</v>
      </c>
      <c r="AG390" s="449">
        <f t="shared" si="344"/>
        <v>328.33333333333331</v>
      </c>
      <c r="AH390" s="449">
        <f t="shared" si="344"/>
        <v>328.33333333333331</v>
      </c>
      <c r="AI390" s="449">
        <f t="shared" si="344"/>
        <v>328.33333333333331</v>
      </c>
      <c r="AJ390" s="449">
        <f t="shared" si="344"/>
        <v>328.33333333333331</v>
      </c>
      <c r="AK390" s="449">
        <f t="shared" si="344"/>
        <v>328.33333333333331</v>
      </c>
      <c r="AL390" s="449">
        <f t="shared" si="344"/>
        <v>328.33333333333331</v>
      </c>
      <c r="AN390" s="500">
        <f t="shared" si="345"/>
        <v>3940</v>
      </c>
      <c r="AO390" s="449">
        <f t="shared" si="346"/>
        <v>3940.0000000000005</v>
      </c>
      <c r="AP390" s="449">
        <f t="shared" si="347"/>
        <v>4.5474735088646412E-13</v>
      </c>
      <c r="AQ390" s="453">
        <f t="shared" si="348"/>
        <v>1.1541810936204674E-16</v>
      </c>
      <c r="AR390" s="449">
        <f t="shared" si="349"/>
        <v>3940.0000000000005</v>
      </c>
      <c r="AS390" s="449">
        <f t="shared" si="350"/>
        <v>0</v>
      </c>
      <c r="AT390" s="426">
        <f t="shared" si="351"/>
        <v>0</v>
      </c>
      <c r="AU390" s="421"/>
      <c r="AV390" s="449">
        <f t="shared" si="352"/>
        <v>328.33333333333331</v>
      </c>
      <c r="AW390" s="449">
        <f t="shared" si="352"/>
        <v>328.33333333333331</v>
      </c>
      <c r="AX390" s="449">
        <f t="shared" si="352"/>
        <v>328.33333333333331</v>
      </c>
      <c r="AY390" s="449">
        <f t="shared" si="352"/>
        <v>328.33333333333331</v>
      </c>
      <c r="AZ390" s="449">
        <f t="shared" si="352"/>
        <v>328.33333333333331</v>
      </c>
      <c r="BA390" s="449">
        <f t="shared" si="352"/>
        <v>328.33333333333331</v>
      </c>
      <c r="BB390" s="449">
        <f t="shared" si="352"/>
        <v>328.33333333333331</v>
      </c>
      <c r="BC390" s="449">
        <f t="shared" si="352"/>
        <v>328.33333333333331</v>
      </c>
      <c r="BD390" s="449">
        <f t="shared" si="352"/>
        <v>328.33333333333331</v>
      </c>
      <c r="BE390" s="449">
        <f t="shared" si="352"/>
        <v>328.33333333333331</v>
      </c>
      <c r="BF390" s="449">
        <f t="shared" si="352"/>
        <v>328.33333333333331</v>
      </c>
      <c r="BG390" s="449">
        <f t="shared" si="352"/>
        <v>328.33333333333331</v>
      </c>
      <c r="BH390" s="400"/>
      <c r="BI390" s="449">
        <f>SUM('FY19 Staffing V1-1 (3)'!$S$207)/12</f>
        <v>328.33333333333331</v>
      </c>
      <c r="BJ390" s="449">
        <f>SUM('FY19 Staffing V1-1 (3)'!$S$207)/12</f>
        <v>328.33333333333331</v>
      </c>
      <c r="BK390" s="449">
        <f>SUM('FY19 Staffing V1-1 (3)'!$S$207)/12</f>
        <v>328.33333333333331</v>
      </c>
      <c r="BL390" s="449">
        <f>SUM('FY19 Staffing V1-1 (3)'!$S$207)/12</f>
        <v>328.33333333333331</v>
      </c>
      <c r="BM390" s="449">
        <f>SUM('FY19 Staffing V1-1 (3)'!$S$207)/12</f>
        <v>328.33333333333331</v>
      </c>
      <c r="BN390" s="449">
        <f>SUM('FY19 Staffing V1-1 (3)'!$S$207)/12</f>
        <v>328.33333333333331</v>
      </c>
      <c r="BO390" s="449">
        <f>SUM('FY19 Staffing V1-1 (3)'!$S$207)/12</f>
        <v>328.33333333333331</v>
      </c>
      <c r="BP390" s="449">
        <f>SUM('FY19 Staffing V1-1 (3)'!$S$207)/12</f>
        <v>328.33333333333331</v>
      </c>
      <c r="BQ390" s="449">
        <f>SUM('FY19 Staffing V1-1 (3)'!$S$207)/12</f>
        <v>328.33333333333331</v>
      </c>
      <c r="BR390" s="449">
        <f>SUM('FY19 Staffing V1-1 (3)'!$S$207)/12</f>
        <v>328.33333333333331</v>
      </c>
      <c r="BS390" s="449">
        <f>SUM('FY19 Staffing V1-1 (3)'!$S$207)/12</f>
        <v>328.33333333333331</v>
      </c>
      <c r="BT390" s="449">
        <f>SUM('FY19 Staffing V1-1 (3)'!$S$207)/12</f>
        <v>328.33333333333331</v>
      </c>
    </row>
    <row r="391" spans="1:72" ht="15" x14ac:dyDescent="0.25">
      <c r="A391" s="502" t="s">
        <v>647</v>
      </c>
      <c r="B391" s="502" t="s">
        <v>648</v>
      </c>
      <c r="C391" s="630"/>
      <c r="D391" s="500">
        <f t="shared" si="338"/>
        <v>63750</v>
      </c>
      <c r="E391" s="449">
        <v>64298</v>
      </c>
      <c r="F391" s="449">
        <f t="shared" si="339"/>
        <v>-548</v>
      </c>
      <c r="G391" s="421">
        <f t="shared" si="340"/>
        <v>-8.5228156396777513E-3</v>
      </c>
      <c r="H391" s="449">
        <v>63750</v>
      </c>
      <c r="I391" s="449">
        <f t="shared" si="341"/>
        <v>0</v>
      </c>
      <c r="J391" s="426">
        <f t="shared" si="342"/>
        <v>0</v>
      </c>
      <c r="K391" s="421"/>
      <c r="L391" s="449">
        <v>4903.84</v>
      </c>
      <c r="M391" s="449">
        <v>9480.77</v>
      </c>
      <c r="N391" s="449">
        <v>6865.380000000001</v>
      </c>
      <c r="O391" s="449">
        <v>6538.4599999999991</v>
      </c>
      <c r="P391" s="449">
        <v>-2043.2674999999981</v>
      </c>
      <c r="Q391" s="449">
        <v>16754.807499999995</v>
      </c>
      <c r="R391" s="449">
        <f>($H391-SUM($L391:Q391))/R$694</f>
        <v>3541.6683333333335</v>
      </c>
      <c r="S391" s="449">
        <f>($H391-SUM($L391:R391))/S$694</f>
        <v>3541.6683333333335</v>
      </c>
      <c r="T391" s="449">
        <f>($H391-SUM($L391:S391))/T$694</f>
        <v>3541.6683333333331</v>
      </c>
      <c r="U391" s="449">
        <f>($H391-SUM($L391:T391))/U$694</f>
        <v>3541.6683333333326</v>
      </c>
      <c r="V391" s="449">
        <f>($H391-SUM($L391:U391))/V$694</f>
        <v>3541.6683333333312</v>
      </c>
      <c r="W391" s="449">
        <f>($H391-SUM($L391:V391))/W$694</f>
        <v>3541.6683333333349</v>
      </c>
      <c r="X391" s="449"/>
      <c r="Y391" s="449">
        <f t="shared" si="343"/>
        <v>63750</v>
      </c>
      <c r="Z391" s="531"/>
      <c r="AA391" s="449">
        <f t="shared" si="344"/>
        <v>5312.5</v>
      </c>
      <c r="AB391" s="449">
        <f t="shared" si="344"/>
        <v>5312.5</v>
      </c>
      <c r="AC391" s="449">
        <f t="shared" si="344"/>
        <v>5312.5</v>
      </c>
      <c r="AD391" s="449">
        <f t="shared" si="344"/>
        <v>5312.5</v>
      </c>
      <c r="AE391" s="449">
        <f t="shared" si="344"/>
        <v>5312.5</v>
      </c>
      <c r="AF391" s="449">
        <f t="shared" si="344"/>
        <v>5312.5</v>
      </c>
      <c r="AG391" s="449">
        <f t="shared" si="344"/>
        <v>5312.5</v>
      </c>
      <c r="AH391" s="449">
        <f t="shared" si="344"/>
        <v>5312.5</v>
      </c>
      <c r="AI391" s="449">
        <f t="shared" si="344"/>
        <v>5312.5</v>
      </c>
      <c r="AJ391" s="449">
        <f t="shared" si="344"/>
        <v>5312.5</v>
      </c>
      <c r="AK391" s="449">
        <f t="shared" si="344"/>
        <v>5312.5</v>
      </c>
      <c r="AL391" s="449">
        <f t="shared" si="344"/>
        <v>5312.5</v>
      </c>
      <c r="AN391" s="500">
        <f t="shared" si="345"/>
        <v>63750</v>
      </c>
      <c r="AO391" s="449">
        <f t="shared" si="346"/>
        <v>52530</v>
      </c>
      <c r="AP391" s="449">
        <f t="shared" si="347"/>
        <v>-11220</v>
      </c>
      <c r="AQ391" s="453">
        <f t="shared" si="348"/>
        <v>-0.17599999999999999</v>
      </c>
      <c r="AR391" s="449">
        <f t="shared" si="349"/>
        <v>52530</v>
      </c>
      <c r="AS391" s="449">
        <f t="shared" si="350"/>
        <v>0</v>
      </c>
      <c r="AT391" s="426">
        <f t="shared" si="351"/>
        <v>0</v>
      </c>
      <c r="AU391" s="421"/>
      <c r="AV391" s="449">
        <f t="shared" si="352"/>
        <v>4377.5</v>
      </c>
      <c r="AW391" s="449">
        <f t="shared" si="352"/>
        <v>4377.5</v>
      </c>
      <c r="AX391" s="449">
        <f t="shared" si="352"/>
        <v>4377.5</v>
      </c>
      <c r="AY391" s="449">
        <f t="shared" si="352"/>
        <v>4377.5</v>
      </c>
      <c r="AZ391" s="449">
        <f t="shared" si="352"/>
        <v>4377.5</v>
      </c>
      <c r="BA391" s="449">
        <f t="shared" si="352"/>
        <v>4377.5</v>
      </c>
      <c r="BB391" s="449">
        <f t="shared" si="352"/>
        <v>4377.5</v>
      </c>
      <c r="BC391" s="449">
        <f t="shared" si="352"/>
        <v>4377.5</v>
      </c>
      <c r="BD391" s="449">
        <f t="shared" si="352"/>
        <v>4377.5</v>
      </c>
      <c r="BE391" s="449">
        <f t="shared" si="352"/>
        <v>4377.5</v>
      </c>
      <c r="BF391" s="449">
        <f t="shared" si="352"/>
        <v>4377.5</v>
      </c>
      <c r="BG391" s="449">
        <f t="shared" si="352"/>
        <v>4377.5</v>
      </c>
      <c r="BH391" s="400"/>
      <c r="BI391" s="449">
        <f>SUM('FY19 Staffing V1-1 (3)'!$P$286)/12</f>
        <v>4377.5</v>
      </c>
      <c r="BJ391" s="449">
        <f>SUM('FY19 Staffing V1-1 (3)'!$P$286)/12</f>
        <v>4377.5</v>
      </c>
      <c r="BK391" s="449">
        <f>SUM('FY19 Staffing V1-1 (3)'!$P$286)/12</f>
        <v>4377.5</v>
      </c>
      <c r="BL391" s="449">
        <f>SUM('FY19 Staffing V1-1 (3)'!$P$286)/12</f>
        <v>4377.5</v>
      </c>
      <c r="BM391" s="449">
        <f>SUM('FY19 Staffing V1-1 (3)'!$P$286)/12</f>
        <v>4377.5</v>
      </c>
      <c r="BN391" s="449">
        <f>SUM('FY19 Staffing V1-1 (3)'!$P$286)/12</f>
        <v>4377.5</v>
      </c>
      <c r="BO391" s="449">
        <f>SUM('FY19 Staffing V1-1 (3)'!$P$286)/12</f>
        <v>4377.5</v>
      </c>
      <c r="BP391" s="449">
        <f>SUM('FY19 Staffing V1-1 (3)'!$P$286)/12</f>
        <v>4377.5</v>
      </c>
      <c r="BQ391" s="449">
        <f>SUM('FY19 Staffing V1-1 (3)'!$P$286)/12</f>
        <v>4377.5</v>
      </c>
      <c r="BR391" s="449">
        <f>SUM('FY19 Staffing V1-1 (3)'!$P$286)/12</f>
        <v>4377.5</v>
      </c>
      <c r="BS391" s="449">
        <f>SUM('FY19 Staffing V1-1 (3)'!$P$286)/12</f>
        <v>4377.5</v>
      </c>
      <c r="BT391" s="449">
        <f>SUM('FY19 Staffing V1-1 (3)'!$P$286)/12</f>
        <v>4377.5</v>
      </c>
    </row>
    <row r="392" spans="1:72" ht="15" x14ac:dyDescent="0.25">
      <c r="A392" s="502" t="s">
        <v>649</v>
      </c>
      <c r="B392" s="502" t="s">
        <v>650</v>
      </c>
      <c r="C392" s="630"/>
      <c r="D392" s="500">
        <f t="shared" si="338"/>
        <v>21250</v>
      </c>
      <c r="E392" s="449">
        <v>21433</v>
      </c>
      <c r="F392" s="449">
        <f t="shared" si="339"/>
        <v>-183</v>
      </c>
      <c r="G392" s="421">
        <f t="shared" si="340"/>
        <v>-8.5382354313441895E-3</v>
      </c>
      <c r="H392" s="449">
        <v>21250</v>
      </c>
      <c r="I392" s="449">
        <f t="shared" si="341"/>
        <v>0</v>
      </c>
      <c r="J392" s="426">
        <f t="shared" si="342"/>
        <v>0</v>
      </c>
      <c r="K392" s="421"/>
      <c r="L392" s="449">
        <v>0</v>
      </c>
      <c r="M392" s="449">
        <v>0</v>
      </c>
      <c r="N392" s="449">
        <v>0</v>
      </c>
      <c r="O392" s="449">
        <v>0</v>
      </c>
      <c r="P392" s="449">
        <v>8581.7275000000009</v>
      </c>
      <c r="Q392" s="449">
        <v>-8581.7275000000009</v>
      </c>
      <c r="R392" s="449">
        <f>($H392-SUM($L392:Q392))/R$694</f>
        <v>3541.6666666666665</v>
      </c>
      <c r="S392" s="449">
        <f>($H392-SUM($L392:R392))/S$694</f>
        <v>3541.6666666666665</v>
      </c>
      <c r="T392" s="449">
        <f>($H392-SUM($L392:S392))/T$694</f>
        <v>3541.666666666667</v>
      </c>
      <c r="U392" s="449">
        <f>($H392-SUM($L392:T392))/U$694</f>
        <v>3541.6666666666665</v>
      </c>
      <c r="V392" s="449">
        <f>($H392-SUM($L392:U392))/V$694</f>
        <v>3541.666666666667</v>
      </c>
      <c r="W392" s="449">
        <f>($H392-SUM($L392:V392))/W$694</f>
        <v>3541.6666666666679</v>
      </c>
      <c r="X392" s="449"/>
      <c r="Y392" s="449">
        <f t="shared" si="343"/>
        <v>21250</v>
      </c>
      <c r="Z392" s="531"/>
      <c r="AA392" s="449">
        <f t="shared" si="344"/>
        <v>1770.8333333333333</v>
      </c>
      <c r="AB392" s="449">
        <f t="shared" si="344"/>
        <v>1770.8333333333333</v>
      </c>
      <c r="AC392" s="449">
        <f t="shared" si="344"/>
        <v>1770.8333333333333</v>
      </c>
      <c r="AD392" s="449">
        <f t="shared" si="344"/>
        <v>1770.8333333333333</v>
      </c>
      <c r="AE392" s="449">
        <f t="shared" si="344"/>
        <v>1770.8333333333333</v>
      </c>
      <c r="AF392" s="449">
        <f t="shared" si="344"/>
        <v>1770.8333333333333</v>
      </c>
      <c r="AG392" s="449">
        <f t="shared" si="344"/>
        <v>1770.8333333333333</v>
      </c>
      <c r="AH392" s="449">
        <f t="shared" si="344"/>
        <v>1770.8333333333333</v>
      </c>
      <c r="AI392" s="449">
        <f t="shared" si="344"/>
        <v>1770.8333333333333</v>
      </c>
      <c r="AJ392" s="449">
        <f t="shared" si="344"/>
        <v>1770.8333333333333</v>
      </c>
      <c r="AK392" s="449">
        <f t="shared" si="344"/>
        <v>1770.8333333333333</v>
      </c>
      <c r="AL392" s="449">
        <f t="shared" si="344"/>
        <v>1770.8333333333333</v>
      </c>
      <c r="AN392" s="500">
        <f t="shared" si="345"/>
        <v>21250</v>
      </c>
      <c r="AO392" s="449">
        <f t="shared" si="346"/>
        <v>35019.999999999993</v>
      </c>
      <c r="AP392" s="449">
        <f t="shared" si="347"/>
        <v>13769.999999999993</v>
      </c>
      <c r="AQ392" s="453">
        <f t="shared" si="348"/>
        <v>0.64799999999999969</v>
      </c>
      <c r="AR392" s="449">
        <f t="shared" si="349"/>
        <v>35019.999999999993</v>
      </c>
      <c r="AS392" s="449">
        <f t="shared" si="350"/>
        <v>0</v>
      </c>
      <c r="AT392" s="426">
        <f t="shared" si="351"/>
        <v>0</v>
      </c>
      <c r="AU392" s="421"/>
      <c r="AV392" s="449">
        <f t="shared" si="352"/>
        <v>2918.3333333333335</v>
      </c>
      <c r="AW392" s="449">
        <f t="shared" si="352"/>
        <v>2918.3333333333335</v>
      </c>
      <c r="AX392" s="449">
        <f t="shared" si="352"/>
        <v>2918.3333333333335</v>
      </c>
      <c r="AY392" s="449">
        <f t="shared" si="352"/>
        <v>2918.3333333333335</v>
      </c>
      <c r="AZ392" s="449">
        <f t="shared" si="352"/>
        <v>2918.3333333333335</v>
      </c>
      <c r="BA392" s="449">
        <f t="shared" si="352"/>
        <v>2918.3333333333335</v>
      </c>
      <c r="BB392" s="449">
        <f t="shared" si="352"/>
        <v>2918.3333333333335</v>
      </c>
      <c r="BC392" s="449">
        <f t="shared" si="352"/>
        <v>2918.3333333333335</v>
      </c>
      <c r="BD392" s="449">
        <f t="shared" si="352"/>
        <v>2918.3333333333335</v>
      </c>
      <c r="BE392" s="449">
        <f t="shared" si="352"/>
        <v>2918.3333333333335</v>
      </c>
      <c r="BF392" s="449">
        <f t="shared" si="352"/>
        <v>2918.3333333333335</v>
      </c>
      <c r="BG392" s="449">
        <f t="shared" si="352"/>
        <v>2918.3333333333335</v>
      </c>
      <c r="BH392" s="400"/>
      <c r="BI392" s="449">
        <f>SUM('FY19 Staffing V1-1 (3)'!$P$287)/12</f>
        <v>2918.3333333333335</v>
      </c>
      <c r="BJ392" s="449">
        <f>SUM('FY19 Staffing V1-1 (3)'!$P$287)/12</f>
        <v>2918.3333333333335</v>
      </c>
      <c r="BK392" s="449">
        <f>SUM('FY19 Staffing V1-1 (3)'!$P$287)/12</f>
        <v>2918.3333333333335</v>
      </c>
      <c r="BL392" s="449">
        <f>SUM('FY19 Staffing V1-1 (3)'!$P$287)/12</f>
        <v>2918.3333333333335</v>
      </c>
      <c r="BM392" s="449">
        <f>SUM('FY19 Staffing V1-1 (3)'!$P$287)/12</f>
        <v>2918.3333333333335</v>
      </c>
      <c r="BN392" s="449">
        <f>SUM('FY19 Staffing V1-1 (3)'!$P$287)/12</f>
        <v>2918.3333333333335</v>
      </c>
      <c r="BO392" s="449">
        <f>SUM('FY19 Staffing V1-1 (3)'!$P$287)/12</f>
        <v>2918.3333333333335</v>
      </c>
      <c r="BP392" s="449">
        <f>SUM('FY19 Staffing V1-1 (3)'!$P$287)/12</f>
        <v>2918.3333333333335</v>
      </c>
      <c r="BQ392" s="449">
        <f>SUM('FY19 Staffing V1-1 (3)'!$P$287)/12</f>
        <v>2918.3333333333335</v>
      </c>
      <c r="BR392" s="449">
        <f>SUM('FY19 Staffing V1-1 (3)'!$P$287)/12</f>
        <v>2918.3333333333335</v>
      </c>
      <c r="BS392" s="449">
        <f>SUM('FY19 Staffing V1-1 (3)'!$P$287)/12</f>
        <v>2918.3333333333335</v>
      </c>
      <c r="BT392" s="449">
        <f>SUM('FY19 Staffing V1-1 (3)'!$P$287)/12</f>
        <v>2918.3333333333335</v>
      </c>
    </row>
    <row r="393" spans="1:72" ht="15" x14ac:dyDescent="0.25">
      <c r="A393" s="537" t="s">
        <v>651</v>
      </c>
      <c r="B393" s="537" t="s">
        <v>652</v>
      </c>
      <c r="C393" s="630"/>
      <c r="D393" s="500">
        <f t="shared" si="338"/>
        <v>0</v>
      </c>
      <c r="E393" s="449">
        <v>0</v>
      </c>
      <c r="F393" s="449">
        <f t="shared" si="339"/>
        <v>0</v>
      </c>
      <c r="G393" s="421">
        <f t="shared" si="340"/>
        <v>0</v>
      </c>
      <c r="H393" s="449">
        <v>0</v>
      </c>
      <c r="I393" s="449">
        <f t="shared" si="341"/>
        <v>0</v>
      </c>
      <c r="J393" s="426">
        <f t="shared" si="342"/>
        <v>0</v>
      </c>
      <c r="K393" s="421"/>
      <c r="L393" s="449">
        <v>0</v>
      </c>
      <c r="M393" s="449">
        <v>0</v>
      </c>
      <c r="N393" s="449">
        <v>0</v>
      </c>
      <c r="O393" s="449">
        <v>0</v>
      </c>
      <c r="P393" s="449">
        <v>0</v>
      </c>
      <c r="Q393" s="449">
        <v>0</v>
      </c>
      <c r="R393" s="449">
        <f>($H393-SUM($L393:Q393))/R$694</f>
        <v>0</v>
      </c>
      <c r="S393" s="449">
        <f>($H393-SUM($L393:R393))/S$694</f>
        <v>0</v>
      </c>
      <c r="T393" s="449">
        <f>($H393-SUM($L393:S393))/T$694</f>
        <v>0</v>
      </c>
      <c r="U393" s="449">
        <f>($H393-SUM($L393:T393))/U$694</f>
        <v>0</v>
      </c>
      <c r="V393" s="449">
        <f>($H393-SUM($L393:U393))/V$694</f>
        <v>0</v>
      </c>
      <c r="W393" s="449">
        <f>($H393-SUM($L393:V393))/W$694</f>
        <v>0</v>
      </c>
      <c r="X393" s="449"/>
      <c r="Y393" s="449">
        <f t="shared" si="343"/>
        <v>0</v>
      </c>
      <c r="Z393" s="531"/>
      <c r="AA393" s="449">
        <f t="shared" si="344"/>
        <v>0</v>
      </c>
      <c r="AB393" s="449">
        <f t="shared" si="344"/>
        <v>0</v>
      </c>
      <c r="AC393" s="449">
        <f t="shared" si="344"/>
        <v>0</v>
      </c>
      <c r="AD393" s="449">
        <f t="shared" si="344"/>
        <v>0</v>
      </c>
      <c r="AE393" s="449">
        <f t="shared" si="344"/>
        <v>0</v>
      </c>
      <c r="AF393" s="449">
        <f t="shared" si="344"/>
        <v>0</v>
      </c>
      <c r="AG393" s="449">
        <f t="shared" si="344"/>
        <v>0</v>
      </c>
      <c r="AH393" s="449">
        <f t="shared" si="344"/>
        <v>0</v>
      </c>
      <c r="AI393" s="449">
        <f t="shared" si="344"/>
        <v>0</v>
      </c>
      <c r="AJ393" s="449">
        <f t="shared" si="344"/>
        <v>0</v>
      </c>
      <c r="AK393" s="449">
        <f t="shared" si="344"/>
        <v>0</v>
      </c>
      <c r="AL393" s="449">
        <f t="shared" si="344"/>
        <v>0</v>
      </c>
      <c r="AN393" s="500">
        <f>SUM(L393:W393)</f>
        <v>0</v>
      </c>
      <c r="AO393" s="449">
        <f>SUM(BI393:BT393)</f>
        <v>3000</v>
      </c>
      <c r="AP393" s="449">
        <f t="shared" si="347"/>
        <v>3000</v>
      </c>
      <c r="AQ393" s="453" t="str">
        <f t="shared" si="348"/>
        <v>-</v>
      </c>
      <c r="AR393" s="449">
        <f t="shared" si="349"/>
        <v>3000</v>
      </c>
      <c r="AS393" s="449">
        <f t="shared" si="350"/>
        <v>0</v>
      </c>
      <c r="AT393" s="426">
        <f t="shared" si="351"/>
        <v>0</v>
      </c>
      <c r="AU393" s="421"/>
      <c r="AV393" s="449">
        <f t="shared" si="352"/>
        <v>0</v>
      </c>
      <c r="AW393" s="449">
        <f t="shared" si="352"/>
        <v>0</v>
      </c>
      <c r="AX393" s="449">
        <f t="shared" si="352"/>
        <v>0</v>
      </c>
      <c r="AY393" s="449">
        <f t="shared" si="352"/>
        <v>3000</v>
      </c>
      <c r="AZ393" s="449">
        <f t="shared" si="352"/>
        <v>0</v>
      </c>
      <c r="BA393" s="449">
        <f t="shared" si="352"/>
        <v>0</v>
      </c>
      <c r="BB393" s="449">
        <f t="shared" si="352"/>
        <v>0</v>
      </c>
      <c r="BC393" s="449">
        <f t="shared" si="352"/>
        <v>0</v>
      </c>
      <c r="BD393" s="449">
        <f t="shared" si="352"/>
        <v>0</v>
      </c>
      <c r="BE393" s="449">
        <f t="shared" si="352"/>
        <v>0</v>
      </c>
      <c r="BF393" s="449">
        <f t="shared" si="352"/>
        <v>0</v>
      </c>
      <c r="BG393" s="449">
        <f t="shared" si="352"/>
        <v>0</v>
      </c>
      <c r="BH393" s="400"/>
      <c r="BI393" s="449">
        <v>0</v>
      </c>
      <c r="BJ393" s="449">
        <v>0</v>
      </c>
      <c r="BK393" s="449">
        <v>0</v>
      </c>
      <c r="BL393" s="449">
        <f>SUM('FY19 Staffing V1-1 (3)'!$J$286)</f>
        <v>3000</v>
      </c>
      <c r="BM393" s="449">
        <v>0</v>
      </c>
      <c r="BN393" s="449">
        <v>0</v>
      </c>
      <c r="BO393" s="449">
        <v>0</v>
      </c>
      <c r="BP393" s="449">
        <v>0</v>
      </c>
      <c r="BQ393" s="449">
        <v>0</v>
      </c>
      <c r="BR393" s="449">
        <v>0</v>
      </c>
      <c r="BS393" s="449">
        <v>0</v>
      </c>
      <c r="BT393" s="449">
        <v>0</v>
      </c>
    </row>
    <row r="394" spans="1:72" ht="15" x14ac:dyDescent="0.25">
      <c r="A394" s="537" t="s">
        <v>653</v>
      </c>
      <c r="B394" s="537" t="s">
        <v>654</v>
      </c>
      <c r="C394" s="630"/>
      <c r="D394" s="500">
        <f t="shared" si="338"/>
        <v>0</v>
      </c>
      <c r="E394" s="449">
        <v>0</v>
      </c>
      <c r="F394" s="449">
        <f t="shared" si="339"/>
        <v>0</v>
      </c>
      <c r="G394" s="421">
        <f t="shared" si="340"/>
        <v>0</v>
      </c>
      <c r="H394" s="449">
        <v>0</v>
      </c>
      <c r="I394" s="449">
        <f t="shared" si="341"/>
        <v>0</v>
      </c>
      <c r="J394" s="426">
        <f t="shared" si="342"/>
        <v>0</v>
      </c>
      <c r="K394" s="421"/>
      <c r="L394" s="449">
        <v>0</v>
      </c>
      <c r="M394" s="449">
        <v>0</v>
      </c>
      <c r="N394" s="449">
        <v>0</v>
      </c>
      <c r="O394" s="449">
        <v>0</v>
      </c>
      <c r="P394" s="449">
        <v>0</v>
      </c>
      <c r="Q394" s="449">
        <v>0</v>
      </c>
      <c r="R394" s="449">
        <f>($H394-SUM($L394:Q394))/R$694</f>
        <v>0</v>
      </c>
      <c r="S394" s="449">
        <f>($H394-SUM($L394:R394))/S$694</f>
        <v>0</v>
      </c>
      <c r="T394" s="449">
        <f>($H394-SUM($L394:S394))/T$694</f>
        <v>0</v>
      </c>
      <c r="U394" s="449">
        <f>($H394-SUM($L394:T394))/U$694</f>
        <v>0</v>
      </c>
      <c r="V394" s="449">
        <f>($H394-SUM($L394:U394))/V$694</f>
        <v>0</v>
      </c>
      <c r="W394" s="449">
        <f>($H394-SUM($L394:V394))/W$694</f>
        <v>0</v>
      </c>
      <c r="X394" s="449"/>
      <c r="Y394" s="449">
        <f t="shared" si="343"/>
        <v>0</v>
      </c>
      <c r="Z394" s="531"/>
      <c r="AA394" s="449">
        <f t="shared" si="344"/>
        <v>0</v>
      </c>
      <c r="AB394" s="449">
        <f t="shared" si="344"/>
        <v>0</v>
      </c>
      <c r="AC394" s="449">
        <f t="shared" si="344"/>
        <v>0</v>
      </c>
      <c r="AD394" s="449">
        <f t="shared" si="344"/>
        <v>0</v>
      </c>
      <c r="AE394" s="449">
        <f t="shared" si="344"/>
        <v>0</v>
      </c>
      <c r="AF394" s="449">
        <f t="shared" si="344"/>
        <v>0</v>
      </c>
      <c r="AG394" s="449">
        <f t="shared" si="344"/>
        <v>0</v>
      </c>
      <c r="AH394" s="449">
        <f t="shared" si="344"/>
        <v>0</v>
      </c>
      <c r="AI394" s="449">
        <f t="shared" si="344"/>
        <v>0</v>
      </c>
      <c r="AJ394" s="449">
        <f t="shared" si="344"/>
        <v>0</v>
      </c>
      <c r="AK394" s="449">
        <f t="shared" si="344"/>
        <v>0</v>
      </c>
      <c r="AL394" s="449">
        <f t="shared" si="344"/>
        <v>0</v>
      </c>
      <c r="AN394" s="500">
        <f>SUM(L394:W394)</f>
        <v>0</v>
      </c>
      <c r="AO394" s="449">
        <f>SUM(BI394:BT394)</f>
        <v>3000</v>
      </c>
      <c r="AP394" s="449">
        <f t="shared" si="347"/>
        <v>3000</v>
      </c>
      <c r="AQ394" s="453" t="str">
        <f t="shared" si="348"/>
        <v>-</v>
      </c>
      <c r="AR394" s="449">
        <f t="shared" si="349"/>
        <v>3000</v>
      </c>
      <c r="AS394" s="449">
        <f t="shared" si="350"/>
        <v>0</v>
      </c>
      <c r="AT394" s="426">
        <f t="shared" si="351"/>
        <v>0</v>
      </c>
      <c r="AU394" s="421"/>
      <c r="AV394" s="449">
        <f t="shared" si="352"/>
        <v>0</v>
      </c>
      <c r="AW394" s="449">
        <f t="shared" si="352"/>
        <v>0</v>
      </c>
      <c r="AX394" s="449">
        <f t="shared" si="352"/>
        <v>0</v>
      </c>
      <c r="AY394" s="449">
        <f t="shared" si="352"/>
        <v>3000</v>
      </c>
      <c r="AZ394" s="449">
        <f t="shared" si="352"/>
        <v>0</v>
      </c>
      <c r="BA394" s="449">
        <f t="shared" si="352"/>
        <v>0</v>
      </c>
      <c r="BB394" s="449">
        <f t="shared" si="352"/>
        <v>0</v>
      </c>
      <c r="BC394" s="449">
        <f t="shared" si="352"/>
        <v>0</v>
      </c>
      <c r="BD394" s="449">
        <f t="shared" si="352"/>
        <v>0</v>
      </c>
      <c r="BE394" s="449">
        <f t="shared" si="352"/>
        <v>0</v>
      </c>
      <c r="BF394" s="449">
        <f t="shared" si="352"/>
        <v>0</v>
      </c>
      <c r="BG394" s="449">
        <f t="shared" si="352"/>
        <v>0</v>
      </c>
      <c r="BH394" s="400"/>
      <c r="BI394" s="449">
        <v>0</v>
      </c>
      <c r="BJ394" s="449">
        <v>0</v>
      </c>
      <c r="BK394" s="449">
        <v>0</v>
      </c>
      <c r="BL394" s="449">
        <f>SUM('FY19 Staffing V1-1 (3)'!$J$287)</f>
        <v>3000</v>
      </c>
      <c r="BM394" s="449">
        <v>0</v>
      </c>
      <c r="BN394" s="449">
        <v>0</v>
      </c>
      <c r="BO394" s="449">
        <v>0</v>
      </c>
      <c r="BP394" s="449">
        <v>0</v>
      </c>
      <c r="BQ394" s="449">
        <v>0</v>
      </c>
      <c r="BR394" s="449">
        <v>0</v>
      </c>
      <c r="BS394" s="449">
        <v>0</v>
      </c>
      <c r="BT394" s="449">
        <v>0</v>
      </c>
    </row>
    <row r="395" spans="1:72" ht="15" x14ac:dyDescent="0.25">
      <c r="A395" s="502" t="s">
        <v>655</v>
      </c>
      <c r="B395" s="502" t="s">
        <v>656</v>
      </c>
      <c r="C395" s="541"/>
      <c r="D395" s="500">
        <f t="shared" si="338"/>
        <v>6971</v>
      </c>
      <c r="E395" s="449">
        <v>7013</v>
      </c>
      <c r="F395" s="449">
        <f t="shared" si="339"/>
        <v>-42</v>
      </c>
      <c r="G395" s="421">
        <f t="shared" si="340"/>
        <v>-5.9888777983744474E-3</v>
      </c>
      <c r="H395" s="449">
        <v>6971</v>
      </c>
      <c r="I395" s="449">
        <f t="shared" si="341"/>
        <v>0</v>
      </c>
      <c r="J395" s="426">
        <f t="shared" si="342"/>
        <v>0</v>
      </c>
      <c r="K395" s="421"/>
      <c r="L395" s="449">
        <v>1552.37</v>
      </c>
      <c r="M395" s="449">
        <v>520.82999999999993</v>
      </c>
      <c r="N395" s="449">
        <v>390.40000000000009</v>
      </c>
      <c r="O395" s="449">
        <v>500.18000000000029</v>
      </c>
      <c r="P395" s="449">
        <v>500.17999999999984</v>
      </c>
      <c r="Q395" s="449">
        <v>625.23</v>
      </c>
      <c r="R395" s="449">
        <f>($H395-SUM($L395:Q395))/R$694</f>
        <v>480.30166666666668</v>
      </c>
      <c r="S395" s="449">
        <f>($H395-SUM($L395:R395))/S$694</f>
        <v>480.30166666666662</v>
      </c>
      <c r="T395" s="449">
        <f>($H395-SUM($L395:S395))/T$694</f>
        <v>480.30166666666673</v>
      </c>
      <c r="U395" s="449">
        <f>($H395-SUM($L395:T395))/U$694</f>
        <v>480.3016666666669</v>
      </c>
      <c r="V395" s="449">
        <f>($H395-SUM($L395:U395))/V$694</f>
        <v>480.30166666666673</v>
      </c>
      <c r="W395" s="449">
        <f>($H395-SUM($L395:V395))/W$694</f>
        <v>480.30166666666628</v>
      </c>
      <c r="X395" s="449"/>
      <c r="Y395" s="449">
        <f t="shared" si="343"/>
        <v>6971</v>
      </c>
      <c r="Z395" s="531"/>
      <c r="AA395" s="449">
        <f t="shared" si="344"/>
        <v>580.91666666666663</v>
      </c>
      <c r="AB395" s="449">
        <f t="shared" si="344"/>
        <v>580.91666666666663</v>
      </c>
      <c r="AC395" s="449">
        <f t="shared" si="344"/>
        <v>580.91666666666663</v>
      </c>
      <c r="AD395" s="449">
        <f t="shared" si="344"/>
        <v>580.91666666666663</v>
      </c>
      <c r="AE395" s="449">
        <f t="shared" si="344"/>
        <v>580.91666666666663</v>
      </c>
      <c r="AF395" s="449">
        <f t="shared" si="344"/>
        <v>580.91666666666663</v>
      </c>
      <c r="AG395" s="449">
        <f t="shared" si="344"/>
        <v>580.91666666666663</v>
      </c>
      <c r="AH395" s="449">
        <f t="shared" si="344"/>
        <v>580.91666666666663</v>
      </c>
      <c r="AI395" s="449">
        <f t="shared" si="344"/>
        <v>580.91666666666663</v>
      </c>
      <c r="AJ395" s="449">
        <f t="shared" si="344"/>
        <v>580.91666666666663</v>
      </c>
      <c r="AK395" s="449">
        <f t="shared" si="344"/>
        <v>580.91666666666663</v>
      </c>
      <c r="AL395" s="449">
        <f t="shared" si="344"/>
        <v>580.91666666666663</v>
      </c>
      <c r="AN395" s="500">
        <f t="shared" si="345"/>
        <v>6971</v>
      </c>
      <c r="AO395" s="449">
        <f t="shared" si="346"/>
        <v>4991.1500000000005</v>
      </c>
      <c r="AP395" s="449">
        <f t="shared" si="347"/>
        <v>-1979.8499999999995</v>
      </c>
      <c r="AQ395" s="453">
        <f t="shared" si="348"/>
        <v>-0.28401233682398502</v>
      </c>
      <c r="AR395" s="449">
        <f t="shared" si="349"/>
        <v>4991.1500000000005</v>
      </c>
      <c r="AS395" s="449">
        <f t="shared" si="350"/>
        <v>0</v>
      </c>
      <c r="AT395" s="426">
        <f t="shared" si="351"/>
        <v>0</v>
      </c>
      <c r="AU395" s="421"/>
      <c r="AV395" s="449">
        <f t="shared" si="352"/>
        <v>415.92916666666673</v>
      </c>
      <c r="AW395" s="449">
        <f t="shared" si="352"/>
        <v>415.92916666666673</v>
      </c>
      <c r="AX395" s="449">
        <f t="shared" si="352"/>
        <v>415.92916666666673</v>
      </c>
      <c r="AY395" s="449">
        <f t="shared" si="352"/>
        <v>415.92916666666673</v>
      </c>
      <c r="AZ395" s="449">
        <f t="shared" si="352"/>
        <v>415.92916666666673</v>
      </c>
      <c r="BA395" s="449">
        <f t="shared" si="352"/>
        <v>415.92916666666673</v>
      </c>
      <c r="BB395" s="449">
        <f t="shared" si="352"/>
        <v>415.92916666666673</v>
      </c>
      <c r="BC395" s="449">
        <f t="shared" si="352"/>
        <v>415.92916666666673</v>
      </c>
      <c r="BD395" s="449">
        <f t="shared" si="352"/>
        <v>415.92916666666673</v>
      </c>
      <c r="BE395" s="449">
        <f t="shared" si="352"/>
        <v>415.92916666666673</v>
      </c>
      <c r="BF395" s="449">
        <f t="shared" si="352"/>
        <v>415.92916666666673</v>
      </c>
      <c r="BG395" s="449">
        <f t="shared" si="352"/>
        <v>415.92916666666673</v>
      </c>
      <c r="BH395" s="400"/>
      <c r="BI395" s="449">
        <f>SUM('FY19 Staffing V1-1 (3)'!$Q$286:$R$286,'FY19 Staffing V1-1 (3)'!$T$286:$U$286)/12</f>
        <v>415.92916666666673</v>
      </c>
      <c r="BJ395" s="449">
        <f>SUM('FY19 Staffing V1-1 (3)'!$Q$286:$R$286,'FY19 Staffing V1-1 (3)'!$T$286:$U$286)/12</f>
        <v>415.92916666666673</v>
      </c>
      <c r="BK395" s="449">
        <f>SUM('FY19 Staffing V1-1 (3)'!$Q$286:$R$286,'FY19 Staffing V1-1 (3)'!$T$286:$U$286)/12</f>
        <v>415.92916666666673</v>
      </c>
      <c r="BL395" s="449">
        <f>SUM('FY19 Staffing V1-1 (3)'!$Q$286:$R$286,'FY19 Staffing V1-1 (3)'!$T$286:$U$286)/12</f>
        <v>415.92916666666673</v>
      </c>
      <c r="BM395" s="449">
        <f>SUM('FY19 Staffing V1-1 (3)'!$Q$286:$R$286,'FY19 Staffing V1-1 (3)'!$T$286:$U$286)/12</f>
        <v>415.92916666666673</v>
      </c>
      <c r="BN395" s="449">
        <f>SUM('FY19 Staffing V1-1 (3)'!$Q$286:$R$286,'FY19 Staffing V1-1 (3)'!$T$286:$U$286)/12</f>
        <v>415.92916666666673</v>
      </c>
      <c r="BO395" s="449">
        <f>SUM('FY19 Staffing V1-1 (3)'!$Q$286:$R$286,'FY19 Staffing V1-1 (3)'!$T$286:$U$286)/12</f>
        <v>415.92916666666673</v>
      </c>
      <c r="BP395" s="449">
        <f>SUM('FY19 Staffing V1-1 (3)'!$Q$286:$R$286,'FY19 Staffing V1-1 (3)'!$T$286:$U$286)/12</f>
        <v>415.92916666666673</v>
      </c>
      <c r="BQ395" s="449">
        <f>SUM('FY19 Staffing V1-1 (3)'!$Q$286:$R$286,'FY19 Staffing V1-1 (3)'!$T$286:$U$286)/12</f>
        <v>415.92916666666673</v>
      </c>
      <c r="BR395" s="449">
        <f>SUM('FY19 Staffing V1-1 (3)'!$Q$286:$R$286,'FY19 Staffing V1-1 (3)'!$T$286:$U$286)/12</f>
        <v>415.92916666666673</v>
      </c>
      <c r="BS395" s="449">
        <f>SUM('FY19 Staffing V1-1 (3)'!$Q$286:$R$286,'FY19 Staffing V1-1 (3)'!$T$286:$U$286)/12</f>
        <v>415.92916666666673</v>
      </c>
      <c r="BT395" s="449">
        <f>SUM('FY19 Staffing V1-1 (3)'!$Q$286:$R$286,'FY19 Staffing V1-1 (3)'!$T$286:$U$286)/12</f>
        <v>415.92916666666673</v>
      </c>
    </row>
    <row r="396" spans="1:72" ht="15" x14ac:dyDescent="0.25">
      <c r="A396" s="502" t="s">
        <v>657</v>
      </c>
      <c r="B396" s="502" t="s">
        <v>658</v>
      </c>
      <c r="C396" s="541"/>
      <c r="D396" s="500">
        <f t="shared" si="338"/>
        <v>2324</v>
      </c>
      <c r="E396" s="449">
        <v>2338</v>
      </c>
      <c r="F396" s="449">
        <f t="shared" si="339"/>
        <v>-14</v>
      </c>
      <c r="G396" s="421">
        <f t="shared" si="340"/>
        <v>-5.9880239520958087E-3</v>
      </c>
      <c r="H396" s="449">
        <v>2324</v>
      </c>
      <c r="I396" s="449">
        <f t="shared" si="341"/>
        <v>0</v>
      </c>
      <c r="J396" s="426">
        <f t="shared" si="342"/>
        <v>0</v>
      </c>
      <c r="K396" s="421"/>
      <c r="L396" s="449">
        <v>0</v>
      </c>
      <c r="M396" s="449">
        <v>0</v>
      </c>
      <c r="N396" s="449">
        <v>0</v>
      </c>
      <c r="O396" s="449">
        <v>0</v>
      </c>
      <c r="P396" s="449">
        <v>0</v>
      </c>
      <c r="Q396" s="449">
        <v>0</v>
      </c>
      <c r="R396" s="449">
        <f>($H396-SUM($L396:Q396))/R$694</f>
        <v>387.33333333333331</v>
      </c>
      <c r="S396" s="449">
        <f>($H396-SUM($L396:R396))/S$694</f>
        <v>387.33333333333337</v>
      </c>
      <c r="T396" s="449">
        <f>($H396-SUM($L396:S396))/T$694</f>
        <v>387.33333333333331</v>
      </c>
      <c r="U396" s="449">
        <f>($H396-SUM($L396:T396))/U$694</f>
        <v>387.33333333333331</v>
      </c>
      <c r="V396" s="449">
        <f>($H396-SUM($L396:U396))/V$694</f>
        <v>387.33333333333337</v>
      </c>
      <c r="W396" s="449">
        <f>($H396-SUM($L396:V396))/W$694</f>
        <v>387.33333333333348</v>
      </c>
      <c r="X396" s="449"/>
      <c r="Y396" s="449">
        <f t="shared" si="343"/>
        <v>2324</v>
      </c>
      <c r="Z396" s="531"/>
      <c r="AA396" s="449">
        <f t="shared" si="344"/>
        <v>193.66666666666666</v>
      </c>
      <c r="AB396" s="449">
        <f t="shared" si="344"/>
        <v>193.66666666666666</v>
      </c>
      <c r="AC396" s="449">
        <f t="shared" si="344"/>
        <v>193.66666666666666</v>
      </c>
      <c r="AD396" s="449">
        <f t="shared" si="344"/>
        <v>193.66666666666666</v>
      </c>
      <c r="AE396" s="449">
        <f t="shared" si="344"/>
        <v>193.66666666666666</v>
      </c>
      <c r="AF396" s="449">
        <f t="shared" si="344"/>
        <v>193.66666666666666</v>
      </c>
      <c r="AG396" s="449">
        <f t="shared" si="344"/>
        <v>193.66666666666666</v>
      </c>
      <c r="AH396" s="449">
        <f t="shared" si="344"/>
        <v>193.66666666666666</v>
      </c>
      <c r="AI396" s="449">
        <f t="shared" si="344"/>
        <v>193.66666666666666</v>
      </c>
      <c r="AJ396" s="449">
        <f t="shared" si="344"/>
        <v>193.66666666666666</v>
      </c>
      <c r="AK396" s="449">
        <f t="shared" si="344"/>
        <v>193.66666666666666</v>
      </c>
      <c r="AL396" s="449">
        <f t="shared" si="344"/>
        <v>193.66666666666666</v>
      </c>
      <c r="AN396" s="500">
        <f t="shared" si="345"/>
        <v>2324</v>
      </c>
      <c r="AO396" s="449">
        <f t="shared" si="346"/>
        <v>3327.43</v>
      </c>
      <c r="AP396" s="449">
        <f t="shared" si="347"/>
        <v>1003.4299999999998</v>
      </c>
      <c r="AQ396" s="453">
        <f t="shared" si="348"/>
        <v>0.43176850258175553</v>
      </c>
      <c r="AR396" s="449">
        <f t="shared" si="349"/>
        <v>3327.43</v>
      </c>
      <c r="AS396" s="449">
        <f t="shared" si="350"/>
        <v>0</v>
      </c>
      <c r="AT396" s="426">
        <f t="shared" si="351"/>
        <v>0</v>
      </c>
      <c r="AU396" s="421"/>
      <c r="AV396" s="449">
        <f t="shared" si="352"/>
        <v>277.2858333333333</v>
      </c>
      <c r="AW396" s="449">
        <f t="shared" si="352"/>
        <v>277.2858333333333</v>
      </c>
      <c r="AX396" s="449">
        <f t="shared" si="352"/>
        <v>277.2858333333333</v>
      </c>
      <c r="AY396" s="449">
        <f t="shared" si="352"/>
        <v>277.2858333333333</v>
      </c>
      <c r="AZ396" s="449">
        <f t="shared" si="352"/>
        <v>277.2858333333333</v>
      </c>
      <c r="BA396" s="449">
        <f t="shared" si="352"/>
        <v>277.2858333333333</v>
      </c>
      <c r="BB396" s="449">
        <f t="shared" si="352"/>
        <v>277.2858333333333</v>
      </c>
      <c r="BC396" s="449">
        <f t="shared" si="352"/>
        <v>277.2858333333333</v>
      </c>
      <c r="BD396" s="449">
        <f t="shared" si="352"/>
        <v>277.2858333333333</v>
      </c>
      <c r="BE396" s="449">
        <f t="shared" si="352"/>
        <v>277.2858333333333</v>
      </c>
      <c r="BF396" s="449">
        <f t="shared" si="352"/>
        <v>277.2858333333333</v>
      </c>
      <c r="BG396" s="449">
        <f t="shared" si="352"/>
        <v>277.2858333333333</v>
      </c>
      <c r="BH396" s="400"/>
      <c r="BI396" s="449">
        <f>SUM('FY19 Staffing V1-1 (3)'!$Q$287:$R$287,'FY19 Staffing V1-1 (3)'!$T$287:$U$287)/12</f>
        <v>277.2858333333333</v>
      </c>
      <c r="BJ396" s="449">
        <f>SUM('FY19 Staffing V1-1 (3)'!$Q$287:$R$287,'FY19 Staffing V1-1 (3)'!$T$287:$U$287)/12</f>
        <v>277.2858333333333</v>
      </c>
      <c r="BK396" s="449">
        <f>SUM('FY19 Staffing V1-1 (3)'!$Q$287:$R$287,'FY19 Staffing V1-1 (3)'!$T$287:$U$287)/12</f>
        <v>277.2858333333333</v>
      </c>
      <c r="BL396" s="449">
        <f>SUM('FY19 Staffing V1-1 (3)'!$Q$287:$R$287,'FY19 Staffing V1-1 (3)'!$T$287:$U$287)/12</f>
        <v>277.2858333333333</v>
      </c>
      <c r="BM396" s="449">
        <f>SUM('FY19 Staffing V1-1 (3)'!$Q$287:$R$287,'FY19 Staffing V1-1 (3)'!$T$287:$U$287)/12</f>
        <v>277.2858333333333</v>
      </c>
      <c r="BN396" s="449">
        <f>SUM('FY19 Staffing V1-1 (3)'!$Q$287:$R$287,'FY19 Staffing V1-1 (3)'!$T$287:$U$287)/12</f>
        <v>277.2858333333333</v>
      </c>
      <c r="BO396" s="449">
        <f>SUM('FY19 Staffing V1-1 (3)'!$Q$287:$R$287,'FY19 Staffing V1-1 (3)'!$T$287:$U$287)/12</f>
        <v>277.2858333333333</v>
      </c>
      <c r="BP396" s="449">
        <f>SUM('FY19 Staffing V1-1 (3)'!$Q$287:$R$287,'FY19 Staffing V1-1 (3)'!$T$287:$U$287)/12</f>
        <v>277.2858333333333</v>
      </c>
      <c r="BQ396" s="449">
        <f>SUM('FY19 Staffing V1-1 (3)'!$Q$287:$R$287,'FY19 Staffing V1-1 (3)'!$T$287:$U$287)/12</f>
        <v>277.2858333333333</v>
      </c>
      <c r="BR396" s="449">
        <f>SUM('FY19 Staffing V1-1 (3)'!$Q$287:$R$287,'FY19 Staffing V1-1 (3)'!$T$287:$U$287)/12</f>
        <v>277.2858333333333</v>
      </c>
      <c r="BS396" s="449">
        <f>SUM('FY19 Staffing V1-1 (3)'!$Q$287:$R$287,'FY19 Staffing V1-1 (3)'!$T$287:$U$287)/12</f>
        <v>277.2858333333333</v>
      </c>
      <c r="BT396" s="449">
        <f>SUM('FY19 Staffing V1-1 (3)'!$Q$287:$R$287,'FY19 Staffing V1-1 (3)'!$T$287:$U$287)/12</f>
        <v>277.2858333333333</v>
      </c>
    </row>
    <row r="397" spans="1:72" ht="15" x14ac:dyDescent="0.25">
      <c r="A397" s="502" t="s">
        <v>659</v>
      </c>
      <c r="B397" s="502" t="s">
        <v>660</v>
      </c>
      <c r="C397" s="541"/>
      <c r="D397" s="500">
        <f t="shared" si="338"/>
        <v>0</v>
      </c>
      <c r="E397" s="449">
        <v>6626</v>
      </c>
      <c r="F397" s="449">
        <f t="shared" si="339"/>
        <v>-6626</v>
      </c>
      <c r="G397" s="421">
        <f t="shared" si="340"/>
        <v>-1</v>
      </c>
      <c r="H397" s="449">
        <v>0</v>
      </c>
      <c r="I397" s="449">
        <f t="shared" si="341"/>
        <v>0</v>
      </c>
      <c r="J397" s="426">
        <f t="shared" si="342"/>
        <v>0</v>
      </c>
      <c r="K397" s="421"/>
      <c r="L397" s="449">
        <v>533.86</v>
      </c>
      <c r="M397" s="449">
        <v>-533.86</v>
      </c>
      <c r="N397" s="449">
        <v>0</v>
      </c>
      <c r="O397" s="449">
        <v>0</v>
      </c>
      <c r="P397" s="449">
        <v>0</v>
      </c>
      <c r="Q397" s="449">
        <v>0</v>
      </c>
      <c r="R397" s="449">
        <f>($H397-SUM($L397:Q397))/R$694</f>
        <v>0</v>
      </c>
      <c r="S397" s="449">
        <f>($H397-SUM($L397:R397))/S$694</f>
        <v>0</v>
      </c>
      <c r="T397" s="449">
        <f>($H397-SUM($L397:S397))/T$694</f>
        <v>0</v>
      </c>
      <c r="U397" s="449">
        <f>($H397-SUM($L397:T397))/U$694</f>
        <v>0</v>
      </c>
      <c r="V397" s="449">
        <f>($H397-SUM($L397:U397))/V$694</f>
        <v>0</v>
      </c>
      <c r="W397" s="449">
        <f>($H397-SUM($L397:V397))/W$694</f>
        <v>0</v>
      </c>
      <c r="X397" s="449"/>
      <c r="Y397" s="449">
        <f t="shared" si="343"/>
        <v>0</v>
      </c>
      <c r="Z397" s="531"/>
      <c r="AA397" s="449">
        <f t="shared" si="344"/>
        <v>0</v>
      </c>
      <c r="AB397" s="449">
        <f t="shared" si="344"/>
        <v>0</v>
      </c>
      <c r="AC397" s="449">
        <f t="shared" si="344"/>
        <v>0</v>
      </c>
      <c r="AD397" s="449">
        <f t="shared" si="344"/>
        <v>0</v>
      </c>
      <c r="AE397" s="449">
        <f t="shared" si="344"/>
        <v>0</v>
      </c>
      <c r="AF397" s="449">
        <f t="shared" si="344"/>
        <v>0</v>
      </c>
      <c r="AG397" s="449">
        <f t="shared" si="344"/>
        <v>0</v>
      </c>
      <c r="AH397" s="449">
        <f t="shared" si="344"/>
        <v>0</v>
      </c>
      <c r="AI397" s="449">
        <f t="shared" si="344"/>
        <v>0</v>
      </c>
      <c r="AJ397" s="449">
        <f t="shared" si="344"/>
        <v>0</v>
      </c>
      <c r="AK397" s="449">
        <f t="shared" si="344"/>
        <v>0</v>
      </c>
      <c r="AL397" s="449">
        <f t="shared" si="344"/>
        <v>0</v>
      </c>
      <c r="AN397" s="500">
        <f t="shared" si="345"/>
        <v>0</v>
      </c>
      <c r="AO397" s="449">
        <f t="shared" si="346"/>
        <v>8016.0780000000022</v>
      </c>
      <c r="AP397" s="449">
        <f t="shared" si="347"/>
        <v>8016.0780000000022</v>
      </c>
      <c r="AQ397" s="453" t="str">
        <f t="shared" si="348"/>
        <v>-</v>
      </c>
      <c r="AR397" s="449">
        <f t="shared" si="349"/>
        <v>8016.0780000000022</v>
      </c>
      <c r="AS397" s="449">
        <f t="shared" si="350"/>
        <v>0</v>
      </c>
      <c r="AT397" s="426">
        <f t="shared" si="351"/>
        <v>0</v>
      </c>
      <c r="AU397" s="421"/>
      <c r="AV397" s="449">
        <f t="shared" si="352"/>
        <v>668.00650000000007</v>
      </c>
      <c r="AW397" s="449">
        <f t="shared" si="352"/>
        <v>668.00650000000007</v>
      </c>
      <c r="AX397" s="449">
        <f t="shared" si="352"/>
        <v>668.00650000000007</v>
      </c>
      <c r="AY397" s="449">
        <f t="shared" si="352"/>
        <v>668.00650000000007</v>
      </c>
      <c r="AZ397" s="449">
        <f t="shared" si="352"/>
        <v>668.00650000000007</v>
      </c>
      <c r="BA397" s="449">
        <f t="shared" si="352"/>
        <v>668.00650000000007</v>
      </c>
      <c r="BB397" s="449">
        <f t="shared" si="352"/>
        <v>668.00650000000007</v>
      </c>
      <c r="BC397" s="449">
        <f t="shared" si="352"/>
        <v>668.00650000000007</v>
      </c>
      <c r="BD397" s="449">
        <f t="shared" si="352"/>
        <v>668.00650000000007</v>
      </c>
      <c r="BE397" s="449">
        <f t="shared" si="352"/>
        <v>668.00650000000007</v>
      </c>
      <c r="BF397" s="449">
        <f t="shared" si="352"/>
        <v>668.00650000000007</v>
      </c>
      <c r="BG397" s="449">
        <f t="shared" si="352"/>
        <v>668.00650000000007</v>
      </c>
      <c r="BH397" s="400"/>
      <c r="BI397" s="449">
        <f>SUM('FY19 Staffing V1-1 (3)'!$W$286)/12</f>
        <v>668.00650000000007</v>
      </c>
      <c r="BJ397" s="449">
        <f>SUM('FY19 Staffing V1-1 (3)'!$W$286)/12</f>
        <v>668.00650000000007</v>
      </c>
      <c r="BK397" s="449">
        <f>SUM('FY19 Staffing V1-1 (3)'!$W$286)/12</f>
        <v>668.00650000000007</v>
      </c>
      <c r="BL397" s="449">
        <f>SUM('FY19 Staffing V1-1 (3)'!$W$286)/12</f>
        <v>668.00650000000007</v>
      </c>
      <c r="BM397" s="449">
        <f>SUM('FY19 Staffing V1-1 (3)'!$W$286)/12</f>
        <v>668.00650000000007</v>
      </c>
      <c r="BN397" s="449">
        <f>SUM('FY19 Staffing V1-1 (3)'!$W$286)/12</f>
        <v>668.00650000000007</v>
      </c>
      <c r="BO397" s="449">
        <f>SUM('FY19 Staffing V1-1 (3)'!$W$286)/12</f>
        <v>668.00650000000007</v>
      </c>
      <c r="BP397" s="449">
        <f>SUM('FY19 Staffing V1-1 (3)'!$W$286)/12</f>
        <v>668.00650000000007</v>
      </c>
      <c r="BQ397" s="449">
        <f>SUM('FY19 Staffing V1-1 (3)'!$W$286)/12</f>
        <v>668.00650000000007</v>
      </c>
      <c r="BR397" s="449">
        <f>SUM('FY19 Staffing V1-1 (3)'!$W$286)/12</f>
        <v>668.00650000000007</v>
      </c>
      <c r="BS397" s="449">
        <f>SUM('FY19 Staffing V1-1 (3)'!$W$286)/12</f>
        <v>668.00650000000007</v>
      </c>
      <c r="BT397" s="449">
        <f>SUM('FY19 Staffing V1-1 (3)'!$W$286)/12</f>
        <v>668.00650000000007</v>
      </c>
    </row>
    <row r="398" spans="1:72" ht="15" x14ac:dyDescent="0.25">
      <c r="A398" s="502" t="s">
        <v>661</v>
      </c>
      <c r="B398" s="502" t="s">
        <v>662</v>
      </c>
      <c r="C398" s="541"/>
      <c r="D398" s="500">
        <f t="shared" si="338"/>
        <v>0</v>
      </c>
      <c r="E398" s="449">
        <v>2209</v>
      </c>
      <c r="F398" s="449">
        <f t="shared" si="339"/>
        <v>-2209</v>
      </c>
      <c r="G398" s="421">
        <f t="shared" si="340"/>
        <v>-1</v>
      </c>
      <c r="H398" s="449">
        <v>0</v>
      </c>
      <c r="I398" s="449">
        <f t="shared" si="341"/>
        <v>0</v>
      </c>
      <c r="J398" s="426">
        <f t="shared" si="342"/>
        <v>0</v>
      </c>
      <c r="K398" s="421"/>
      <c r="L398" s="449">
        <v>0</v>
      </c>
      <c r="M398" s="449">
        <v>0</v>
      </c>
      <c r="N398" s="449">
        <v>0</v>
      </c>
      <c r="O398" s="449">
        <v>0</v>
      </c>
      <c r="P398" s="449">
        <v>0</v>
      </c>
      <c r="Q398" s="449">
        <v>0</v>
      </c>
      <c r="R398" s="449">
        <f>($H398-SUM($L398:Q398))/R$694</f>
        <v>0</v>
      </c>
      <c r="S398" s="449">
        <f>($H398-SUM($L398:R398))/S$694</f>
        <v>0</v>
      </c>
      <c r="T398" s="449">
        <f>($H398-SUM($L398:S398))/T$694</f>
        <v>0</v>
      </c>
      <c r="U398" s="449">
        <f>($H398-SUM($L398:T398))/U$694</f>
        <v>0</v>
      </c>
      <c r="V398" s="449">
        <f>($H398-SUM($L398:U398))/V$694</f>
        <v>0</v>
      </c>
      <c r="W398" s="449">
        <f>($H398-SUM($L398:V398))/W$694</f>
        <v>0</v>
      </c>
      <c r="X398" s="449"/>
      <c r="Y398" s="449">
        <f t="shared" si="343"/>
        <v>0</v>
      </c>
      <c r="Z398" s="531"/>
      <c r="AA398" s="449">
        <f t="shared" si="344"/>
        <v>0</v>
      </c>
      <c r="AB398" s="449">
        <f t="shared" si="344"/>
        <v>0</v>
      </c>
      <c r="AC398" s="449">
        <f t="shared" si="344"/>
        <v>0</v>
      </c>
      <c r="AD398" s="449">
        <f t="shared" si="344"/>
        <v>0</v>
      </c>
      <c r="AE398" s="449">
        <f t="shared" si="344"/>
        <v>0</v>
      </c>
      <c r="AF398" s="449">
        <f t="shared" si="344"/>
        <v>0</v>
      </c>
      <c r="AG398" s="449">
        <f t="shared" si="344"/>
        <v>0</v>
      </c>
      <c r="AH398" s="449">
        <f t="shared" si="344"/>
        <v>0</v>
      </c>
      <c r="AI398" s="449">
        <f t="shared" si="344"/>
        <v>0</v>
      </c>
      <c r="AJ398" s="449">
        <f t="shared" si="344"/>
        <v>0</v>
      </c>
      <c r="AK398" s="449">
        <f t="shared" si="344"/>
        <v>0</v>
      </c>
      <c r="AL398" s="449">
        <f t="shared" si="344"/>
        <v>0</v>
      </c>
      <c r="AN398" s="500">
        <f t="shared" si="345"/>
        <v>0</v>
      </c>
      <c r="AO398" s="449">
        <f t="shared" si="346"/>
        <v>5344.0519999999997</v>
      </c>
      <c r="AP398" s="449">
        <f t="shared" si="347"/>
        <v>5344.0519999999997</v>
      </c>
      <c r="AQ398" s="453" t="str">
        <f t="shared" si="348"/>
        <v>-</v>
      </c>
      <c r="AR398" s="449">
        <f t="shared" si="349"/>
        <v>5344.0519999999997</v>
      </c>
      <c r="AS398" s="449">
        <f t="shared" si="350"/>
        <v>0</v>
      </c>
      <c r="AT398" s="426">
        <f t="shared" si="351"/>
        <v>0</v>
      </c>
      <c r="AU398" s="421"/>
      <c r="AV398" s="449">
        <f t="shared" si="352"/>
        <v>445.33766666666673</v>
      </c>
      <c r="AW398" s="449">
        <f t="shared" si="352"/>
        <v>445.33766666666673</v>
      </c>
      <c r="AX398" s="449">
        <f t="shared" si="352"/>
        <v>445.33766666666673</v>
      </c>
      <c r="AY398" s="449">
        <f t="shared" si="352"/>
        <v>445.33766666666673</v>
      </c>
      <c r="AZ398" s="449">
        <f t="shared" si="352"/>
        <v>445.33766666666673</v>
      </c>
      <c r="BA398" s="449">
        <f t="shared" si="352"/>
        <v>445.33766666666673</v>
      </c>
      <c r="BB398" s="449">
        <f t="shared" si="352"/>
        <v>445.33766666666673</v>
      </c>
      <c r="BC398" s="449">
        <f t="shared" si="352"/>
        <v>445.33766666666673</v>
      </c>
      <c r="BD398" s="449">
        <f t="shared" si="352"/>
        <v>445.33766666666673</v>
      </c>
      <c r="BE398" s="449">
        <f t="shared" si="352"/>
        <v>445.33766666666673</v>
      </c>
      <c r="BF398" s="449">
        <f t="shared" si="352"/>
        <v>445.33766666666673</v>
      </c>
      <c r="BG398" s="449">
        <f t="shared" si="352"/>
        <v>445.33766666666673</v>
      </c>
      <c r="BH398" s="400"/>
      <c r="BI398" s="449">
        <f>SUM('FY19 Staffing V1-1 (3)'!$W$287)/12</f>
        <v>445.33766666666673</v>
      </c>
      <c r="BJ398" s="449">
        <f>SUM('FY19 Staffing V1-1 (3)'!$W$287)/12</f>
        <v>445.33766666666673</v>
      </c>
      <c r="BK398" s="449">
        <f>SUM('FY19 Staffing V1-1 (3)'!$W$287)/12</f>
        <v>445.33766666666673</v>
      </c>
      <c r="BL398" s="449">
        <f>SUM('FY19 Staffing V1-1 (3)'!$W$287)/12</f>
        <v>445.33766666666673</v>
      </c>
      <c r="BM398" s="449">
        <f>SUM('FY19 Staffing V1-1 (3)'!$W$287)/12</f>
        <v>445.33766666666673</v>
      </c>
      <c r="BN398" s="449">
        <f>SUM('FY19 Staffing V1-1 (3)'!$W$287)/12</f>
        <v>445.33766666666673</v>
      </c>
      <c r="BO398" s="449">
        <f>SUM('FY19 Staffing V1-1 (3)'!$W$287)/12</f>
        <v>445.33766666666673</v>
      </c>
      <c r="BP398" s="449">
        <f>SUM('FY19 Staffing V1-1 (3)'!$W$287)/12</f>
        <v>445.33766666666673</v>
      </c>
      <c r="BQ398" s="449">
        <f>SUM('FY19 Staffing V1-1 (3)'!$W$287)/12</f>
        <v>445.33766666666673</v>
      </c>
      <c r="BR398" s="449">
        <f>SUM('FY19 Staffing V1-1 (3)'!$W$287)/12</f>
        <v>445.33766666666673</v>
      </c>
      <c r="BS398" s="449">
        <f>SUM('FY19 Staffing V1-1 (3)'!$W$287)/12</f>
        <v>445.33766666666673</v>
      </c>
      <c r="BT398" s="449">
        <f>SUM('FY19 Staffing V1-1 (3)'!$W$287)/12</f>
        <v>445.33766666666673</v>
      </c>
    </row>
    <row r="399" spans="1:72" ht="15" x14ac:dyDescent="0.25">
      <c r="A399" s="502" t="s">
        <v>663</v>
      </c>
      <c r="B399" s="502" t="s">
        <v>664</v>
      </c>
      <c r="C399" s="541"/>
      <c r="D399" s="500">
        <f t="shared" si="338"/>
        <v>2550</v>
      </c>
      <c r="E399" s="449">
        <v>2572</v>
      </c>
      <c r="F399" s="449">
        <f t="shared" si="339"/>
        <v>-22</v>
      </c>
      <c r="G399" s="421">
        <f t="shared" si="340"/>
        <v>-8.553654743390357E-3</v>
      </c>
      <c r="H399" s="449">
        <v>2550</v>
      </c>
      <c r="I399" s="449">
        <f t="shared" si="341"/>
        <v>0</v>
      </c>
      <c r="J399" s="426">
        <f t="shared" si="342"/>
        <v>0</v>
      </c>
      <c r="K399" s="421"/>
      <c r="L399" s="449">
        <v>423.46000000000004</v>
      </c>
      <c r="M399" s="449">
        <v>151.91999999999996</v>
      </c>
      <c r="N399" s="449">
        <v>274.62</v>
      </c>
      <c r="O399" s="449">
        <v>261.53999999999996</v>
      </c>
      <c r="P399" s="449">
        <v>261.53999999999996</v>
      </c>
      <c r="Q399" s="449">
        <v>326.92000000000007</v>
      </c>
      <c r="R399" s="449">
        <f>($H399-SUM($L399:Q399))/R$694</f>
        <v>141.66666666666666</v>
      </c>
      <c r="S399" s="449">
        <f>($H399-SUM($L399:R399))/S$694</f>
        <v>141.66666666666666</v>
      </c>
      <c r="T399" s="449">
        <f>($H399-SUM($L399:S399))/T$694</f>
        <v>141.66666666666663</v>
      </c>
      <c r="U399" s="449">
        <f>($H399-SUM($L399:T399))/U$694</f>
        <v>141.66666666666666</v>
      </c>
      <c r="V399" s="449">
        <f>($H399-SUM($L399:U399))/V$694</f>
        <v>141.66666666666674</v>
      </c>
      <c r="W399" s="449">
        <f>($H399-SUM($L399:V399))/W$694</f>
        <v>141.66666666666697</v>
      </c>
      <c r="X399" s="449"/>
      <c r="Y399" s="449">
        <f t="shared" si="343"/>
        <v>2550</v>
      </c>
      <c r="Z399" s="531"/>
      <c r="AA399" s="449">
        <f t="shared" si="344"/>
        <v>212.5</v>
      </c>
      <c r="AB399" s="449">
        <f t="shared" si="344"/>
        <v>212.5</v>
      </c>
      <c r="AC399" s="449">
        <f t="shared" si="344"/>
        <v>212.5</v>
      </c>
      <c r="AD399" s="449">
        <f t="shared" si="344"/>
        <v>212.5</v>
      </c>
      <c r="AE399" s="449">
        <f t="shared" si="344"/>
        <v>212.5</v>
      </c>
      <c r="AF399" s="449">
        <f t="shared" si="344"/>
        <v>212.5</v>
      </c>
      <c r="AG399" s="449">
        <f t="shared" si="344"/>
        <v>212.5</v>
      </c>
      <c r="AH399" s="449">
        <f t="shared" si="344"/>
        <v>212.5</v>
      </c>
      <c r="AI399" s="449">
        <f t="shared" si="344"/>
        <v>212.5</v>
      </c>
      <c r="AJ399" s="449">
        <f t="shared" si="344"/>
        <v>212.5</v>
      </c>
      <c r="AK399" s="449">
        <f t="shared" si="344"/>
        <v>212.5</v>
      </c>
      <c r="AL399" s="449">
        <f t="shared" si="344"/>
        <v>212.5</v>
      </c>
      <c r="AN399" s="500">
        <f t="shared" si="345"/>
        <v>2550</v>
      </c>
      <c r="AO399" s="449">
        <f t="shared" si="346"/>
        <v>2101.1999999999994</v>
      </c>
      <c r="AP399" s="449">
        <f t="shared" si="347"/>
        <v>-448.80000000000064</v>
      </c>
      <c r="AQ399" s="453">
        <f t="shared" si="348"/>
        <v>-0.17600000000000024</v>
      </c>
      <c r="AR399" s="449">
        <f t="shared" si="349"/>
        <v>2101.1999999999994</v>
      </c>
      <c r="AS399" s="449">
        <f t="shared" si="350"/>
        <v>0</v>
      </c>
      <c r="AT399" s="426">
        <f t="shared" si="351"/>
        <v>0</v>
      </c>
      <c r="AU399" s="421"/>
      <c r="AV399" s="449">
        <f t="shared" si="352"/>
        <v>175.1</v>
      </c>
      <c r="AW399" s="449">
        <f t="shared" si="352"/>
        <v>175.1</v>
      </c>
      <c r="AX399" s="449">
        <f t="shared" si="352"/>
        <v>175.1</v>
      </c>
      <c r="AY399" s="449">
        <f t="shared" si="352"/>
        <v>175.1</v>
      </c>
      <c r="AZ399" s="449">
        <f t="shared" si="352"/>
        <v>175.1</v>
      </c>
      <c r="BA399" s="449">
        <f t="shared" si="352"/>
        <v>175.1</v>
      </c>
      <c r="BB399" s="449">
        <f t="shared" si="352"/>
        <v>175.1</v>
      </c>
      <c r="BC399" s="449">
        <f t="shared" si="352"/>
        <v>175.1</v>
      </c>
      <c r="BD399" s="449">
        <f t="shared" si="352"/>
        <v>175.1</v>
      </c>
      <c r="BE399" s="449">
        <f t="shared" si="352"/>
        <v>175.1</v>
      </c>
      <c r="BF399" s="449">
        <f t="shared" si="352"/>
        <v>175.1</v>
      </c>
      <c r="BG399" s="449">
        <f t="shared" si="352"/>
        <v>175.1</v>
      </c>
      <c r="BH399" s="400"/>
      <c r="BI399" s="449">
        <f>SUM('FY19 Staffing V1-1 (3)'!$S$286)/12</f>
        <v>175.1</v>
      </c>
      <c r="BJ399" s="449">
        <f>SUM('FY19 Staffing V1-1 (3)'!$S$286)/12</f>
        <v>175.1</v>
      </c>
      <c r="BK399" s="449">
        <f>SUM('FY19 Staffing V1-1 (3)'!$S$286)/12</f>
        <v>175.1</v>
      </c>
      <c r="BL399" s="449">
        <f>SUM('FY19 Staffing V1-1 (3)'!$S$286)/12</f>
        <v>175.1</v>
      </c>
      <c r="BM399" s="449">
        <f>SUM('FY19 Staffing V1-1 (3)'!$S$286)/12</f>
        <v>175.1</v>
      </c>
      <c r="BN399" s="449">
        <f>SUM('FY19 Staffing V1-1 (3)'!$S$286)/12</f>
        <v>175.1</v>
      </c>
      <c r="BO399" s="449">
        <f>SUM('FY19 Staffing V1-1 (3)'!$S$286)/12</f>
        <v>175.1</v>
      </c>
      <c r="BP399" s="449">
        <f>SUM('FY19 Staffing V1-1 (3)'!$S$286)/12</f>
        <v>175.1</v>
      </c>
      <c r="BQ399" s="449">
        <f>SUM('FY19 Staffing V1-1 (3)'!$S$286)/12</f>
        <v>175.1</v>
      </c>
      <c r="BR399" s="449">
        <f>SUM('FY19 Staffing V1-1 (3)'!$S$286)/12</f>
        <v>175.1</v>
      </c>
      <c r="BS399" s="449">
        <f>SUM('FY19 Staffing V1-1 (3)'!$S$286)/12</f>
        <v>175.1</v>
      </c>
      <c r="BT399" s="449">
        <f>SUM('FY19 Staffing V1-1 (3)'!$S$286)/12</f>
        <v>175.1</v>
      </c>
    </row>
    <row r="400" spans="1:72" ht="15" x14ac:dyDescent="0.25">
      <c r="A400" s="502" t="s">
        <v>665</v>
      </c>
      <c r="B400" s="502" t="s">
        <v>666</v>
      </c>
      <c r="C400" s="541"/>
      <c r="D400" s="500">
        <f t="shared" si="338"/>
        <v>850</v>
      </c>
      <c r="E400" s="449">
        <v>857</v>
      </c>
      <c r="F400" s="449">
        <f t="shared" si="339"/>
        <v>-7</v>
      </c>
      <c r="G400" s="421">
        <f t="shared" si="340"/>
        <v>-8.1680280046674443E-3</v>
      </c>
      <c r="H400" s="449">
        <v>850</v>
      </c>
      <c r="I400" s="449">
        <f t="shared" si="341"/>
        <v>0</v>
      </c>
      <c r="J400" s="426">
        <f t="shared" si="342"/>
        <v>0</v>
      </c>
      <c r="K400" s="421"/>
      <c r="L400" s="449">
        <v>0</v>
      </c>
      <c r="M400" s="449">
        <v>0</v>
      </c>
      <c r="N400" s="449">
        <v>0</v>
      </c>
      <c r="O400" s="449">
        <v>0</v>
      </c>
      <c r="P400" s="449">
        <v>0</v>
      </c>
      <c r="Q400" s="449">
        <v>0</v>
      </c>
      <c r="R400" s="449">
        <f>($H400-SUM($L400:Q400))/R$694</f>
        <v>141.66666666666666</v>
      </c>
      <c r="S400" s="449">
        <f>($H400-SUM($L400:R400))/S$694</f>
        <v>141.66666666666669</v>
      </c>
      <c r="T400" s="449">
        <f>($H400-SUM($L400:S400))/T$694</f>
        <v>141.66666666666666</v>
      </c>
      <c r="U400" s="449">
        <f>($H400-SUM($L400:T400))/U$694</f>
        <v>141.66666666666666</v>
      </c>
      <c r="V400" s="449">
        <f>($H400-SUM($L400:U400))/V$694</f>
        <v>141.66666666666669</v>
      </c>
      <c r="W400" s="449">
        <f>($H400-SUM($L400:V400))/W$694</f>
        <v>141.66666666666674</v>
      </c>
      <c r="X400" s="449"/>
      <c r="Y400" s="449">
        <f t="shared" si="343"/>
        <v>850</v>
      </c>
      <c r="Z400" s="531"/>
      <c r="AA400" s="449">
        <f t="shared" si="344"/>
        <v>70.833333333333329</v>
      </c>
      <c r="AB400" s="449">
        <f t="shared" si="344"/>
        <v>70.833333333333329</v>
      </c>
      <c r="AC400" s="449">
        <f t="shared" si="344"/>
        <v>70.833333333333329</v>
      </c>
      <c r="AD400" s="449">
        <f t="shared" si="344"/>
        <v>70.833333333333329</v>
      </c>
      <c r="AE400" s="449">
        <f t="shared" si="344"/>
        <v>70.833333333333329</v>
      </c>
      <c r="AF400" s="449">
        <f t="shared" si="344"/>
        <v>70.833333333333329</v>
      </c>
      <c r="AG400" s="449">
        <f t="shared" si="344"/>
        <v>70.833333333333329</v>
      </c>
      <c r="AH400" s="449">
        <f t="shared" si="344"/>
        <v>70.833333333333329</v>
      </c>
      <c r="AI400" s="449">
        <f t="shared" si="344"/>
        <v>70.833333333333329</v>
      </c>
      <c r="AJ400" s="449">
        <f t="shared" si="344"/>
        <v>70.833333333333329</v>
      </c>
      <c r="AK400" s="449">
        <f t="shared" si="344"/>
        <v>70.833333333333329</v>
      </c>
      <c r="AL400" s="449">
        <f t="shared" si="344"/>
        <v>70.833333333333329</v>
      </c>
      <c r="AN400" s="500">
        <f t="shared" si="345"/>
        <v>850</v>
      </c>
      <c r="AO400" s="449">
        <f t="shared" si="346"/>
        <v>1400.8</v>
      </c>
      <c r="AP400" s="449">
        <f t="shared" si="347"/>
        <v>550.79999999999995</v>
      </c>
      <c r="AQ400" s="453">
        <f t="shared" si="348"/>
        <v>0.64799999999999991</v>
      </c>
      <c r="AR400" s="449">
        <f t="shared" si="349"/>
        <v>1400.8</v>
      </c>
      <c r="AS400" s="449">
        <f t="shared" si="350"/>
        <v>0</v>
      </c>
      <c r="AT400" s="426">
        <f t="shared" si="351"/>
        <v>0</v>
      </c>
      <c r="AU400" s="421"/>
      <c r="AV400" s="449">
        <f t="shared" si="352"/>
        <v>116.73333333333333</v>
      </c>
      <c r="AW400" s="449">
        <f t="shared" si="352"/>
        <v>116.73333333333333</v>
      </c>
      <c r="AX400" s="449">
        <f t="shared" si="352"/>
        <v>116.73333333333333</v>
      </c>
      <c r="AY400" s="449">
        <f t="shared" si="352"/>
        <v>116.73333333333333</v>
      </c>
      <c r="AZ400" s="449">
        <f t="shared" si="352"/>
        <v>116.73333333333333</v>
      </c>
      <c r="BA400" s="449">
        <f t="shared" si="352"/>
        <v>116.73333333333333</v>
      </c>
      <c r="BB400" s="449">
        <f t="shared" si="352"/>
        <v>116.73333333333333</v>
      </c>
      <c r="BC400" s="449">
        <f t="shared" si="352"/>
        <v>116.73333333333333</v>
      </c>
      <c r="BD400" s="449">
        <f t="shared" si="352"/>
        <v>116.73333333333333</v>
      </c>
      <c r="BE400" s="449">
        <f t="shared" si="352"/>
        <v>116.73333333333333</v>
      </c>
      <c r="BF400" s="449">
        <f t="shared" si="352"/>
        <v>116.73333333333333</v>
      </c>
      <c r="BG400" s="449">
        <f t="shared" si="352"/>
        <v>116.73333333333333</v>
      </c>
      <c r="BH400" s="400"/>
      <c r="BI400" s="449">
        <f>SUM('FY19 Staffing V1-1 (3)'!$S$287)/12</f>
        <v>116.73333333333333</v>
      </c>
      <c r="BJ400" s="449">
        <f>SUM('FY19 Staffing V1-1 (3)'!$S$287)/12</f>
        <v>116.73333333333333</v>
      </c>
      <c r="BK400" s="449">
        <f>SUM('FY19 Staffing V1-1 (3)'!$S$287)/12</f>
        <v>116.73333333333333</v>
      </c>
      <c r="BL400" s="449">
        <f>SUM('FY19 Staffing V1-1 (3)'!$S$287)/12</f>
        <v>116.73333333333333</v>
      </c>
      <c r="BM400" s="449">
        <f>SUM('FY19 Staffing V1-1 (3)'!$S$287)/12</f>
        <v>116.73333333333333</v>
      </c>
      <c r="BN400" s="449">
        <f>SUM('FY19 Staffing V1-1 (3)'!$S$287)/12</f>
        <v>116.73333333333333</v>
      </c>
      <c r="BO400" s="449">
        <f>SUM('FY19 Staffing V1-1 (3)'!$S$287)/12</f>
        <v>116.73333333333333</v>
      </c>
      <c r="BP400" s="449">
        <f>SUM('FY19 Staffing V1-1 (3)'!$S$287)/12</f>
        <v>116.73333333333333</v>
      </c>
      <c r="BQ400" s="449">
        <f>SUM('FY19 Staffing V1-1 (3)'!$S$287)/12</f>
        <v>116.73333333333333</v>
      </c>
      <c r="BR400" s="449">
        <f>SUM('FY19 Staffing V1-1 (3)'!$S$287)/12</f>
        <v>116.73333333333333</v>
      </c>
      <c r="BS400" s="449">
        <f>SUM('FY19 Staffing V1-1 (3)'!$S$287)/12</f>
        <v>116.73333333333333</v>
      </c>
      <c r="BT400" s="449">
        <f>SUM('FY19 Staffing V1-1 (3)'!$S$287)/12</f>
        <v>116.73333333333333</v>
      </c>
    </row>
    <row r="401" spans="1:72" ht="15" x14ac:dyDescent="0.25">
      <c r="A401" s="502" t="s">
        <v>667</v>
      </c>
      <c r="B401" s="502" t="s">
        <v>668</v>
      </c>
      <c r="C401" s="630"/>
      <c r="D401" s="500">
        <f t="shared" si="338"/>
        <v>169048</v>
      </c>
      <c r="E401" s="449">
        <v>169048</v>
      </c>
      <c r="F401" s="449">
        <f t="shared" si="339"/>
        <v>0</v>
      </c>
      <c r="G401" s="421">
        <f t="shared" si="340"/>
        <v>0</v>
      </c>
      <c r="H401" s="449">
        <v>169048</v>
      </c>
      <c r="I401" s="449">
        <f t="shared" si="341"/>
        <v>0</v>
      </c>
      <c r="J401" s="426">
        <f t="shared" si="342"/>
        <v>0</v>
      </c>
      <c r="K401" s="421"/>
      <c r="L401" s="449">
        <v>4903.8500000000004</v>
      </c>
      <c r="M401" s="449">
        <v>9480.7999999999993</v>
      </c>
      <c r="N401" s="449">
        <v>6865.3900000000012</v>
      </c>
      <c r="O401" s="449">
        <v>6538.4599999999991</v>
      </c>
      <c r="P401" s="449">
        <v>6538.4599999999991</v>
      </c>
      <c r="Q401" s="449">
        <v>8173.0800000000017</v>
      </c>
      <c r="R401" s="449">
        <f>($H401-SUM($L401:Q401))/R$694</f>
        <v>21091.326666666664</v>
      </c>
      <c r="S401" s="449">
        <f>($H401-SUM($L401:R401))/S$694</f>
        <v>21091.326666666668</v>
      </c>
      <c r="T401" s="449">
        <f>($H401-SUM($L401:S401))/T$694</f>
        <v>21091.326666666668</v>
      </c>
      <c r="U401" s="449">
        <f>($H401-SUM($L401:T401))/U$694</f>
        <v>21091.326666666671</v>
      </c>
      <c r="V401" s="449">
        <f>($H401-SUM($L401:U401))/V$694</f>
        <v>21091.326666666668</v>
      </c>
      <c r="W401" s="449">
        <f>($H401-SUM($L401:V401))/W$694</f>
        <v>21091.32666666666</v>
      </c>
      <c r="X401" s="449"/>
      <c r="Y401" s="449">
        <f t="shared" si="343"/>
        <v>169048</v>
      </c>
      <c r="Z401" s="531"/>
      <c r="AA401" s="449">
        <f t="shared" si="344"/>
        <v>14087.333333333334</v>
      </c>
      <c r="AB401" s="449">
        <f t="shared" si="344"/>
        <v>14087.333333333334</v>
      </c>
      <c r="AC401" s="449">
        <f t="shared" si="344"/>
        <v>14087.333333333334</v>
      </c>
      <c r="AD401" s="449">
        <f t="shared" si="344"/>
        <v>14087.333333333334</v>
      </c>
      <c r="AE401" s="449">
        <f t="shared" si="344"/>
        <v>14087.333333333334</v>
      </c>
      <c r="AF401" s="449">
        <f t="shared" si="344"/>
        <v>14087.333333333334</v>
      </c>
      <c r="AG401" s="449">
        <f t="shared" si="344"/>
        <v>14087.333333333334</v>
      </c>
      <c r="AH401" s="449">
        <f t="shared" si="344"/>
        <v>14087.333333333334</v>
      </c>
      <c r="AI401" s="449">
        <f t="shared" si="344"/>
        <v>14087.333333333334</v>
      </c>
      <c r="AJ401" s="449">
        <f t="shared" si="344"/>
        <v>14087.333333333334</v>
      </c>
      <c r="AK401" s="449">
        <f t="shared" si="344"/>
        <v>14087.333333333334</v>
      </c>
      <c r="AL401" s="449">
        <f t="shared" si="344"/>
        <v>14087.333333333334</v>
      </c>
      <c r="AN401" s="500">
        <f t="shared" si="345"/>
        <v>169048</v>
      </c>
      <c r="AO401" s="449">
        <f t="shared" si="346"/>
        <v>88400.000000000015</v>
      </c>
      <c r="AP401" s="449">
        <f t="shared" si="347"/>
        <v>-80647.999999999985</v>
      </c>
      <c r="AQ401" s="453">
        <f t="shared" si="348"/>
        <v>-0.47707160096540618</v>
      </c>
      <c r="AR401" s="449">
        <f t="shared" si="349"/>
        <v>88400.000000000015</v>
      </c>
      <c r="AS401" s="449">
        <f t="shared" si="350"/>
        <v>0</v>
      </c>
      <c r="AT401" s="426">
        <f t="shared" si="351"/>
        <v>0</v>
      </c>
      <c r="AU401" s="421"/>
      <c r="AV401" s="449">
        <f t="shared" si="352"/>
        <v>7366.666666666667</v>
      </c>
      <c r="AW401" s="449">
        <f t="shared" si="352"/>
        <v>7366.666666666667</v>
      </c>
      <c r="AX401" s="449">
        <f t="shared" si="352"/>
        <v>7366.666666666667</v>
      </c>
      <c r="AY401" s="449">
        <f t="shared" si="352"/>
        <v>7366.666666666667</v>
      </c>
      <c r="AZ401" s="449">
        <f t="shared" si="352"/>
        <v>7366.666666666667</v>
      </c>
      <c r="BA401" s="449">
        <f t="shared" si="352"/>
        <v>7366.666666666667</v>
      </c>
      <c r="BB401" s="449">
        <f t="shared" si="352"/>
        <v>7366.666666666667</v>
      </c>
      <c r="BC401" s="449">
        <f t="shared" si="352"/>
        <v>7366.666666666667</v>
      </c>
      <c r="BD401" s="449">
        <f t="shared" si="352"/>
        <v>7366.666666666667</v>
      </c>
      <c r="BE401" s="449">
        <f t="shared" si="352"/>
        <v>7366.666666666667</v>
      </c>
      <c r="BF401" s="449">
        <f t="shared" si="352"/>
        <v>7366.666666666667</v>
      </c>
      <c r="BG401" s="449">
        <f t="shared" si="352"/>
        <v>7366.666666666667</v>
      </c>
      <c r="BH401" s="400"/>
      <c r="BI401" s="449">
        <f>SUM('FY19 Staffing V1-1 (3)'!$P$215)/12</f>
        <v>7366.666666666667</v>
      </c>
      <c r="BJ401" s="449">
        <f>SUM('FY19 Staffing V1-1 (3)'!$P$215)/12</f>
        <v>7366.666666666667</v>
      </c>
      <c r="BK401" s="449">
        <f>SUM('FY19 Staffing V1-1 (3)'!$P$215)/12</f>
        <v>7366.666666666667</v>
      </c>
      <c r="BL401" s="449">
        <f>SUM('FY19 Staffing V1-1 (3)'!$P$215)/12</f>
        <v>7366.666666666667</v>
      </c>
      <c r="BM401" s="449">
        <f>SUM('FY19 Staffing V1-1 (3)'!$P$215)/12</f>
        <v>7366.666666666667</v>
      </c>
      <c r="BN401" s="449">
        <f>SUM('FY19 Staffing V1-1 (3)'!$P$215)/12</f>
        <v>7366.666666666667</v>
      </c>
      <c r="BO401" s="449">
        <f>SUM('FY19 Staffing V1-1 (3)'!$P$215)/12</f>
        <v>7366.666666666667</v>
      </c>
      <c r="BP401" s="449">
        <f>SUM('FY19 Staffing V1-1 (3)'!$P$215)/12</f>
        <v>7366.666666666667</v>
      </c>
      <c r="BQ401" s="449">
        <f>SUM('FY19 Staffing V1-1 (3)'!$P$215)/12</f>
        <v>7366.666666666667</v>
      </c>
      <c r="BR401" s="449">
        <f>SUM('FY19 Staffing V1-1 (3)'!$P$215)/12</f>
        <v>7366.666666666667</v>
      </c>
      <c r="BS401" s="449">
        <f>SUM('FY19 Staffing V1-1 (3)'!$P$215)/12</f>
        <v>7366.666666666667</v>
      </c>
      <c r="BT401" s="449">
        <f>SUM('FY19 Staffing V1-1 (3)'!$P$215)/12</f>
        <v>7366.666666666667</v>
      </c>
    </row>
    <row r="402" spans="1:72" ht="15" x14ac:dyDescent="0.25">
      <c r="A402" s="502" t="s">
        <v>669</v>
      </c>
      <c r="B402" s="502" t="s">
        <v>670</v>
      </c>
      <c r="C402" s="630"/>
      <c r="D402" s="500">
        <f t="shared" si="338"/>
        <v>43503.09</v>
      </c>
      <c r="E402" s="449">
        <v>0</v>
      </c>
      <c r="F402" s="449">
        <f t="shared" si="339"/>
        <v>43503.09</v>
      </c>
      <c r="G402" s="421">
        <f t="shared" si="340"/>
        <v>0</v>
      </c>
      <c r="H402" s="449">
        <v>0</v>
      </c>
      <c r="I402" s="449">
        <f t="shared" si="341"/>
        <v>43503.09</v>
      </c>
      <c r="J402" s="426">
        <f t="shared" si="342"/>
        <v>0</v>
      </c>
      <c r="K402" s="421"/>
      <c r="L402" s="449">
        <v>5019.49</v>
      </c>
      <c r="M402" s="449">
        <v>9704.56</v>
      </c>
      <c r="N402" s="449">
        <v>7027.4400000000023</v>
      </c>
      <c r="O402" s="449">
        <v>6692.7999999999993</v>
      </c>
      <c r="P402" s="449">
        <v>6692.7999999999956</v>
      </c>
      <c r="Q402" s="449">
        <v>8366</v>
      </c>
      <c r="R402" s="449">
        <v>0</v>
      </c>
      <c r="S402" s="449">
        <v>0</v>
      </c>
      <c r="T402" s="449">
        <v>0</v>
      </c>
      <c r="U402" s="449">
        <v>0</v>
      </c>
      <c r="V402" s="449">
        <v>0</v>
      </c>
      <c r="W402" s="449">
        <v>0</v>
      </c>
      <c r="X402" s="449"/>
      <c r="Y402" s="449">
        <f t="shared" si="343"/>
        <v>43503.09</v>
      </c>
      <c r="Z402" s="531"/>
      <c r="AA402" s="449">
        <f t="shared" ref="AA402:AL417" si="353">IFERROR($H402/12,0)</f>
        <v>0</v>
      </c>
      <c r="AB402" s="449">
        <f t="shared" si="353"/>
        <v>0</v>
      </c>
      <c r="AC402" s="449">
        <f t="shared" si="353"/>
        <v>0</v>
      </c>
      <c r="AD402" s="449">
        <f t="shared" si="353"/>
        <v>0</v>
      </c>
      <c r="AE402" s="449">
        <f t="shared" si="353"/>
        <v>0</v>
      </c>
      <c r="AF402" s="449">
        <f t="shared" si="353"/>
        <v>0</v>
      </c>
      <c r="AG402" s="449">
        <f t="shared" si="353"/>
        <v>0</v>
      </c>
      <c r="AH402" s="449">
        <f t="shared" si="353"/>
        <v>0</v>
      </c>
      <c r="AI402" s="449">
        <f t="shared" si="353"/>
        <v>0</v>
      </c>
      <c r="AJ402" s="449">
        <f t="shared" si="353"/>
        <v>0</v>
      </c>
      <c r="AK402" s="449">
        <f t="shared" si="353"/>
        <v>0</v>
      </c>
      <c r="AL402" s="449">
        <f t="shared" si="353"/>
        <v>0</v>
      </c>
      <c r="AN402" s="500">
        <f t="shared" si="345"/>
        <v>43503.09</v>
      </c>
      <c r="AO402" s="449">
        <f t="shared" si="346"/>
        <v>90480</v>
      </c>
      <c r="AP402" s="449">
        <f t="shared" si="347"/>
        <v>46976.91</v>
      </c>
      <c r="AQ402" s="453">
        <f t="shared" si="348"/>
        <v>1.0798522587705841</v>
      </c>
      <c r="AR402" s="449">
        <f t="shared" si="349"/>
        <v>90480</v>
      </c>
      <c r="AS402" s="449">
        <f t="shared" si="350"/>
        <v>0</v>
      </c>
      <c r="AT402" s="426">
        <f t="shared" si="351"/>
        <v>0</v>
      </c>
      <c r="AU402" s="421"/>
      <c r="AV402" s="449">
        <f t="shared" si="352"/>
        <v>7540</v>
      </c>
      <c r="AW402" s="449">
        <f t="shared" si="352"/>
        <v>7540</v>
      </c>
      <c r="AX402" s="449">
        <f t="shared" si="352"/>
        <v>7540</v>
      </c>
      <c r="AY402" s="449">
        <f t="shared" si="352"/>
        <v>7540</v>
      </c>
      <c r="AZ402" s="449">
        <f t="shared" si="352"/>
        <v>7540</v>
      </c>
      <c r="BA402" s="449">
        <f t="shared" si="352"/>
        <v>7540</v>
      </c>
      <c r="BB402" s="449">
        <f t="shared" si="352"/>
        <v>7540</v>
      </c>
      <c r="BC402" s="449">
        <f t="shared" si="352"/>
        <v>7540</v>
      </c>
      <c r="BD402" s="449">
        <f t="shared" si="352"/>
        <v>7540</v>
      </c>
      <c r="BE402" s="449">
        <f t="shared" si="352"/>
        <v>7540</v>
      </c>
      <c r="BF402" s="449">
        <f t="shared" si="352"/>
        <v>7540</v>
      </c>
      <c r="BG402" s="449">
        <f t="shared" si="352"/>
        <v>7540</v>
      </c>
      <c r="BH402" s="400"/>
      <c r="BI402" s="449">
        <f>SUM('FY19 Staffing V1-1 (3)'!$P$216)/12</f>
        <v>7540</v>
      </c>
      <c r="BJ402" s="449">
        <f>SUM('FY19 Staffing V1-1 (3)'!$P$216)/12</f>
        <v>7540</v>
      </c>
      <c r="BK402" s="449">
        <f>SUM('FY19 Staffing V1-1 (3)'!$P$216)/12</f>
        <v>7540</v>
      </c>
      <c r="BL402" s="449">
        <f>SUM('FY19 Staffing V1-1 (3)'!$P$216)/12</f>
        <v>7540</v>
      </c>
      <c r="BM402" s="449">
        <f>SUM('FY19 Staffing V1-1 (3)'!$P$216)/12</f>
        <v>7540</v>
      </c>
      <c r="BN402" s="449">
        <f>SUM('FY19 Staffing V1-1 (3)'!$P$216)/12</f>
        <v>7540</v>
      </c>
      <c r="BO402" s="449">
        <f>SUM('FY19 Staffing V1-1 (3)'!$P$216)/12</f>
        <v>7540</v>
      </c>
      <c r="BP402" s="449">
        <f>SUM('FY19 Staffing V1-1 (3)'!$P$216)/12</f>
        <v>7540</v>
      </c>
      <c r="BQ402" s="449">
        <f>SUM('FY19 Staffing V1-1 (3)'!$P$216)/12</f>
        <v>7540</v>
      </c>
      <c r="BR402" s="449">
        <f>SUM('FY19 Staffing V1-1 (3)'!$P$216)/12</f>
        <v>7540</v>
      </c>
      <c r="BS402" s="449">
        <f>SUM('FY19 Staffing V1-1 (3)'!$P$216)/12</f>
        <v>7540</v>
      </c>
      <c r="BT402" s="449">
        <f>SUM('FY19 Staffing V1-1 (3)'!$P$216)/12</f>
        <v>7540</v>
      </c>
    </row>
    <row r="403" spans="1:72" ht="15" x14ac:dyDescent="0.25">
      <c r="A403" s="502" t="s">
        <v>671</v>
      </c>
      <c r="B403" s="502" t="s">
        <v>672</v>
      </c>
      <c r="C403" s="630"/>
      <c r="D403" s="500">
        <f t="shared" si="338"/>
        <v>62000</v>
      </c>
      <c r="E403" s="449">
        <v>62000</v>
      </c>
      <c r="F403" s="449">
        <f t="shared" si="339"/>
        <v>0</v>
      </c>
      <c r="G403" s="421">
        <f t="shared" si="340"/>
        <v>0</v>
      </c>
      <c r="H403" s="449">
        <v>62000</v>
      </c>
      <c r="I403" s="449">
        <f t="shared" si="341"/>
        <v>0</v>
      </c>
      <c r="J403" s="426">
        <f t="shared" si="342"/>
        <v>0</v>
      </c>
      <c r="K403" s="421"/>
      <c r="L403" s="449">
        <v>3576.94</v>
      </c>
      <c r="M403" s="449">
        <v>6915.4</v>
      </c>
      <c r="N403" s="449">
        <v>5007.7000000000007</v>
      </c>
      <c r="O403" s="449">
        <v>4769.239999999998</v>
      </c>
      <c r="P403" s="449">
        <v>4769.2400000000016</v>
      </c>
      <c r="Q403" s="449">
        <v>5961.5499999999993</v>
      </c>
      <c r="R403" s="449">
        <f>($H403-SUM($L403:Q403))/R$694</f>
        <v>5166.6549999999997</v>
      </c>
      <c r="S403" s="449">
        <f>($H403-SUM($L403:R403))/S$694</f>
        <v>5166.6550000000007</v>
      </c>
      <c r="T403" s="449">
        <f>($H403-SUM($L403:S403))/T$694</f>
        <v>5166.6550000000007</v>
      </c>
      <c r="U403" s="449">
        <f>($H403-SUM($L403:T403))/U$694</f>
        <v>5166.6550000000016</v>
      </c>
      <c r="V403" s="449">
        <f>($H403-SUM($L403:U403))/V$694</f>
        <v>5166.6550000000025</v>
      </c>
      <c r="W403" s="449">
        <f>($H403-SUM($L403:V403))/W$694</f>
        <v>5166.6549999999988</v>
      </c>
      <c r="X403" s="449"/>
      <c r="Y403" s="449">
        <f t="shared" si="343"/>
        <v>62000</v>
      </c>
      <c r="Z403" s="531"/>
      <c r="AA403" s="449">
        <f t="shared" si="353"/>
        <v>5166.666666666667</v>
      </c>
      <c r="AB403" s="449">
        <f t="shared" si="353"/>
        <v>5166.666666666667</v>
      </c>
      <c r="AC403" s="449">
        <f t="shared" si="353"/>
        <v>5166.666666666667</v>
      </c>
      <c r="AD403" s="449">
        <f t="shared" si="353"/>
        <v>5166.666666666667</v>
      </c>
      <c r="AE403" s="449">
        <f t="shared" si="353"/>
        <v>5166.666666666667</v>
      </c>
      <c r="AF403" s="449">
        <f t="shared" si="353"/>
        <v>5166.666666666667</v>
      </c>
      <c r="AG403" s="449">
        <f t="shared" si="353"/>
        <v>5166.666666666667</v>
      </c>
      <c r="AH403" s="449">
        <f t="shared" si="353"/>
        <v>5166.666666666667</v>
      </c>
      <c r="AI403" s="449">
        <f t="shared" si="353"/>
        <v>5166.666666666667</v>
      </c>
      <c r="AJ403" s="449">
        <f t="shared" si="353"/>
        <v>5166.666666666667</v>
      </c>
      <c r="AK403" s="449">
        <f t="shared" si="353"/>
        <v>5166.666666666667</v>
      </c>
      <c r="AL403" s="449">
        <f t="shared" si="353"/>
        <v>5166.666666666667</v>
      </c>
      <c r="AN403" s="500">
        <f t="shared" si="345"/>
        <v>62000</v>
      </c>
      <c r="AO403" s="449">
        <f t="shared" si="346"/>
        <v>63859.999999999993</v>
      </c>
      <c r="AP403" s="449">
        <f t="shared" si="347"/>
        <v>1859.9999999999927</v>
      </c>
      <c r="AQ403" s="453">
        <f t="shared" si="348"/>
        <v>2.9999999999999881E-2</v>
      </c>
      <c r="AR403" s="449">
        <f t="shared" si="349"/>
        <v>63859.999999999993</v>
      </c>
      <c r="AS403" s="449">
        <f t="shared" si="350"/>
        <v>0</v>
      </c>
      <c r="AT403" s="426">
        <f t="shared" si="351"/>
        <v>0</v>
      </c>
      <c r="AU403" s="421"/>
      <c r="AV403" s="449">
        <f t="shared" si="352"/>
        <v>5321.666666666667</v>
      </c>
      <c r="AW403" s="449">
        <f t="shared" si="352"/>
        <v>5321.666666666667</v>
      </c>
      <c r="AX403" s="449">
        <f t="shared" si="352"/>
        <v>5321.666666666667</v>
      </c>
      <c r="AY403" s="449">
        <f t="shared" si="352"/>
        <v>5321.666666666667</v>
      </c>
      <c r="AZ403" s="449">
        <f t="shared" si="352"/>
        <v>5321.666666666667</v>
      </c>
      <c r="BA403" s="449">
        <f t="shared" si="352"/>
        <v>5321.666666666667</v>
      </c>
      <c r="BB403" s="449">
        <f t="shared" si="352"/>
        <v>5321.666666666667</v>
      </c>
      <c r="BC403" s="449">
        <f t="shared" si="352"/>
        <v>5321.666666666667</v>
      </c>
      <c r="BD403" s="449">
        <f t="shared" si="352"/>
        <v>5321.666666666667</v>
      </c>
      <c r="BE403" s="449">
        <f t="shared" si="352"/>
        <v>5321.666666666667</v>
      </c>
      <c r="BF403" s="449">
        <f t="shared" si="352"/>
        <v>5321.666666666667</v>
      </c>
      <c r="BG403" s="449">
        <f t="shared" si="352"/>
        <v>5321.666666666667</v>
      </c>
      <c r="BH403" s="400"/>
      <c r="BI403" s="449">
        <f>SUM('FY19 Staffing V1-1 (3)'!$P$217)/12</f>
        <v>5321.666666666667</v>
      </c>
      <c r="BJ403" s="449">
        <f>SUM('FY19 Staffing V1-1 (3)'!$P$217)/12</f>
        <v>5321.666666666667</v>
      </c>
      <c r="BK403" s="449">
        <f>SUM('FY19 Staffing V1-1 (3)'!$P$217)/12</f>
        <v>5321.666666666667</v>
      </c>
      <c r="BL403" s="449">
        <f>SUM('FY19 Staffing V1-1 (3)'!$P$217)/12</f>
        <v>5321.666666666667</v>
      </c>
      <c r="BM403" s="449">
        <f>SUM('FY19 Staffing V1-1 (3)'!$P$217)/12</f>
        <v>5321.666666666667</v>
      </c>
      <c r="BN403" s="449">
        <f>SUM('FY19 Staffing V1-1 (3)'!$P$217)/12</f>
        <v>5321.666666666667</v>
      </c>
      <c r="BO403" s="449">
        <f>SUM('FY19 Staffing V1-1 (3)'!$P$217)/12</f>
        <v>5321.666666666667</v>
      </c>
      <c r="BP403" s="449">
        <f>SUM('FY19 Staffing V1-1 (3)'!$P$217)/12</f>
        <v>5321.666666666667</v>
      </c>
      <c r="BQ403" s="449">
        <f>SUM('FY19 Staffing V1-1 (3)'!$P$217)/12</f>
        <v>5321.666666666667</v>
      </c>
      <c r="BR403" s="449">
        <f>SUM('FY19 Staffing V1-1 (3)'!$P$217)/12</f>
        <v>5321.666666666667</v>
      </c>
      <c r="BS403" s="449">
        <f>SUM('FY19 Staffing V1-1 (3)'!$P$217)/12</f>
        <v>5321.666666666667</v>
      </c>
      <c r="BT403" s="449">
        <f>SUM('FY19 Staffing V1-1 (3)'!$P$217)/12</f>
        <v>5321.666666666667</v>
      </c>
    </row>
    <row r="404" spans="1:72" ht="15" x14ac:dyDescent="0.25">
      <c r="A404" s="502" t="s">
        <v>673</v>
      </c>
      <c r="B404" s="502" t="s">
        <v>674</v>
      </c>
      <c r="C404" s="630"/>
      <c r="D404" s="500">
        <f t="shared" si="338"/>
        <v>69000</v>
      </c>
      <c r="E404" s="449">
        <v>124000</v>
      </c>
      <c r="F404" s="449">
        <f t="shared" si="339"/>
        <v>-55000</v>
      </c>
      <c r="G404" s="421">
        <f t="shared" si="340"/>
        <v>-0.44354838709677419</v>
      </c>
      <c r="H404" s="449">
        <v>69000</v>
      </c>
      <c r="I404" s="449">
        <f t="shared" si="341"/>
        <v>0</v>
      </c>
      <c r="J404" s="426">
        <f t="shared" si="342"/>
        <v>0</v>
      </c>
      <c r="K404" s="421"/>
      <c r="L404" s="449">
        <v>3980.54</v>
      </c>
      <c r="M404" s="449">
        <v>7695.44</v>
      </c>
      <c r="N404" s="449">
        <v>5572.5600000000013</v>
      </c>
      <c r="O404" s="449">
        <v>5307.2000000000007</v>
      </c>
      <c r="P404" s="449">
        <v>5307.1999999999971</v>
      </c>
      <c r="Q404" s="449">
        <v>6634.0000000000036</v>
      </c>
      <c r="R404" s="449">
        <f>($H404-SUM($L404:Q404))/R$694</f>
        <v>5750.5099999999993</v>
      </c>
      <c r="S404" s="449">
        <f>($H404-SUM($L404:R404))/S$694</f>
        <v>5750.5099999999993</v>
      </c>
      <c r="T404" s="449">
        <f>($H404-SUM($L404:S404))/T$694</f>
        <v>5750.5099999999984</v>
      </c>
      <c r="U404" s="449">
        <f>($H404-SUM($L404:T404))/U$694</f>
        <v>5750.5099999999993</v>
      </c>
      <c r="V404" s="449">
        <f>($H404-SUM($L404:U404))/V$694</f>
        <v>5750.5099999999984</v>
      </c>
      <c r="W404" s="449">
        <f>($H404-SUM($L404:V404))/W$694</f>
        <v>5750.5099999999948</v>
      </c>
      <c r="X404" s="449"/>
      <c r="Y404" s="449">
        <f t="shared" si="343"/>
        <v>69000</v>
      </c>
      <c r="Z404" s="531"/>
      <c r="AA404" s="449">
        <f t="shared" si="353"/>
        <v>5750</v>
      </c>
      <c r="AB404" s="449">
        <f t="shared" si="353"/>
        <v>5750</v>
      </c>
      <c r="AC404" s="449">
        <f t="shared" si="353"/>
        <v>5750</v>
      </c>
      <c r="AD404" s="449">
        <f t="shared" si="353"/>
        <v>5750</v>
      </c>
      <c r="AE404" s="449">
        <f t="shared" si="353"/>
        <v>5750</v>
      </c>
      <c r="AF404" s="449">
        <f t="shared" si="353"/>
        <v>5750</v>
      </c>
      <c r="AG404" s="449">
        <f t="shared" si="353"/>
        <v>5750</v>
      </c>
      <c r="AH404" s="449">
        <f t="shared" si="353"/>
        <v>5750</v>
      </c>
      <c r="AI404" s="449">
        <f t="shared" si="353"/>
        <v>5750</v>
      </c>
      <c r="AJ404" s="449">
        <f t="shared" si="353"/>
        <v>5750</v>
      </c>
      <c r="AK404" s="449">
        <f t="shared" si="353"/>
        <v>5750</v>
      </c>
      <c r="AL404" s="449">
        <f t="shared" si="353"/>
        <v>5750</v>
      </c>
      <c r="AN404" s="500">
        <f t="shared" si="345"/>
        <v>69000</v>
      </c>
      <c r="AO404" s="449">
        <f t="shared" si="346"/>
        <v>141069.99999999997</v>
      </c>
      <c r="AP404" s="449">
        <f t="shared" si="347"/>
        <v>72069.999999999971</v>
      </c>
      <c r="AQ404" s="453">
        <f t="shared" si="348"/>
        <v>1.0444927536231881</v>
      </c>
      <c r="AR404" s="449">
        <f t="shared" si="349"/>
        <v>141069.99999999997</v>
      </c>
      <c r="AS404" s="449">
        <f t="shared" si="350"/>
        <v>0</v>
      </c>
      <c r="AT404" s="426">
        <f t="shared" si="351"/>
        <v>0</v>
      </c>
      <c r="AU404" s="421"/>
      <c r="AV404" s="449">
        <f t="shared" si="352"/>
        <v>11755.833333333334</v>
      </c>
      <c r="AW404" s="449">
        <f t="shared" si="352"/>
        <v>11755.833333333334</v>
      </c>
      <c r="AX404" s="449">
        <f t="shared" si="352"/>
        <v>11755.833333333334</v>
      </c>
      <c r="AY404" s="449">
        <f t="shared" si="352"/>
        <v>11755.833333333334</v>
      </c>
      <c r="AZ404" s="449">
        <f t="shared" si="352"/>
        <v>11755.833333333334</v>
      </c>
      <c r="BA404" s="449">
        <f t="shared" si="352"/>
        <v>11755.833333333334</v>
      </c>
      <c r="BB404" s="449">
        <f t="shared" si="352"/>
        <v>11755.833333333334</v>
      </c>
      <c r="BC404" s="449">
        <f t="shared" si="352"/>
        <v>11755.833333333334</v>
      </c>
      <c r="BD404" s="449">
        <f t="shared" si="352"/>
        <v>11755.833333333334</v>
      </c>
      <c r="BE404" s="449">
        <f t="shared" si="352"/>
        <v>11755.833333333334</v>
      </c>
      <c r="BF404" s="449">
        <f t="shared" si="352"/>
        <v>11755.833333333334</v>
      </c>
      <c r="BG404" s="449">
        <f t="shared" si="352"/>
        <v>11755.833333333334</v>
      </c>
      <c r="BH404" s="400"/>
      <c r="BI404" s="449">
        <f>SUM('FY19 Staffing V1-1 (3)'!$P$218:$P$219)/12</f>
        <v>11755.833333333334</v>
      </c>
      <c r="BJ404" s="449">
        <f>SUM('FY19 Staffing V1-1 (3)'!$P$218:$P$219)/12</f>
        <v>11755.833333333334</v>
      </c>
      <c r="BK404" s="449">
        <f>SUM('FY19 Staffing V1-1 (3)'!$P$218:$P$219)/12</f>
        <v>11755.833333333334</v>
      </c>
      <c r="BL404" s="449">
        <f>SUM('FY19 Staffing V1-1 (3)'!$P$218:$P$219)/12</f>
        <v>11755.833333333334</v>
      </c>
      <c r="BM404" s="449">
        <f>SUM('FY19 Staffing V1-1 (3)'!$P$218:$P$219)/12</f>
        <v>11755.833333333334</v>
      </c>
      <c r="BN404" s="449">
        <f>SUM('FY19 Staffing V1-1 (3)'!$P$218:$P$219)/12</f>
        <v>11755.833333333334</v>
      </c>
      <c r="BO404" s="449">
        <f>SUM('FY19 Staffing V1-1 (3)'!$P$218:$P$219)/12</f>
        <v>11755.833333333334</v>
      </c>
      <c r="BP404" s="449">
        <f>SUM('FY19 Staffing V1-1 (3)'!$P$218:$P$219)/12</f>
        <v>11755.833333333334</v>
      </c>
      <c r="BQ404" s="449">
        <f>SUM('FY19 Staffing V1-1 (3)'!$P$218:$P$219)/12</f>
        <v>11755.833333333334</v>
      </c>
      <c r="BR404" s="449">
        <f>SUM('FY19 Staffing V1-1 (3)'!$P$218:$P$219)/12</f>
        <v>11755.833333333334</v>
      </c>
      <c r="BS404" s="449">
        <f>SUM('FY19 Staffing V1-1 (3)'!$P$218:$P$219)/12</f>
        <v>11755.833333333334</v>
      </c>
      <c r="BT404" s="449">
        <f>SUM('FY19 Staffing V1-1 (3)'!$P$218:$P$219)/12</f>
        <v>11755.833333333334</v>
      </c>
    </row>
    <row r="405" spans="1:72" ht="15" x14ac:dyDescent="0.25">
      <c r="A405" s="502" t="s">
        <v>675</v>
      </c>
      <c r="B405" s="502" t="s">
        <v>676</v>
      </c>
      <c r="C405" s="630"/>
      <c r="D405" s="500">
        <f t="shared" si="338"/>
        <v>0</v>
      </c>
      <c r="E405" s="449">
        <v>0</v>
      </c>
      <c r="F405" s="449">
        <f t="shared" si="339"/>
        <v>0</v>
      </c>
      <c r="G405" s="421">
        <f t="shared" si="340"/>
        <v>0</v>
      </c>
      <c r="H405" s="449">
        <v>0</v>
      </c>
      <c r="I405" s="449">
        <f t="shared" si="341"/>
        <v>0</v>
      </c>
      <c r="J405" s="426">
        <f t="shared" si="342"/>
        <v>0</v>
      </c>
      <c r="K405" s="421"/>
      <c r="L405" s="449">
        <v>0</v>
      </c>
      <c r="M405" s="449">
        <v>0</v>
      </c>
      <c r="N405" s="449">
        <v>0</v>
      </c>
      <c r="O405" s="449">
        <v>0</v>
      </c>
      <c r="P405" s="449">
        <v>0</v>
      </c>
      <c r="Q405" s="449">
        <v>0</v>
      </c>
      <c r="R405" s="449">
        <f>($H405-SUM($L405:Q405))/R$694</f>
        <v>0</v>
      </c>
      <c r="S405" s="449">
        <f>($H405-SUM($L405:R405))/S$694</f>
        <v>0</v>
      </c>
      <c r="T405" s="449">
        <f>($H405-SUM($L405:S405))/T$694</f>
        <v>0</v>
      </c>
      <c r="U405" s="449">
        <f>($H405-SUM($L405:T405))/U$694</f>
        <v>0</v>
      </c>
      <c r="V405" s="449">
        <f>($H405-SUM($L405:U405))/V$694</f>
        <v>0</v>
      </c>
      <c r="W405" s="449">
        <f>($H405-SUM($L405:V405))/W$694</f>
        <v>0</v>
      </c>
      <c r="X405" s="449"/>
      <c r="Y405" s="449">
        <f t="shared" si="343"/>
        <v>0</v>
      </c>
      <c r="Z405" s="531"/>
      <c r="AA405" s="449">
        <f t="shared" si="353"/>
        <v>0</v>
      </c>
      <c r="AB405" s="449">
        <f t="shared" si="353"/>
        <v>0</v>
      </c>
      <c r="AC405" s="449">
        <f t="shared" si="353"/>
        <v>0</v>
      </c>
      <c r="AD405" s="449">
        <f t="shared" si="353"/>
        <v>0</v>
      </c>
      <c r="AE405" s="449">
        <f t="shared" si="353"/>
        <v>0</v>
      </c>
      <c r="AF405" s="449">
        <f t="shared" si="353"/>
        <v>0</v>
      </c>
      <c r="AG405" s="449">
        <f t="shared" si="353"/>
        <v>0</v>
      </c>
      <c r="AH405" s="449">
        <f t="shared" si="353"/>
        <v>0</v>
      </c>
      <c r="AI405" s="449">
        <f t="shared" si="353"/>
        <v>0</v>
      </c>
      <c r="AJ405" s="449">
        <f t="shared" si="353"/>
        <v>0</v>
      </c>
      <c r="AK405" s="449">
        <f t="shared" si="353"/>
        <v>0</v>
      </c>
      <c r="AL405" s="449">
        <f t="shared" si="353"/>
        <v>0</v>
      </c>
      <c r="AN405" s="500">
        <f t="shared" si="345"/>
        <v>0</v>
      </c>
      <c r="AO405" s="449">
        <f t="shared" si="346"/>
        <v>0</v>
      </c>
      <c r="AP405" s="449">
        <f t="shared" si="347"/>
        <v>0</v>
      </c>
      <c r="AQ405" s="453" t="str">
        <f t="shared" si="348"/>
        <v>-</v>
      </c>
      <c r="AR405" s="449">
        <f t="shared" si="349"/>
        <v>0</v>
      </c>
      <c r="AS405" s="449">
        <f t="shared" si="350"/>
        <v>0</v>
      </c>
      <c r="AT405" s="426">
        <f t="shared" si="351"/>
        <v>0</v>
      </c>
      <c r="AU405" s="421"/>
      <c r="AV405" s="449">
        <f t="shared" si="352"/>
        <v>0</v>
      </c>
      <c r="AW405" s="449">
        <f t="shared" si="352"/>
        <v>0</v>
      </c>
      <c r="AX405" s="449">
        <f t="shared" si="352"/>
        <v>0</v>
      </c>
      <c r="AY405" s="449">
        <f t="shared" si="352"/>
        <v>0</v>
      </c>
      <c r="AZ405" s="449">
        <f t="shared" si="352"/>
        <v>0</v>
      </c>
      <c r="BA405" s="449">
        <f t="shared" si="352"/>
        <v>0</v>
      </c>
      <c r="BB405" s="449">
        <f t="shared" si="352"/>
        <v>0</v>
      </c>
      <c r="BC405" s="449">
        <f t="shared" si="352"/>
        <v>0</v>
      </c>
      <c r="BD405" s="449">
        <f t="shared" si="352"/>
        <v>0</v>
      </c>
      <c r="BE405" s="449">
        <f t="shared" si="352"/>
        <v>0</v>
      </c>
      <c r="BF405" s="449">
        <f t="shared" si="352"/>
        <v>0</v>
      </c>
      <c r="BG405" s="449">
        <f t="shared" si="352"/>
        <v>0</v>
      </c>
      <c r="BH405" s="400"/>
      <c r="BI405" s="449">
        <v>0</v>
      </c>
      <c r="BJ405" s="449">
        <v>0</v>
      </c>
      <c r="BK405" s="449">
        <v>0</v>
      </c>
      <c r="BL405" s="449">
        <v>0</v>
      </c>
      <c r="BM405" s="449">
        <v>0</v>
      </c>
      <c r="BN405" s="449">
        <v>0</v>
      </c>
      <c r="BO405" s="449">
        <v>0</v>
      </c>
      <c r="BP405" s="449">
        <v>0</v>
      </c>
      <c r="BQ405" s="449">
        <v>0</v>
      </c>
      <c r="BR405" s="449">
        <v>0</v>
      </c>
      <c r="BS405" s="449">
        <v>0</v>
      </c>
      <c r="BT405" s="449">
        <v>0</v>
      </c>
    </row>
    <row r="406" spans="1:72" ht="15" x14ac:dyDescent="0.25">
      <c r="A406" s="502" t="s">
        <v>677</v>
      </c>
      <c r="B406" s="502" t="s">
        <v>678</v>
      </c>
      <c r="C406" s="630"/>
      <c r="D406" s="500">
        <f t="shared" si="338"/>
        <v>112289</v>
      </c>
      <c r="E406" s="449">
        <v>112289</v>
      </c>
      <c r="F406" s="449">
        <f t="shared" si="339"/>
        <v>0</v>
      </c>
      <c r="G406" s="421">
        <f t="shared" si="340"/>
        <v>0</v>
      </c>
      <c r="H406" s="449">
        <v>112289</v>
      </c>
      <c r="I406" s="449">
        <f t="shared" si="341"/>
        <v>0</v>
      </c>
      <c r="J406" s="426">
        <f t="shared" si="342"/>
        <v>0</v>
      </c>
      <c r="K406" s="421"/>
      <c r="L406" s="449">
        <v>6663.75</v>
      </c>
      <c r="M406" s="449">
        <v>9494.64</v>
      </c>
      <c r="N406" s="449">
        <v>8111.93</v>
      </c>
      <c r="O406" s="449">
        <v>20590.21</v>
      </c>
      <c r="P406" s="449">
        <v>20731.020000000004</v>
      </c>
      <c r="Q406" s="449">
        <v>11469.160000000003</v>
      </c>
      <c r="R406" s="449">
        <f>($H406-SUM($L406:Q406))/R$694</f>
        <v>5871.3816666666653</v>
      </c>
      <c r="S406" s="449">
        <f>($H406-SUM($L406:R406))/S$694</f>
        <v>5871.3816666666653</v>
      </c>
      <c r="T406" s="449">
        <f>($H406-SUM($L406:S406))/T$694</f>
        <v>5871.3816666666644</v>
      </c>
      <c r="U406" s="449">
        <f>($H406-SUM($L406:T406))/U$694</f>
        <v>5871.3816666666635</v>
      </c>
      <c r="V406" s="449">
        <f>($H406-SUM($L406:U406))/V$694</f>
        <v>5871.3816666666607</v>
      </c>
      <c r="W406" s="449">
        <f>($H406-SUM($L406:V406))/W$694</f>
        <v>5871.3816666666535</v>
      </c>
      <c r="X406" s="449"/>
      <c r="Y406" s="449">
        <f t="shared" si="343"/>
        <v>112289</v>
      </c>
      <c r="Z406" s="531"/>
      <c r="AA406" s="449">
        <f t="shared" si="353"/>
        <v>9357.4166666666661</v>
      </c>
      <c r="AB406" s="449">
        <f t="shared" si="353"/>
        <v>9357.4166666666661</v>
      </c>
      <c r="AC406" s="449">
        <f t="shared" si="353"/>
        <v>9357.4166666666661</v>
      </c>
      <c r="AD406" s="449">
        <f t="shared" si="353"/>
        <v>9357.4166666666661</v>
      </c>
      <c r="AE406" s="449">
        <f t="shared" si="353"/>
        <v>9357.4166666666661</v>
      </c>
      <c r="AF406" s="449">
        <f t="shared" si="353"/>
        <v>9357.4166666666661</v>
      </c>
      <c r="AG406" s="449">
        <f t="shared" si="353"/>
        <v>9357.4166666666661</v>
      </c>
      <c r="AH406" s="449">
        <f t="shared" si="353"/>
        <v>9357.4166666666661</v>
      </c>
      <c r="AI406" s="449">
        <f t="shared" si="353"/>
        <v>9357.4166666666661</v>
      </c>
      <c r="AJ406" s="449">
        <f t="shared" si="353"/>
        <v>9357.4166666666661</v>
      </c>
      <c r="AK406" s="449">
        <f t="shared" si="353"/>
        <v>9357.4166666666661</v>
      </c>
      <c r="AL406" s="449">
        <f t="shared" si="353"/>
        <v>9357.4166666666661</v>
      </c>
      <c r="AN406" s="500">
        <f t="shared" si="345"/>
        <v>112289</v>
      </c>
      <c r="AO406" s="449">
        <f t="shared" si="346"/>
        <v>45523.94</v>
      </c>
      <c r="AP406" s="449">
        <f t="shared" si="347"/>
        <v>-66765.06</v>
      </c>
      <c r="AQ406" s="453">
        <f t="shared" si="348"/>
        <v>-0.59458237227154931</v>
      </c>
      <c r="AR406" s="449">
        <f t="shared" si="349"/>
        <v>45523.94</v>
      </c>
      <c r="AS406" s="449">
        <f t="shared" si="350"/>
        <v>0</v>
      </c>
      <c r="AT406" s="426">
        <f t="shared" si="351"/>
        <v>0</v>
      </c>
      <c r="AU406" s="421"/>
      <c r="AV406" s="449">
        <f t="shared" si="352"/>
        <v>3793.6616666666669</v>
      </c>
      <c r="AW406" s="449">
        <f t="shared" si="352"/>
        <v>3793.6616666666669</v>
      </c>
      <c r="AX406" s="449">
        <f t="shared" si="352"/>
        <v>3793.6616666666669</v>
      </c>
      <c r="AY406" s="449">
        <f t="shared" si="352"/>
        <v>3793.6616666666669</v>
      </c>
      <c r="AZ406" s="449">
        <f t="shared" si="352"/>
        <v>3793.6616666666669</v>
      </c>
      <c r="BA406" s="449">
        <f t="shared" si="352"/>
        <v>3793.6616666666669</v>
      </c>
      <c r="BB406" s="449">
        <f t="shared" si="352"/>
        <v>3793.6616666666669</v>
      </c>
      <c r="BC406" s="449">
        <f t="shared" si="352"/>
        <v>3793.6616666666669</v>
      </c>
      <c r="BD406" s="449">
        <f t="shared" si="352"/>
        <v>3793.6616666666669</v>
      </c>
      <c r="BE406" s="449">
        <f t="shared" si="352"/>
        <v>3793.6616666666669</v>
      </c>
      <c r="BF406" s="449">
        <f t="shared" si="352"/>
        <v>3793.6616666666669</v>
      </c>
      <c r="BG406" s="449">
        <f t="shared" si="352"/>
        <v>3793.6616666666669</v>
      </c>
      <c r="BH406" s="400"/>
      <c r="BI406" s="449">
        <f>SUM('FY19 Staffing V1-1 (3)'!$P$276:$P$278)/12</f>
        <v>3793.6616666666669</v>
      </c>
      <c r="BJ406" s="449">
        <f>SUM('FY19 Staffing V1-1 (3)'!$P$276:$P$278)/12</f>
        <v>3793.6616666666669</v>
      </c>
      <c r="BK406" s="449">
        <f>SUM('FY19 Staffing V1-1 (3)'!$P$276:$P$278)/12</f>
        <v>3793.6616666666669</v>
      </c>
      <c r="BL406" s="449">
        <f>SUM('FY19 Staffing V1-1 (3)'!$P$276:$P$278)/12</f>
        <v>3793.6616666666669</v>
      </c>
      <c r="BM406" s="449">
        <f>SUM('FY19 Staffing V1-1 (3)'!$P$276:$P$278)/12</f>
        <v>3793.6616666666669</v>
      </c>
      <c r="BN406" s="449">
        <f>SUM('FY19 Staffing V1-1 (3)'!$P$276:$P$278)/12</f>
        <v>3793.6616666666669</v>
      </c>
      <c r="BO406" s="449">
        <f>SUM('FY19 Staffing V1-1 (3)'!$P$276:$P$278)/12</f>
        <v>3793.6616666666669</v>
      </c>
      <c r="BP406" s="449">
        <f>SUM('FY19 Staffing V1-1 (3)'!$P$276:$P$278)/12</f>
        <v>3793.6616666666669</v>
      </c>
      <c r="BQ406" s="449">
        <f>SUM('FY19 Staffing V1-1 (3)'!$P$276:$P$278)/12</f>
        <v>3793.6616666666669</v>
      </c>
      <c r="BR406" s="449">
        <f>SUM('FY19 Staffing V1-1 (3)'!$P$276:$P$278)/12</f>
        <v>3793.6616666666669</v>
      </c>
      <c r="BS406" s="449">
        <f>SUM('FY19 Staffing V1-1 (3)'!$P$276:$P$278)/12</f>
        <v>3793.6616666666669</v>
      </c>
      <c r="BT406" s="449">
        <f>SUM('FY19 Staffing V1-1 (3)'!$P$276:$P$278)/12</f>
        <v>3793.6616666666669</v>
      </c>
    </row>
    <row r="407" spans="1:72" ht="15" x14ac:dyDescent="0.25">
      <c r="A407" s="537" t="s">
        <v>679</v>
      </c>
      <c r="B407" s="537" t="s">
        <v>680</v>
      </c>
      <c r="C407" s="630"/>
      <c r="D407" s="500">
        <f>SUM(L407:W407)</f>
        <v>0</v>
      </c>
      <c r="E407" s="449">
        <v>0</v>
      </c>
      <c r="F407" s="449">
        <f t="shared" si="339"/>
        <v>0</v>
      </c>
      <c r="G407" s="421">
        <f t="shared" si="340"/>
        <v>0</v>
      </c>
      <c r="H407" s="449">
        <v>0</v>
      </c>
      <c r="I407" s="449">
        <f t="shared" si="341"/>
        <v>0</v>
      </c>
      <c r="J407" s="426">
        <f t="shared" si="342"/>
        <v>0</v>
      </c>
      <c r="K407" s="421"/>
      <c r="L407" s="449">
        <v>0</v>
      </c>
      <c r="M407" s="449">
        <v>0</v>
      </c>
      <c r="N407" s="449">
        <v>0</v>
      </c>
      <c r="O407" s="449">
        <v>0</v>
      </c>
      <c r="P407" s="449">
        <v>0</v>
      </c>
      <c r="Q407" s="449">
        <v>0</v>
      </c>
      <c r="R407" s="449">
        <f>($H407-SUM($L407:Q407))/R$694</f>
        <v>0</v>
      </c>
      <c r="S407" s="449">
        <f>($H407-SUM($L407:R407))/S$694</f>
        <v>0</v>
      </c>
      <c r="T407" s="449">
        <f>($H407-SUM($L407:S407))/T$694</f>
        <v>0</v>
      </c>
      <c r="U407" s="449">
        <f>($H407-SUM($L407:T407))/U$694</f>
        <v>0</v>
      </c>
      <c r="V407" s="449">
        <f>($H407-SUM($L407:U407))/V$694</f>
        <v>0</v>
      </c>
      <c r="W407" s="449">
        <f>($H407-SUM($L407:V407))/W$694</f>
        <v>0</v>
      </c>
      <c r="X407" s="449"/>
      <c r="Y407" s="449">
        <f t="shared" si="343"/>
        <v>0</v>
      </c>
      <c r="Z407" s="531"/>
      <c r="AA407" s="449">
        <f t="shared" si="353"/>
        <v>0</v>
      </c>
      <c r="AB407" s="449">
        <f t="shared" si="353"/>
        <v>0</v>
      </c>
      <c r="AC407" s="449">
        <f t="shared" si="353"/>
        <v>0</v>
      </c>
      <c r="AD407" s="449">
        <f t="shared" si="353"/>
        <v>0</v>
      </c>
      <c r="AE407" s="449">
        <f t="shared" si="353"/>
        <v>0</v>
      </c>
      <c r="AF407" s="449">
        <f t="shared" si="353"/>
        <v>0</v>
      </c>
      <c r="AG407" s="449">
        <f t="shared" si="353"/>
        <v>0</v>
      </c>
      <c r="AH407" s="449">
        <f t="shared" si="353"/>
        <v>0</v>
      </c>
      <c r="AI407" s="449">
        <f t="shared" si="353"/>
        <v>0</v>
      </c>
      <c r="AJ407" s="449">
        <f t="shared" si="353"/>
        <v>0</v>
      </c>
      <c r="AK407" s="449">
        <f t="shared" si="353"/>
        <v>0</v>
      </c>
      <c r="AL407" s="449">
        <f t="shared" si="353"/>
        <v>0</v>
      </c>
      <c r="AN407" s="500">
        <f>SUM(L407:W407)</f>
        <v>0</v>
      </c>
      <c r="AO407" s="449">
        <f>SUM(BI407:BT407)</f>
        <v>0</v>
      </c>
      <c r="AP407" s="449">
        <f t="shared" si="347"/>
        <v>0</v>
      </c>
      <c r="AQ407" s="453" t="str">
        <f t="shared" si="348"/>
        <v>-</v>
      </c>
      <c r="AR407" s="449">
        <f t="shared" si="349"/>
        <v>0</v>
      </c>
      <c r="AS407" s="449">
        <f t="shared" si="350"/>
        <v>0</v>
      </c>
      <c r="AT407" s="426">
        <f t="shared" si="351"/>
        <v>0</v>
      </c>
      <c r="AU407" s="421"/>
      <c r="AV407" s="449">
        <f t="shared" si="352"/>
        <v>0</v>
      </c>
      <c r="AW407" s="449">
        <f t="shared" si="352"/>
        <v>0</v>
      </c>
      <c r="AX407" s="449">
        <f t="shared" si="352"/>
        <v>0</v>
      </c>
      <c r="AY407" s="449">
        <f t="shared" ref="AY407:BG422" si="354">BL407</f>
        <v>0</v>
      </c>
      <c r="AZ407" s="449">
        <f t="shared" si="354"/>
        <v>0</v>
      </c>
      <c r="BA407" s="449">
        <f t="shared" si="354"/>
        <v>0</v>
      </c>
      <c r="BB407" s="449">
        <f t="shared" si="354"/>
        <v>0</v>
      </c>
      <c r="BC407" s="449">
        <f t="shared" si="354"/>
        <v>0</v>
      </c>
      <c r="BD407" s="449">
        <f t="shared" si="354"/>
        <v>0</v>
      </c>
      <c r="BE407" s="449">
        <f t="shared" si="354"/>
        <v>0</v>
      </c>
      <c r="BF407" s="449">
        <f t="shared" si="354"/>
        <v>0</v>
      </c>
      <c r="BG407" s="449">
        <f t="shared" si="354"/>
        <v>0</v>
      </c>
      <c r="BH407" s="400"/>
      <c r="BI407" s="449">
        <v>0</v>
      </c>
      <c r="BJ407" s="449">
        <v>0</v>
      </c>
      <c r="BK407" s="449">
        <v>0</v>
      </c>
      <c r="BL407" s="449">
        <v>0</v>
      </c>
      <c r="BM407" s="449">
        <v>0</v>
      </c>
      <c r="BN407" s="449">
        <v>0</v>
      </c>
      <c r="BO407" s="449">
        <v>0</v>
      </c>
      <c r="BP407" s="449">
        <v>0</v>
      </c>
      <c r="BQ407" s="449">
        <v>0</v>
      </c>
      <c r="BR407" s="449">
        <v>0</v>
      </c>
      <c r="BS407" s="449">
        <v>0</v>
      </c>
      <c r="BT407" s="449">
        <v>0</v>
      </c>
    </row>
    <row r="408" spans="1:72" ht="15" x14ac:dyDescent="0.25">
      <c r="A408" s="502" t="s">
        <v>681</v>
      </c>
      <c r="B408" s="502" t="s">
        <v>682</v>
      </c>
      <c r="C408" s="630"/>
      <c r="D408" s="500">
        <f t="shared" si="338"/>
        <v>6000</v>
      </c>
      <c r="E408" s="449">
        <v>6000</v>
      </c>
      <c r="F408" s="449">
        <f t="shared" si="339"/>
        <v>0</v>
      </c>
      <c r="G408" s="421">
        <f t="shared" si="340"/>
        <v>0</v>
      </c>
      <c r="H408" s="449">
        <v>6000</v>
      </c>
      <c r="I408" s="449">
        <f t="shared" si="341"/>
        <v>0</v>
      </c>
      <c r="J408" s="426">
        <f t="shared" si="342"/>
        <v>0</v>
      </c>
      <c r="K408" s="421"/>
      <c r="L408" s="449">
        <v>0</v>
      </c>
      <c r="M408" s="449">
        <v>0</v>
      </c>
      <c r="N408" s="449">
        <v>0</v>
      </c>
      <c r="O408" s="449">
        <v>3000</v>
      </c>
      <c r="P408" s="449">
        <v>0</v>
      </c>
      <c r="Q408" s="449">
        <v>0</v>
      </c>
      <c r="R408" s="449">
        <f>($H408-SUM($L408:Q408))/R$694</f>
        <v>500</v>
      </c>
      <c r="S408" s="449">
        <f>($H408-SUM($L408:R408))/S$694</f>
        <v>500</v>
      </c>
      <c r="T408" s="449">
        <f>($H408-SUM($L408:S408))/T$694</f>
        <v>500</v>
      </c>
      <c r="U408" s="449">
        <f>($H408-SUM($L408:T408))/U$694</f>
        <v>500</v>
      </c>
      <c r="V408" s="449">
        <f>($H408-SUM($L408:U408))/V$694</f>
        <v>500</v>
      </c>
      <c r="W408" s="449">
        <f>($H408-SUM($L408:V408))/W$694</f>
        <v>500</v>
      </c>
      <c r="X408" s="449"/>
      <c r="Y408" s="449">
        <f t="shared" si="343"/>
        <v>6000</v>
      </c>
      <c r="Z408" s="531"/>
      <c r="AA408" s="449">
        <f t="shared" si="353"/>
        <v>500</v>
      </c>
      <c r="AB408" s="449">
        <f t="shared" si="353"/>
        <v>500</v>
      </c>
      <c r="AC408" s="449">
        <f t="shared" si="353"/>
        <v>500</v>
      </c>
      <c r="AD408" s="449">
        <f t="shared" si="353"/>
        <v>500</v>
      </c>
      <c r="AE408" s="449">
        <f t="shared" si="353"/>
        <v>500</v>
      </c>
      <c r="AF408" s="449">
        <f t="shared" si="353"/>
        <v>500</v>
      </c>
      <c r="AG408" s="449">
        <f t="shared" si="353"/>
        <v>500</v>
      </c>
      <c r="AH408" s="449">
        <f t="shared" si="353"/>
        <v>500</v>
      </c>
      <c r="AI408" s="449">
        <f t="shared" si="353"/>
        <v>500</v>
      </c>
      <c r="AJ408" s="449">
        <f t="shared" si="353"/>
        <v>500</v>
      </c>
      <c r="AK408" s="449">
        <f t="shared" si="353"/>
        <v>500</v>
      </c>
      <c r="AL408" s="449">
        <f t="shared" si="353"/>
        <v>500</v>
      </c>
      <c r="AN408" s="500">
        <f t="shared" si="345"/>
        <v>6000</v>
      </c>
      <c r="AO408" s="449">
        <f t="shared" si="346"/>
        <v>3000</v>
      </c>
      <c r="AP408" s="449">
        <f t="shared" si="347"/>
        <v>-3000</v>
      </c>
      <c r="AQ408" s="453">
        <f t="shared" si="348"/>
        <v>-0.5</v>
      </c>
      <c r="AR408" s="449">
        <f t="shared" si="349"/>
        <v>3000</v>
      </c>
      <c r="AS408" s="449">
        <f t="shared" si="350"/>
        <v>0</v>
      </c>
      <c r="AT408" s="426">
        <f t="shared" si="351"/>
        <v>0</v>
      </c>
      <c r="AU408" s="421"/>
      <c r="AV408" s="449">
        <f t="shared" ref="AV408:BG440" si="355">BI408</f>
        <v>0</v>
      </c>
      <c r="AW408" s="449">
        <f t="shared" si="355"/>
        <v>0</v>
      </c>
      <c r="AX408" s="449">
        <f t="shared" si="355"/>
        <v>0</v>
      </c>
      <c r="AY408" s="449">
        <f t="shared" si="354"/>
        <v>3000</v>
      </c>
      <c r="AZ408" s="449">
        <f t="shared" si="354"/>
        <v>0</v>
      </c>
      <c r="BA408" s="449">
        <f t="shared" si="354"/>
        <v>0</v>
      </c>
      <c r="BB408" s="449">
        <f t="shared" si="354"/>
        <v>0</v>
      </c>
      <c r="BC408" s="449">
        <f t="shared" si="354"/>
        <v>0</v>
      </c>
      <c r="BD408" s="449">
        <f t="shared" si="354"/>
        <v>0</v>
      </c>
      <c r="BE408" s="449">
        <f t="shared" si="354"/>
        <v>0</v>
      </c>
      <c r="BF408" s="449">
        <f t="shared" si="354"/>
        <v>0</v>
      </c>
      <c r="BG408" s="449">
        <f t="shared" si="354"/>
        <v>0</v>
      </c>
      <c r="BH408" s="400"/>
      <c r="BI408" s="449">
        <v>0</v>
      </c>
      <c r="BJ408" s="449">
        <v>0</v>
      </c>
      <c r="BK408" s="449">
        <v>0</v>
      </c>
      <c r="BL408" s="449">
        <f>SUM('FY19 Staffing V1-1 (3)'!$J$215)</f>
        <v>3000</v>
      </c>
      <c r="BM408" s="449">
        <v>0</v>
      </c>
      <c r="BN408" s="449">
        <v>0</v>
      </c>
      <c r="BO408" s="449">
        <v>0</v>
      </c>
      <c r="BP408" s="449">
        <v>0</v>
      </c>
      <c r="BQ408" s="449">
        <v>0</v>
      </c>
      <c r="BR408" s="449">
        <v>0</v>
      </c>
      <c r="BS408" s="449">
        <v>0</v>
      </c>
      <c r="BT408" s="449">
        <v>0</v>
      </c>
    </row>
    <row r="409" spans="1:72" ht="15" x14ac:dyDescent="0.25">
      <c r="A409" s="537" t="s">
        <v>683</v>
      </c>
      <c r="B409" s="537" t="s">
        <v>684</v>
      </c>
      <c r="C409" s="630"/>
      <c r="D409" s="500">
        <f>SUM(L409:W409)</f>
        <v>0</v>
      </c>
      <c r="E409" s="449">
        <v>0</v>
      </c>
      <c r="F409" s="449">
        <f t="shared" si="339"/>
        <v>0</v>
      </c>
      <c r="G409" s="421">
        <f t="shared" si="340"/>
        <v>0</v>
      </c>
      <c r="H409" s="449">
        <v>0</v>
      </c>
      <c r="I409" s="449">
        <f t="shared" si="341"/>
        <v>0</v>
      </c>
      <c r="J409" s="426">
        <f t="shared" si="342"/>
        <v>0</v>
      </c>
      <c r="K409" s="421"/>
      <c r="L409" s="449">
        <v>0</v>
      </c>
      <c r="M409" s="449">
        <v>0</v>
      </c>
      <c r="N409" s="449">
        <v>0</v>
      </c>
      <c r="O409" s="449">
        <v>0</v>
      </c>
      <c r="P409" s="449">
        <v>0</v>
      </c>
      <c r="Q409" s="449">
        <v>0</v>
      </c>
      <c r="R409" s="449">
        <f>($H409-SUM($L409:Q409))/R$694</f>
        <v>0</v>
      </c>
      <c r="S409" s="449">
        <f>($H409-SUM($L409:R409))/S$694</f>
        <v>0</v>
      </c>
      <c r="T409" s="449">
        <f>($H409-SUM($L409:S409))/T$694</f>
        <v>0</v>
      </c>
      <c r="U409" s="449">
        <f>($H409-SUM($L409:T409))/U$694</f>
        <v>0</v>
      </c>
      <c r="V409" s="449">
        <f>($H409-SUM($L409:U409))/V$694</f>
        <v>0</v>
      </c>
      <c r="W409" s="449">
        <f>($H409-SUM($L409:V409))/W$694</f>
        <v>0</v>
      </c>
      <c r="X409" s="449"/>
      <c r="Y409" s="449">
        <f t="shared" si="343"/>
        <v>0</v>
      </c>
      <c r="Z409" s="531"/>
      <c r="AA409" s="449">
        <f t="shared" si="353"/>
        <v>0</v>
      </c>
      <c r="AB409" s="449">
        <f t="shared" si="353"/>
        <v>0</v>
      </c>
      <c r="AC409" s="449">
        <f t="shared" si="353"/>
        <v>0</v>
      </c>
      <c r="AD409" s="449">
        <f t="shared" si="353"/>
        <v>0</v>
      </c>
      <c r="AE409" s="449">
        <f t="shared" si="353"/>
        <v>0</v>
      </c>
      <c r="AF409" s="449">
        <f t="shared" si="353"/>
        <v>0</v>
      </c>
      <c r="AG409" s="449">
        <f t="shared" si="353"/>
        <v>0</v>
      </c>
      <c r="AH409" s="449">
        <f t="shared" si="353"/>
        <v>0</v>
      </c>
      <c r="AI409" s="449">
        <f t="shared" si="353"/>
        <v>0</v>
      </c>
      <c r="AJ409" s="449">
        <f t="shared" si="353"/>
        <v>0</v>
      </c>
      <c r="AK409" s="449">
        <f t="shared" si="353"/>
        <v>0</v>
      </c>
      <c r="AL409" s="449">
        <f t="shared" si="353"/>
        <v>0</v>
      </c>
      <c r="AN409" s="500">
        <f>SUM(L409:W409)</f>
        <v>0</v>
      </c>
      <c r="AO409" s="449">
        <f>SUM(BI409:BT409)</f>
        <v>3000</v>
      </c>
      <c r="AP409" s="449">
        <f t="shared" si="347"/>
        <v>3000</v>
      </c>
      <c r="AQ409" s="453" t="str">
        <f t="shared" si="348"/>
        <v>-</v>
      </c>
      <c r="AR409" s="449">
        <f t="shared" si="349"/>
        <v>3000</v>
      </c>
      <c r="AS409" s="449">
        <f t="shared" si="350"/>
        <v>0</v>
      </c>
      <c r="AT409" s="426">
        <f t="shared" si="351"/>
        <v>0</v>
      </c>
      <c r="AU409" s="421"/>
      <c r="AV409" s="449">
        <f t="shared" si="355"/>
        <v>0</v>
      </c>
      <c r="AW409" s="449">
        <f t="shared" si="355"/>
        <v>0</v>
      </c>
      <c r="AX409" s="449">
        <f t="shared" si="355"/>
        <v>0</v>
      </c>
      <c r="AY409" s="449">
        <f t="shared" si="354"/>
        <v>3000</v>
      </c>
      <c r="AZ409" s="449">
        <f t="shared" si="354"/>
        <v>0</v>
      </c>
      <c r="BA409" s="449">
        <f t="shared" si="354"/>
        <v>0</v>
      </c>
      <c r="BB409" s="449">
        <f t="shared" si="354"/>
        <v>0</v>
      </c>
      <c r="BC409" s="449">
        <f t="shared" si="354"/>
        <v>0</v>
      </c>
      <c r="BD409" s="449">
        <f t="shared" si="354"/>
        <v>0</v>
      </c>
      <c r="BE409" s="449">
        <f t="shared" si="354"/>
        <v>0</v>
      </c>
      <c r="BF409" s="449">
        <f t="shared" si="354"/>
        <v>0</v>
      </c>
      <c r="BG409" s="449">
        <f t="shared" si="354"/>
        <v>0</v>
      </c>
      <c r="BH409" s="400"/>
      <c r="BI409" s="449">
        <v>0</v>
      </c>
      <c r="BJ409" s="449">
        <v>0</v>
      </c>
      <c r="BK409" s="449">
        <v>0</v>
      </c>
      <c r="BL409" s="449">
        <f>SUM('FY19 Staffing V1-1 (3)'!$J$216)</f>
        <v>3000</v>
      </c>
      <c r="BM409" s="449">
        <v>0</v>
      </c>
      <c r="BN409" s="449">
        <v>0</v>
      </c>
      <c r="BO409" s="449">
        <v>0</v>
      </c>
      <c r="BP409" s="449">
        <v>0</v>
      </c>
      <c r="BQ409" s="449">
        <v>0</v>
      </c>
      <c r="BR409" s="449">
        <v>0</v>
      </c>
      <c r="BS409" s="449">
        <v>0</v>
      </c>
      <c r="BT409" s="449">
        <v>0</v>
      </c>
    </row>
    <row r="410" spans="1:72" ht="15" x14ac:dyDescent="0.25">
      <c r="A410" s="502" t="s">
        <v>685</v>
      </c>
      <c r="B410" s="502" t="s">
        <v>686</v>
      </c>
      <c r="C410" s="630"/>
      <c r="D410" s="500">
        <f t="shared" si="338"/>
        <v>3000</v>
      </c>
      <c r="E410" s="449">
        <v>0</v>
      </c>
      <c r="F410" s="449">
        <f t="shared" si="339"/>
        <v>3000</v>
      </c>
      <c r="G410" s="421">
        <f t="shared" si="340"/>
        <v>0</v>
      </c>
      <c r="H410" s="449">
        <v>0</v>
      </c>
      <c r="I410" s="449">
        <f t="shared" si="341"/>
        <v>3000</v>
      </c>
      <c r="J410" s="426">
        <f t="shared" si="342"/>
        <v>0</v>
      </c>
      <c r="K410" s="421"/>
      <c r="L410" s="449">
        <v>0</v>
      </c>
      <c r="M410" s="449">
        <v>0</v>
      </c>
      <c r="N410" s="449">
        <v>0</v>
      </c>
      <c r="O410" s="449">
        <v>3000</v>
      </c>
      <c r="P410" s="449">
        <v>0</v>
      </c>
      <c r="Q410" s="449">
        <v>0</v>
      </c>
      <c r="R410" s="449">
        <v>0</v>
      </c>
      <c r="S410" s="449">
        <v>0</v>
      </c>
      <c r="T410" s="449">
        <v>0</v>
      </c>
      <c r="U410" s="449">
        <v>0</v>
      </c>
      <c r="V410" s="449">
        <v>0</v>
      </c>
      <c r="W410" s="449">
        <v>0</v>
      </c>
      <c r="X410" s="449"/>
      <c r="Y410" s="449">
        <f t="shared" si="343"/>
        <v>3000</v>
      </c>
      <c r="Z410" s="531"/>
      <c r="AA410" s="449">
        <f t="shared" si="353"/>
        <v>0</v>
      </c>
      <c r="AB410" s="449">
        <f t="shared" si="353"/>
        <v>0</v>
      </c>
      <c r="AC410" s="449">
        <f t="shared" si="353"/>
        <v>0</v>
      </c>
      <c r="AD410" s="449">
        <f t="shared" si="353"/>
        <v>0</v>
      </c>
      <c r="AE410" s="449">
        <f t="shared" si="353"/>
        <v>0</v>
      </c>
      <c r="AF410" s="449">
        <f t="shared" si="353"/>
        <v>0</v>
      </c>
      <c r="AG410" s="449">
        <f t="shared" si="353"/>
        <v>0</v>
      </c>
      <c r="AH410" s="449">
        <f t="shared" si="353"/>
        <v>0</v>
      </c>
      <c r="AI410" s="449">
        <f t="shared" si="353"/>
        <v>0</v>
      </c>
      <c r="AJ410" s="449">
        <f t="shared" si="353"/>
        <v>0</v>
      </c>
      <c r="AK410" s="449">
        <f t="shared" si="353"/>
        <v>0</v>
      </c>
      <c r="AL410" s="449">
        <f t="shared" si="353"/>
        <v>0</v>
      </c>
      <c r="AN410" s="500">
        <f t="shared" si="345"/>
        <v>3000</v>
      </c>
      <c r="AO410" s="449">
        <f t="shared" si="346"/>
        <v>3000</v>
      </c>
      <c r="AP410" s="449">
        <f t="shared" si="347"/>
        <v>0</v>
      </c>
      <c r="AQ410" s="453">
        <f t="shared" si="348"/>
        <v>0</v>
      </c>
      <c r="AR410" s="449">
        <f t="shared" si="349"/>
        <v>3000</v>
      </c>
      <c r="AS410" s="449">
        <f t="shared" si="350"/>
        <v>0</v>
      </c>
      <c r="AT410" s="426">
        <f t="shared" si="351"/>
        <v>0</v>
      </c>
      <c r="AU410" s="421"/>
      <c r="AV410" s="449">
        <f t="shared" si="355"/>
        <v>0</v>
      </c>
      <c r="AW410" s="449">
        <f t="shared" si="355"/>
        <v>0</v>
      </c>
      <c r="AX410" s="449">
        <f t="shared" si="355"/>
        <v>0</v>
      </c>
      <c r="AY410" s="449">
        <f t="shared" si="354"/>
        <v>3000</v>
      </c>
      <c r="AZ410" s="449">
        <f t="shared" si="354"/>
        <v>0</v>
      </c>
      <c r="BA410" s="449">
        <f t="shared" si="354"/>
        <v>0</v>
      </c>
      <c r="BB410" s="449">
        <f t="shared" si="354"/>
        <v>0</v>
      </c>
      <c r="BC410" s="449">
        <f t="shared" si="354"/>
        <v>0</v>
      </c>
      <c r="BD410" s="449">
        <f t="shared" si="354"/>
        <v>0</v>
      </c>
      <c r="BE410" s="449">
        <f t="shared" si="354"/>
        <v>0</v>
      </c>
      <c r="BF410" s="449">
        <f t="shared" si="354"/>
        <v>0</v>
      </c>
      <c r="BG410" s="449">
        <f t="shared" si="354"/>
        <v>0</v>
      </c>
      <c r="BH410" s="400"/>
      <c r="BI410" s="449">
        <v>0</v>
      </c>
      <c r="BJ410" s="449">
        <v>0</v>
      </c>
      <c r="BK410" s="449">
        <v>0</v>
      </c>
      <c r="BL410" s="449">
        <f>SUM('FY19 Staffing V1-1 (3)'!$J$217)</f>
        <v>3000</v>
      </c>
      <c r="BM410" s="449">
        <v>0</v>
      </c>
      <c r="BN410" s="449">
        <v>0</v>
      </c>
      <c r="BO410" s="449">
        <v>0</v>
      </c>
      <c r="BP410" s="449">
        <v>0</v>
      </c>
      <c r="BQ410" s="449">
        <v>0</v>
      </c>
      <c r="BR410" s="449">
        <v>0</v>
      </c>
      <c r="BS410" s="449">
        <v>0</v>
      </c>
      <c r="BT410" s="449">
        <v>0</v>
      </c>
    </row>
    <row r="411" spans="1:72" ht="15" x14ac:dyDescent="0.25">
      <c r="A411" s="537" t="s">
        <v>687</v>
      </c>
      <c r="B411" s="537" t="s">
        <v>688</v>
      </c>
      <c r="C411" s="630"/>
      <c r="D411" s="500">
        <f>SUM(L411:W411)</f>
        <v>0</v>
      </c>
      <c r="E411" s="449">
        <v>0</v>
      </c>
      <c r="F411" s="449">
        <f t="shared" si="339"/>
        <v>0</v>
      </c>
      <c r="G411" s="421">
        <f t="shared" si="340"/>
        <v>0</v>
      </c>
      <c r="H411" s="449">
        <v>0</v>
      </c>
      <c r="I411" s="449">
        <f t="shared" si="341"/>
        <v>0</v>
      </c>
      <c r="J411" s="426">
        <f t="shared" si="342"/>
        <v>0</v>
      </c>
      <c r="K411" s="421"/>
      <c r="L411" s="449">
        <v>0</v>
      </c>
      <c r="M411" s="449">
        <v>0</v>
      </c>
      <c r="N411" s="449">
        <v>0</v>
      </c>
      <c r="O411" s="449">
        <v>0</v>
      </c>
      <c r="P411" s="449">
        <v>0</v>
      </c>
      <c r="Q411" s="449">
        <v>0</v>
      </c>
      <c r="R411" s="449">
        <f>($H411-SUM($L411:Q411))/R$694</f>
        <v>0</v>
      </c>
      <c r="S411" s="449">
        <f>($H411-SUM($L411:R411))/S$694</f>
        <v>0</v>
      </c>
      <c r="T411" s="449">
        <f>($H411-SUM($L411:S411))/T$694</f>
        <v>0</v>
      </c>
      <c r="U411" s="449">
        <f>($H411-SUM($L411:T411))/U$694</f>
        <v>0</v>
      </c>
      <c r="V411" s="449">
        <f>($H411-SUM($L411:U411))/V$694</f>
        <v>0</v>
      </c>
      <c r="W411" s="449">
        <f>($H411-SUM($L411:V411))/W$694</f>
        <v>0</v>
      </c>
      <c r="X411" s="449"/>
      <c r="Y411" s="449">
        <f t="shared" si="343"/>
        <v>0</v>
      </c>
      <c r="Z411" s="531"/>
      <c r="AA411" s="449">
        <f t="shared" si="353"/>
        <v>0</v>
      </c>
      <c r="AB411" s="449">
        <f t="shared" si="353"/>
        <v>0</v>
      </c>
      <c r="AC411" s="449">
        <f t="shared" si="353"/>
        <v>0</v>
      </c>
      <c r="AD411" s="449">
        <f t="shared" si="353"/>
        <v>0</v>
      </c>
      <c r="AE411" s="449">
        <f t="shared" si="353"/>
        <v>0</v>
      </c>
      <c r="AF411" s="449">
        <f t="shared" si="353"/>
        <v>0</v>
      </c>
      <c r="AG411" s="449">
        <f t="shared" si="353"/>
        <v>0</v>
      </c>
      <c r="AH411" s="449">
        <f t="shared" si="353"/>
        <v>0</v>
      </c>
      <c r="AI411" s="449">
        <f t="shared" si="353"/>
        <v>0</v>
      </c>
      <c r="AJ411" s="449">
        <f t="shared" si="353"/>
        <v>0</v>
      </c>
      <c r="AK411" s="449">
        <f t="shared" si="353"/>
        <v>0</v>
      </c>
      <c r="AL411" s="449">
        <f t="shared" si="353"/>
        <v>0</v>
      </c>
      <c r="AN411" s="500">
        <f>SUM(L411:W411)</f>
        <v>0</v>
      </c>
      <c r="AO411" s="449">
        <f>SUM(BI411:BT411)</f>
        <v>3000</v>
      </c>
      <c r="AP411" s="449">
        <f t="shared" si="347"/>
        <v>3000</v>
      </c>
      <c r="AQ411" s="453" t="str">
        <f t="shared" si="348"/>
        <v>-</v>
      </c>
      <c r="AR411" s="449">
        <f t="shared" si="349"/>
        <v>3000</v>
      </c>
      <c r="AS411" s="449">
        <f t="shared" si="350"/>
        <v>0</v>
      </c>
      <c r="AT411" s="426">
        <f t="shared" si="351"/>
        <v>0</v>
      </c>
      <c r="AU411" s="421"/>
      <c r="AV411" s="449">
        <f t="shared" si="355"/>
        <v>0</v>
      </c>
      <c r="AW411" s="449">
        <f t="shared" si="355"/>
        <v>0</v>
      </c>
      <c r="AX411" s="449">
        <f t="shared" si="355"/>
        <v>0</v>
      </c>
      <c r="AY411" s="449">
        <f t="shared" si="354"/>
        <v>3000</v>
      </c>
      <c r="AZ411" s="449">
        <f t="shared" si="354"/>
        <v>0</v>
      </c>
      <c r="BA411" s="449">
        <f t="shared" si="354"/>
        <v>0</v>
      </c>
      <c r="BB411" s="449">
        <f t="shared" si="354"/>
        <v>0</v>
      </c>
      <c r="BC411" s="449">
        <f t="shared" si="354"/>
        <v>0</v>
      </c>
      <c r="BD411" s="449">
        <f t="shared" si="354"/>
        <v>0</v>
      </c>
      <c r="BE411" s="449">
        <f t="shared" si="354"/>
        <v>0</v>
      </c>
      <c r="BF411" s="449">
        <f t="shared" si="354"/>
        <v>0</v>
      </c>
      <c r="BG411" s="449">
        <f t="shared" si="354"/>
        <v>0</v>
      </c>
      <c r="BH411" s="400"/>
      <c r="BI411" s="449">
        <v>0</v>
      </c>
      <c r="BJ411" s="449">
        <v>0</v>
      </c>
      <c r="BK411" s="449">
        <v>0</v>
      </c>
      <c r="BL411" s="449">
        <f>SUM('FY19 Staffing V1-1 (3)'!$J$218:$J$219)</f>
        <v>3000</v>
      </c>
      <c r="BM411" s="449">
        <v>0</v>
      </c>
      <c r="BN411" s="449">
        <v>0</v>
      </c>
      <c r="BO411" s="449">
        <v>0</v>
      </c>
      <c r="BP411" s="449">
        <v>0</v>
      </c>
      <c r="BQ411" s="449">
        <v>0</v>
      </c>
      <c r="BR411" s="449">
        <v>0</v>
      </c>
      <c r="BS411" s="449">
        <v>0</v>
      </c>
      <c r="BT411" s="449">
        <v>0</v>
      </c>
    </row>
    <row r="412" spans="1:72" ht="15" x14ac:dyDescent="0.25">
      <c r="A412" s="537" t="s">
        <v>689</v>
      </c>
      <c r="B412" s="537" t="s">
        <v>690</v>
      </c>
      <c r="C412" s="630"/>
      <c r="D412" s="500">
        <f>SUM(L412:W412)</f>
        <v>0</v>
      </c>
      <c r="E412" s="449">
        <v>0</v>
      </c>
      <c r="F412" s="449">
        <f t="shared" si="339"/>
        <v>0</v>
      </c>
      <c r="G412" s="421">
        <f t="shared" si="340"/>
        <v>0</v>
      </c>
      <c r="H412" s="449">
        <v>0</v>
      </c>
      <c r="I412" s="449">
        <f t="shared" si="341"/>
        <v>0</v>
      </c>
      <c r="J412" s="426">
        <f t="shared" si="342"/>
        <v>0</v>
      </c>
      <c r="K412" s="421"/>
      <c r="L412" s="449">
        <v>0</v>
      </c>
      <c r="M412" s="449">
        <v>0</v>
      </c>
      <c r="N412" s="449">
        <v>0</v>
      </c>
      <c r="O412" s="449">
        <v>0</v>
      </c>
      <c r="P412" s="449">
        <v>0</v>
      </c>
      <c r="Q412" s="449">
        <v>0</v>
      </c>
      <c r="R412" s="449">
        <f>($H412-SUM($L412:Q412))/R$694</f>
        <v>0</v>
      </c>
      <c r="S412" s="449">
        <f>($H412-SUM($L412:R412))/S$694</f>
        <v>0</v>
      </c>
      <c r="T412" s="449">
        <f>($H412-SUM($L412:S412))/T$694</f>
        <v>0</v>
      </c>
      <c r="U412" s="449">
        <f>($H412-SUM($L412:T412))/U$694</f>
        <v>0</v>
      </c>
      <c r="V412" s="449">
        <f>($H412-SUM($L412:U412))/V$694</f>
        <v>0</v>
      </c>
      <c r="W412" s="449">
        <f>($H412-SUM($L412:V412))/W$694</f>
        <v>0</v>
      </c>
      <c r="X412" s="449"/>
      <c r="Y412" s="449">
        <f t="shared" si="343"/>
        <v>0</v>
      </c>
      <c r="Z412" s="531"/>
      <c r="AA412" s="449">
        <f t="shared" si="353"/>
        <v>0</v>
      </c>
      <c r="AB412" s="449">
        <f t="shared" si="353"/>
        <v>0</v>
      </c>
      <c r="AC412" s="449">
        <f t="shared" si="353"/>
        <v>0</v>
      </c>
      <c r="AD412" s="449">
        <f t="shared" si="353"/>
        <v>0</v>
      </c>
      <c r="AE412" s="449">
        <f t="shared" si="353"/>
        <v>0</v>
      </c>
      <c r="AF412" s="449">
        <f t="shared" si="353"/>
        <v>0</v>
      </c>
      <c r="AG412" s="449">
        <f t="shared" si="353"/>
        <v>0</v>
      </c>
      <c r="AH412" s="449">
        <f t="shared" si="353"/>
        <v>0</v>
      </c>
      <c r="AI412" s="449">
        <f t="shared" si="353"/>
        <v>0</v>
      </c>
      <c r="AJ412" s="449">
        <f t="shared" si="353"/>
        <v>0</v>
      </c>
      <c r="AK412" s="449">
        <f t="shared" si="353"/>
        <v>0</v>
      </c>
      <c r="AL412" s="449">
        <f t="shared" si="353"/>
        <v>0</v>
      </c>
      <c r="AN412" s="500">
        <f>SUM(L412:W412)</f>
        <v>0</v>
      </c>
      <c r="AO412" s="449">
        <f>SUM(BI412:BT412)</f>
        <v>0</v>
      </c>
      <c r="AP412" s="449">
        <f t="shared" si="347"/>
        <v>0</v>
      </c>
      <c r="AQ412" s="453" t="str">
        <f t="shared" si="348"/>
        <v>-</v>
      </c>
      <c r="AR412" s="449">
        <f t="shared" si="349"/>
        <v>0</v>
      </c>
      <c r="AS412" s="449">
        <f t="shared" si="350"/>
        <v>0</v>
      </c>
      <c r="AT412" s="426">
        <f t="shared" si="351"/>
        <v>0</v>
      </c>
      <c r="AU412" s="421"/>
      <c r="AV412" s="449">
        <f t="shared" si="355"/>
        <v>0</v>
      </c>
      <c r="AW412" s="449">
        <f t="shared" si="355"/>
        <v>0</v>
      </c>
      <c r="AX412" s="449">
        <f t="shared" si="355"/>
        <v>0</v>
      </c>
      <c r="AY412" s="449">
        <f t="shared" si="354"/>
        <v>0</v>
      </c>
      <c r="AZ412" s="449">
        <f t="shared" si="354"/>
        <v>0</v>
      </c>
      <c r="BA412" s="449">
        <f t="shared" si="354"/>
        <v>0</v>
      </c>
      <c r="BB412" s="449">
        <f t="shared" si="354"/>
        <v>0</v>
      </c>
      <c r="BC412" s="449">
        <f t="shared" si="354"/>
        <v>0</v>
      </c>
      <c r="BD412" s="449">
        <f t="shared" si="354"/>
        <v>0</v>
      </c>
      <c r="BE412" s="449">
        <f t="shared" si="354"/>
        <v>0</v>
      </c>
      <c r="BF412" s="449">
        <f t="shared" si="354"/>
        <v>0</v>
      </c>
      <c r="BG412" s="449">
        <f t="shared" si="354"/>
        <v>0</v>
      </c>
      <c r="BH412" s="400"/>
      <c r="BI412" s="449">
        <v>0</v>
      </c>
      <c r="BJ412" s="449">
        <v>0</v>
      </c>
      <c r="BK412" s="449">
        <v>0</v>
      </c>
      <c r="BL412" s="449">
        <v>0</v>
      </c>
      <c r="BM412" s="449">
        <v>0</v>
      </c>
      <c r="BN412" s="449">
        <v>0</v>
      </c>
      <c r="BO412" s="449">
        <v>0</v>
      </c>
      <c r="BP412" s="449">
        <v>0</v>
      </c>
      <c r="BQ412" s="449">
        <v>0</v>
      </c>
      <c r="BR412" s="449">
        <v>0</v>
      </c>
      <c r="BS412" s="449">
        <v>0</v>
      </c>
      <c r="BT412" s="449">
        <v>0</v>
      </c>
    </row>
    <row r="413" spans="1:72" ht="15" x14ac:dyDescent="0.25">
      <c r="A413" s="502" t="s">
        <v>691</v>
      </c>
      <c r="B413" s="537" t="s">
        <v>692</v>
      </c>
      <c r="C413" s="630"/>
      <c r="D413" s="500">
        <f t="shared" si="338"/>
        <v>3000</v>
      </c>
      <c r="E413" s="449">
        <v>0</v>
      </c>
      <c r="F413" s="449">
        <f t="shared" si="339"/>
        <v>3000</v>
      </c>
      <c r="G413" s="421">
        <f t="shared" si="340"/>
        <v>0</v>
      </c>
      <c r="H413" s="449">
        <v>3000</v>
      </c>
      <c r="I413" s="449">
        <f t="shared" si="341"/>
        <v>0</v>
      </c>
      <c r="J413" s="426">
        <f t="shared" si="342"/>
        <v>0</v>
      </c>
      <c r="K413" s="421"/>
      <c r="L413" s="449">
        <v>0</v>
      </c>
      <c r="M413" s="449">
        <v>0</v>
      </c>
      <c r="N413" s="449">
        <v>0</v>
      </c>
      <c r="O413" s="449">
        <v>0</v>
      </c>
      <c r="P413" s="449">
        <v>0</v>
      </c>
      <c r="Q413" s="449">
        <v>0</v>
      </c>
      <c r="R413" s="449">
        <f>($H413-SUM($L413:Q413))/R$694</f>
        <v>500</v>
      </c>
      <c r="S413" s="449">
        <f>($H413-SUM($L413:R413))/S$694</f>
        <v>500</v>
      </c>
      <c r="T413" s="449">
        <f>($H413-SUM($L413:S413))/T$694</f>
        <v>500</v>
      </c>
      <c r="U413" s="449">
        <f>($H413-SUM($L413:T413))/U$694</f>
        <v>500</v>
      </c>
      <c r="V413" s="449">
        <f>($H413-SUM($L413:U413))/V$694</f>
        <v>500</v>
      </c>
      <c r="W413" s="449">
        <f>($H413-SUM($L413:V413))/W$694</f>
        <v>500</v>
      </c>
      <c r="X413" s="449"/>
      <c r="Y413" s="449">
        <f t="shared" si="343"/>
        <v>3000</v>
      </c>
      <c r="Z413" s="531"/>
      <c r="AA413" s="449">
        <f t="shared" si="353"/>
        <v>250</v>
      </c>
      <c r="AB413" s="449">
        <f t="shared" si="353"/>
        <v>250</v>
      </c>
      <c r="AC413" s="449">
        <f t="shared" si="353"/>
        <v>250</v>
      </c>
      <c r="AD413" s="449">
        <f t="shared" si="353"/>
        <v>250</v>
      </c>
      <c r="AE413" s="449">
        <f t="shared" si="353"/>
        <v>250</v>
      </c>
      <c r="AF413" s="449">
        <f t="shared" si="353"/>
        <v>250</v>
      </c>
      <c r="AG413" s="449">
        <f t="shared" si="353"/>
        <v>250</v>
      </c>
      <c r="AH413" s="449">
        <f t="shared" si="353"/>
        <v>250</v>
      </c>
      <c r="AI413" s="449">
        <f t="shared" si="353"/>
        <v>250</v>
      </c>
      <c r="AJ413" s="449">
        <f t="shared" si="353"/>
        <v>250</v>
      </c>
      <c r="AK413" s="449">
        <f t="shared" si="353"/>
        <v>250</v>
      </c>
      <c r="AL413" s="449">
        <f t="shared" si="353"/>
        <v>250</v>
      </c>
      <c r="AN413" s="500">
        <f t="shared" si="345"/>
        <v>3000</v>
      </c>
      <c r="AO413" s="449">
        <f t="shared" si="346"/>
        <v>3000</v>
      </c>
      <c r="AP413" s="449">
        <f t="shared" si="347"/>
        <v>0</v>
      </c>
      <c r="AQ413" s="453">
        <f t="shared" si="348"/>
        <v>0</v>
      </c>
      <c r="AR413" s="449">
        <f t="shared" si="349"/>
        <v>3000</v>
      </c>
      <c r="AS413" s="449">
        <f t="shared" si="350"/>
        <v>0</v>
      </c>
      <c r="AT413" s="426">
        <f t="shared" si="351"/>
        <v>0</v>
      </c>
      <c r="AU413" s="421"/>
      <c r="AV413" s="449">
        <f t="shared" si="355"/>
        <v>0</v>
      </c>
      <c r="AW413" s="449">
        <f t="shared" si="355"/>
        <v>0</v>
      </c>
      <c r="AX413" s="449">
        <f t="shared" si="355"/>
        <v>0</v>
      </c>
      <c r="AY413" s="449">
        <f t="shared" si="354"/>
        <v>3000</v>
      </c>
      <c r="AZ413" s="449">
        <f t="shared" si="354"/>
        <v>0</v>
      </c>
      <c r="BA413" s="449">
        <f t="shared" si="354"/>
        <v>0</v>
      </c>
      <c r="BB413" s="449">
        <f t="shared" si="354"/>
        <v>0</v>
      </c>
      <c r="BC413" s="449">
        <f t="shared" si="354"/>
        <v>0</v>
      </c>
      <c r="BD413" s="449">
        <f t="shared" si="354"/>
        <v>0</v>
      </c>
      <c r="BE413" s="449">
        <f t="shared" si="354"/>
        <v>0</v>
      </c>
      <c r="BF413" s="449">
        <f t="shared" si="354"/>
        <v>0</v>
      </c>
      <c r="BG413" s="449">
        <f t="shared" si="354"/>
        <v>0</v>
      </c>
      <c r="BH413" s="400"/>
      <c r="BI413" s="449">
        <v>0</v>
      </c>
      <c r="BJ413" s="449">
        <v>0</v>
      </c>
      <c r="BK413" s="449">
        <v>0</v>
      </c>
      <c r="BL413" s="449">
        <f>SUM('FY19 Staffing V1-1 (3)'!$P$282)</f>
        <v>3000</v>
      </c>
      <c r="BM413" s="449">
        <v>0</v>
      </c>
      <c r="BN413" s="449">
        <v>0</v>
      </c>
      <c r="BO413" s="449">
        <v>0</v>
      </c>
      <c r="BP413" s="449">
        <v>0</v>
      </c>
      <c r="BQ413" s="449">
        <v>0</v>
      </c>
      <c r="BR413" s="449">
        <v>0</v>
      </c>
      <c r="BS413" s="449">
        <v>0</v>
      </c>
      <c r="BT413" s="449">
        <v>0</v>
      </c>
    </row>
    <row r="414" spans="1:72" ht="15" hidden="1" x14ac:dyDescent="0.25">
      <c r="A414" s="502" t="s">
        <v>693</v>
      </c>
      <c r="B414" s="502" t="s">
        <v>694</v>
      </c>
      <c r="C414" s="541"/>
      <c r="D414" s="500">
        <f t="shared" si="338"/>
        <v>0</v>
      </c>
      <c r="E414" s="449">
        <v>0</v>
      </c>
      <c r="F414" s="449">
        <f t="shared" si="339"/>
        <v>0</v>
      </c>
      <c r="G414" s="421">
        <f t="shared" si="340"/>
        <v>0</v>
      </c>
      <c r="H414" s="449">
        <v>0</v>
      </c>
      <c r="I414" s="449">
        <f t="shared" si="341"/>
        <v>0</v>
      </c>
      <c r="J414" s="426">
        <f t="shared" si="342"/>
        <v>0</v>
      </c>
      <c r="K414" s="421"/>
      <c r="L414" s="449">
        <v>0</v>
      </c>
      <c r="M414" s="449">
        <v>0</v>
      </c>
      <c r="N414" s="449">
        <v>0</v>
      </c>
      <c r="O414" s="449">
        <v>0</v>
      </c>
      <c r="P414" s="449">
        <v>0</v>
      </c>
      <c r="Q414" s="449">
        <v>0</v>
      </c>
      <c r="R414" s="449">
        <f>($H414-SUM($L414:Q414))/R$694</f>
        <v>0</v>
      </c>
      <c r="S414" s="449">
        <f>($H414-SUM($L414:R414))/S$694</f>
        <v>0</v>
      </c>
      <c r="T414" s="449">
        <f>($H414-SUM($L414:S414))/T$694</f>
        <v>0</v>
      </c>
      <c r="U414" s="449">
        <f>($H414-SUM($L414:T414))/U$694</f>
        <v>0</v>
      </c>
      <c r="V414" s="449">
        <f>($H414-SUM($L414:U414))/V$694</f>
        <v>0</v>
      </c>
      <c r="W414" s="449">
        <f>($H414-SUM($L414:V414))/W$694</f>
        <v>0</v>
      </c>
      <c r="X414" s="449"/>
      <c r="Y414" s="449">
        <f t="shared" si="343"/>
        <v>0</v>
      </c>
      <c r="Z414" s="531"/>
      <c r="AA414" s="449">
        <f t="shared" si="353"/>
        <v>0</v>
      </c>
      <c r="AB414" s="449">
        <f t="shared" si="353"/>
        <v>0</v>
      </c>
      <c r="AC414" s="449">
        <f t="shared" si="353"/>
        <v>0</v>
      </c>
      <c r="AD414" s="449">
        <f t="shared" si="353"/>
        <v>0</v>
      </c>
      <c r="AE414" s="449">
        <f t="shared" si="353"/>
        <v>0</v>
      </c>
      <c r="AF414" s="449">
        <f t="shared" si="353"/>
        <v>0</v>
      </c>
      <c r="AG414" s="449">
        <f t="shared" si="353"/>
        <v>0</v>
      </c>
      <c r="AH414" s="449">
        <f t="shared" si="353"/>
        <v>0</v>
      </c>
      <c r="AI414" s="449">
        <f t="shared" si="353"/>
        <v>0</v>
      </c>
      <c r="AJ414" s="449">
        <f t="shared" si="353"/>
        <v>0</v>
      </c>
      <c r="AK414" s="449">
        <f t="shared" si="353"/>
        <v>0</v>
      </c>
      <c r="AL414" s="449">
        <f t="shared" si="353"/>
        <v>0</v>
      </c>
      <c r="AN414" s="500">
        <f t="shared" si="345"/>
        <v>0</v>
      </c>
      <c r="AO414" s="449">
        <f t="shared" si="346"/>
        <v>0</v>
      </c>
      <c r="AP414" s="449">
        <f t="shared" si="347"/>
        <v>0</v>
      </c>
      <c r="AQ414" s="453" t="str">
        <f t="shared" si="348"/>
        <v>-</v>
      </c>
      <c r="AR414" s="449">
        <f t="shared" si="349"/>
        <v>0</v>
      </c>
      <c r="AS414" s="449">
        <f t="shared" si="350"/>
        <v>0</v>
      </c>
      <c r="AT414" s="426">
        <f t="shared" si="351"/>
        <v>0</v>
      </c>
      <c r="AU414" s="421"/>
      <c r="AV414" s="449">
        <f t="shared" si="355"/>
        <v>0</v>
      </c>
      <c r="AW414" s="449">
        <f t="shared" si="355"/>
        <v>0</v>
      </c>
      <c r="AX414" s="449">
        <f t="shared" si="355"/>
        <v>0</v>
      </c>
      <c r="AY414" s="449">
        <f t="shared" si="354"/>
        <v>0</v>
      </c>
      <c r="AZ414" s="449">
        <f t="shared" si="354"/>
        <v>0</v>
      </c>
      <c r="BA414" s="449">
        <f t="shared" si="354"/>
        <v>0</v>
      </c>
      <c r="BB414" s="449">
        <f t="shared" si="354"/>
        <v>0</v>
      </c>
      <c r="BC414" s="449">
        <f t="shared" si="354"/>
        <v>0</v>
      </c>
      <c r="BD414" s="449">
        <f t="shared" si="354"/>
        <v>0</v>
      </c>
      <c r="BE414" s="449">
        <f t="shared" si="354"/>
        <v>0</v>
      </c>
      <c r="BF414" s="449">
        <f t="shared" si="354"/>
        <v>0</v>
      </c>
      <c r="BG414" s="449">
        <f t="shared" si="354"/>
        <v>0</v>
      </c>
      <c r="BH414" s="400"/>
      <c r="BI414" s="449">
        <v>0</v>
      </c>
      <c r="BJ414" s="449">
        <v>0</v>
      </c>
      <c r="BK414" s="449">
        <v>0</v>
      </c>
      <c r="BL414" s="449">
        <v>0</v>
      </c>
      <c r="BM414" s="449">
        <v>0</v>
      </c>
      <c r="BN414" s="449">
        <v>0</v>
      </c>
      <c r="BO414" s="449">
        <v>0</v>
      </c>
      <c r="BP414" s="449">
        <v>0</v>
      </c>
      <c r="BQ414" s="449">
        <v>0</v>
      </c>
      <c r="BR414" s="449">
        <v>0</v>
      </c>
      <c r="BS414" s="449">
        <v>0</v>
      </c>
      <c r="BT414" s="449">
        <v>0</v>
      </c>
    </row>
    <row r="415" spans="1:72" ht="15" hidden="1" x14ac:dyDescent="0.25">
      <c r="A415" s="502" t="s">
        <v>695</v>
      </c>
      <c r="B415" s="502" t="s">
        <v>696</v>
      </c>
      <c r="C415" s="541"/>
      <c r="D415" s="500">
        <f t="shared" si="338"/>
        <v>0</v>
      </c>
      <c r="E415" s="449">
        <v>0</v>
      </c>
      <c r="F415" s="449">
        <f t="shared" si="339"/>
        <v>0</v>
      </c>
      <c r="G415" s="421">
        <f t="shared" si="340"/>
        <v>0</v>
      </c>
      <c r="H415" s="449">
        <v>0</v>
      </c>
      <c r="I415" s="449">
        <f t="shared" si="341"/>
        <v>0</v>
      </c>
      <c r="J415" s="426">
        <f t="shared" si="342"/>
        <v>0</v>
      </c>
      <c r="K415" s="421"/>
      <c r="L415" s="449">
        <v>0</v>
      </c>
      <c r="M415" s="449">
        <v>0</v>
      </c>
      <c r="N415" s="449">
        <v>0</v>
      </c>
      <c r="O415" s="449">
        <v>0</v>
      </c>
      <c r="P415" s="449">
        <v>0</v>
      </c>
      <c r="Q415" s="449">
        <v>0</v>
      </c>
      <c r="R415" s="449">
        <f>($H415-SUM($L415:Q415))/R$694</f>
        <v>0</v>
      </c>
      <c r="S415" s="449">
        <f>($H415-SUM($L415:R415))/S$694</f>
        <v>0</v>
      </c>
      <c r="T415" s="449">
        <f>($H415-SUM($L415:S415))/T$694</f>
        <v>0</v>
      </c>
      <c r="U415" s="449">
        <f>($H415-SUM($L415:T415))/U$694</f>
        <v>0</v>
      </c>
      <c r="V415" s="449">
        <f>($H415-SUM($L415:U415))/V$694</f>
        <v>0</v>
      </c>
      <c r="W415" s="449">
        <f>($H415-SUM($L415:V415))/W$694</f>
        <v>0</v>
      </c>
      <c r="X415" s="449"/>
      <c r="Y415" s="449">
        <f t="shared" si="343"/>
        <v>0</v>
      </c>
      <c r="Z415" s="531"/>
      <c r="AA415" s="449">
        <f t="shared" si="353"/>
        <v>0</v>
      </c>
      <c r="AB415" s="449">
        <f t="shared" si="353"/>
        <v>0</v>
      </c>
      <c r="AC415" s="449">
        <f t="shared" si="353"/>
        <v>0</v>
      </c>
      <c r="AD415" s="449">
        <f t="shared" si="353"/>
        <v>0</v>
      </c>
      <c r="AE415" s="449">
        <f t="shared" si="353"/>
        <v>0</v>
      </c>
      <c r="AF415" s="449">
        <f t="shared" si="353"/>
        <v>0</v>
      </c>
      <c r="AG415" s="449">
        <f t="shared" si="353"/>
        <v>0</v>
      </c>
      <c r="AH415" s="449">
        <f t="shared" si="353"/>
        <v>0</v>
      </c>
      <c r="AI415" s="449">
        <f t="shared" si="353"/>
        <v>0</v>
      </c>
      <c r="AJ415" s="449">
        <f t="shared" si="353"/>
        <v>0</v>
      </c>
      <c r="AK415" s="449">
        <f t="shared" si="353"/>
        <v>0</v>
      </c>
      <c r="AL415" s="449">
        <f t="shared" si="353"/>
        <v>0</v>
      </c>
      <c r="AN415" s="500">
        <f t="shared" si="345"/>
        <v>0</v>
      </c>
      <c r="AO415" s="449">
        <f t="shared" si="346"/>
        <v>0</v>
      </c>
      <c r="AP415" s="449">
        <f t="shared" si="347"/>
        <v>0</v>
      </c>
      <c r="AQ415" s="453" t="str">
        <f t="shared" si="348"/>
        <v>-</v>
      </c>
      <c r="AR415" s="449">
        <f t="shared" si="349"/>
        <v>0</v>
      </c>
      <c r="AS415" s="449">
        <f t="shared" si="350"/>
        <v>0</v>
      </c>
      <c r="AT415" s="426">
        <f t="shared" si="351"/>
        <v>0</v>
      </c>
      <c r="AU415" s="421"/>
      <c r="AV415" s="449">
        <f t="shared" si="355"/>
        <v>0</v>
      </c>
      <c r="AW415" s="449">
        <f t="shared" si="355"/>
        <v>0</v>
      </c>
      <c r="AX415" s="449">
        <f t="shared" si="355"/>
        <v>0</v>
      </c>
      <c r="AY415" s="449">
        <f t="shared" si="354"/>
        <v>0</v>
      </c>
      <c r="AZ415" s="449">
        <f t="shared" si="354"/>
        <v>0</v>
      </c>
      <c r="BA415" s="449">
        <f t="shared" si="354"/>
        <v>0</v>
      </c>
      <c r="BB415" s="449">
        <f t="shared" si="354"/>
        <v>0</v>
      </c>
      <c r="BC415" s="449">
        <f t="shared" si="354"/>
        <v>0</v>
      </c>
      <c r="BD415" s="449">
        <f t="shared" si="354"/>
        <v>0</v>
      </c>
      <c r="BE415" s="449">
        <f t="shared" si="354"/>
        <v>0</v>
      </c>
      <c r="BF415" s="449">
        <f t="shared" si="354"/>
        <v>0</v>
      </c>
      <c r="BG415" s="449">
        <f t="shared" si="354"/>
        <v>0</v>
      </c>
      <c r="BH415" s="400"/>
      <c r="BI415" s="449">
        <v>0</v>
      </c>
      <c r="BJ415" s="449">
        <v>0</v>
      </c>
      <c r="BK415" s="449">
        <v>0</v>
      </c>
      <c r="BL415" s="449">
        <v>0</v>
      </c>
      <c r="BM415" s="449">
        <v>0</v>
      </c>
      <c r="BN415" s="449">
        <v>0</v>
      </c>
      <c r="BO415" s="449">
        <v>0</v>
      </c>
      <c r="BP415" s="449">
        <v>0</v>
      </c>
      <c r="BQ415" s="449">
        <v>0</v>
      </c>
      <c r="BR415" s="449">
        <v>0</v>
      </c>
      <c r="BS415" s="449">
        <v>0</v>
      </c>
      <c r="BT415" s="449">
        <v>0</v>
      </c>
    </row>
    <row r="416" spans="1:72" ht="15" hidden="1" x14ac:dyDescent="0.25">
      <c r="A416" s="502" t="s">
        <v>697</v>
      </c>
      <c r="B416" s="502" t="s">
        <v>698</v>
      </c>
      <c r="C416" s="541"/>
      <c r="D416" s="500">
        <f t="shared" si="338"/>
        <v>0</v>
      </c>
      <c r="E416" s="449">
        <v>0</v>
      </c>
      <c r="F416" s="449">
        <f t="shared" si="339"/>
        <v>0</v>
      </c>
      <c r="G416" s="421">
        <f t="shared" si="340"/>
        <v>0</v>
      </c>
      <c r="H416" s="449">
        <v>0</v>
      </c>
      <c r="I416" s="449">
        <f t="shared" si="341"/>
        <v>0</v>
      </c>
      <c r="J416" s="426">
        <f t="shared" si="342"/>
        <v>0</v>
      </c>
      <c r="K416" s="421"/>
      <c r="L416" s="449">
        <v>0</v>
      </c>
      <c r="M416" s="449">
        <v>0</v>
      </c>
      <c r="N416" s="449">
        <v>0</v>
      </c>
      <c r="O416" s="449">
        <v>0</v>
      </c>
      <c r="P416" s="449">
        <v>0</v>
      </c>
      <c r="Q416" s="449">
        <v>0</v>
      </c>
      <c r="R416" s="449">
        <f>($H416-SUM($L416:Q416))/R$694</f>
        <v>0</v>
      </c>
      <c r="S416" s="449">
        <f>($H416-SUM($L416:R416))/S$694</f>
        <v>0</v>
      </c>
      <c r="T416" s="449">
        <f>($H416-SUM($L416:S416))/T$694</f>
        <v>0</v>
      </c>
      <c r="U416" s="449">
        <f>($H416-SUM($L416:T416))/U$694</f>
        <v>0</v>
      </c>
      <c r="V416" s="449">
        <f>($H416-SUM($L416:U416))/V$694</f>
        <v>0</v>
      </c>
      <c r="W416" s="449">
        <f>($H416-SUM($L416:V416))/W$694</f>
        <v>0</v>
      </c>
      <c r="X416" s="449"/>
      <c r="Y416" s="449">
        <f t="shared" si="343"/>
        <v>0</v>
      </c>
      <c r="Z416" s="531"/>
      <c r="AA416" s="449">
        <f t="shared" si="353"/>
        <v>0</v>
      </c>
      <c r="AB416" s="449">
        <f t="shared" si="353"/>
        <v>0</v>
      </c>
      <c r="AC416" s="449">
        <f t="shared" si="353"/>
        <v>0</v>
      </c>
      <c r="AD416" s="449">
        <f t="shared" si="353"/>
        <v>0</v>
      </c>
      <c r="AE416" s="449">
        <f t="shared" si="353"/>
        <v>0</v>
      </c>
      <c r="AF416" s="449">
        <f t="shared" si="353"/>
        <v>0</v>
      </c>
      <c r="AG416" s="449">
        <f t="shared" si="353"/>
        <v>0</v>
      </c>
      <c r="AH416" s="449">
        <f t="shared" si="353"/>
        <v>0</v>
      </c>
      <c r="AI416" s="449">
        <f t="shared" si="353"/>
        <v>0</v>
      </c>
      <c r="AJ416" s="449">
        <f t="shared" si="353"/>
        <v>0</v>
      </c>
      <c r="AK416" s="449">
        <f t="shared" si="353"/>
        <v>0</v>
      </c>
      <c r="AL416" s="449">
        <f t="shared" si="353"/>
        <v>0</v>
      </c>
      <c r="AN416" s="500">
        <f t="shared" si="345"/>
        <v>0</v>
      </c>
      <c r="AO416" s="449">
        <f t="shared" si="346"/>
        <v>0</v>
      </c>
      <c r="AP416" s="449">
        <f t="shared" si="347"/>
        <v>0</v>
      </c>
      <c r="AQ416" s="453" t="str">
        <f t="shared" si="348"/>
        <v>-</v>
      </c>
      <c r="AR416" s="449">
        <f t="shared" si="349"/>
        <v>0</v>
      </c>
      <c r="AS416" s="449">
        <f t="shared" si="350"/>
        <v>0</v>
      </c>
      <c r="AT416" s="426">
        <f t="shared" si="351"/>
        <v>0</v>
      </c>
      <c r="AU416" s="421"/>
      <c r="AV416" s="449">
        <f t="shared" si="355"/>
        <v>0</v>
      </c>
      <c r="AW416" s="449">
        <f t="shared" si="355"/>
        <v>0</v>
      </c>
      <c r="AX416" s="449">
        <f t="shared" si="355"/>
        <v>0</v>
      </c>
      <c r="AY416" s="449">
        <f t="shared" si="354"/>
        <v>0</v>
      </c>
      <c r="AZ416" s="449">
        <f t="shared" si="354"/>
        <v>0</v>
      </c>
      <c r="BA416" s="449">
        <f t="shared" si="354"/>
        <v>0</v>
      </c>
      <c r="BB416" s="449">
        <f t="shared" si="354"/>
        <v>0</v>
      </c>
      <c r="BC416" s="449">
        <f t="shared" si="354"/>
        <v>0</v>
      </c>
      <c r="BD416" s="449">
        <f t="shared" si="354"/>
        <v>0</v>
      </c>
      <c r="BE416" s="449">
        <f t="shared" si="354"/>
        <v>0</v>
      </c>
      <c r="BF416" s="449">
        <f t="shared" si="354"/>
        <v>0</v>
      </c>
      <c r="BG416" s="449">
        <f t="shared" si="354"/>
        <v>0</v>
      </c>
      <c r="BH416" s="400"/>
      <c r="BI416" s="449">
        <v>0</v>
      </c>
      <c r="BJ416" s="449">
        <v>0</v>
      </c>
      <c r="BK416" s="449">
        <v>0</v>
      </c>
      <c r="BL416" s="449">
        <v>0</v>
      </c>
      <c r="BM416" s="449">
        <v>0</v>
      </c>
      <c r="BN416" s="449">
        <v>0</v>
      </c>
      <c r="BO416" s="449">
        <v>0</v>
      </c>
      <c r="BP416" s="449">
        <v>0</v>
      </c>
      <c r="BQ416" s="449">
        <v>0</v>
      </c>
      <c r="BR416" s="449">
        <v>0</v>
      </c>
      <c r="BS416" s="449">
        <v>0</v>
      </c>
      <c r="BT416" s="449">
        <v>0</v>
      </c>
    </row>
    <row r="417" spans="1:72" ht="15" x14ac:dyDescent="0.25">
      <c r="A417" s="537" t="s">
        <v>699</v>
      </c>
      <c r="B417" s="537" t="s">
        <v>700</v>
      </c>
      <c r="C417" s="541"/>
      <c r="D417" s="500">
        <f>SUM(L417:W417)</f>
        <v>0</v>
      </c>
      <c r="E417" s="449">
        <v>0</v>
      </c>
      <c r="F417" s="449">
        <f t="shared" si="339"/>
        <v>0</v>
      </c>
      <c r="G417" s="421">
        <f t="shared" si="340"/>
        <v>0</v>
      </c>
      <c r="H417" s="449">
        <v>0</v>
      </c>
      <c r="I417" s="449">
        <f t="shared" si="341"/>
        <v>0</v>
      </c>
      <c r="J417" s="426">
        <f t="shared" si="342"/>
        <v>0</v>
      </c>
      <c r="K417" s="421"/>
      <c r="L417" s="449">
        <v>0</v>
      </c>
      <c r="M417" s="449">
        <v>0</v>
      </c>
      <c r="N417" s="449">
        <v>0</v>
      </c>
      <c r="O417" s="449">
        <v>0</v>
      </c>
      <c r="P417" s="449">
        <v>0</v>
      </c>
      <c r="Q417" s="449">
        <v>0</v>
      </c>
      <c r="R417" s="449">
        <f>($H417-SUM($L417:Q417))/R$694</f>
        <v>0</v>
      </c>
      <c r="S417" s="449">
        <f>($H417-SUM($L417:R417))/S$694</f>
        <v>0</v>
      </c>
      <c r="T417" s="449">
        <f>($H417-SUM($L417:S417))/T$694</f>
        <v>0</v>
      </c>
      <c r="U417" s="449">
        <f>($H417-SUM($L417:T417))/U$694</f>
        <v>0</v>
      </c>
      <c r="V417" s="449">
        <f>($H417-SUM($L417:U417))/V$694</f>
        <v>0</v>
      </c>
      <c r="W417" s="449">
        <f>($H417-SUM($L417:V417))/W$694</f>
        <v>0</v>
      </c>
      <c r="X417" s="449"/>
      <c r="Y417" s="449">
        <f t="shared" si="343"/>
        <v>0</v>
      </c>
      <c r="Z417" s="531"/>
      <c r="AA417" s="449">
        <f t="shared" si="353"/>
        <v>0</v>
      </c>
      <c r="AB417" s="449">
        <f t="shared" si="353"/>
        <v>0</v>
      </c>
      <c r="AC417" s="449">
        <f t="shared" si="353"/>
        <v>0</v>
      </c>
      <c r="AD417" s="449">
        <f t="shared" si="353"/>
        <v>0</v>
      </c>
      <c r="AE417" s="449">
        <f t="shared" si="353"/>
        <v>0</v>
      </c>
      <c r="AF417" s="449">
        <f t="shared" si="353"/>
        <v>0</v>
      </c>
      <c r="AG417" s="449">
        <f t="shared" si="353"/>
        <v>0</v>
      </c>
      <c r="AH417" s="449">
        <f t="shared" si="353"/>
        <v>0</v>
      </c>
      <c r="AI417" s="449">
        <f t="shared" si="353"/>
        <v>0</v>
      </c>
      <c r="AJ417" s="449">
        <f t="shared" si="353"/>
        <v>0</v>
      </c>
      <c r="AK417" s="449">
        <f t="shared" si="353"/>
        <v>0</v>
      </c>
      <c r="AL417" s="449">
        <f t="shared" si="353"/>
        <v>0</v>
      </c>
      <c r="AN417" s="500">
        <f>SUM(L417:W417)</f>
        <v>0</v>
      </c>
      <c r="AO417" s="449">
        <f>SUM(BI417:BT417)</f>
        <v>0</v>
      </c>
      <c r="AP417" s="449">
        <f t="shared" si="347"/>
        <v>0</v>
      </c>
      <c r="AQ417" s="453" t="str">
        <f t="shared" si="348"/>
        <v>-</v>
      </c>
      <c r="AR417" s="449">
        <f t="shared" si="349"/>
        <v>0</v>
      </c>
      <c r="AS417" s="449">
        <f t="shared" si="350"/>
        <v>0</v>
      </c>
      <c r="AT417" s="426">
        <f t="shared" si="351"/>
        <v>0</v>
      </c>
      <c r="AU417" s="421"/>
      <c r="AV417" s="449">
        <f t="shared" si="355"/>
        <v>0</v>
      </c>
      <c r="AW417" s="449">
        <f t="shared" si="355"/>
        <v>0</v>
      </c>
      <c r="AX417" s="449">
        <f t="shared" si="355"/>
        <v>0</v>
      </c>
      <c r="AY417" s="449">
        <f t="shared" si="354"/>
        <v>0</v>
      </c>
      <c r="AZ417" s="449">
        <f t="shared" si="354"/>
        <v>0</v>
      </c>
      <c r="BA417" s="449">
        <f t="shared" si="354"/>
        <v>0</v>
      </c>
      <c r="BB417" s="449">
        <f t="shared" si="354"/>
        <v>0</v>
      </c>
      <c r="BC417" s="449">
        <f t="shared" si="354"/>
        <v>0</v>
      </c>
      <c r="BD417" s="449">
        <f t="shared" si="354"/>
        <v>0</v>
      </c>
      <c r="BE417" s="449">
        <f t="shared" si="354"/>
        <v>0</v>
      </c>
      <c r="BF417" s="449">
        <f t="shared" si="354"/>
        <v>0</v>
      </c>
      <c r="BG417" s="449">
        <f t="shared" si="354"/>
        <v>0</v>
      </c>
      <c r="BH417" s="400"/>
      <c r="BI417" s="449">
        <f t="shared" ref="BI417:BT417" si="356">IFERROR((($H417/$H$5)*BI$5)/12,0)</f>
        <v>0</v>
      </c>
      <c r="BJ417" s="449">
        <f t="shared" si="356"/>
        <v>0</v>
      </c>
      <c r="BK417" s="449">
        <f t="shared" si="356"/>
        <v>0</v>
      </c>
      <c r="BL417" s="449">
        <f t="shared" si="356"/>
        <v>0</v>
      </c>
      <c r="BM417" s="449">
        <f t="shared" si="356"/>
        <v>0</v>
      </c>
      <c r="BN417" s="449">
        <f t="shared" si="356"/>
        <v>0</v>
      </c>
      <c r="BO417" s="449">
        <f t="shared" si="356"/>
        <v>0</v>
      </c>
      <c r="BP417" s="449">
        <f t="shared" si="356"/>
        <v>0</v>
      </c>
      <c r="BQ417" s="449">
        <f t="shared" si="356"/>
        <v>0</v>
      </c>
      <c r="BR417" s="449">
        <f t="shared" si="356"/>
        <v>0</v>
      </c>
      <c r="BS417" s="449">
        <f t="shared" si="356"/>
        <v>0</v>
      </c>
      <c r="BT417" s="449">
        <f t="shared" si="356"/>
        <v>0</v>
      </c>
    </row>
    <row r="418" spans="1:72" ht="15" x14ac:dyDescent="0.25">
      <c r="A418" s="502" t="s">
        <v>701</v>
      </c>
      <c r="B418" s="502" t="s">
        <v>702</v>
      </c>
      <c r="C418" s="541"/>
      <c r="D418" s="500">
        <f t="shared" si="338"/>
        <v>16183</v>
      </c>
      <c r="E418" s="449">
        <v>16183</v>
      </c>
      <c r="F418" s="449">
        <f t="shared" si="339"/>
        <v>0</v>
      </c>
      <c r="G418" s="421">
        <f t="shared" si="340"/>
        <v>0</v>
      </c>
      <c r="H418" s="449">
        <v>16183</v>
      </c>
      <c r="I418" s="449">
        <f t="shared" si="341"/>
        <v>0</v>
      </c>
      <c r="J418" s="426">
        <f t="shared" si="342"/>
        <v>0</v>
      </c>
      <c r="K418" s="421"/>
      <c r="L418" s="449">
        <v>723.81</v>
      </c>
      <c r="M418" s="449">
        <v>1349.3899999999999</v>
      </c>
      <c r="N418" s="449">
        <v>390.40000000000009</v>
      </c>
      <c r="O418" s="449">
        <v>729.68000000000029</v>
      </c>
      <c r="P418" s="449">
        <v>500.17999999999984</v>
      </c>
      <c r="Q418" s="449">
        <v>625.22999999999956</v>
      </c>
      <c r="R418" s="449">
        <f>($H418-SUM($L418:Q418))/R$694</f>
        <v>1977.3850000000002</v>
      </c>
      <c r="S418" s="449">
        <f>($H418-SUM($L418:R418))/S$694</f>
        <v>1977.3849999999998</v>
      </c>
      <c r="T418" s="449">
        <f>($H418-SUM($L418:S418))/T$694</f>
        <v>1977.3850000000002</v>
      </c>
      <c r="U418" s="449">
        <f>($H418-SUM($L418:T418))/U$694</f>
        <v>1977.3850000000002</v>
      </c>
      <c r="V418" s="449">
        <f>($H418-SUM($L418:U418))/V$694</f>
        <v>1977.3850000000002</v>
      </c>
      <c r="W418" s="449">
        <f>($H418-SUM($L418:V418))/W$694</f>
        <v>1977.3850000000002</v>
      </c>
      <c r="X418" s="449"/>
      <c r="Y418" s="449">
        <f t="shared" si="343"/>
        <v>16183</v>
      </c>
      <c r="Z418" s="531"/>
      <c r="AA418" s="449">
        <f t="shared" ref="AA418:AL433" si="357">IFERROR($H418/12,0)</f>
        <v>1348.5833333333333</v>
      </c>
      <c r="AB418" s="449">
        <f t="shared" si="357"/>
        <v>1348.5833333333333</v>
      </c>
      <c r="AC418" s="449">
        <f t="shared" si="357"/>
        <v>1348.5833333333333</v>
      </c>
      <c r="AD418" s="449">
        <f t="shared" si="357"/>
        <v>1348.5833333333333</v>
      </c>
      <c r="AE418" s="449">
        <f t="shared" si="357"/>
        <v>1348.5833333333333</v>
      </c>
      <c r="AF418" s="449">
        <f t="shared" si="357"/>
        <v>1348.5833333333333</v>
      </c>
      <c r="AG418" s="449">
        <f t="shared" si="357"/>
        <v>1348.5833333333333</v>
      </c>
      <c r="AH418" s="449">
        <f t="shared" si="357"/>
        <v>1348.5833333333333</v>
      </c>
      <c r="AI418" s="449">
        <f t="shared" si="357"/>
        <v>1348.5833333333333</v>
      </c>
      <c r="AJ418" s="449">
        <f t="shared" si="357"/>
        <v>1348.5833333333333</v>
      </c>
      <c r="AK418" s="449">
        <f t="shared" si="357"/>
        <v>1348.5833333333333</v>
      </c>
      <c r="AL418" s="449">
        <f t="shared" si="357"/>
        <v>1348.5833333333333</v>
      </c>
      <c r="AN418" s="500">
        <f t="shared" si="345"/>
        <v>16183</v>
      </c>
      <c r="AO418" s="449">
        <f t="shared" si="346"/>
        <v>8383.6</v>
      </c>
      <c r="AP418" s="449">
        <f t="shared" si="347"/>
        <v>-7799.4</v>
      </c>
      <c r="AQ418" s="453">
        <f t="shared" si="348"/>
        <v>-0.48195019464870542</v>
      </c>
      <c r="AR418" s="449">
        <f t="shared" si="349"/>
        <v>8383.6</v>
      </c>
      <c r="AS418" s="449">
        <f t="shared" si="350"/>
        <v>0</v>
      </c>
      <c r="AT418" s="426">
        <f t="shared" si="351"/>
        <v>0</v>
      </c>
      <c r="AU418" s="421"/>
      <c r="AV418" s="449">
        <f t="shared" si="355"/>
        <v>698.63333333333333</v>
      </c>
      <c r="AW418" s="449">
        <f t="shared" si="355"/>
        <v>698.63333333333333</v>
      </c>
      <c r="AX418" s="449">
        <f t="shared" si="355"/>
        <v>698.63333333333333</v>
      </c>
      <c r="AY418" s="449">
        <f t="shared" si="354"/>
        <v>698.63333333333333</v>
      </c>
      <c r="AZ418" s="449">
        <f t="shared" si="354"/>
        <v>698.63333333333333</v>
      </c>
      <c r="BA418" s="449">
        <f t="shared" si="354"/>
        <v>698.63333333333333</v>
      </c>
      <c r="BB418" s="449">
        <f t="shared" si="354"/>
        <v>698.63333333333333</v>
      </c>
      <c r="BC418" s="449">
        <f t="shared" si="354"/>
        <v>698.63333333333333</v>
      </c>
      <c r="BD418" s="449">
        <f t="shared" si="354"/>
        <v>698.63333333333333</v>
      </c>
      <c r="BE418" s="449">
        <f t="shared" si="354"/>
        <v>698.63333333333333</v>
      </c>
      <c r="BF418" s="449">
        <f t="shared" si="354"/>
        <v>698.63333333333333</v>
      </c>
      <c r="BG418" s="449">
        <f t="shared" si="354"/>
        <v>698.63333333333333</v>
      </c>
      <c r="BH418" s="400"/>
      <c r="BI418" s="449">
        <f>SUM('FY19 Staffing V1-1 (3)'!$Q$215:$R$215,'FY19 Staffing V1-1 (3)'!$T$215:$U$215)/12</f>
        <v>698.63333333333333</v>
      </c>
      <c r="BJ418" s="449">
        <f>SUM('FY19 Staffing V1-1 (3)'!$Q$215:$R$215,'FY19 Staffing V1-1 (3)'!$T$215:$U$215)/12</f>
        <v>698.63333333333333</v>
      </c>
      <c r="BK418" s="449">
        <f>SUM('FY19 Staffing V1-1 (3)'!$Q$215:$R$215,'FY19 Staffing V1-1 (3)'!$T$215:$U$215)/12</f>
        <v>698.63333333333333</v>
      </c>
      <c r="BL418" s="449">
        <f>SUM('FY19 Staffing V1-1 (3)'!$Q$215:$R$215,'FY19 Staffing V1-1 (3)'!$T$215:$U$215)/12</f>
        <v>698.63333333333333</v>
      </c>
      <c r="BM418" s="449">
        <f>SUM('FY19 Staffing V1-1 (3)'!$Q$215:$R$215,'FY19 Staffing V1-1 (3)'!$T$215:$U$215)/12</f>
        <v>698.63333333333333</v>
      </c>
      <c r="BN418" s="449">
        <f>SUM('FY19 Staffing V1-1 (3)'!$Q$215:$R$215,'FY19 Staffing V1-1 (3)'!$T$215:$U$215)/12</f>
        <v>698.63333333333333</v>
      </c>
      <c r="BO418" s="449">
        <f>SUM('FY19 Staffing V1-1 (3)'!$Q$215:$R$215,'FY19 Staffing V1-1 (3)'!$T$215:$U$215)/12</f>
        <v>698.63333333333333</v>
      </c>
      <c r="BP418" s="449">
        <f>SUM('FY19 Staffing V1-1 (3)'!$Q$215:$R$215,'FY19 Staffing V1-1 (3)'!$T$215:$U$215)/12</f>
        <v>698.63333333333333</v>
      </c>
      <c r="BQ418" s="449">
        <f>SUM('FY19 Staffing V1-1 (3)'!$Q$215:$R$215,'FY19 Staffing V1-1 (3)'!$T$215:$U$215)/12</f>
        <v>698.63333333333333</v>
      </c>
      <c r="BR418" s="449">
        <f>SUM('FY19 Staffing V1-1 (3)'!$Q$215:$R$215,'FY19 Staffing V1-1 (3)'!$T$215:$U$215)/12</f>
        <v>698.63333333333333</v>
      </c>
      <c r="BS418" s="449">
        <f>SUM('FY19 Staffing V1-1 (3)'!$Q$215:$R$215,'FY19 Staffing V1-1 (3)'!$T$215:$U$215)/12</f>
        <v>698.63333333333333</v>
      </c>
      <c r="BT418" s="449">
        <f>SUM('FY19 Staffing V1-1 (3)'!$Q$215:$R$215,'FY19 Staffing V1-1 (3)'!$T$215:$U$215)/12</f>
        <v>698.63333333333333</v>
      </c>
    </row>
    <row r="419" spans="1:72" ht="15" x14ac:dyDescent="0.25">
      <c r="A419" s="502" t="s">
        <v>703</v>
      </c>
      <c r="B419" s="502" t="s">
        <v>704</v>
      </c>
      <c r="C419" s="541"/>
      <c r="D419" s="500">
        <f t="shared" si="338"/>
        <v>7535</v>
      </c>
      <c r="E419" s="449">
        <v>7535</v>
      </c>
      <c r="F419" s="449">
        <f t="shared" si="339"/>
        <v>0</v>
      </c>
      <c r="G419" s="421">
        <f t="shared" si="340"/>
        <v>0</v>
      </c>
      <c r="H419" s="449">
        <v>7535</v>
      </c>
      <c r="I419" s="449">
        <f t="shared" si="341"/>
        <v>0</v>
      </c>
      <c r="J419" s="426">
        <f t="shared" si="342"/>
        <v>0</v>
      </c>
      <c r="K419" s="421"/>
      <c r="L419" s="449">
        <v>736.44</v>
      </c>
      <c r="M419" s="449">
        <v>1377.46</v>
      </c>
      <c r="N419" s="449">
        <v>385.15999999999985</v>
      </c>
      <c r="O419" s="449">
        <v>512</v>
      </c>
      <c r="P419" s="449">
        <v>512</v>
      </c>
      <c r="Q419" s="449">
        <v>640.00000000000045</v>
      </c>
      <c r="R419" s="449">
        <f>($H419-SUM($L419:Q419))/R$694</f>
        <v>561.9899999999999</v>
      </c>
      <c r="S419" s="449">
        <f>($H419-SUM($L419:R419))/S$694</f>
        <v>561.99</v>
      </c>
      <c r="T419" s="449">
        <f>($H419-SUM($L419:S419))/T$694</f>
        <v>561.99</v>
      </c>
      <c r="U419" s="449">
        <f>($H419-SUM($L419:T419))/U$694</f>
        <v>561.99000000000012</v>
      </c>
      <c r="V419" s="449">
        <f>($H419-SUM($L419:U419))/V$694</f>
        <v>561.99000000000024</v>
      </c>
      <c r="W419" s="449">
        <f>($H419-SUM($L419:V419))/W$694</f>
        <v>561.98999999999978</v>
      </c>
      <c r="X419" s="449"/>
      <c r="Y419" s="449">
        <f t="shared" si="343"/>
        <v>7535</v>
      </c>
      <c r="Z419" s="531"/>
      <c r="AA419" s="449">
        <f t="shared" si="357"/>
        <v>627.91666666666663</v>
      </c>
      <c r="AB419" s="449">
        <f t="shared" si="357"/>
        <v>627.91666666666663</v>
      </c>
      <c r="AC419" s="449">
        <f t="shared" si="357"/>
        <v>627.91666666666663</v>
      </c>
      <c r="AD419" s="449">
        <f t="shared" si="357"/>
        <v>627.91666666666663</v>
      </c>
      <c r="AE419" s="449">
        <f t="shared" si="357"/>
        <v>627.91666666666663</v>
      </c>
      <c r="AF419" s="449">
        <f t="shared" si="357"/>
        <v>627.91666666666663</v>
      </c>
      <c r="AG419" s="449">
        <f t="shared" si="357"/>
        <v>627.91666666666663</v>
      </c>
      <c r="AH419" s="449">
        <f t="shared" si="357"/>
        <v>627.91666666666663</v>
      </c>
      <c r="AI419" s="449">
        <f t="shared" si="357"/>
        <v>627.91666666666663</v>
      </c>
      <c r="AJ419" s="449">
        <f t="shared" si="357"/>
        <v>627.91666666666663</v>
      </c>
      <c r="AK419" s="449">
        <f t="shared" si="357"/>
        <v>627.91666666666663</v>
      </c>
      <c r="AL419" s="449">
        <f t="shared" si="357"/>
        <v>627.91666666666663</v>
      </c>
      <c r="AN419" s="500">
        <f t="shared" si="345"/>
        <v>7535</v>
      </c>
      <c r="AO419" s="449">
        <f t="shared" si="346"/>
        <v>8542.7200000000012</v>
      </c>
      <c r="AP419" s="449">
        <f t="shared" si="347"/>
        <v>1007.7200000000012</v>
      </c>
      <c r="AQ419" s="453">
        <f t="shared" si="348"/>
        <v>0.13373855341738569</v>
      </c>
      <c r="AR419" s="449">
        <f t="shared" si="349"/>
        <v>8542.7200000000012</v>
      </c>
      <c r="AS419" s="449">
        <f t="shared" si="350"/>
        <v>0</v>
      </c>
      <c r="AT419" s="426">
        <f t="shared" si="351"/>
        <v>0</v>
      </c>
      <c r="AU419" s="421"/>
      <c r="AV419" s="449">
        <f t="shared" si="355"/>
        <v>711.89333333333343</v>
      </c>
      <c r="AW419" s="449">
        <f t="shared" si="355"/>
        <v>711.89333333333343</v>
      </c>
      <c r="AX419" s="449">
        <f t="shared" si="355"/>
        <v>711.89333333333343</v>
      </c>
      <c r="AY419" s="449">
        <f t="shared" si="354"/>
        <v>711.89333333333343</v>
      </c>
      <c r="AZ419" s="449">
        <f t="shared" si="354"/>
        <v>711.89333333333343</v>
      </c>
      <c r="BA419" s="449">
        <f t="shared" si="354"/>
        <v>711.89333333333343</v>
      </c>
      <c r="BB419" s="449">
        <f t="shared" si="354"/>
        <v>711.89333333333343</v>
      </c>
      <c r="BC419" s="449">
        <f t="shared" si="354"/>
        <v>711.89333333333343</v>
      </c>
      <c r="BD419" s="449">
        <f t="shared" si="354"/>
        <v>711.89333333333343</v>
      </c>
      <c r="BE419" s="449">
        <f t="shared" si="354"/>
        <v>711.89333333333343</v>
      </c>
      <c r="BF419" s="449">
        <f t="shared" si="354"/>
        <v>711.89333333333343</v>
      </c>
      <c r="BG419" s="449">
        <f t="shared" si="354"/>
        <v>711.89333333333343</v>
      </c>
      <c r="BH419" s="400"/>
      <c r="BI419" s="449">
        <f>SUM('FY19 Staffing V1-1 (3)'!$Q$216:$R$216,'FY19 Staffing V1-1 (3)'!$T$216:$U$216)/12</f>
        <v>711.89333333333343</v>
      </c>
      <c r="BJ419" s="449">
        <f>SUM('FY19 Staffing V1-1 (3)'!$Q$216:$R$216,'FY19 Staffing V1-1 (3)'!$T$216:$U$216)/12</f>
        <v>711.89333333333343</v>
      </c>
      <c r="BK419" s="449">
        <f>SUM('FY19 Staffing V1-1 (3)'!$Q$216:$R$216,'FY19 Staffing V1-1 (3)'!$T$216:$U$216)/12</f>
        <v>711.89333333333343</v>
      </c>
      <c r="BL419" s="449">
        <f>SUM('FY19 Staffing V1-1 (3)'!$Q$216:$R$216,'FY19 Staffing V1-1 (3)'!$T$216:$U$216)/12</f>
        <v>711.89333333333343</v>
      </c>
      <c r="BM419" s="449">
        <f>SUM('FY19 Staffing V1-1 (3)'!$Q$216:$R$216,'FY19 Staffing V1-1 (3)'!$T$216:$U$216)/12</f>
        <v>711.89333333333343</v>
      </c>
      <c r="BN419" s="449">
        <f>SUM('FY19 Staffing V1-1 (3)'!$Q$216:$R$216,'FY19 Staffing V1-1 (3)'!$T$216:$U$216)/12</f>
        <v>711.89333333333343</v>
      </c>
      <c r="BO419" s="449">
        <f>SUM('FY19 Staffing V1-1 (3)'!$Q$216:$R$216,'FY19 Staffing V1-1 (3)'!$T$216:$U$216)/12</f>
        <v>711.89333333333343</v>
      </c>
      <c r="BP419" s="449">
        <f>SUM('FY19 Staffing V1-1 (3)'!$Q$216:$R$216,'FY19 Staffing V1-1 (3)'!$T$216:$U$216)/12</f>
        <v>711.89333333333343</v>
      </c>
      <c r="BQ419" s="449">
        <f>SUM('FY19 Staffing V1-1 (3)'!$Q$216:$R$216,'FY19 Staffing V1-1 (3)'!$T$216:$U$216)/12</f>
        <v>711.89333333333343</v>
      </c>
      <c r="BR419" s="449">
        <f>SUM('FY19 Staffing V1-1 (3)'!$Q$216:$R$216,'FY19 Staffing V1-1 (3)'!$T$216:$U$216)/12</f>
        <v>711.89333333333343</v>
      </c>
      <c r="BS419" s="449">
        <f>SUM('FY19 Staffing V1-1 (3)'!$Q$216:$R$216,'FY19 Staffing V1-1 (3)'!$T$216:$U$216)/12</f>
        <v>711.89333333333343</v>
      </c>
      <c r="BT419" s="449">
        <f>SUM('FY19 Staffing V1-1 (3)'!$Q$216:$R$216,'FY19 Staffing V1-1 (3)'!$T$216:$U$216)/12</f>
        <v>711.89333333333343</v>
      </c>
    </row>
    <row r="420" spans="1:72" ht="15" x14ac:dyDescent="0.25">
      <c r="A420" s="502" t="s">
        <v>705</v>
      </c>
      <c r="B420" s="502" t="s">
        <v>706</v>
      </c>
      <c r="C420" s="541"/>
      <c r="D420" s="500">
        <f t="shared" si="338"/>
        <v>8071</v>
      </c>
      <c r="E420" s="449">
        <v>15070</v>
      </c>
      <c r="F420" s="449">
        <f t="shared" si="339"/>
        <v>-6999</v>
      </c>
      <c r="G420" s="421">
        <f t="shared" si="340"/>
        <v>-0.46443264764432646</v>
      </c>
      <c r="H420" s="449">
        <v>8071</v>
      </c>
      <c r="I420" s="449">
        <f t="shared" si="341"/>
        <v>0</v>
      </c>
      <c r="J420" s="426">
        <f t="shared" si="342"/>
        <v>0</v>
      </c>
      <c r="K420" s="421"/>
      <c r="L420" s="449">
        <v>542.41999999999996</v>
      </c>
      <c r="M420" s="449">
        <v>1033.3499999999999</v>
      </c>
      <c r="N420" s="449">
        <v>445.09999999999991</v>
      </c>
      <c r="O420" s="449">
        <v>594.36000000000013</v>
      </c>
      <c r="P420" s="449">
        <v>364.86000000000013</v>
      </c>
      <c r="Q420" s="449">
        <v>456.06999999999971</v>
      </c>
      <c r="R420" s="449">
        <f>($H420-SUM($L420:Q420))/R$694</f>
        <v>772.47333333333336</v>
      </c>
      <c r="S420" s="449">
        <f>($H420-SUM($L420:R420))/S$694</f>
        <v>772.47333333333336</v>
      </c>
      <c r="T420" s="449">
        <f>($H420-SUM($L420:S420))/T$694</f>
        <v>772.47333333333336</v>
      </c>
      <c r="U420" s="449">
        <f>($H420-SUM($L420:T420))/U$694</f>
        <v>772.47333333333336</v>
      </c>
      <c r="V420" s="449">
        <f>($H420-SUM($L420:U420))/V$694</f>
        <v>772.47333333333336</v>
      </c>
      <c r="W420" s="449">
        <f>($H420-SUM($L420:V420))/W$694</f>
        <v>772.47333333333336</v>
      </c>
      <c r="X420" s="449"/>
      <c r="Y420" s="449">
        <f t="shared" si="343"/>
        <v>8071</v>
      </c>
      <c r="Z420" s="531"/>
      <c r="AA420" s="449">
        <f t="shared" si="357"/>
        <v>672.58333333333337</v>
      </c>
      <c r="AB420" s="449">
        <f t="shared" si="357"/>
        <v>672.58333333333337</v>
      </c>
      <c r="AC420" s="449">
        <f t="shared" si="357"/>
        <v>672.58333333333337</v>
      </c>
      <c r="AD420" s="449">
        <f t="shared" si="357"/>
        <v>672.58333333333337</v>
      </c>
      <c r="AE420" s="449">
        <f t="shared" si="357"/>
        <v>672.58333333333337</v>
      </c>
      <c r="AF420" s="449">
        <f t="shared" si="357"/>
        <v>672.58333333333337</v>
      </c>
      <c r="AG420" s="449">
        <f t="shared" si="357"/>
        <v>672.58333333333337</v>
      </c>
      <c r="AH420" s="449">
        <f t="shared" si="357"/>
        <v>672.58333333333337</v>
      </c>
      <c r="AI420" s="449">
        <f t="shared" si="357"/>
        <v>672.58333333333337</v>
      </c>
      <c r="AJ420" s="449">
        <f t="shared" si="357"/>
        <v>672.58333333333337</v>
      </c>
      <c r="AK420" s="449">
        <f t="shared" si="357"/>
        <v>672.58333333333337</v>
      </c>
      <c r="AL420" s="449">
        <f t="shared" si="357"/>
        <v>672.58333333333337</v>
      </c>
      <c r="AN420" s="500">
        <f t="shared" si="345"/>
        <v>8071</v>
      </c>
      <c r="AO420" s="449">
        <f t="shared" si="346"/>
        <v>6506.2899999999981</v>
      </c>
      <c r="AP420" s="449">
        <f t="shared" si="347"/>
        <v>-1564.7100000000019</v>
      </c>
      <c r="AQ420" s="453">
        <f t="shared" si="348"/>
        <v>-0.19386816999132719</v>
      </c>
      <c r="AR420" s="449">
        <f t="shared" si="349"/>
        <v>6506.2899999999981</v>
      </c>
      <c r="AS420" s="449">
        <f t="shared" si="350"/>
        <v>0</v>
      </c>
      <c r="AT420" s="426">
        <f t="shared" si="351"/>
        <v>0</v>
      </c>
      <c r="AU420" s="421"/>
      <c r="AV420" s="449">
        <f t="shared" si="355"/>
        <v>542.19083333333333</v>
      </c>
      <c r="AW420" s="449">
        <f t="shared" si="355"/>
        <v>542.19083333333333</v>
      </c>
      <c r="AX420" s="449">
        <f t="shared" si="355"/>
        <v>542.19083333333333</v>
      </c>
      <c r="AY420" s="449">
        <f t="shared" si="354"/>
        <v>542.19083333333333</v>
      </c>
      <c r="AZ420" s="449">
        <f t="shared" si="354"/>
        <v>542.19083333333333</v>
      </c>
      <c r="BA420" s="449">
        <f t="shared" si="354"/>
        <v>542.19083333333333</v>
      </c>
      <c r="BB420" s="449">
        <f t="shared" si="354"/>
        <v>542.19083333333333</v>
      </c>
      <c r="BC420" s="449">
        <f t="shared" si="354"/>
        <v>542.19083333333333</v>
      </c>
      <c r="BD420" s="449">
        <f t="shared" si="354"/>
        <v>542.19083333333333</v>
      </c>
      <c r="BE420" s="449">
        <f t="shared" si="354"/>
        <v>542.19083333333333</v>
      </c>
      <c r="BF420" s="449">
        <f t="shared" si="354"/>
        <v>542.19083333333333</v>
      </c>
      <c r="BG420" s="449">
        <f t="shared" si="354"/>
        <v>542.19083333333333</v>
      </c>
      <c r="BH420" s="400"/>
      <c r="BI420" s="449">
        <f>SUM('FY19 Staffing V1-1 (3)'!$Q$217:$R$217,'FY19 Staffing V1-1 (3)'!$T$217:$U$217)/12</f>
        <v>542.19083333333333</v>
      </c>
      <c r="BJ420" s="449">
        <f>SUM('FY19 Staffing V1-1 (3)'!$Q$217:$R$217,'FY19 Staffing V1-1 (3)'!$T$217:$U$217)/12</f>
        <v>542.19083333333333</v>
      </c>
      <c r="BK420" s="449">
        <f>SUM('FY19 Staffing V1-1 (3)'!$Q$217:$R$217,'FY19 Staffing V1-1 (3)'!$T$217:$U$217)/12</f>
        <v>542.19083333333333</v>
      </c>
      <c r="BL420" s="449">
        <f>SUM('FY19 Staffing V1-1 (3)'!$Q$217:$R$217,'FY19 Staffing V1-1 (3)'!$T$217:$U$217)/12</f>
        <v>542.19083333333333</v>
      </c>
      <c r="BM420" s="449">
        <f>SUM('FY19 Staffing V1-1 (3)'!$Q$217:$R$217,'FY19 Staffing V1-1 (3)'!$T$217:$U$217)/12</f>
        <v>542.19083333333333</v>
      </c>
      <c r="BN420" s="449">
        <f>SUM('FY19 Staffing V1-1 (3)'!$Q$217:$R$217,'FY19 Staffing V1-1 (3)'!$T$217:$U$217)/12</f>
        <v>542.19083333333333</v>
      </c>
      <c r="BO420" s="449">
        <f>SUM('FY19 Staffing V1-1 (3)'!$Q$217:$R$217,'FY19 Staffing V1-1 (3)'!$T$217:$U$217)/12</f>
        <v>542.19083333333333</v>
      </c>
      <c r="BP420" s="449">
        <f>SUM('FY19 Staffing V1-1 (3)'!$Q$217:$R$217,'FY19 Staffing V1-1 (3)'!$T$217:$U$217)/12</f>
        <v>542.19083333333333</v>
      </c>
      <c r="BQ420" s="449">
        <f>SUM('FY19 Staffing V1-1 (3)'!$Q$217:$R$217,'FY19 Staffing V1-1 (3)'!$T$217:$U$217)/12</f>
        <v>542.19083333333333</v>
      </c>
      <c r="BR420" s="449">
        <f>SUM('FY19 Staffing V1-1 (3)'!$Q$217:$R$217,'FY19 Staffing V1-1 (3)'!$T$217:$U$217)/12</f>
        <v>542.19083333333333</v>
      </c>
      <c r="BS420" s="449">
        <f>SUM('FY19 Staffing V1-1 (3)'!$Q$217:$R$217,'FY19 Staffing V1-1 (3)'!$T$217:$U$217)/12</f>
        <v>542.19083333333333</v>
      </c>
      <c r="BT420" s="449">
        <f>SUM('FY19 Staffing V1-1 (3)'!$Q$217:$R$217,'FY19 Staffing V1-1 (3)'!$T$217:$U$217)/12</f>
        <v>542.19083333333333</v>
      </c>
    </row>
    <row r="421" spans="1:72" ht="15" x14ac:dyDescent="0.25">
      <c r="A421" s="502" t="s">
        <v>707</v>
      </c>
      <c r="B421" s="502" t="s">
        <v>708</v>
      </c>
      <c r="C421" s="541"/>
      <c r="D421" s="500">
        <f t="shared" si="338"/>
        <v>0</v>
      </c>
      <c r="E421" s="449">
        <v>0</v>
      </c>
      <c r="F421" s="449">
        <f t="shared" si="339"/>
        <v>0</v>
      </c>
      <c r="G421" s="421">
        <f t="shared" si="340"/>
        <v>0</v>
      </c>
      <c r="H421" s="449">
        <v>0</v>
      </c>
      <c r="I421" s="449">
        <f t="shared" si="341"/>
        <v>0</v>
      </c>
      <c r="J421" s="426">
        <f t="shared" si="342"/>
        <v>0</v>
      </c>
      <c r="K421" s="421"/>
      <c r="L421" s="449">
        <v>0</v>
      </c>
      <c r="M421" s="449">
        <v>0</v>
      </c>
      <c r="N421" s="449">
        <v>0</v>
      </c>
      <c r="O421" s="449">
        <v>0</v>
      </c>
      <c r="P421" s="449">
        <v>0</v>
      </c>
      <c r="Q421" s="449">
        <v>0</v>
      </c>
      <c r="R421" s="449">
        <f>($H421-SUM($L421:Q421))/R$694</f>
        <v>0</v>
      </c>
      <c r="S421" s="449">
        <f>($H421-SUM($L421:R421))/S$694</f>
        <v>0</v>
      </c>
      <c r="T421" s="449">
        <f>($H421-SUM($L421:S421))/T$694</f>
        <v>0</v>
      </c>
      <c r="U421" s="449">
        <f>($H421-SUM($L421:T421))/U$694</f>
        <v>0</v>
      </c>
      <c r="V421" s="449">
        <f>($H421-SUM($L421:U421))/V$694</f>
        <v>0</v>
      </c>
      <c r="W421" s="449">
        <f>($H421-SUM($L421:V421))/W$694</f>
        <v>0</v>
      </c>
      <c r="X421" s="449"/>
      <c r="Y421" s="449">
        <f t="shared" si="343"/>
        <v>0</v>
      </c>
      <c r="Z421" s="531"/>
      <c r="AA421" s="449">
        <f t="shared" si="357"/>
        <v>0</v>
      </c>
      <c r="AB421" s="449">
        <f t="shared" si="357"/>
        <v>0</v>
      </c>
      <c r="AC421" s="449">
        <f t="shared" si="357"/>
        <v>0</v>
      </c>
      <c r="AD421" s="449">
        <f t="shared" si="357"/>
        <v>0</v>
      </c>
      <c r="AE421" s="449">
        <f t="shared" si="357"/>
        <v>0</v>
      </c>
      <c r="AF421" s="449">
        <f t="shared" si="357"/>
        <v>0</v>
      </c>
      <c r="AG421" s="449">
        <f t="shared" si="357"/>
        <v>0</v>
      </c>
      <c r="AH421" s="449">
        <f t="shared" si="357"/>
        <v>0</v>
      </c>
      <c r="AI421" s="449">
        <f t="shared" si="357"/>
        <v>0</v>
      </c>
      <c r="AJ421" s="449">
        <f t="shared" si="357"/>
        <v>0</v>
      </c>
      <c r="AK421" s="449">
        <f t="shared" si="357"/>
        <v>0</v>
      </c>
      <c r="AL421" s="449">
        <f t="shared" si="357"/>
        <v>0</v>
      </c>
      <c r="AN421" s="500">
        <f t="shared" si="345"/>
        <v>0</v>
      </c>
      <c r="AO421" s="449">
        <f t="shared" si="346"/>
        <v>0</v>
      </c>
      <c r="AP421" s="449">
        <f t="shared" si="347"/>
        <v>0</v>
      </c>
      <c r="AQ421" s="453" t="str">
        <f t="shared" si="348"/>
        <v>-</v>
      </c>
      <c r="AR421" s="449">
        <f t="shared" si="349"/>
        <v>0</v>
      </c>
      <c r="AS421" s="449">
        <f t="shared" si="350"/>
        <v>0</v>
      </c>
      <c r="AT421" s="426">
        <f t="shared" si="351"/>
        <v>0</v>
      </c>
      <c r="AU421" s="421"/>
      <c r="AV421" s="449">
        <f t="shared" si="355"/>
        <v>0</v>
      </c>
      <c r="AW421" s="449">
        <f t="shared" si="355"/>
        <v>0</v>
      </c>
      <c r="AX421" s="449">
        <f t="shared" si="355"/>
        <v>0</v>
      </c>
      <c r="AY421" s="449">
        <f t="shared" si="354"/>
        <v>0</v>
      </c>
      <c r="AZ421" s="449">
        <f t="shared" si="354"/>
        <v>0</v>
      </c>
      <c r="BA421" s="449">
        <f t="shared" si="354"/>
        <v>0</v>
      </c>
      <c r="BB421" s="449">
        <f t="shared" si="354"/>
        <v>0</v>
      </c>
      <c r="BC421" s="449">
        <f t="shared" si="354"/>
        <v>0</v>
      </c>
      <c r="BD421" s="449">
        <f t="shared" si="354"/>
        <v>0</v>
      </c>
      <c r="BE421" s="449">
        <f t="shared" si="354"/>
        <v>0</v>
      </c>
      <c r="BF421" s="449">
        <f t="shared" si="354"/>
        <v>0</v>
      </c>
      <c r="BG421" s="449">
        <f t="shared" si="354"/>
        <v>0</v>
      </c>
      <c r="BH421" s="400"/>
      <c r="BI421" s="449">
        <v>0</v>
      </c>
      <c r="BJ421" s="449">
        <v>0</v>
      </c>
      <c r="BK421" s="449">
        <v>0</v>
      </c>
      <c r="BL421" s="449">
        <v>0</v>
      </c>
      <c r="BM421" s="449">
        <v>0</v>
      </c>
      <c r="BN421" s="449">
        <v>0</v>
      </c>
      <c r="BO421" s="449">
        <v>0</v>
      </c>
      <c r="BP421" s="449">
        <v>0</v>
      </c>
      <c r="BQ421" s="449">
        <v>0</v>
      </c>
      <c r="BR421" s="449">
        <v>0</v>
      </c>
      <c r="BS421" s="449">
        <v>0</v>
      </c>
      <c r="BT421" s="449">
        <v>0</v>
      </c>
    </row>
    <row r="422" spans="1:72" ht="15" x14ac:dyDescent="0.25">
      <c r="A422" s="502" t="s">
        <v>709</v>
      </c>
      <c r="B422" s="502" t="s">
        <v>710</v>
      </c>
      <c r="C422" s="541"/>
      <c r="D422" s="500">
        <f t="shared" si="338"/>
        <v>3474.09</v>
      </c>
      <c r="E422" s="449">
        <v>0</v>
      </c>
      <c r="F422" s="449">
        <f t="shared" si="339"/>
        <v>3474.09</v>
      </c>
      <c r="G422" s="421">
        <f t="shared" si="340"/>
        <v>0</v>
      </c>
      <c r="H422" s="449">
        <v>0</v>
      </c>
      <c r="I422" s="449">
        <f t="shared" si="341"/>
        <v>3474.09</v>
      </c>
      <c r="J422" s="426">
        <f t="shared" si="342"/>
        <v>0</v>
      </c>
      <c r="K422" s="421"/>
      <c r="L422" s="449">
        <v>596.70000000000005</v>
      </c>
      <c r="M422" s="449">
        <v>1127.52</v>
      </c>
      <c r="N422" s="449">
        <v>430.37999999999988</v>
      </c>
      <c r="O422" s="449">
        <v>405.99000000000024</v>
      </c>
      <c r="P422" s="449">
        <v>405.98999999999978</v>
      </c>
      <c r="Q422" s="449">
        <v>507.51000000000022</v>
      </c>
      <c r="R422" s="449">
        <v>0</v>
      </c>
      <c r="S422" s="449">
        <v>0</v>
      </c>
      <c r="T422" s="449">
        <v>0</v>
      </c>
      <c r="U422" s="449">
        <v>0</v>
      </c>
      <c r="V422" s="449">
        <v>0</v>
      </c>
      <c r="W422" s="449">
        <v>0</v>
      </c>
      <c r="X422" s="449"/>
      <c r="Y422" s="449">
        <f t="shared" si="343"/>
        <v>3474.09</v>
      </c>
      <c r="Z422" s="531"/>
      <c r="AA422" s="449">
        <f t="shared" si="357"/>
        <v>0</v>
      </c>
      <c r="AB422" s="449">
        <f t="shared" si="357"/>
        <v>0</v>
      </c>
      <c r="AC422" s="449">
        <f t="shared" si="357"/>
        <v>0</v>
      </c>
      <c r="AD422" s="449">
        <f t="shared" si="357"/>
        <v>0</v>
      </c>
      <c r="AE422" s="449">
        <f t="shared" si="357"/>
        <v>0</v>
      </c>
      <c r="AF422" s="449">
        <f t="shared" si="357"/>
        <v>0</v>
      </c>
      <c r="AG422" s="449">
        <f t="shared" si="357"/>
        <v>0</v>
      </c>
      <c r="AH422" s="449">
        <f t="shared" si="357"/>
        <v>0</v>
      </c>
      <c r="AI422" s="449">
        <f t="shared" si="357"/>
        <v>0</v>
      </c>
      <c r="AJ422" s="449">
        <f t="shared" si="357"/>
        <v>0</v>
      </c>
      <c r="AK422" s="449">
        <f t="shared" si="357"/>
        <v>0</v>
      </c>
      <c r="AL422" s="449">
        <f t="shared" si="357"/>
        <v>0</v>
      </c>
      <c r="AN422" s="500">
        <f t="shared" si="345"/>
        <v>3474.09</v>
      </c>
      <c r="AO422" s="449">
        <f t="shared" si="346"/>
        <v>15654.86</v>
      </c>
      <c r="AP422" s="449">
        <f t="shared" si="347"/>
        <v>12180.77</v>
      </c>
      <c r="AQ422" s="453">
        <f t="shared" si="348"/>
        <v>3.5061757179577961</v>
      </c>
      <c r="AR422" s="449">
        <f t="shared" si="349"/>
        <v>15654.86</v>
      </c>
      <c r="AS422" s="449">
        <f t="shared" si="350"/>
        <v>0</v>
      </c>
      <c r="AT422" s="426">
        <f t="shared" si="351"/>
        <v>0</v>
      </c>
      <c r="AU422" s="421"/>
      <c r="AV422" s="449">
        <f t="shared" si="355"/>
        <v>1304.5716666666667</v>
      </c>
      <c r="AW422" s="449">
        <f t="shared" si="355"/>
        <v>1304.5716666666667</v>
      </c>
      <c r="AX422" s="449">
        <f t="shared" si="355"/>
        <v>1304.5716666666667</v>
      </c>
      <c r="AY422" s="449">
        <f t="shared" si="354"/>
        <v>1304.5716666666667</v>
      </c>
      <c r="AZ422" s="449">
        <f t="shared" si="354"/>
        <v>1304.5716666666667</v>
      </c>
      <c r="BA422" s="449">
        <f t="shared" si="354"/>
        <v>1304.5716666666667</v>
      </c>
      <c r="BB422" s="449">
        <f t="shared" si="354"/>
        <v>1304.5716666666667</v>
      </c>
      <c r="BC422" s="449">
        <f t="shared" si="354"/>
        <v>1304.5716666666667</v>
      </c>
      <c r="BD422" s="449">
        <f t="shared" si="354"/>
        <v>1304.5716666666667</v>
      </c>
      <c r="BE422" s="449">
        <f t="shared" si="354"/>
        <v>1304.5716666666667</v>
      </c>
      <c r="BF422" s="449">
        <f t="shared" si="354"/>
        <v>1304.5716666666667</v>
      </c>
      <c r="BG422" s="449">
        <f t="shared" si="354"/>
        <v>1304.5716666666667</v>
      </c>
      <c r="BH422" s="400"/>
      <c r="BI422" s="449">
        <f>SUM('FY19 Staffing V1-1 (3)'!$Q$218:$R$219,'FY19 Staffing V1-1 (3)'!$T$218:$U$219)/12</f>
        <v>1304.5716666666667</v>
      </c>
      <c r="BJ422" s="449">
        <f>SUM('FY19 Staffing V1-1 (3)'!$Q$218:$R$219,'FY19 Staffing V1-1 (3)'!$T$218:$U$219)/12</f>
        <v>1304.5716666666667</v>
      </c>
      <c r="BK422" s="449">
        <f>SUM('FY19 Staffing V1-1 (3)'!$Q$218:$R$219,'FY19 Staffing V1-1 (3)'!$T$218:$U$219)/12</f>
        <v>1304.5716666666667</v>
      </c>
      <c r="BL422" s="449">
        <f>SUM('FY19 Staffing V1-1 (3)'!$Q$218:$R$219,'FY19 Staffing V1-1 (3)'!$T$218:$U$219)/12</f>
        <v>1304.5716666666667</v>
      </c>
      <c r="BM422" s="449">
        <f>SUM('FY19 Staffing V1-1 (3)'!$Q$218:$R$219,'FY19 Staffing V1-1 (3)'!$T$218:$U$219)/12</f>
        <v>1304.5716666666667</v>
      </c>
      <c r="BN422" s="449">
        <f>SUM('FY19 Staffing V1-1 (3)'!$Q$218:$R$219,'FY19 Staffing V1-1 (3)'!$T$218:$U$219)/12</f>
        <v>1304.5716666666667</v>
      </c>
      <c r="BO422" s="449">
        <f>SUM('FY19 Staffing V1-1 (3)'!$Q$218:$R$219,'FY19 Staffing V1-1 (3)'!$T$218:$U$219)/12</f>
        <v>1304.5716666666667</v>
      </c>
      <c r="BP422" s="449">
        <f>SUM('FY19 Staffing V1-1 (3)'!$Q$218:$R$219,'FY19 Staffing V1-1 (3)'!$T$218:$U$219)/12</f>
        <v>1304.5716666666667</v>
      </c>
      <c r="BQ422" s="449">
        <f>SUM('FY19 Staffing V1-1 (3)'!$Q$218:$R$219,'FY19 Staffing V1-1 (3)'!$T$218:$U$219)/12</f>
        <v>1304.5716666666667</v>
      </c>
      <c r="BR422" s="449">
        <f>SUM('FY19 Staffing V1-1 (3)'!$Q$218:$R$219,'FY19 Staffing V1-1 (3)'!$T$218:$U$219)/12</f>
        <v>1304.5716666666667</v>
      </c>
      <c r="BS422" s="449">
        <f>SUM('FY19 Staffing V1-1 (3)'!$Q$218:$R$219,'FY19 Staffing V1-1 (3)'!$T$218:$U$219)/12</f>
        <v>1304.5716666666667</v>
      </c>
      <c r="BT422" s="449">
        <f>SUM('FY19 Staffing V1-1 (3)'!$Q$218:$R$219,'FY19 Staffing V1-1 (3)'!$T$218:$U$219)/12</f>
        <v>1304.5716666666667</v>
      </c>
    </row>
    <row r="423" spans="1:72" ht="15" x14ac:dyDescent="0.25">
      <c r="A423" s="502" t="s">
        <v>711</v>
      </c>
      <c r="B423" s="502" t="s">
        <v>712</v>
      </c>
      <c r="C423" s="541"/>
      <c r="D423" s="500">
        <f t="shared" si="338"/>
        <v>14404</v>
      </c>
      <c r="E423" s="449">
        <v>13929</v>
      </c>
      <c r="F423" s="449">
        <f t="shared" si="339"/>
        <v>475</v>
      </c>
      <c r="G423" s="421">
        <f t="shared" si="340"/>
        <v>3.4101514825184864E-2</v>
      </c>
      <c r="H423" s="449">
        <v>14404</v>
      </c>
      <c r="I423" s="449">
        <f t="shared" si="341"/>
        <v>0</v>
      </c>
      <c r="J423" s="426">
        <f t="shared" si="342"/>
        <v>0</v>
      </c>
      <c r="K423" s="421"/>
      <c r="L423" s="449">
        <v>600.99</v>
      </c>
      <c r="M423" s="449">
        <v>1623.9399999999998</v>
      </c>
      <c r="N423" s="449">
        <v>978.51000000000022</v>
      </c>
      <c r="O423" s="449">
        <v>952.79999999999973</v>
      </c>
      <c r="P423" s="449">
        <v>573.14000000000033</v>
      </c>
      <c r="Q423" s="449">
        <v>677.89999999999964</v>
      </c>
      <c r="R423" s="449">
        <f>($H423-SUM($L423:Q423))/R$694</f>
        <v>1499.4533333333336</v>
      </c>
      <c r="S423" s="449">
        <f>($H423-SUM($L423:R423))/S$694</f>
        <v>1499.4533333333334</v>
      </c>
      <c r="T423" s="449">
        <f>($H423-SUM($L423:S423))/T$694</f>
        <v>1499.4533333333334</v>
      </c>
      <c r="U423" s="449">
        <f>($H423-SUM($L423:T423))/U$694</f>
        <v>1499.4533333333336</v>
      </c>
      <c r="V423" s="449">
        <f>($H423-SUM($L423:U423))/V$694</f>
        <v>1499.4533333333338</v>
      </c>
      <c r="W423" s="449">
        <f>($H423-SUM($L423:V423))/W$694</f>
        <v>1499.4533333333347</v>
      </c>
      <c r="X423" s="449"/>
      <c r="Y423" s="449">
        <f t="shared" si="343"/>
        <v>14404</v>
      </c>
      <c r="Z423" s="531"/>
      <c r="AA423" s="449">
        <f t="shared" si="357"/>
        <v>1200.3333333333333</v>
      </c>
      <c r="AB423" s="449">
        <f t="shared" si="357"/>
        <v>1200.3333333333333</v>
      </c>
      <c r="AC423" s="449">
        <f t="shared" si="357"/>
        <v>1200.3333333333333</v>
      </c>
      <c r="AD423" s="449">
        <f t="shared" si="357"/>
        <v>1200.3333333333333</v>
      </c>
      <c r="AE423" s="449">
        <f t="shared" si="357"/>
        <v>1200.3333333333333</v>
      </c>
      <c r="AF423" s="449">
        <f t="shared" si="357"/>
        <v>1200.3333333333333</v>
      </c>
      <c r="AG423" s="449">
        <f t="shared" si="357"/>
        <v>1200.3333333333333</v>
      </c>
      <c r="AH423" s="449">
        <f t="shared" si="357"/>
        <v>1200.3333333333333</v>
      </c>
      <c r="AI423" s="449">
        <f t="shared" si="357"/>
        <v>1200.3333333333333</v>
      </c>
      <c r="AJ423" s="449">
        <f t="shared" si="357"/>
        <v>1200.3333333333333</v>
      </c>
      <c r="AK423" s="449">
        <f t="shared" si="357"/>
        <v>1200.3333333333333</v>
      </c>
      <c r="AL423" s="449">
        <f t="shared" si="357"/>
        <v>1200.3333333333333</v>
      </c>
      <c r="AN423" s="500">
        <f t="shared" si="345"/>
        <v>14404</v>
      </c>
      <c r="AO423" s="449">
        <f t="shared" si="346"/>
        <v>8092.5499999999993</v>
      </c>
      <c r="AP423" s="449">
        <f t="shared" si="347"/>
        <v>-6311.4500000000007</v>
      </c>
      <c r="AQ423" s="453">
        <f t="shared" si="348"/>
        <v>-0.43817342404887538</v>
      </c>
      <c r="AR423" s="449">
        <f t="shared" si="349"/>
        <v>8092.5499999999993</v>
      </c>
      <c r="AS423" s="449">
        <f t="shared" si="350"/>
        <v>0</v>
      </c>
      <c r="AT423" s="426">
        <f t="shared" si="351"/>
        <v>0</v>
      </c>
      <c r="AU423" s="421"/>
      <c r="AV423" s="449">
        <f t="shared" si="355"/>
        <v>674.37916666666661</v>
      </c>
      <c r="AW423" s="449">
        <f t="shared" si="355"/>
        <v>674.37916666666661</v>
      </c>
      <c r="AX423" s="449">
        <f t="shared" si="355"/>
        <v>674.37916666666661</v>
      </c>
      <c r="AY423" s="449">
        <f t="shared" si="355"/>
        <v>674.37916666666661</v>
      </c>
      <c r="AZ423" s="449">
        <f t="shared" si="355"/>
        <v>674.37916666666661</v>
      </c>
      <c r="BA423" s="449">
        <f t="shared" si="355"/>
        <v>674.37916666666661</v>
      </c>
      <c r="BB423" s="449">
        <f t="shared" si="355"/>
        <v>674.37916666666661</v>
      </c>
      <c r="BC423" s="449">
        <f t="shared" si="355"/>
        <v>674.37916666666661</v>
      </c>
      <c r="BD423" s="449">
        <f t="shared" si="355"/>
        <v>674.37916666666661</v>
      </c>
      <c r="BE423" s="449">
        <f t="shared" si="355"/>
        <v>674.37916666666661</v>
      </c>
      <c r="BF423" s="449">
        <f t="shared" si="355"/>
        <v>674.37916666666661</v>
      </c>
      <c r="BG423" s="449">
        <f t="shared" si="355"/>
        <v>674.37916666666661</v>
      </c>
      <c r="BH423" s="400"/>
      <c r="BI423" s="449">
        <f>SUM('FY19 Staffing V1-1 (3)'!$Q$276:$R$278,'FY19 Staffing V1-1 (3)'!$T$276:$U$278)/12</f>
        <v>674.37916666666661</v>
      </c>
      <c r="BJ423" s="449">
        <f>SUM('FY19 Staffing V1-1 (3)'!$Q$276:$R$278,'FY19 Staffing V1-1 (3)'!$T$276:$U$278)/12</f>
        <v>674.37916666666661</v>
      </c>
      <c r="BK423" s="449">
        <f>SUM('FY19 Staffing V1-1 (3)'!$Q$276:$R$278,'FY19 Staffing V1-1 (3)'!$T$276:$U$278)/12</f>
        <v>674.37916666666661</v>
      </c>
      <c r="BL423" s="449">
        <f>SUM('FY19 Staffing V1-1 (3)'!$Q$276:$R$278,'FY19 Staffing V1-1 (3)'!$T$276:$U$278)/12</f>
        <v>674.37916666666661</v>
      </c>
      <c r="BM423" s="449">
        <f>SUM('FY19 Staffing V1-1 (3)'!$Q$276:$R$278,'FY19 Staffing V1-1 (3)'!$T$276:$U$278)/12</f>
        <v>674.37916666666661</v>
      </c>
      <c r="BN423" s="449">
        <f>SUM('FY19 Staffing V1-1 (3)'!$Q$276:$R$278,'FY19 Staffing V1-1 (3)'!$T$276:$U$278)/12</f>
        <v>674.37916666666661</v>
      </c>
      <c r="BO423" s="449">
        <f>SUM('FY19 Staffing V1-1 (3)'!$Q$276:$R$278,'FY19 Staffing V1-1 (3)'!$T$276:$U$278)/12</f>
        <v>674.37916666666661</v>
      </c>
      <c r="BP423" s="449">
        <f>SUM('FY19 Staffing V1-1 (3)'!$Q$276:$R$278,'FY19 Staffing V1-1 (3)'!$T$276:$U$278)/12</f>
        <v>674.37916666666661</v>
      </c>
      <c r="BQ423" s="449">
        <f>SUM('FY19 Staffing V1-1 (3)'!$Q$276:$R$278,'FY19 Staffing V1-1 (3)'!$T$276:$U$278)/12</f>
        <v>674.37916666666661</v>
      </c>
      <c r="BR423" s="449">
        <f>SUM('FY19 Staffing V1-1 (3)'!$Q$276:$R$278,'FY19 Staffing V1-1 (3)'!$T$276:$U$278)/12</f>
        <v>674.37916666666661</v>
      </c>
      <c r="BS423" s="449">
        <f>SUM('FY19 Staffing V1-1 (3)'!$Q$276:$R$278,'FY19 Staffing V1-1 (3)'!$T$276:$U$278)/12</f>
        <v>674.37916666666661</v>
      </c>
      <c r="BT423" s="449">
        <f>SUM('FY19 Staffing V1-1 (3)'!$Q$276:$R$278,'FY19 Staffing V1-1 (3)'!$T$276:$U$278)/12</f>
        <v>674.37916666666661</v>
      </c>
    </row>
    <row r="424" spans="1:72" ht="15" x14ac:dyDescent="0.25">
      <c r="A424" s="537" t="s">
        <v>713</v>
      </c>
      <c r="B424" s="537" t="s">
        <v>714</v>
      </c>
      <c r="C424" s="541"/>
      <c r="D424" s="500">
        <f>SUM(L424:W424)</f>
        <v>0</v>
      </c>
      <c r="E424" s="449">
        <v>0</v>
      </c>
      <c r="F424" s="449">
        <f t="shared" si="339"/>
        <v>0</v>
      </c>
      <c r="G424" s="421">
        <f t="shared" si="340"/>
        <v>0</v>
      </c>
      <c r="H424" s="449">
        <v>0</v>
      </c>
      <c r="I424" s="449">
        <f t="shared" si="341"/>
        <v>0</v>
      </c>
      <c r="J424" s="426">
        <f t="shared" si="342"/>
        <v>0</v>
      </c>
      <c r="K424" s="421"/>
      <c r="L424" s="449">
        <v>0</v>
      </c>
      <c r="M424" s="449">
        <v>0</v>
      </c>
      <c r="N424" s="449">
        <v>0</v>
      </c>
      <c r="O424" s="449">
        <v>0</v>
      </c>
      <c r="P424" s="449">
        <v>0</v>
      </c>
      <c r="Q424" s="449">
        <v>0</v>
      </c>
      <c r="R424" s="449">
        <f>($H424-SUM($L424:Q424))/R$694</f>
        <v>0</v>
      </c>
      <c r="S424" s="449">
        <f>($H424-SUM($L424:R424))/S$694</f>
        <v>0</v>
      </c>
      <c r="T424" s="449">
        <f>($H424-SUM($L424:S424))/T$694</f>
        <v>0</v>
      </c>
      <c r="U424" s="449">
        <f>($H424-SUM($L424:T424))/U$694</f>
        <v>0</v>
      </c>
      <c r="V424" s="449">
        <f>($H424-SUM($L424:U424))/V$694</f>
        <v>0</v>
      </c>
      <c r="W424" s="449">
        <f>($H424-SUM($L424:V424))/W$694</f>
        <v>0</v>
      </c>
      <c r="X424" s="449"/>
      <c r="Y424" s="449">
        <f t="shared" si="343"/>
        <v>0</v>
      </c>
      <c r="Z424" s="531"/>
      <c r="AA424" s="449">
        <f t="shared" si="357"/>
        <v>0</v>
      </c>
      <c r="AB424" s="449">
        <f t="shared" si="357"/>
        <v>0</v>
      </c>
      <c r="AC424" s="449">
        <f t="shared" si="357"/>
        <v>0</v>
      </c>
      <c r="AD424" s="449">
        <f t="shared" si="357"/>
        <v>0</v>
      </c>
      <c r="AE424" s="449">
        <f t="shared" si="357"/>
        <v>0</v>
      </c>
      <c r="AF424" s="449">
        <f t="shared" si="357"/>
        <v>0</v>
      </c>
      <c r="AG424" s="449">
        <f t="shared" si="357"/>
        <v>0</v>
      </c>
      <c r="AH424" s="449">
        <f t="shared" si="357"/>
        <v>0</v>
      </c>
      <c r="AI424" s="449">
        <f t="shared" si="357"/>
        <v>0</v>
      </c>
      <c r="AJ424" s="449">
        <f t="shared" si="357"/>
        <v>0</v>
      </c>
      <c r="AK424" s="449">
        <f t="shared" si="357"/>
        <v>0</v>
      </c>
      <c r="AL424" s="449">
        <f t="shared" si="357"/>
        <v>0</v>
      </c>
      <c r="AN424" s="500">
        <f>SUM(L424:W424)</f>
        <v>0</v>
      </c>
      <c r="AO424" s="449">
        <f>SUM(BI424:BT424)</f>
        <v>229.5</v>
      </c>
      <c r="AP424" s="449">
        <f t="shared" si="347"/>
        <v>229.5</v>
      </c>
      <c r="AQ424" s="453" t="str">
        <f t="shared" si="348"/>
        <v>-</v>
      </c>
      <c r="AR424" s="449">
        <f t="shared" si="349"/>
        <v>229.5</v>
      </c>
      <c r="AS424" s="449">
        <f t="shared" si="350"/>
        <v>0</v>
      </c>
      <c r="AT424" s="426">
        <f t="shared" si="351"/>
        <v>0</v>
      </c>
      <c r="AU424" s="421"/>
      <c r="AV424" s="449">
        <f t="shared" si="355"/>
        <v>19.125</v>
      </c>
      <c r="AW424" s="449">
        <f t="shared" si="355"/>
        <v>19.125</v>
      </c>
      <c r="AX424" s="449">
        <f t="shared" si="355"/>
        <v>19.125</v>
      </c>
      <c r="AY424" s="449">
        <f t="shared" si="355"/>
        <v>19.125</v>
      </c>
      <c r="AZ424" s="449">
        <f t="shared" si="355"/>
        <v>19.125</v>
      </c>
      <c r="BA424" s="449">
        <f t="shared" si="355"/>
        <v>19.125</v>
      </c>
      <c r="BB424" s="449">
        <f t="shared" si="355"/>
        <v>19.125</v>
      </c>
      <c r="BC424" s="449">
        <f t="shared" si="355"/>
        <v>19.125</v>
      </c>
      <c r="BD424" s="449">
        <f t="shared" si="355"/>
        <v>19.125</v>
      </c>
      <c r="BE424" s="449">
        <f t="shared" si="355"/>
        <v>19.125</v>
      </c>
      <c r="BF424" s="449">
        <f t="shared" si="355"/>
        <v>19.125</v>
      </c>
      <c r="BG424" s="449">
        <f t="shared" si="355"/>
        <v>19.125</v>
      </c>
      <c r="BH424" s="400"/>
      <c r="BI424" s="449">
        <f>SUM('FY19 Staffing V1-1 (3)'!$Q$282:$R$282,'FY19 Staffing V1-1 (3)'!$T$282:$U$282)/12</f>
        <v>19.125</v>
      </c>
      <c r="BJ424" s="449">
        <f>SUM('FY19 Staffing V1-1 (3)'!$Q$282:$R$282,'FY19 Staffing V1-1 (3)'!$T$282:$U$282)/12</f>
        <v>19.125</v>
      </c>
      <c r="BK424" s="449">
        <f>SUM('FY19 Staffing V1-1 (3)'!$Q$282:$R$282,'FY19 Staffing V1-1 (3)'!$T$282:$U$282)/12</f>
        <v>19.125</v>
      </c>
      <c r="BL424" s="449">
        <f>SUM('FY19 Staffing V1-1 (3)'!$Q$282:$R$282,'FY19 Staffing V1-1 (3)'!$T$282:$U$282)/12</f>
        <v>19.125</v>
      </c>
      <c r="BM424" s="449">
        <f>SUM('FY19 Staffing V1-1 (3)'!$Q$282:$R$282,'FY19 Staffing V1-1 (3)'!$T$282:$U$282)/12</f>
        <v>19.125</v>
      </c>
      <c r="BN424" s="449">
        <f>SUM('FY19 Staffing V1-1 (3)'!$Q$282:$R$282,'FY19 Staffing V1-1 (3)'!$T$282:$U$282)/12</f>
        <v>19.125</v>
      </c>
      <c r="BO424" s="449">
        <f>SUM('FY19 Staffing V1-1 (3)'!$Q$282:$R$282,'FY19 Staffing V1-1 (3)'!$T$282:$U$282)/12</f>
        <v>19.125</v>
      </c>
      <c r="BP424" s="449">
        <f>SUM('FY19 Staffing V1-1 (3)'!$Q$282:$R$282,'FY19 Staffing V1-1 (3)'!$T$282:$U$282)/12</f>
        <v>19.125</v>
      </c>
      <c r="BQ424" s="449">
        <f>SUM('FY19 Staffing V1-1 (3)'!$Q$282:$R$282,'FY19 Staffing V1-1 (3)'!$T$282:$U$282)/12</f>
        <v>19.125</v>
      </c>
      <c r="BR424" s="449">
        <f>SUM('FY19 Staffing V1-1 (3)'!$Q$282:$R$282,'FY19 Staffing V1-1 (3)'!$T$282:$U$282)/12</f>
        <v>19.125</v>
      </c>
      <c r="BS424" s="449">
        <f>SUM('FY19 Staffing V1-1 (3)'!$Q$282:$R$282,'FY19 Staffing V1-1 (3)'!$T$282:$U$282)/12</f>
        <v>19.125</v>
      </c>
      <c r="BT424" s="449">
        <f>SUM('FY19 Staffing V1-1 (3)'!$Q$282:$R$282,'FY19 Staffing V1-1 (3)'!$T$282:$U$282)/12</f>
        <v>19.125</v>
      </c>
    </row>
    <row r="425" spans="1:72" ht="15" x14ac:dyDescent="0.25">
      <c r="A425" s="502" t="s">
        <v>715</v>
      </c>
      <c r="B425" s="502" t="s">
        <v>716</v>
      </c>
      <c r="C425" s="541"/>
      <c r="D425" s="500">
        <f t="shared" si="338"/>
        <v>15635</v>
      </c>
      <c r="E425" s="449">
        <v>15635</v>
      </c>
      <c r="F425" s="449">
        <f t="shared" si="339"/>
        <v>0</v>
      </c>
      <c r="G425" s="421">
        <f t="shared" si="340"/>
        <v>0</v>
      </c>
      <c r="H425" s="449">
        <v>15635</v>
      </c>
      <c r="I425" s="449">
        <f t="shared" si="341"/>
        <v>0</v>
      </c>
      <c r="J425" s="426">
        <f t="shared" si="342"/>
        <v>0</v>
      </c>
      <c r="K425" s="421"/>
      <c r="L425" s="449">
        <v>982.75</v>
      </c>
      <c r="M425" s="449">
        <v>982.75</v>
      </c>
      <c r="N425" s="449">
        <v>1609.13</v>
      </c>
      <c r="O425" s="449">
        <v>893.01000000000022</v>
      </c>
      <c r="P425" s="449">
        <v>5160.3100000000004</v>
      </c>
      <c r="Q425" s="449">
        <v>1668.1800000000003</v>
      </c>
      <c r="R425" s="449">
        <f>($H425-SUM($L425:Q425))/R$694</f>
        <v>723.14499999999987</v>
      </c>
      <c r="S425" s="449">
        <f>($H425-SUM($L425:R425))/S$694</f>
        <v>723.14499999999975</v>
      </c>
      <c r="T425" s="449">
        <f>($H425-SUM($L425:S425))/T$694</f>
        <v>723.14499999999953</v>
      </c>
      <c r="U425" s="449">
        <f>($H425-SUM($L425:T425))/U$694</f>
        <v>723.14499999999919</v>
      </c>
      <c r="V425" s="449">
        <f>($H425-SUM($L425:U425))/V$694</f>
        <v>723.14499999999953</v>
      </c>
      <c r="W425" s="449">
        <f>($H425-SUM($L425:V425))/W$694</f>
        <v>723.14500000000044</v>
      </c>
      <c r="X425" s="449"/>
      <c r="Y425" s="449">
        <f t="shared" si="343"/>
        <v>15635</v>
      </c>
      <c r="Z425" s="531"/>
      <c r="AA425" s="449">
        <f t="shared" si="357"/>
        <v>1302.9166666666667</v>
      </c>
      <c r="AB425" s="449">
        <f t="shared" si="357"/>
        <v>1302.9166666666667</v>
      </c>
      <c r="AC425" s="449">
        <f t="shared" si="357"/>
        <v>1302.9166666666667</v>
      </c>
      <c r="AD425" s="449">
        <f t="shared" si="357"/>
        <v>1302.9166666666667</v>
      </c>
      <c r="AE425" s="449">
        <f t="shared" si="357"/>
        <v>1302.9166666666667</v>
      </c>
      <c r="AF425" s="449">
        <f t="shared" si="357"/>
        <v>1302.9166666666667</v>
      </c>
      <c r="AG425" s="449">
        <f t="shared" si="357"/>
        <v>1302.9166666666667</v>
      </c>
      <c r="AH425" s="449">
        <f t="shared" si="357"/>
        <v>1302.9166666666667</v>
      </c>
      <c r="AI425" s="449">
        <f t="shared" si="357"/>
        <v>1302.9166666666667</v>
      </c>
      <c r="AJ425" s="449">
        <f t="shared" si="357"/>
        <v>1302.9166666666667</v>
      </c>
      <c r="AK425" s="449">
        <f t="shared" si="357"/>
        <v>1302.9166666666667</v>
      </c>
      <c r="AL425" s="449">
        <f t="shared" si="357"/>
        <v>1302.9166666666667</v>
      </c>
      <c r="AN425" s="500">
        <f t="shared" si="345"/>
        <v>15635</v>
      </c>
      <c r="AO425" s="449">
        <f t="shared" si="346"/>
        <v>13489.840000000002</v>
      </c>
      <c r="AP425" s="449">
        <f t="shared" si="347"/>
        <v>-2145.159999999998</v>
      </c>
      <c r="AQ425" s="453">
        <f t="shared" si="348"/>
        <v>-0.13720243044451538</v>
      </c>
      <c r="AR425" s="449">
        <f t="shared" si="349"/>
        <v>13489.840000000002</v>
      </c>
      <c r="AS425" s="449">
        <f t="shared" si="350"/>
        <v>0</v>
      </c>
      <c r="AT425" s="426">
        <f t="shared" si="351"/>
        <v>0</v>
      </c>
      <c r="AU425" s="421"/>
      <c r="AV425" s="449">
        <f t="shared" si="355"/>
        <v>1124.1533333333334</v>
      </c>
      <c r="AW425" s="449">
        <f t="shared" si="355"/>
        <v>1124.1533333333334</v>
      </c>
      <c r="AX425" s="449">
        <f t="shared" si="355"/>
        <v>1124.1533333333334</v>
      </c>
      <c r="AY425" s="449">
        <f t="shared" si="355"/>
        <v>1124.1533333333334</v>
      </c>
      <c r="AZ425" s="449">
        <f t="shared" si="355"/>
        <v>1124.1533333333334</v>
      </c>
      <c r="BA425" s="449">
        <f t="shared" si="355"/>
        <v>1124.1533333333334</v>
      </c>
      <c r="BB425" s="449">
        <f t="shared" si="355"/>
        <v>1124.1533333333334</v>
      </c>
      <c r="BC425" s="449">
        <f t="shared" si="355"/>
        <v>1124.1533333333334</v>
      </c>
      <c r="BD425" s="449">
        <f t="shared" si="355"/>
        <v>1124.1533333333334</v>
      </c>
      <c r="BE425" s="449">
        <f t="shared" si="355"/>
        <v>1124.1533333333334</v>
      </c>
      <c r="BF425" s="449">
        <f t="shared" si="355"/>
        <v>1124.1533333333334</v>
      </c>
      <c r="BG425" s="449">
        <f t="shared" si="355"/>
        <v>1124.1533333333334</v>
      </c>
      <c r="BH425" s="400"/>
      <c r="BI425" s="449">
        <f>SUM('FY19 Staffing V1-1 (3)'!$W$215)/12</f>
        <v>1124.1533333333334</v>
      </c>
      <c r="BJ425" s="449">
        <f>SUM('FY19 Staffing V1-1 (3)'!$W$215)/12</f>
        <v>1124.1533333333334</v>
      </c>
      <c r="BK425" s="449">
        <f>SUM('FY19 Staffing V1-1 (3)'!$W$215)/12</f>
        <v>1124.1533333333334</v>
      </c>
      <c r="BL425" s="449">
        <f>SUM('FY19 Staffing V1-1 (3)'!$W$215)/12</f>
        <v>1124.1533333333334</v>
      </c>
      <c r="BM425" s="449">
        <f>SUM('FY19 Staffing V1-1 (3)'!$W$215)/12</f>
        <v>1124.1533333333334</v>
      </c>
      <c r="BN425" s="449">
        <f>SUM('FY19 Staffing V1-1 (3)'!$W$215)/12</f>
        <v>1124.1533333333334</v>
      </c>
      <c r="BO425" s="449">
        <f>SUM('FY19 Staffing V1-1 (3)'!$W$215)/12</f>
        <v>1124.1533333333334</v>
      </c>
      <c r="BP425" s="449">
        <f>SUM('FY19 Staffing V1-1 (3)'!$W$215)/12</f>
        <v>1124.1533333333334</v>
      </c>
      <c r="BQ425" s="449">
        <f>SUM('FY19 Staffing V1-1 (3)'!$W$215)/12</f>
        <v>1124.1533333333334</v>
      </c>
      <c r="BR425" s="449">
        <f>SUM('FY19 Staffing V1-1 (3)'!$W$215)/12</f>
        <v>1124.1533333333334</v>
      </c>
      <c r="BS425" s="449">
        <f>SUM('FY19 Staffing V1-1 (3)'!$W$215)/12</f>
        <v>1124.1533333333334</v>
      </c>
      <c r="BT425" s="449">
        <f>SUM('FY19 Staffing V1-1 (3)'!$W$215)/12</f>
        <v>1124.1533333333334</v>
      </c>
    </row>
    <row r="426" spans="1:72" ht="15" x14ac:dyDescent="0.25">
      <c r="A426" s="502" t="s">
        <v>717</v>
      </c>
      <c r="B426" s="502" t="s">
        <v>718</v>
      </c>
      <c r="C426" s="541"/>
      <c r="D426" s="500">
        <f t="shared" si="338"/>
        <v>0</v>
      </c>
      <c r="E426" s="449">
        <v>0</v>
      </c>
      <c r="F426" s="449">
        <f t="shared" si="339"/>
        <v>0</v>
      </c>
      <c r="G426" s="421">
        <f t="shared" si="340"/>
        <v>0</v>
      </c>
      <c r="H426" s="449">
        <v>0</v>
      </c>
      <c r="I426" s="449">
        <f t="shared" si="341"/>
        <v>0</v>
      </c>
      <c r="J426" s="426">
        <f t="shared" si="342"/>
        <v>0</v>
      </c>
      <c r="K426" s="421"/>
      <c r="L426" s="449">
        <v>0</v>
      </c>
      <c r="M426" s="449">
        <v>0</v>
      </c>
      <c r="N426" s="449">
        <v>0</v>
      </c>
      <c r="O426" s="449">
        <v>0</v>
      </c>
      <c r="P426" s="449">
        <v>112.3</v>
      </c>
      <c r="Q426" s="449">
        <v>-112.3</v>
      </c>
      <c r="R426" s="449">
        <f>($H426-SUM($L426:Q426))/R$694</f>
        <v>0</v>
      </c>
      <c r="S426" s="449">
        <f>($H426-SUM($L426:R426))/S$694</f>
        <v>0</v>
      </c>
      <c r="T426" s="449">
        <f>($H426-SUM($L426:S426))/T$694</f>
        <v>0</v>
      </c>
      <c r="U426" s="449">
        <f>($H426-SUM($L426:T426))/U$694</f>
        <v>0</v>
      </c>
      <c r="V426" s="449">
        <f>($H426-SUM($L426:U426))/V$694</f>
        <v>0</v>
      </c>
      <c r="W426" s="449">
        <f>($H426-SUM($L426:V426))/W$694</f>
        <v>0</v>
      </c>
      <c r="X426" s="449"/>
      <c r="Y426" s="449">
        <f t="shared" si="343"/>
        <v>0</v>
      </c>
      <c r="Z426" s="531"/>
      <c r="AA426" s="449">
        <f t="shared" si="357"/>
        <v>0</v>
      </c>
      <c r="AB426" s="449">
        <f t="shared" si="357"/>
        <v>0</v>
      </c>
      <c r="AC426" s="449">
        <f t="shared" si="357"/>
        <v>0</v>
      </c>
      <c r="AD426" s="449">
        <f t="shared" si="357"/>
        <v>0</v>
      </c>
      <c r="AE426" s="449">
        <f t="shared" si="357"/>
        <v>0</v>
      </c>
      <c r="AF426" s="449">
        <f t="shared" si="357"/>
        <v>0</v>
      </c>
      <c r="AG426" s="449">
        <f t="shared" si="357"/>
        <v>0</v>
      </c>
      <c r="AH426" s="449">
        <f t="shared" si="357"/>
        <v>0</v>
      </c>
      <c r="AI426" s="449">
        <f t="shared" si="357"/>
        <v>0</v>
      </c>
      <c r="AJ426" s="449">
        <f t="shared" si="357"/>
        <v>0</v>
      </c>
      <c r="AK426" s="449">
        <f t="shared" si="357"/>
        <v>0</v>
      </c>
      <c r="AL426" s="449">
        <f t="shared" si="357"/>
        <v>0</v>
      </c>
      <c r="AN426" s="500">
        <f t="shared" ref="AN426:AN455" si="358">SUM(L426:W426)</f>
        <v>0</v>
      </c>
      <c r="AO426" s="449">
        <f t="shared" si="346"/>
        <v>13807.247999999998</v>
      </c>
      <c r="AP426" s="449">
        <f t="shared" si="347"/>
        <v>13807.247999999998</v>
      </c>
      <c r="AQ426" s="453" t="str">
        <f t="shared" si="348"/>
        <v>-</v>
      </c>
      <c r="AR426" s="449">
        <f t="shared" si="349"/>
        <v>13807.247999999998</v>
      </c>
      <c r="AS426" s="449">
        <f t="shared" si="350"/>
        <v>0</v>
      </c>
      <c r="AT426" s="426">
        <f t="shared" si="351"/>
        <v>0</v>
      </c>
      <c r="AU426" s="421"/>
      <c r="AV426" s="449">
        <f t="shared" si="355"/>
        <v>1150.604</v>
      </c>
      <c r="AW426" s="449">
        <f t="shared" si="355"/>
        <v>1150.604</v>
      </c>
      <c r="AX426" s="449">
        <f t="shared" si="355"/>
        <v>1150.604</v>
      </c>
      <c r="AY426" s="449">
        <f t="shared" si="355"/>
        <v>1150.604</v>
      </c>
      <c r="AZ426" s="449">
        <f t="shared" si="355"/>
        <v>1150.604</v>
      </c>
      <c r="BA426" s="449">
        <f t="shared" si="355"/>
        <v>1150.604</v>
      </c>
      <c r="BB426" s="449">
        <f t="shared" si="355"/>
        <v>1150.604</v>
      </c>
      <c r="BC426" s="449">
        <f t="shared" si="355"/>
        <v>1150.604</v>
      </c>
      <c r="BD426" s="449">
        <f t="shared" si="355"/>
        <v>1150.604</v>
      </c>
      <c r="BE426" s="449">
        <f t="shared" si="355"/>
        <v>1150.604</v>
      </c>
      <c r="BF426" s="449">
        <f t="shared" si="355"/>
        <v>1150.604</v>
      </c>
      <c r="BG426" s="449">
        <f t="shared" si="355"/>
        <v>1150.604</v>
      </c>
      <c r="BH426" s="400"/>
      <c r="BI426" s="449">
        <f>SUM('FY19 Staffing V1-1 (3)'!$W$216)/12</f>
        <v>1150.604</v>
      </c>
      <c r="BJ426" s="449">
        <f>SUM('FY19 Staffing V1-1 (3)'!$W$216)/12</f>
        <v>1150.604</v>
      </c>
      <c r="BK426" s="449">
        <f>SUM('FY19 Staffing V1-1 (3)'!$W$216)/12</f>
        <v>1150.604</v>
      </c>
      <c r="BL426" s="449">
        <f>SUM('FY19 Staffing V1-1 (3)'!$W$216)/12</f>
        <v>1150.604</v>
      </c>
      <c r="BM426" s="449">
        <f>SUM('FY19 Staffing V1-1 (3)'!$W$216)/12</f>
        <v>1150.604</v>
      </c>
      <c r="BN426" s="449">
        <f>SUM('FY19 Staffing V1-1 (3)'!$W$216)/12</f>
        <v>1150.604</v>
      </c>
      <c r="BO426" s="449">
        <f>SUM('FY19 Staffing V1-1 (3)'!$W$216)/12</f>
        <v>1150.604</v>
      </c>
      <c r="BP426" s="449">
        <f>SUM('FY19 Staffing V1-1 (3)'!$W$216)/12</f>
        <v>1150.604</v>
      </c>
      <c r="BQ426" s="449">
        <f>SUM('FY19 Staffing V1-1 (3)'!$W$216)/12</f>
        <v>1150.604</v>
      </c>
      <c r="BR426" s="449">
        <f>SUM('FY19 Staffing V1-1 (3)'!$W$216)/12</f>
        <v>1150.604</v>
      </c>
      <c r="BS426" s="449">
        <f>SUM('FY19 Staffing V1-1 (3)'!$W$216)/12</f>
        <v>1150.604</v>
      </c>
      <c r="BT426" s="449">
        <f>SUM('FY19 Staffing V1-1 (3)'!$W$216)/12</f>
        <v>1150.604</v>
      </c>
    </row>
    <row r="427" spans="1:72" ht="15" x14ac:dyDescent="0.25">
      <c r="A427" s="502" t="s">
        <v>719</v>
      </c>
      <c r="B427" s="502" t="s">
        <v>720</v>
      </c>
      <c r="C427" s="541"/>
      <c r="D427" s="500">
        <f t="shared" si="338"/>
        <v>6712</v>
      </c>
      <c r="E427" s="449">
        <v>6712</v>
      </c>
      <c r="F427" s="449">
        <f t="shared" si="339"/>
        <v>0</v>
      </c>
      <c r="G427" s="421">
        <f t="shared" si="340"/>
        <v>0</v>
      </c>
      <c r="H427" s="449">
        <v>6712</v>
      </c>
      <c r="I427" s="449">
        <f t="shared" si="341"/>
        <v>0</v>
      </c>
      <c r="J427" s="426">
        <f t="shared" si="342"/>
        <v>0</v>
      </c>
      <c r="K427" s="421"/>
      <c r="L427" s="449">
        <v>28.67</v>
      </c>
      <c r="M427" s="449">
        <v>28.67</v>
      </c>
      <c r="N427" s="449">
        <v>46.95</v>
      </c>
      <c r="O427" s="449">
        <v>-323.45999999999998</v>
      </c>
      <c r="P427" s="449">
        <v>-247.84000000000003</v>
      </c>
      <c r="Q427" s="449">
        <v>-215.76</v>
      </c>
      <c r="R427" s="449">
        <f>($H427-SUM($L427:Q427))/R$694</f>
        <v>1232.4616666666668</v>
      </c>
      <c r="S427" s="449">
        <f>($H427-SUM($L427:R427))/S$694</f>
        <v>1232.4616666666666</v>
      </c>
      <c r="T427" s="449">
        <f>($H427-SUM($L427:S427))/T$694</f>
        <v>1232.4616666666666</v>
      </c>
      <c r="U427" s="449">
        <f>($H427-SUM($L427:T427))/U$694</f>
        <v>1232.4616666666668</v>
      </c>
      <c r="V427" s="449">
        <f>($H427-SUM($L427:U427))/V$694</f>
        <v>1232.4616666666666</v>
      </c>
      <c r="W427" s="449">
        <f>($H427-SUM($L427:V427))/W$694</f>
        <v>1232.4616666666661</v>
      </c>
      <c r="X427" s="449"/>
      <c r="Y427" s="449">
        <f t="shared" si="343"/>
        <v>6712</v>
      </c>
      <c r="Z427" s="531"/>
      <c r="AA427" s="449">
        <f t="shared" si="357"/>
        <v>559.33333333333337</v>
      </c>
      <c r="AB427" s="449">
        <f t="shared" si="357"/>
        <v>559.33333333333337</v>
      </c>
      <c r="AC427" s="449">
        <f t="shared" si="357"/>
        <v>559.33333333333337</v>
      </c>
      <c r="AD427" s="449">
        <f t="shared" si="357"/>
        <v>559.33333333333337</v>
      </c>
      <c r="AE427" s="449">
        <f t="shared" si="357"/>
        <v>559.33333333333337</v>
      </c>
      <c r="AF427" s="449">
        <f t="shared" si="357"/>
        <v>559.33333333333337</v>
      </c>
      <c r="AG427" s="449">
        <f t="shared" si="357"/>
        <v>559.33333333333337</v>
      </c>
      <c r="AH427" s="449">
        <f t="shared" si="357"/>
        <v>559.33333333333337</v>
      </c>
      <c r="AI427" s="449">
        <f t="shared" si="357"/>
        <v>559.33333333333337</v>
      </c>
      <c r="AJ427" s="449">
        <f t="shared" si="357"/>
        <v>559.33333333333337</v>
      </c>
      <c r="AK427" s="449">
        <f t="shared" si="357"/>
        <v>559.33333333333337</v>
      </c>
      <c r="AL427" s="449">
        <f t="shared" si="357"/>
        <v>559.33333333333337</v>
      </c>
      <c r="AN427" s="500">
        <f t="shared" si="358"/>
        <v>6712</v>
      </c>
      <c r="AO427" s="449">
        <f t="shared" si="346"/>
        <v>9745.0360000000001</v>
      </c>
      <c r="AP427" s="449">
        <f t="shared" si="347"/>
        <v>3033.0360000000001</v>
      </c>
      <c r="AQ427" s="453">
        <f t="shared" si="348"/>
        <v>0.45188259833134686</v>
      </c>
      <c r="AR427" s="449">
        <f t="shared" si="349"/>
        <v>9745.0360000000001</v>
      </c>
      <c r="AS427" s="449">
        <f t="shared" si="350"/>
        <v>0</v>
      </c>
      <c r="AT427" s="426">
        <f t="shared" si="351"/>
        <v>0</v>
      </c>
      <c r="AU427" s="421"/>
      <c r="AV427" s="449">
        <f t="shared" si="355"/>
        <v>812.0863333333333</v>
      </c>
      <c r="AW427" s="449">
        <f t="shared" si="355"/>
        <v>812.0863333333333</v>
      </c>
      <c r="AX427" s="449">
        <f t="shared" si="355"/>
        <v>812.0863333333333</v>
      </c>
      <c r="AY427" s="449">
        <f t="shared" si="355"/>
        <v>812.0863333333333</v>
      </c>
      <c r="AZ427" s="449">
        <f t="shared" si="355"/>
        <v>812.0863333333333</v>
      </c>
      <c r="BA427" s="449">
        <f t="shared" si="355"/>
        <v>812.0863333333333</v>
      </c>
      <c r="BB427" s="449">
        <f t="shared" si="355"/>
        <v>812.0863333333333</v>
      </c>
      <c r="BC427" s="449">
        <f t="shared" si="355"/>
        <v>812.0863333333333</v>
      </c>
      <c r="BD427" s="449">
        <f t="shared" si="355"/>
        <v>812.0863333333333</v>
      </c>
      <c r="BE427" s="449">
        <f t="shared" si="355"/>
        <v>812.0863333333333</v>
      </c>
      <c r="BF427" s="449">
        <f t="shared" si="355"/>
        <v>812.0863333333333</v>
      </c>
      <c r="BG427" s="449">
        <f t="shared" si="355"/>
        <v>812.0863333333333</v>
      </c>
      <c r="BH427" s="400"/>
      <c r="BI427" s="449">
        <f>SUM('FY19 Staffing V1-1 (3)'!$W$217)/12</f>
        <v>812.0863333333333</v>
      </c>
      <c r="BJ427" s="449">
        <f>SUM('FY19 Staffing V1-1 (3)'!$W$217)/12</f>
        <v>812.0863333333333</v>
      </c>
      <c r="BK427" s="449">
        <f>SUM('FY19 Staffing V1-1 (3)'!$W$217)/12</f>
        <v>812.0863333333333</v>
      </c>
      <c r="BL427" s="449">
        <f>SUM('FY19 Staffing V1-1 (3)'!$W$217)/12</f>
        <v>812.0863333333333</v>
      </c>
      <c r="BM427" s="449">
        <f>SUM('FY19 Staffing V1-1 (3)'!$W$217)/12</f>
        <v>812.0863333333333</v>
      </c>
      <c r="BN427" s="449">
        <f>SUM('FY19 Staffing V1-1 (3)'!$W$217)/12</f>
        <v>812.0863333333333</v>
      </c>
      <c r="BO427" s="449">
        <f>SUM('FY19 Staffing V1-1 (3)'!$W$217)/12</f>
        <v>812.0863333333333</v>
      </c>
      <c r="BP427" s="449">
        <f>SUM('FY19 Staffing V1-1 (3)'!$W$217)/12</f>
        <v>812.0863333333333</v>
      </c>
      <c r="BQ427" s="449">
        <f>SUM('FY19 Staffing V1-1 (3)'!$W$217)/12</f>
        <v>812.0863333333333</v>
      </c>
      <c r="BR427" s="449">
        <f>SUM('FY19 Staffing V1-1 (3)'!$W$217)/12</f>
        <v>812.0863333333333</v>
      </c>
      <c r="BS427" s="449">
        <f>SUM('FY19 Staffing V1-1 (3)'!$W$217)/12</f>
        <v>812.0863333333333</v>
      </c>
      <c r="BT427" s="449">
        <f>SUM('FY19 Staffing V1-1 (3)'!$W$217)/12</f>
        <v>812.0863333333333</v>
      </c>
    </row>
    <row r="428" spans="1:72" ht="15" x14ac:dyDescent="0.25">
      <c r="A428" s="502" t="s">
        <v>721</v>
      </c>
      <c r="B428" s="502" t="s">
        <v>722</v>
      </c>
      <c r="C428" s="541"/>
      <c r="D428" s="500">
        <f t="shared" si="338"/>
        <v>6712</v>
      </c>
      <c r="E428" s="449">
        <v>13424</v>
      </c>
      <c r="F428" s="449">
        <f t="shared" si="339"/>
        <v>-6712</v>
      </c>
      <c r="G428" s="421">
        <f t="shared" si="340"/>
        <v>-0.5</v>
      </c>
      <c r="H428" s="449">
        <v>6712</v>
      </c>
      <c r="I428" s="449">
        <f t="shared" si="341"/>
        <v>0</v>
      </c>
      <c r="J428" s="426">
        <f t="shared" si="342"/>
        <v>0</v>
      </c>
      <c r="K428" s="421"/>
      <c r="L428" s="449">
        <v>309.89</v>
      </c>
      <c r="M428" s="449">
        <v>309.89</v>
      </c>
      <c r="N428" s="449">
        <v>507.41000000000008</v>
      </c>
      <c r="O428" s="449">
        <v>-705</v>
      </c>
      <c r="P428" s="449">
        <v>112.29999999999995</v>
      </c>
      <c r="Q428" s="449">
        <v>144.36000000000001</v>
      </c>
      <c r="R428" s="449">
        <f>($H428-SUM($L428:Q428))/R$694</f>
        <v>1005.525</v>
      </c>
      <c r="S428" s="449">
        <f>($H428-SUM($L428:R428))/S$694</f>
        <v>1005.525</v>
      </c>
      <c r="T428" s="449">
        <f>($H428-SUM($L428:S428))/T$694</f>
        <v>1005.525</v>
      </c>
      <c r="U428" s="449">
        <f>($H428-SUM($L428:T428))/U$694</f>
        <v>1005.525</v>
      </c>
      <c r="V428" s="449">
        <f>($H428-SUM($L428:U428))/V$694</f>
        <v>1005.5250000000001</v>
      </c>
      <c r="W428" s="449">
        <f>($H428-SUM($L428:V428))/W$694</f>
        <v>1005.5249999999996</v>
      </c>
      <c r="X428" s="449"/>
      <c r="Y428" s="449">
        <f t="shared" si="343"/>
        <v>6712</v>
      </c>
      <c r="Z428" s="531"/>
      <c r="AA428" s="449">
        <f t="shared" si="357"/>
        <v>559.33333333333337</v>
      </c>
      <c r="AB428" s="449">
        <f t="shared" si="357"/>
        <v>559.33333333333337</v>
      </c>
      <c r="AC428" s="449">
        <f t="shared" si="357"/>
        <v>559.33333333333337</v>
      </c>
      <c r="AD428" s="449">
        <f t="shared" si="357"/>
        <v>559.33333333333337</v>
      </c>
      <c r="AE428" s="449">
        <f t="shared" si="357"/>
        <v>559.33333333333337</v>
      </c>
      <c r="AF428" s="449">
        <f t="shared" si="357"/>
        <v>559.33333333333337</v>
      </c>
      <c r="AG428" s="449">
        <f t="shared" si="357"/>
        <v>559.33333333333337</v>
      </c>
      <c r="AH428" s="449">
        <f t="shared" si="357"/>
        <v>559.33333333333337</v>
      </c>
      <c r="AI428" s="449">
        <f t="shared" si="357"/>
        <v>559.33333333333337</v>
      </c>
      <c r="AJ428" s="449">
        <f t="shared" si="357"/>
        <v>559.33333333333337</v>
      </c>
      <c r="AK428" s="449">
        <f t="shared" si="357"/>
        <v>559.33333333333337</v>
      </c>
      <c r="AL428" s="449">
        <f t="shared" si="357"/>
        <v>559.33333333333337</v>
      </c>
      <c r="AN428" s="500">
        <f t="shared" si="358"/>
        <v>6712</v>
      </c>
      <c r="AO428" s="449">
        <f t="shared" si="346"/>
        <v>21527.282000000003</v>
      </c>
      <c r="AP428" s="449">
        <f t="shared" si="347"/>
        <v>14815.282000000003</v>
      </c>
      <c r="AQ428" s="453">
        <f t="shared" si="348"/>
        <v>2.2072827771156143</v>
      </c>
      <c r="AR428" s="449">
        <f t="shared" si="349"/>
        <v>21527.282000000003</v>
      </c>
      <c r="AS428" s="449">
        <f t="shared" si="350"/>
        <v>0</v>
      </c>
      <c r="AT428" s="426">
        <f t="shared" si="351"/>
        <v>0</v>
      </c>
      <c r="AU428" s="421"/>
      <c r="AV428" s="449">
        <f t="shared" si="355"/>
        <v>1793.940166666667</v>
      </c>
      <c r="AW428" s="449">
        <f t="shared" si="355"/>
        <v>1793.940166666667</v>
      </c>
      <c r="AX428" s="449">
        <f t="shared" si="355"/>
        <v>1793.940166666667</v>
      </c>
      <c r="AY428" s="449">
        <f t="shared" si="355"/>
        <v>1793.940166666667</v>
      </c>
      <c r="AZ428" s="449">
        <f t="shared" si="355"/>
        <v>1793.940166666667</v>
      </c>
      <c r="BA428" s="449">
        <f t="shared" si="355"/>
        <v>1793.940166666667</v>
      </c>
      <c r="BB428" s="449">
        <f t="shared" si="355"/>
        <v>1793.940166666667</v>
      </c>
      <c r="BC428" s="449">
        <f t="shared" si="355"/>
        <v>1793.940166666667</v>
      </c>
      <c r="BD428" s="449">
        <f t="shared" si="355"/>
        <v>1793.940166666667</v>
      </c>
      <c r="BE428" s="449">
        <f t="shared" si="355"/>
        <v>1793.940166666667</v>
      </c>
      <c r="BF428" s="449">
        <f t="shared" si="355"/>
        <v>1793.940166666667</v>
      </c>
      <c r="BG428" s="449">
        <f t="shared" si="355"/>
        <v>1793.940166666667</v>
      </c>
      <c r="BH428" s="400"/>
      <c r="BI428" s="449">
        <f>SUM('FY19 Staffing V1-1 (3)'!$W$218:$W$219)/12</f>
        <v>1793.940166666667</v>
      </c>
      <c r="BJ428" s="449">
        <f>SUM('FY19 Staffing V1-1 (3)'!$W$218:$W$219)/12</f>
        <v>1793.940166666667</v>
      </c>
      <c r="BK428" s="449">
        <f>SUM('FY19 Staffing V1-1 (3)'!$W$218:$W$219)/12</f>
        <v>1793.940166666667</v>
      </c>
      <c r="BL428" s="449">
        <f>SUM('FY19 Staffing V1-1 (3)'!$W$218:$W$219)/12</f>
        <v>1793.940166666667</v>
      </c>
      <c r="BM428" s="449">
        <f>SUM('FY19 Staffing V1-1 (3)'!$W$218:$W$219)/12</f>
        <v>1793.940166666667</v>
      </c>
      <c r="BN428" s="449">
        <f>SUM('FY19 Staffing V1-1 (3)'!$W$218:$W$219)/12</f>
        <v>1793.940166666667</v>
      </c>
      <c r="BO428" s="449">
        <f>SUM('FY19 Staffing V1-1 (3)'!$W$218:$W$219)/12</f>
        <v>1793.940166666667</v>
      </c>
      <c r="BP428" s="449">
        <f>SUM('FY19 Staffing V1-1 (3)'!$W$218:$W$219)/12</f>
        <v>1793.940166666667</v>
      </c>
      <c r="BQ428" s="449">
        <f>SUM('FY19 Staffing V1-1 (3)'!$W$218:$W$219)/12</f>
        <v>1793.940166666667</v>
      </c>
      <c r="BR428" s="449">
        <f>SUM('FY19 Staffing V1-1 (3)'!$W$218:$W$219)/12</f>
        <v>1793.940166666667</v>
      </c>
      <c r="BS428" s="449">
        <f>SUM('FY19 Staffing V1-1 (3)'!$W$218:$W$219)/12</f>
        <v>1793.940166666667</v>
      </c>
      <c r="BT428" s="449">
        <f>SUM('FY19 Staffing V1-1 (3)'!$W$218:$W$219)/12</f>
        <v>1793.940166666667</v>
      </c>
    </row>
    <row r="429" spans="1:72" ht="15" x14ac:dyDescent="0.25">
      <c r="A429" s="537" t="s">
        <v>723</v>
      </c>
      <c r="B429" s="537" t="s">
        <v>724</v>
      </c>
      <c r="C429" s="541"/>
      <c r="D429" s="500">
        <f>SUM(L429:W429)</f>
        <v>0</v>
      </c>
      <c r="E429" s="449">
        <v>0</v>
      </c>
      <c r="F429" s="449">
        <f t="shared" si="339"/>
        <v>0</v>
      </c>
      <c r="G429" s="421">
        <f t="shared" si="340"/>
        <v>0</v>
      </c>
      <c r="H429" s="449">
        <v>0</v>
      </c>
      <c r="I429" s="449">
        <f t="shared" si="341"/>
        <v>0</v>
      </c>
      <c r="J429" s="426">
        <f t="shared" si="342"/>
        <v>0</v>
      </c>
      <c r="K429" s="421"/>
      <c r="L429" s="449">
        <v>0</v>
      </c>
      <c r="M429" s="449">
        <v>0</v>
      </c>
      <c r="N429" s="449">
        <v>0</v>
      </c>
      <c r="O429" s="449">
        <v>0</v>
      </c>
      <c r="P429" s="449">
        <v>0</v>
      </c>
      <c r="Q429" s="449">
        <v>0</v>
      </c>
      <c r="R429" s="449">
        <f>($H429-SUM($L429:Q429))/R$694</f>
        <v>0</v>
      </c>
      <c r="S429" s="449">
        <f>($H429-SUM($L429:R429))/S$694</f>
        <v>0</v>
      </c>
      <c r="T429" s="449">
        <f>($H429-SUM($L429:S429))/T$694</f>
        <v>0</v>
      </c>
      <c r="U429" s="449">
        <f>($H429-SUM($L429:T429))/U$694</f>
        <v>0</v>
      </c>
      <c r="V429" s="449">
        <f>($H429-SUM($L429:U429))/V$694</f>
        <v>0</v>
      </c>
      <c r="W429" s="449">
        <f>($H429-SUM($L429:V429))/W$694</f>
        <v>0</v>
      </c>
      <c r="X429" s="449"/>
      <c r="Y429" s="449">
        <f t="shared" si="343"/>
        <v>0</v>
      </c>
      <c r="Z429" s="531"/>
      <c r="AA429" s="449">
        <f t="shared" si="357"/>
        <v>0</v>
      </c>
      <c r="AB429" s="449">
        <f t="shared" si="357"/>
        <v>0</v>
      </c>
      <c r="AC429" s="449">
        <f t="shared" si="357"/>
        <v>0</v>
      </c>
      <c r="AD429" s="449">
        <f t="shared" si="357"/>
        <v>0</v>
      </c>
      <c r="AE429" s="449">
        <f t="shared" si="357"/>
        <v>0</v>
      </c>
      <c r="AF429" s="449">
        <f t="shared" si="357"/>
        <v>0</v>
      </c>
      <c r="AG429" s="449">
        <f t="shared" si="357"/>
        <v>0</v>
      </c>
      <c r="AH429" s="449">
        <f t="shared" si="357"/>
        <v>0</v>
      </c>
      <c r="AI429" s="449">
        <f t="shared" si="357"/>
        <v>0</v>
      </c>
      <c r="AJ429" s="449">
        <f t="shared" si="357"/>
        <v>0</v>
      </c>
      <c r="AK429" s="449">
        <f t="shared" si="357"/>
        <v>0</v>
      </c>
      <c r="AL429" s="449">
        <f t="shared" si="357"/>
        <v>0</v>
      </c>
      <c r="AN429" s="500">
        <f t="shared" si="358"/>
        <v>0</v>
      </c>
      <c r="AO429" s="449">
        <f>SUM(BI429:BT429)</f>
        <v>0</v>
      </c>
      <c r="AP429" s="449">
        <f t="shared" si="347"/>
        <v>0</v>
      </c>
      <c r="AQ429" s="453" t="str">
        <f t="shared" si="348"/>
        <v>-</v>
      </c>
      <c r="AR429" s="449">
        <f t="shared" si="349"/>
        <v>0</v>
      </c>
      <c r="AS429" s="449">
        <f t="shared" si="350"/>
        <v>0</v>
      </c>
      <c r="AT429" s="426">
        <f t="shared" si="351"/>
        <v>0</v>
      </c>
      <c r="AU429" s="421"/>
      <c r="AV429" s="449">
        <f t="shared" si="355"/>
        <v>0</v>
      </c>
      <c r="AW429" s="449">
        <f t="shared" si="355"/>
        <v>0</v>
      </c>
      <c r="AX429" s="449">
        <f t="shared" si="355"/>
        <v>0</v>
      </c>
      <c r="AY429" s="449">
        <f t="shared" si="355"/>
        <v>0</v>
      </c>
      <c r="AZ429" s="449">
        <f t="shared" si="355"/>
        <v>0</v>
      </c>
      <c r="BA429" s="449">
        <f t="shared" si="355"/>
        <v>0</v>
      </c>
      <c r="BB429" s="449">
        <f t="shared" si="355"/>
        <v>0</v>
      </c>
      <c r="BC429" s="449">
        <f t="shared" si="355"/>
        <v>0</v>
      </c>
      <c r="BD429" s="449">
        <f t="shared" si="355"/>
        <v>0</v>
      </c>
      <c r="BE429" s="449">
        <f t="shared" si="355"/>
        <v>0</v>
      </c>
      <c r="BF429" s="449">
        <f t="shared" si="355"/>
        <v>0</v>
      </c>
      <c r="BG429" s="449">
        <f t="shared" si="355"/>
        <v>0</v>
      </c>
      <c r="BH429" s="400"/>
      <c r="BI429" s="449">
        <v>0</v>
      </c>
      <c r="BJ429" s="449">
        <v>0</v>
      </c>
      <c r="BK429" s="449">
        <v>0</v>
      </c>
      <c r="BL429" s="449">
        <v>0</v>
      </c>
      <c r="BM429" s="449">
        <v>0</v>
      </c>
      <c r="BN429" s="449">
        <v>0</v>
      </c>
      <c r="BO429" s="449">
        <v>0</v>
      </c>
      <c r="BP429" s="449">
        <v>0</v>
      </c>
      <c r="BQ429" s="449">
        <v>0</v>
      </c>
      <c r="BR429" s="449">
        <v>0</v>
      </c>
      <c r="BS429" s="449">
        <v>0</v>
      </c>
      <c r="BT429" s="449">
        <v>0</v>
      </c>
    </row>
    <row r="430" spans="1:72" ht="15" x14ac:dyDescent="0.25">
      <c r="A430" s="502" t="s">
        <v>725</v>
      </c>
      <c r="B430" s="502" t="s">
        <v>726</v>
      </c>
      <c r="C430" s="541"/>
      <c r="D430" s="500">
        <f t="shared" si="338"/>
        <v>17089</v>
      </c>
      <c r="E430" s="449">
        <v>17089</v>
      </c>
      <c r="F430" s="449">
        <f t="shared" si="339"/>
        <v>0</v>
      </c>
      <c r="G430" s="421">
        <f t="shared" si="340"/>
        <v>0</v>
      </c>
      <c r="H430" s="449">
        <v>17089</v>
      </c>
      <c r="I430" s="449">
        <f t="shared" si="341"/>
        <v>0</v>
      </c>
      <c r="J430" s="426">
        <f t="shared" si="342"/>
        <v>0</v>
      </c>
      <c r="K430" s="421"/>
      <c r="L430" s="449">
        <v>542.32000000000005</v>
      </c>
      <c r="M430" s="449">
        <v>542.32000000000005</v>
      </c>
      <c r="N430" s="449">
        <v>887.97999999999979</v>
      </c>
      <c r="O430" s="449">
        <v>5979.11</v>
      </c>
      <c r="P430" s="449">
        <v>2231.5200000000004</v>
      </c>
      <c r="Q430" s="449">
        <v>1988.7399999999998</v>
      </c>
      <c r="R430" s="449">
        <f>($H430-SUM($L430:Q430))/R$694</f>
        <v>819.50166666666667</v>
      </c>
      <c r="S430" s="449">
        <f>($H430-SUM($L430:R430))/S$694</f>
        <v>819.50166666666667</v>
      </c>
      <c r="T430" s="449">
        <f>($H430-SUM($L430:S430))/T$694</f>
        <v>819.50166666666655</v>
      </c>
      <c r="U430" s="449">
        <f>($H430-SUM($L430:T430))/U$694</f>
        <v>819.50166666666644</v>
      </c>
      <c r="V430" s="449">
        <f>($H430-SUM($L430:U430))/V$694</f>
        <v>819.5016666666661</v>
      </c>
      <c r="W430" s="449">
        <f>($H430-SUM($L430:V430))/W$694</f>
        <v>819.50166666666701</v>
      </c>
      <c r="X430" s="449"/>
      <c r="Y430" s="449">
        <f t="shared" si="343"/>
        <v>17089</v>
      </c>
      <c r="Z430" s="531"/>
      <c r="AA430" s="449">
        <f t="shared" si="357"/>
        <v>1424.0833333333333</v>
      </c>
      <c r="AB430" s="449">
        <f t="shared" si="357"/>
        <v>1424.0833333333333</v>
      </c>
      <c r="AC430" s="449">
        <f t="shared" si="357"/>
        <v>1424.0833333333333</v>
      </c>
      <c r="AD430" s="449">
        <f t="shared" si="357"/>
        <v>1424.0833333333333</v>
      </c>
      <c r="AE430" s="449">
        <f t="shared" si="357"/>
        <v>1424.0833333333333</v>
      </c>
      <c r="AF430" s="449">
        <f t="shared" si="357"/>
        <v>1424.0833333333333</v>
      </c>
      <c r="AG430" s="449">
        <f t="shared" si="357"/>
        <v>1424.0833333333333</v>
      </c>
      <c r="AH430" s="449">
        <f t="shared" si="357"/>
        <v>1424.0833333333333</v>
      </c>
      <c r="AI430" s="449">
        <f t="shared" si="357"/>
        <v>1424.0833333333333</v>
      </c>
      <c r="AJ430" s="449">
        <f t="shared" si="357"/>
        <v>1424.0833333333333</v>
      </c>
      <c r="AK430" s="449">
        <f t="shared" si="357"/>
        <v>1424.0833333333333</v>
      </c>
      <c r="AL430" s="449">
        <f t="shared" si="357"/>
        <v>1424.0833333333333</v>
      </c>
      <c r="AN430" s="500">
        <f t="shared" si="358"/>
        <v>17089</v>
      </c>
      <c r="AO430" s="449">
        <f t="shared" si="346"/>
        <v>6946.9532440000012</v>
      </c>
      <c r="AP430" s="449">
        <f t="shared" si="347"/>
        <v>-10142.046756</v>
      </c>
      <c r="AQ430" s="453">
        <f t="shared" si="348"/>
        <v>-0.59348392275732931</v>
      </c>
      <c r="AR430" s="449">
        <f t="shared" si="349"/>
        <v>6946.9532440000012</v>
      </c>
      <c r="AS430" s="449">
        <f t="shared" si="350"/>
        <v>0</v>
      </c>
      <c r="AT430" s="426">
        <f t="shared" si="351"/>
        <v>0</v>
      </c>
      <c r="AU430" s="421"/>
      <c r="AV430" s="449">
        <f t="shared" si="355"/>
        <v>578.91277033333347</v>
      </c>
      <c r="AW430" s="449">
        <f t="shared" si="355"/>
        <v>578.91277033333347</v>
      </c>
      <c r="AX430" s="449">
        <f t="shared" si="355"/>
        <v>578.91277033333347</v>
      </c>
      <c r="AY430" s="449">
        <f t="shared" si="355"/>
        <v>578.91277033333347</v>
      </c>
      <c r="AZ430" s="449">
        <f t="shared" si="355"/>
        <v>578.91277033333347</v>
      </c>
      <c r="BA430" s="449">
        <f t="shared" si="355"/>
        <v>578.91277033333347</v>
      </c>
      <c r="BB430" s="449">
        <f t="shared" si="355"/>
        <v>578.91277033333347</v>
      </c>
      <c r="BC430" s="449">
        <f t="shared" si="355"/>
        <v>578.91277033333347</v>
      </c>
      <c r="BD430" s="449">
        <f t="shared" si="355"/>
        <v>578.91277033333347</v>
      </c>
      <c r="BE430" s="449">
        <f t="shared" si="355"/>
        <v>578.91277033333347</v>
      </c>
      <c r="BF430" s="449">
        <f t="shared" si="355"/>
        <v>578.91277033333347</v>
      </c>
      <c r="BG430" s="449">
        <f t="shared" si="355"/>
        <v>578.91277033333347</v>
      </c>
      <c r="BH430" s="400"/>
      <c r="BI430" s="449">
        <f>SUM('FY19 Staffing V1-1 (3)'!$W$276:$W$278)/12</f>
        <v>578.91277033333347</v>
      </c>
      <c r="BJ430" s="449">
        <f>SUM('FY19 Staffing V1-1 (3)'!$W$276:$W$278)/12</f>
        <v>578.91277033333347</v>
      </c>
      <c r="BK430" s="449">
        <f>SUM('FY19 Staffing V1-1 (3)'!$W$276:$W$278)/12</f>
        <v>578.91277033333347</v>
      </c>
      <c r="BL430" s="449">
        <f>SUM('FY19 Staffing V1-1 (3)'!$W$276:$W$278)/12</f>
        <v>578.91277033333347</v>
      </c>
      <c r="BM430" s="449">
        <f>SUM('FY19 Staffing V1-1 (3)'!$W$276:$W$278)/12</f>
        <v>578.91277033333347</v>
      </c>
      <c r="BN430" s="449">
        <f>SUM('FY19 Staffing V1-1 (3)'!$W$276:$W$278)/12</f>
        <v>578.91277033333347</v>
      </c>
      <c r="BO430" s="449">
        <f>SUM('FY19 Staffing V1-1 (3)'!$W$276:$W$278)/12</f>
        <v>578.91277033333347</v>
      </c>
      <c r="BP430" s="449">
        <f>SUM('FY19 Staffing V1-1 (3)'!$W$276:$W$278)/12</f>
        <v>578.91277033333347</v>
      </c>
      <c r="BQ430" s="449">
        <f>SUM('FY19 Staffing V1-1 (3)'!$W$276:$W$278)/12</f>
        <v>578.91277033333347</v>
      </c>
      <c r="BR430" s="449">
        <f>SUM('FY19 Staffing V1-1 (3)'!$W$276:$W$278)/12</f>
        <v>578.91277033333347</v>
      </c>
      <c r="BS430" s="449">
        <f>SUM('FY19 Staffing V1-1 (3)'!$W$276:$W$278)/12</f>
        <v>578.91277033333347</v>
      </c>
      <c r="BT430" s="449">
        <f>SUM('FY19 Staffing V1-1 (3)'!$W$276:$W$278)/12</f>
        <v>578.91277033333347</v>
      </c>
    </row>
    <row r="431" spans="1:72" ht="15" x14ac:dyDescent="0.25">
      <c r="A431" s="537" t="s">
        <v>727</v>
      </c>
      <c r="B431" s="537" t="s">
        <v>728</v>
      </c>
      <c r="C431" s="541"/>
      <c r="D431" s="500">
        <f t="shared" si="338"/>
        <v>0</v>
      </c>
      <c r="E431" s="449">
        <v>0</v>
      </c>
      <c r="F431" s="449">
        <f t="shared" si="339"/>
        <v>0</v>
      </c>
      <c r="G431" s="421">
        <f t="shared" si="340"/>
        <v>0</v>
      </c>
      <c r="H431" s="449">
        <v>0</v>
      </c>
      <c r="I431" s="449">
        <f t="shared" si="341"/>
        <v>0</v>
      </c>
      <c r="J431" s="426">
        <f t="shared" si="342"/>
        <v>0</v>
      </c>
      <c r="K431" s="421"/>
      <c r="L431" s="449">
        <v>0</v>
      </c>
      <c r="M431" s="449">
        <v>0</v>
      </c>
      <c r="N431" s="449">
        <v>0</v>
      </c>
      <c r="O431" s="449">
        <v>0</v>
      </c>
      <c r="P431" s="449">
        <v>0</v>
      </c>
      <c r="Q431" s="449">
        <v>0</v>
      </c>
      <c r="R431" s="449">
        <f>($H431-SUM($L431:Q431))/R$694</f>
        <v>0</v>
      </c>
      <c r="S431" s="449">
        <f>($H431-SUM($L431:R431))/S$694</f>
        <v>0</v>
      </c>
      <c r="T431" s="449">
        <f>($H431-SUM($L431:S431))/T$694</f>
        <v>0</v>
      </c>
      <c r="U431" s="449">
        <f>($H431-SUM($L431:T431))/U$694</f>
        <v>0</v>
      </c>
      <c r="V431" s="449">
        <f>($H431-SUM($L431:U431))/V$694</f>
        <v>0</v>
      </c>
      <c r="W431" s="449">
        <f>($H431-SUM($L431:V431))/W$694</f>
        <v>0</v>
      </c>
      <c r="X431" s="449"/>
      <c r="Y431" s="449">
        <f t="shared" si="343"/>
        <v>0</v>
      </c>
      <c r="Z431" s="531"/>
      <c r="AA431" s="449">
        <f t="shared" si="357"/>
        <v>0</v>
      </c>
      <c r="AB431" s="449">
        <f t="shared" si="357"/>
        <v>0</v>
      </c>
      <c r="AC431" s="449">
        <f t="shared" si="357"/>
        <v>0</v>
      </c>
      <c r="AD431" s="449">
        <f t="shared" si="357"/>
        <v>0</v>
      </c>
      <c r="AE431" s="449">
        <f t="shared" si="357"/>
        <v>0</v>
      </c>
      <c r="AF431" s="449">
        <f t="shared" si="357"/>
        <v>0</v>
      </c>
      <c r="AG431" s="449">
        <f t="shared" si="357"/>
        <v>0</v>
      </c>
      <c r="AH431" s="449">
        <f t="shared" si="357"/>
        <v>0</v>
      </c>
      <c r="AI431" s="449">
        <f t="shared" si="357"/>
        <v>0</v>
      </c>
      <c r="AJ431" s="449">
        <f t="shared" si="357"/>
        <v>0</v>
      </c>
      <c r="AK431" s="449">
        <f t="shared" si="357"/>
        <v>0</v>
      </c>
      <c r="AL431" s="449">
        <f t="shared" si="357"/>
        <v>0</v>
      </c>
      <c r="AN431" s="500">
        <f t="shared" si="358"/>
        <v>0</v>
      </c>
      <c r="AO431" s="449">
        <f t="shared" si="346"/>
        <v>0</v>
      </c>
      <c r="AP431" s="449">
        <f t="shared" si="347"/>
        <v>0</v>
      </c>
      <c r="AQ431" s="453" t="str">
        <f t="shared" si="348"/>
        <v>-</v>
      </c>
      <c r="AR431" s="449">
        <f t="shared" si="349"/>
        <v>0</v>
      </c>
      <c r="AS431" s="449">
        <f t="shared" si="350"/>
        <v>0</v>
      </c>
      <c r="AT431" s="426">
        <f t="shared" si="351"/>
        <v>0</v>
      </c>
      <c r="AU431" s="421"/>
      <c r="AV431" s="449">
        <f t="shared" si="355"/>
        <v>0</v>
      </c>
      <c r="AW431" s="449">
        <f t="shared" si="355"/>
        <v>0</v>
      </c>
      <c r="AX431" s="449">
        <f t="shared" si="355"/>
        <v>0</v>
      </c>
      <c r="AY431" s="449">
        <f t="shared" si="355"/>
        <v>0</v>
      </c>
      <c r="AZ431" s="449">
        <f t="shared" si="355"/>
        <v>0</v>
      </c>
      <c r="BA431" s="449">
        <f t="shared" si="355"/>
        <v>0</v>
      </c>
      <c r="BB431" s="449">
        <f t="shared" si="355"/>
        <v>0</v>
      </c>
      <c r="BC431" s="449">
        <f t="shared" si="355"/>
        <v>0</v>
      </c>
      <c r="BD431" s="449">
        <f t="shared" si="355"/>
        <v>0</v>
      </c>
      <c r="BE431" s="449">
        <f t="shared" si="355"/>
        <v>0</v>
      </c>
      <c r="BF431" s="449">
        <f t="shared" si="355"/>
        <v>0</v>
      </c>
      <c r="BG431" s="449">
        <f t="shared" si="355"/>
        <v>0</v>
      </c>
      <c r="BH431" s="400"/>
      <c r="BI431" s="449">
        <v>0</v>
      </c>
      <c r="BJ431" s="449">
        <v>0</v>
      </c>
      <c r="BK431" s="449">
        <v>0</v>
      </c>
      <c r="BL431" s="449">
        <v>0</v>
      </c>
      <c r="BM431" s="449">
        <v>0</v>
      </c>
      <c r="BN431" s="449">
        <v>0</v>
      </c>
      <c r="BO431" s="449">
        <v>0</v>
      </c>
      <c r="BP431" s="449">
        <v>0</v>
      </c>
      <c r="BQ431" s="449">
        <v>0</v>
      </c>
      <c r="BR431" s="449">
        <v>0</v>
      </c>
      <c r="BS431" s="449">
        <v>0</v>
      </c>
      <c r="BT431" s="449">
        <v>0</v>
      </c>
    </row>
    <row r="432" spans="1:72" ht="15" hidden="1" x14ac:dyDescent="0.25">
      <c r="A432" s="502" t="s">
        <v>729</v>
      </c>
      <c r="B432" s="502" t="s">
        <v>730</v>
      </c>
      <c r="C432" s="541"/>
      <c r="D432" s="500">
        <f t="shared" si="338"/>
        <v>0</v>
      </c>
      <c r="E432" s="449">
        <v>0</v>
      </c>
      <c r="F432" s="449">
        <f t="shared" si="339"/>
        <v>0</v>
      </c>
      <c r="G432" s="421">
        <f t="shared" si="340"/>
        <v>0</v>
      </c>
      <c r="H432" s="449">
        <v>0</v>
      </c>
      <c r="I432" s="449">
        <f t="shared" si="341"/>
        <v>0</v>
      </c>
      <c r="J432" s="426">
        <f t="shared" si="342"/>
        <v>0</v>
      </c>
      <c r="K432" s="421"/>
      <c r="L432" s="449">
        <v>0</v>
      </c>
      <c r="M432" s="449">
        <v>0</v>
      </c>
      <c r="N432" s="449">
        <v>0</v>
      </c>
      <c r="O432" s="449">
        <v>0</v>
      </c>
      <c r="P432" s="449">
        <v>0</v>
      </c>
      <c r="Q432" s="449">
        <v>0</v>
      </c>
      <c r="R432" s="449">
        <f>($H432-SUM($L432:Q432))/R$694</f>
        <v>0</v>
      </c>
      <c r="S432" s="449">
        <f>($H432-SUM($L432:R432))/S$694</f>
        <v>0</v>
      </c>
      <c r="T432" s="449">
        <f>($H432-SUM($L432:S432))/T$694</f>
        <v>0</v>
      </c>
      <c r="U432" s="449">
        <f>($H432-SUM($L432:T432))/U$694</f>
        <v>0</v>
      </c>
      <c r="V432" s="449">
        <f>($H432-SUM($L432:U432))/V$694</f>
        <v>0</v>
      </c>
      <c r="W432" s="449">
        <f>($H432-SUM($L432:V432))/W$694</f>
        <v>0</v>
      </c>
      <c r="X432" s="449"/>
      <c r="Y432" s="449">
        <f t="shared" si="343"/>
        <v>0</v>
      </c>
      <c r="Z432" s="531"/>
      <c r="AA432" s="449">
        <f t="shared" si="357"/>
        <v>0</v>
      </c>
      <c r="AB432" s="449">
        <f t="shared" si="357"/>
        <v>0</v>
      </c>
      <c r="AC432" s="449">
        <f t="shared" si="357"/>
        <v>0</v>
      </c>
      <c r="AD432" s="449">
        <f t="shared" si="357"/>
        <v>0</v>
      </c>
      <c r="AE432" s="449">
        <f t="shared" si="357"/>
        <v>0</v>
      </c>
      <c r="AF432" s="449">
        <f t="shared" si="357"/>
        <v>0</v>
      </c>
      <c r="AG432" s="449">
        <f t="shared" si="357"/>
        <v>0</v>
      </c>
      <c r="AH432" s="449">
        <f t="shared" si="357"/>
        <v>0</v>
      </c>
      <c r="AI432" s="449">
        <f t="shared" si="357"/>
        <v>0</v>
      </c>
      <c r="AJ432" s="449">
        <f t="shared" si="357"/>
        <v>0</v>
      </c>
      <c r="AK432" s="449">
        <f t="shared" si="357"/>
        <v>0</v>
      </c>
      <c r="AL432" s="449">
        <f t="shared" si="357"/>
        <v>0</v>
      </c>
      <c r="AN432" s="500">
        <f t="shared" si="358"/>
        <v>0</v>
      </c>
      <c r="AO432" s="449">
        <f t="shared" si="346"/>
        <v>0</v>
      </c>
      <c r="AP432" s="449">
        <f t="shared" si="347"/>
        <v>0</v>
      </c>
      <c r="AQ432" s="453" t="str">
        <f t="shared" si="348"/>
        <v>-</v>
      </c>
      <c r="AR432" s="449">
        <f t="shared" si="349"/>
        <v>0</v>
      </c>
      <c r="AS432" s="449">
        <f t="shared" si="350"/>
        <v>0</v>
      </c>
      <c r="AT432" s="426">
        <f t="shared" si="351"/>
        <v>0</v>
      </c>
      <c r="AU432" s="421"/>
      <c r="AV432" s="449">
        <f t="shared" si="355"/>
        <v>0</v>
      </c>
      <c r="AW432" s="449">
        <f t="shared" si="355"/>
        <v>0</v>
      </c>
      <c r="AX432" s="449">
        <f t="shared" si="355"/>
        <v>0</v>
      </c>
      <c r="AY432" s="449">
        <f t="shared" si="355"/>
        <v>0</v>
      </c>
      <c r="AZ432" s="449">
        <f t="shared" si="355"/>
        <v>0</v>
      </c>
      <c r="BA432" s="449">
        <f t="shared" si="355"/>
        <v>0</v>
      </c>
      <c r="BB432" s="449">
        <f t="shared" si="355"/>
        <v>0</v>
      </c>
      <c r="BC432" s="449">
        <f t="shared" si="355"/>
        <v>0</v>
      </c>
      <c r="BD432" s="449">
        <f t="shared" si="355"/>
        <v>0</v>
      </c>
      <c r="BE432" s="449">
        <f t="shared" si="355"/>
        <v>0</v>
      </c>
      <c r="BF432" s="449">
        <f t="shared" si="355"/>
        <v>0</v>
      </c>
      <c r="BG432" s="449">
        <f t="shared" si="355"/>
        <v>0</v>
      </c>
      <c r="BH432" s="400"/>
      <c r="BI432" s="449">
        <v>0</v>
      </c>
      <c r="BJ432" s="449">
        <v>0</v>
      </c>
      <c r="BK432" s="449">
        <v>0</v>
      </c>
      <c r="BL432" s="449">
        <v>0</v>
      </c>
      <c r="BM432" s="449">
        <v>0</v>
      </c>
      <c r="BN432" s="449">
        <v>0</v>
      </c>
      <c r="BO432" s="449">
        <v>0</v>
      </c>
      <c r="BP432" s="449">
        <v>0</v>
      </c>
      <c r="BQ432" s="449">
        <v>0</v>
      </c>
      <c r="BR432" s="449">
        <v>0</v>
      </c>
      <c r="BS432" s="449">
        <v>0</v>
      </c>
      <c r="BT432" s="449">
        <v>0</v>
      </c>
    </row>
    <row r="433" spans="1:72" ht="15" hidden="1" x14ac:dyDescent="0.25">
      <c r="A433" s="502" t="s">
        <v>731</v>
      </c>
      <c r="B433" s="502" t="s">
        <v>732</v>
      </c>
      <c r="C433" s="541"/>
      <c r="D433" s="500">
        <f t="shared" si="338"/>
        <v>0</v>
      </c>
      <c r="E433" s="449">
        <v>0</v>
      </c>
      <c r="F433" s="449">
        <f t="shared" si="339"/>
        <v>0</v>
      </c>
      <c r="G433" s="421">
        <f t="shared" si="340"/>
        <v>0</v>
      </c>
      <c r="H433" s="449">
        <v>0</v>
      </c>
      <c r="I433" s="449">
        <f t="shared" si="341"/>
        <v>0</v>
      </c>
      <c r="J433" s="426">
        <f t="shared" si="342"/>
        <v>0</v>
      </c>
      <c r="K433" s="421"/>
      <c r="L433" s="449">
        <v>0</v>
      </c>
      <c r="M433" s="449">
        <v>0</v>
      </c>
      <c r="N433" s="449">
        <v>0</v>
      </c>
      <c r="O433" s="449">
        <v>0</v>
      </c>
      <c r="P433" s="449">
        <v>0</v>
      </c>
      <c r="Q433" s="449">
        <v>0</v>
      </c>
      <c r="R433" s="449">
        <f>($H433-SUM($L433:Q433))/R$694</f>
        <v>0</v>
      </c>
      <c r="S433" s="449">
        <f>($H433-SUM($L433:R433))/S$694</f>
        <v>0</v>
      </c>
      <c r="T433" s="449">
        <f>($H433-SUM($L433:S433))/T$694</f>
        <v>0</v>
      </c>
      <c r="U433" s="449">
        <f>($H433-SUM($L433:T433))/U$694</f>
        <v>0</v>
      </c>
      <c r="V433" s="449">
        <f>($H433-SUM($L433:U433))/V$694</f>
        <v>0</v>
      </c>
      <c r="W433" s="449">
        <f>($H433-SUM($L433:V433))/W$694</f>
        <v>0</v>
      </c>
      <c r="X433" s="449"/>
      <c r="Y433" s="449">
        <f t="shared" si="343"/>
        <v>0</v>
      </c>
      <c r="Z433" s="531"/>
      <c r="AA433" s="449">
        <f t="shared" si="357"/>
        <v>0</v>
      </c>
      <c r="AB433" s="449">
        <f t="shared" si="357"/>
        <v>0</v>
      </c>
      <c r="AC433" s="449">
        <f t="shared" si="357"/>
        <v>0</v>
      </c>
      <c r="AD433" s="449">
        <f t="shared" si="357"/>
        <v>0</v>
      </c>
      <c r="AE433" s="449">
        <f t="shared" si="357"/>
        <v>0</v>
      </c>
      <c r="AF433" s="449">
        <f t="shared" si="357"/>
        <v>0</v>
      </c>
      <c r="AG433" s="449">
        <f t="shared" si="357"/>
        <v>0</v>
      </c>
      <c r="AH433" s="449">
        <f t="shared" si="357"/>
        <v>0</v>
      </c>
      <c r="AI433" s="449">
        <f t="shared" si="357"/>
        <v>0</v>
      </c>
      <c r="AJ433" s="449">
        <f t="shared" si="357"/>
        <v>0</v>
      </c>
      <c r="AK433" s="449">
        <f t="shared" si="357"/>
        <v>0</v>
      </c>
      <c r="AL433" s="449">
        <f t="shared" si="357"/>
        <v>0</v>
      </c>
      <c r="AN433" s="500">
        <f t="shared" si="358"/>
        <v>0</v>
      </c>
      <c r="AO433" s="449">
        <f t="shared" si="346"/>
        <v>0</v>
      </c>
      <c r="AP433" s="449">
        <f t="shared" si="347"/>
        <v>0</v>
      </c>
      <c r="AQ433" s="453" t="str">
        <f t="shared" si="348"/>
        <v>-</v>
      </c>
      <c r="AR433" s="449">
        <f t="shared" si="349"/>
        <v>0</v>
      </c>
      <c r="AS433" s="449">
        <f t="shared" si="350"/>
        <v>0</v>
      </c>
      <c r="AT433" s="426">
        <f t="shared" si="351"/>
        <v>0</v>
      </c>
      <c r="AU433" s="421"/>
      <c r="AV433" s="449">
        <f t="shared" si="355"/>
        <v>0</v>
      </c>
      <c r="AW433" s="449">
        <f t="shared" si="355"/>
        <v>0</v>
      </c>
      <c r="AX433" s="449">
        <f t="shared" si="355"/>
        <v>0</v>
      </c>
      <c r="AY433" s="449">
        <f t="shared" si="355"/>
        <v>0</v>
      </c>
      <c r="AZ433" s="449">
        <f t="shared" si="355"/>
        <v>0</v>
      </c>
      <c r="BA433" s="449">
        <f t="shared" si="355"/>
        <v>0</v>
      </c>
      <c r="BB433" s="449">
        <f t="shared" si="355"/>
        <v>0</v>
      </c>
      <c r="BC433" s="449">
        <f t="shared" si="355"/>
        <v>0</v>
      </c>
      <c r="BD433" s="449">
        <f t="shared" si="355"/>
        <v>0</v>
      </c>
      <c r="BE433" s="449">
        <f t="shared" si="355"/>
        <v>0</v>
      </c>
      <c r="BF433" s="449">
        <f t="shared" si="355"/>
        <v>0</v>
      </c>
      <c r="BG433" s="449">
        <f t="shared" si="355"/>
        <v>0</v>
      </c>
      <c r="BH433" s="400"/>
      <c r="BI433" s="449">
        <v>0</v>
      </c>
      <c r="BJ433" s="449">
        <v>0</v>
      </c>
      <c r="BK433" s="449">
        <v>0</v>
      </c>
      <c r="BL433" s="449">
        <v>0</v>
      </c>
      <c r="BM433" s="449">
        <v>0</v>
      </c>
      <c r="BN433" s="449">
        <v>0</v>
      </c>
      <c r="BO433" s="449">
        <v>0</v>
      </c>
      <c r="BP433" s="449">
        <v>0</v>
      </c>
      <c r="BQ433" s="449">
        <v>0</v>
      </c>
      <c r="BR433" s="449">
        <v>0</v>
      </c>
      <c r="BS433" s="449">
        <v>0</v>
      </c>
      <c r="BT433" s="449">
        <v>0</v>
      </c>
    </row>
    <row r="434" spans="1:72" ht="15" hidden="1" x14ac:dyDescent="0.25">
      <c r="A434" s="502" t="s">
        <v>733</v>
      </c>
      <c r="B434" s="502" t="s">
        <v>734</v>
      </c>
      <c r="C434" s="541"/>
      <c r="D434" s="500">
        <f t="shared" si="338"/>
        <v>0</v>
      </c>
      <c r="E434" s="449">
        <v>0</v>
      </c>
      <c r="F434" s="449">
        <f t="shared" si="339"/>
        <v>0</v>
      </c>
      <c r="G434" s="421">
        <f t="shared" si="340"/>
        <v>0</v>
      </c>
      <c r="H434" s="449">
        <v>0</v>
      </c>
      <c r="I434" s="449">
        <f t="shared" si="341"/>
        <v>0</v>
      </c>
      <c r="J434" s="426">
        <f t="shared" si="342"/>
        <v>0</v>
      </c>
      <c r="K434" s="421"/>
      <c r="L434" s="449">
        <v>0</v>
      </c>
      <c r="M434" s="449">
        <v>0</v>
      </c>
      <c r="N434" s="449">
        <v>0</v>
      </c>
      <c r="O434" s="449">
        <v>0</v>
      </c>
      <c r="P434" s="449">
        <v>0</v>
      </c>
      <c r="Q434" s="449">
        <v>0</v>
      </c>
      <c r="R434" s="449">
        <f>($H434-SUM($L434:Q434))/R$694</f>
        <v>0</v>
      </c>
      <c r="S434" s="449">
        <f>($H434-SUM($L434:R434))/S$694</f>
        <v>0</v>
      </c>
      <c r="T434" s="449">
        <f>($H434-SUM($L434:S434))/T$694</f>
        <v>0</v>
      </c>
      <c r="U434" s="449">
        <f>($H434-SUM($L434:T434))/U$694</f>
        <v>0</v>
      </c>
      <c r="V434" s="449">
        <f>($H434-SUM($L434:U434))/V$694</f>
        <v>0</v>
      </c>
      <c r="W434" s="449">
        <f>($H434-SUM($L434:V434))/W$694</f>
        <v>0</v>
      </c>
      <c r="X434" s="449"/>
      <c r="Y434" s="449">
        <f t="shared" si="343"/>
        <v>0</v>
      </c>
      <c r="Z434" s="531"/>
      <c r="AA434" s="449">
        <f t="shared" ref="AA434:AL449" si="359">IFERROR($H434/12,0)</f>
        <v>0</v>
      </c>
      <c r="AB434" s="449">
        <f t="shared" si="359"/>
        <v>0</v>
      </c>
      <c r="AC434" s="449">
        <f t="shared" si="359"/>
        <v>0</v>
      </c>
      <c r="AD434" s="449">
        <f t="shared" si="359"/>
        <v>0</v>
      </c>
      <c r="AE434" s="449">
        <f t="shared" si="359"/>
        <v>0</v>
      </c>
      <c r="AF434" s="449">
        <f t="shared" si="359"/>
        <v>0</v>
      </c>
      <c r="AG434" s="449">
        <f t="shared" si="359"/>
        <v>0</v>
      </c>
      <c r="AH434" s="449">
        <f t="shared" si="359"/>
        <v>0</v>
      </c>
      <c r="AI434" s="449">
        <f t="shared" si="359"/>
        <v>0</v>
      </c>
      <c r="AJ434" s="449">
        <f t="shared" si="359"/>
        <v>0</v>
      </c>
      <c r="AK434" s="449">
        <f t="shared" si="359"/>
        <v>0</v>
      </c>
      <c r="AL434" s="449">
        <f t="shared" si="359"/>
        <v>0</v>
      </c>
      <c r="AN434" s="500">
        <f t="shared" si="358"/>
        <v>0</v>
      </c>
      <c r="AO434" s="449">
        <f t="shared" si="346"/>
        <v>0</v>
      </c>
      <c r="AP434" s="449">
        <f t="shared" si="347"/>
        <v>0</v>
      </c>
      <c r="AQ434" s="453" t="str">
        <f t="shared" si="348"/>
        <v>-</v>
      </c>
      <c r="AR434" s="449">
        <f t="shared" si="349"/>
        <v>0</v>
      </c>
      <c r="AS434" s="449">
        <f t="shared" si="350"/>
        <v>0</v>
      </c>
      <c r="AT434" s="426">
        <f t="shared" si="351"/>
        <v>0</v>
      </c>
      <c r="AU434" s="421"/>
      <c r="AV434" s="449">
        <f t="shared" si="355"/>
        <v>0</v>
      </c>
      <c r="AW434" s="449">
        <f t="shared" si="355"/>
        <v>0</v>
      </c>
      <c r="AX434" s="449">
        <f t="shared" si="355"/>
        <v>0</v>
      </c>
      <c r="AY434" s="449">
        <f t="shared" si="355"/>
        <v>0</v>
      </c>
      <c r="AZ434" s="449">
        <f t="shared" si="355"/>
        <v>0</v>
      </c>
      <c r="BA434" s="449">
        <f t="shared" si="355"/>
        <v>0</v>
      </c>
      <c r="BB434" s="449">
        <f t="shared" si="355"/>
        <v>0</v>
      </c>
      <c r="BC434" s="449">
        <f t="shared" si="355"/>
        <v>0</v>
      </c>
      <c r="BD434" s="449">
        <f t="shared" si="355"/>
        <v>0</v>
      </c>
      <c r="BE434" s="449">
        <f t="shared" si="355"/>
        <v>0</v>
      </c>
      <c r="BF434" s="449">
        <f t="shared" si="355"/>
        <v>0</v>
      </c>
      <c r="BG434" s="449">
        <f t="shared" si="355"/>
        <v>0</v>
      </c>
      <c r="BH434" s="400"/>
      <c r="BI434" s="449">
        <v>0</v>
      </c>
      <c r="BJ434" s="449">
        <v>0</v>
      </c>
      <c r="BK434" s="449">
        <v>0</v>
      </c>
      <c r="BL434" s="449">
        <v>0</v>
      </c>
      <c r="BM434" s="449">
        <v>0</v>
      </c>
      <c r="BN434" s="449">
        <v>0</v>
      </c>
      <c r="BO434" s="449">
        <v>0</v>
      </c>
      <c r="BP434" s="449">
        <v>0</v>
      </c>
      <c r="BQ434" s="449">
        <v>0</v>
      </c>
      <c r="BR434" s="449">
        <v>0</v>
      </c>
      <c r="BS434" s="449">
        <v>0</v>
      </c>
      <c r="BT434" s="449">
        <v>0</v>
      </c>
    </row>
    <row r="435" spans="1:72" ht="15" hidden="1" x14ac:dyDescent="0.25">
      <c r="A435" s="502" t="s">
        <v>735</v>
      </c>
      <c r="B435" s="502" t="s">
        <v>736</v>
      </c>
      <c r="C435" s="541"/>
      <c r="D435" s="500">
        <f t="shared" si="338"/>
        <v>0</v>
      </c>
      <c r="E435" s="449">
        <v>0</v>
      </c>
      <c r="F435" s="449">
        <f t="shared" si="339"/>
        <v>0</v>
      </c>
      <c r="G435" s="421">
        <f t="shared" si="340"/>
        <v>0</v>
      </c>
      <c r="H435" s="449">
        <v>0</v>
      </c>
      <c r="I435" s="449">
        <f t="shared" si="341"/>
        <v>0</v>
      </c>
      <c r="J435" s="426">
        <f t="shared" si="342"/>
        <v>0</v>
      </c>
      <c r="K435" s="421"/>
      <c r="L435" s="449">
        <v>0</v>
      </c>
      <c r="M435" s="449">
        <v>0</v>
      </c>
      <c r="N435" s="449">
        <v>0</v>
      </c>
      <c r="O435" s="449">
        <v>0</v>
      </c>
      <c r="P435" s="449">
        <v>0</v>
      </c>
      <c r="Q435" s="449">
        <v>0</v>
      </c>
      <c r="R435" s="449">
        <f>($H435-SUM($L435:Q435))/R$694</f>
        <v>0</v>
      </c>
      <c r="S435" s="449">
        <f>($H435-SUM($L435:R435))/S$694</f>
        <v>0</v>
      </c>
      <c r="T435" s="449">
        <f>($H435-SUM($L435:S435))/T$694</f>
        <v>0</v>
      </c>
      <c r="U435" s="449">
        <f>($H435-SUM($L435:T435))/U$694</f>
        <v>0</v>
      </c>
      <c r="V435" s="449">
        <f>($H435-SUM($L435:U435))/V$694</f>
        <v>0</v>
      </c>
      <c r="W435" s="449">
        <f>($H435-SUM($L435:V435))/W$694</f>
        <v>0</v>
      </c>
      <c r="X435" s="449"/>
      <c r="Y435" s="449">
        <f t="shared" si="343"/>
        <v>0</v>
      </c>
      <c r="Z435" s="531"/>
      <c r="AA435" s="449">
        <f t="shared" si="359"/>
        <v>0</v>
      </c>
      <c r="AB435" s="449">
        <f t="shared" si="359"/>
        <v>0</v>
      </c>
      <c r="AC435" s="449">
        <f t="shared" si="359"/>
        <v>0</v>
      </c>
      <c r="AD435" s="449">
        <f t="shared" si="359"/>
        <v>0</v>
      </c>
      <c r="AE435" s="449">
        <f t="shared" si="359"/>
        <v>0</v>
      </c>
      <c r="AF435" s="449">
        <f t="shared" si="359"/>
        <v>0</v>
      </c>
      <c r="AG435" s="449">
        <f t="shared" si="359"/>
        <v>0</v>
      </c>
      <c r="AH435" s="449">
        <f t="shared" si="359"/>
        <v>0</v>
      </c>
      <c r="AI435" s="449">
        <f t="shared" si="359"/>
        <v>0</v>
      </c>
      <c r="AJ435" s="449">
        <f t="shared" si="359"/>
        <v>0</v>
      </c>
      <c r="AK435" s="449">
        <f t="shared" si="359"/>
        <v>0</v>
      </c>
      <c r="AL435" s="449">
        <f t="shared" si="359"/>
        <v>0</v>
      </c>
      <c r="AN435" s="500">
        <f t="shared" si="358"/>
        <v>0</v>
      </c>
      <c r="AO435" s="449">
        <f t="shared" si="346"/>
        <v>0</v>
      </c>
      <c r="AP435" s="449">
        <f t="shared" si="347"/>
        <v>0</v>
      </c>
      <c r="AQ435" s="453" t="str">
        <f t="shared" si="348"/>
        <v>-</v>
      </c>
      <c r="AR435" s="449">
        <f t="shared" si="349"/>
        <v>0</v>
      </c>
      <c r="AS435" s="449">
        <f t="shared" si="350"/>
        <v>0</v>
      </c>
      <c r="AT435" s="426">
        <f t="shared" si="351"/>
        <v>0</v>
      </c>
      <c r="AU435" s="421"/>
      <c r="AV435" s="449">
        <f t="shared" si="355"/>
        <v>0</v>
      </c>
      <c r="AW435" s="449">
        <f t="shared" si="355"/>
        <v>0</v>
      </c>
      <c r="AX435" s="449">
        <f t="shared" si="355"/>
        <v>0</v>
      </c>
      <c r="AY435" s="449">
        <f t="shared" si="355"/>
        <v>0</v>
      </c>
      <c r="AZ435" s="449">
        <f t="shared" si="355"/>
        <v>0</v>
      </c>
      <c r="BA435" s="449">
        <f t="shared" si="355"/>
        <v>0</v>
      </c>
      <c r="BB435" s="449">
        <f t="shared" si="355"/>
        <v>0</v>
      </c>
      <c r="BC435" s="449">
        <f t="shared" si="355"/>
        <v>0</v>
      </c>
      <c r="BD435" s="449">
        <f t="shared" si="355"/>
        <v>0</v>
      </c>
      <c r="BE435" s="449">
        <f t="shared" si="355"/>
        <v>0</v>
      </c>
      <c r="BF435" s="449">
        <f t="shared" si="355"/>
        <v>0</v>
      </c>
      <c r="BG435" s="449">
        <f t="shared" si="355"/>
        <v>0</v>
      </c>
      <c r="BH435" s="400"/>
      <c r="BI435" s="449">
        <v>0</v>
      </c>
      <c r="BJ435" s="449">
        <v>0</v>
      </c>
      <c r="BK435" s="449">
        <v>0</v>
      </c>
      <c r="BL435" s="449">
        <v>0</v>
      </c>
      <c r="BM435" s="449">
        <v>0</v>
      </c>
      <c r="BN435" s="449">
        <v>0</v>
      </c>
      <c r="BO435" s="449">
        <v>0</v>
      </c>
      <c r="BP435" s="449">
        <v>0</v>
      </c>
      <c r="BQ435" s="449">
        <v>0</v>
      </c>
      <c r="BR435" s="449">
        <v>0</v>
      </c>
      <c r="BS435" s="449">
        <v>0</v>
      </c>
      <c r="BT435" s="449">
        <v>0</v>
      </c>
    </row>
    <row r="436" spans="1:72" ht="15" hidden="1" x14ac:dyDescent="0.25">
      <c r="A436" s="502" t="s">
        <v>737</v>
      </c>
      <c r="B436" s="502" t="s">
        <v>738</v>
      </c>
      <c r="C436" s="541"/>
      <c r="D436" s="500">
        <f t="shared" si="338"/>
        <v>0</v>
      </c>
      <c r="E436" s="449">
        <v>0</v>
      </c>
      <c r="F436" s="449">
        <f t="shared" si="339"/>
        <v>0</v>
      </c>
      <c r="G436" s="421">
        <f t="shared" si="340"/>
        <v>0</v>
      </c>
      <c r="H436" s="449">
        <v>0</v>
      </c>
      <c r="I436" s="449">
        <f t="shared" si="341"/>
        <v>0</v>
      </c>
      <c r="J436" s="426">
        <f t="shared" si="342"/>
        <v>0</v>
      </c>
      <c r="K436" s="421"/>
      <c r="L436" s="449">
        <v>0</v>
      </c>
      <c r="M436" s="449">
        <v>0</v>
      </c>
      <c r="N436" s="449">
        <v>0</v>
      </c>
      <c r="O436" s="449">
        <v>0</v>
      </c>
      <c r="P436" s="449">
        <v>0</v>
      </c>
      <c r="Q436" s="449">
        <v>0</v>
      </c>
      <c r="R436" s="449">
        <f>($H436-SUM($L436:Q436))/R$694</f>
        <v>0</v>
      </c>
      <c r="S436" s="449">
        <f>($H436-SUM($L436:R436))/S$694</f>
        <v>0</v>
      </c>
      <c r="T436" s="449">
        <f>($H436-SUM($L436:S436))/T$694</f>
        <v>0</v>
      </c>
      <c r="U436" s="449">
        <f>($H436-SUM($L436:T436))/U$694</f>
        <v>0</v>
      </c>
      <c r="V436" s="449">
        <f>($H436-SUM($L436:U436))/V$694</f>
        <v>0</v>
      </c>
      <c r="W436" s="449">
        <f>($H436-SUM($L436:V436))/W$694</f>
        <v>0</v>
      </c>
      <c r="X436" s="449"/>
      <c r="Y436" s="449">
        <f t="shared" si="343"/>
        <v>0</v>
      </c>
      <c r="Z436" s="531"/>
      <c r="AA436" s="449">
        <f t="shared" si="359"/>
        <v>0</v>
      </c>
      <c r="AB436" s="449">
        <f t="shared" si="359"/>
        <v>0</v>
      </c>
      <c r="AC436" s="449">
        <f t="shared" si="359"/>
        <v>0</v>
      </c>
      <c r="AD436" s="449">
        <f t="shared" si="359"/>
        <v>0</v>
      </c>
      <c r="AE436" s="449">
        <f t="shared" si="359"/>
        <v>0</v>
      </c>
      <c r="AF436" s="449">
        <f t="shared" si="359"/>
        <v>0</v>
      </c>
      <c r="AG436" s="449">
        <f t="shared" si="359"/>
        <v>0</v>
      </c>
      <c r="AH436" s="449">
        <f t="shared" si="359"/>
        <v>0</v>
      </c>
      <c r="AI436" s="449">
        <f t="shared" si="359"/>
        <v>0</v>
      </c>
      <c r="AJ436" s="449">
        <f t="shared" si="359"/>
        <v>0</v>
      </c>
      <c r="AK436" s="449">
        <f t="shared" si="359"/>
        <v>0</v>
      </c>
      <c r="AL436" s="449">
        <f t="shared" si="359"/>
        <v>0</v>
      </c>
      <c r="AN436" s="500">
        <f t="shared" si="358"/>
        <v>0</v>
      </c>
      <c r="AO436" s="449">
        <f t="shared" si="346"/>
        <v>0</v>
      </c>
      <c r="AP436" s="449">
        <f t="shared" si="347"/>
        <v>0</v>
      </c>
      <c r="AQ436" s="453" t="str">
        <f t="shared" si="348"/>
        <v>-</v>
      </c>
      <c r="AR436" s="449">
        <f t="shared" si="349"/>
        <v>0</v>
      </c>
      <c r="AS436" s="449">
        <f t="shared" si="350"/>
        <v>0</v>
      </c>
      <c r="AT436" s="426">
        <f t="shared" si="351"/>
        <v>0</v>
      </c>
      <c r="AU436" s="421"/>
      <c r="AV436" s="449">
        <f t="shared" si="355"/>
        <v>0</v>
      </c>
      <c r="AW436" s="449">
        <f t="shared" si="355"/>
        <v>0</v>
      </c>
      <c r="AX436" s="449">
        <f t="shared" si="355"/>
        <v>0</v>
      </c>
      <c r="AY436" s="449">
        <f t="shared" si="355"/>
        <v>0</v>
      </c>
      <c r="AZ436" s="449">
        <f t="shared" si="355"/>
        <v>0</v>
      </c>
      <c r="BA436" s="449">
        <f t="shared" si="355"/>
        <v>0</v>
      </c>
      <c r="BB436" s="449">
        <f t="shared" si="355"/>
        <v>0</v>
      </c>
      <c r="BC436" s="449">
        <f t="shared" si="355"/>
        <v>0</v>
      </c>
      <c r="BD436" s="449">
        <f t="shared" si="355"/>
        <v>0</v>
      </c>
      <c r="BE436" s="449">
        <f t="shared" si="355"/>
        <v>0</v>
      </c>
      <c r="BF436" s="449">
        <f t="shared" si="355"/>
        <v>0</v>
      </c>
      <c r="BG436" s="449">
        <f t="shared" si="355"/>
        <v>0</v>
      </c>
      <c r="BH436" s="400"/>
      <c r="BI436" s="449">
        <v>0</v>
      </c>
      <c r="BJ436" s="449">
        <v>0</v>
      </c>
      <c r="BK436" s="449">
        <v>0</v>
      </c>
      <c r="BL436" s="449">
        <v>0</v>
      </c>
      <c r="BM436" s="449">
        <v>0</v>
      </c>
      <c r="BN436" s="449">
        <v>0</v>
      </c>
      <c r="BO436" s="449">
        <v>0</v>
      </c>
      <c r="BP436" s="449">
        <v>0</v>
      </c>
      <c r="BQ436" s="449">
        <v>0</v>
      </c>
      <c r="BR436" s="449">
        <v>0</v>
      </c>
      <c r="BS436" s="449">
        <v>0</v>
      </c>
      <c r="BT436" s="449">
        <v>0</v>
      </c>
    </row>
    <row r="437" spans="1:72" ht="15" hidden="1" x14ac:dyDescent="0.25">
      <c r="A437" s="502" t="s">
        <v>739</v>
      </c>
      <c r="B437" s="502" t="s">
        <v>740</v>
      </c>
      <c r="C437" s="541"/>
      <c r="D437" s="500">
        <f t="shared" si="338"/>
        <v>0</v>
      </c>
      <c r="E437" s="449">
        <v>0</v>
      </c>
      <c r="F437" s="449">
        <f t="shared" si="339"/>
        <v>0</v>
      </c>
      <c r="G437" s="421">
        <f t="shared" si="340"/>
        <v>0</v>
      </c>
      <c r="H437" s="449">
        <v>0</v>
      </c>
      <c r="I437" s="449">
        <f t="shared" si="341"/>
        <v>0</v>
      </c>
      <c r="J437" s="426">
        <f t="shared" si="342"/>
        <v>0</v>
      </c>
      <c r="K437" s="421"/>
      <c r="L437" s="449">
        <v>0</v>
      </c>
      <c r="M437" s="449">
        <v>0</v>
      </c>
      <c r="N437" s="449">
        <v>0</v>
      </c>
      <c r="O437" s="449">
        <v>0</v>
      </c>
      <c r="P437" s="449">
        <v>0</v>
      </c>
      <c r="Q437" s="449">
        <v>0</v>
      </c>
      <c r="R437" s="449">
        <f>($H437-SUM($L437:Q437))/R$694</f>
        <v>0</v>
      </c>
      <c r="S437" s="449">
        <f>($H437-SUM($L437:R437))/S$694</f>
        <v>0</v>
      </c>
      <c r="T437" s="449">
        <f>($H437-SUM($L437:S437))/T$694</f>
        <v>0</v>
      </c>
      <c r="U437" s="449">
        <f>($H437-SUM($L437:T437))/U$694</f>
        <v>0</v>
      </c>
      <c r="V437" s="449">
        <f>($H437-SUM($L437:U437))/V$694</f>
        <v>0</v>
      </c>
      <c r="W437" s="449">
        <f>($H437-SUM($L437:V437))/W$694</f>
        <v>0</v>
      </c>
      <c r="X437" s="449"/>
      <c r="Y437" s="449">
        <f t="shared" si="343"/>
        <v>0</v>
      </c>
      <c r="Z437" s="531"/>
      <c r="AA437" s="449">
        <f t="shared" si="359"/>
        <v>0</v>
      </c>
      <c r="AB437" s="449">
        <f t="shared" si="359"/>
        <v>0</v>
      </c>
      <c r="AC437" s="449">
        <f t="shared" si="359"/>
        <v>0</v>
      </c>
      <c r="AD437" s="449">
        <f t="shared" si="359"/>
        <v>0</v>
      </c>
      <c r="AE437" s="449">
        <f t="shared" si="359"/>
        <v>0</v>
      </c>
      <c r="AF437" s="449">
        <f t="shared" si="359"/>
        <v>0</v>
      </c>
      <c r="AG437" s="449">
        <f t="shared" si="359"/>
        <v>0</v>
      </c>
      <c r="AH437" s="449">
        <f t="shared" si="359"/>
        <v>0</v>
      </c>
      <c r="AI437" s="449">
        <f t="shared" si="359"/>
        <v>0</v>
      </c>
      <c r="AJ437" s="449">
        <f t="shared" si="359"/>
        <v>0</v>
      </c>
      <c r="AK437" s="449">
        <f t="shared" si="359"/>
        <v>0</v>
      </c>
      <c r="AL437" s="449">
        <f t="shared" si="359"/>
        <v>0</v>
      </c>
      <c r="AN437" s="500">
        <f t="shared" si="358"/>
        <v>0</v>
      </c>
      <c r="AO437" s="449">
        <f t="shared" si="346"/>
        <v>0</v>
      </c>
      <c r="AP437" s="449">
        <f t="shared" si="347"/>
        <v>0</v>
      </c>
      <c r="AQ437" s="453" t="str">
        <f t="shared" si="348"/>
        <v>-</v>
      </c>
      <c r="AR437" s="449">
        <f t="shared" si="349"/>
        <v>0</v>
      </c>
      <c r="AS437" s="449">
        <f t="shared" si="350"/>
        <v>0</v>
      </c>
      <c r="AT437" s="426">
        <f t="shared" si="351"/>
        <v>0</v>
      </c>
      <c r="AU437" s="421"/>
      <c r="AV437" s="449">
        <f t="shared" si="355"/>
        <v>0</v>
      </c>
      <c r="AW437" s="449">
        <f t="shared" si="355"/>
        <v>0</v>
      </c>
      <c r="AX437" s="449">
        <f t="shared" si="355"/>
        <v>0</v>
      </c>
      <c r="AY437" s="449">
        <f t="shared" si="355"/>
        <v>0</v>
      </c>
      <c r="AZ437" s="449">
        <f t="shared" si="355"/>
        <v>0</v>
      </c>
      <c r="BA437" s="449">
        <f t="shared" si="355"/>
        <v>0</v>
      </c>
      <c r="BB437" s="449">
        <f t="shared" si="355"/>
        <v>0</v>
      </c>
      <c r="BC437" s="449">
        <f t="shared" si="355"/>
        <v>0</v>
      </c>
      <c r="BD437" s="449">
        <f t="shared" si="355"/>
        <v>0</v>
      </c>
      <c r="BE437" s="449">
        <f t="shared" si="355"/>
        <v>0</v>
      </c>
      <c r="BF437" s="449">
        <f t="shared" si="355"/>
        <v>0</v>
      </c>
      <c r="BG437" s="449">
        <f t="shared" si="355"/>
        <v>0</v>
      </c>
      <c r="BH437" s="400"/>
      <c r="BI437" s="449">
        <v>0</v>
      </c>
      <c r="BJ437" s="449">
        <v>0</v>
      </c>
      <c r="BK437" s="449">
        <v>0</v>
      </c>
      <c r="BL437" s="449">
        <v>0</v>
      </c>
      <c r="BM437" s="449">
        <v>0</v>
      </c>
      <c r="BN437" s="449">
        <v>0</v>
      </c>
      <c r="BO437" s="449">
        <v>0</v>
      </c>
      <c r="BP437" s="449">
        <v>0</v>
      </c>
      <c r="BQ437" s="449">
        <v>0</v>
      </c>
      <c r="BR437" s="449">
        <v>0</v>
      </c>
      <c r="BS437" s="449">
        <v>0</v>
      </c>
      <c r="BT437" s="449">
        <v>0</v>
      </c>
    </row>
    <row r="438" spans="1:72" ht="15" x14ac:dyDescent="0.25">
      <c r="A438" s="502" t="s">
        <v>741</v>
      </c>
      <c r="B438" s="502" t="s">
        <v>742</v>
      </c>
      <c r="C438" s="541"/>
      <c r="D438" s="500">
        <f t="shared" si="338"/>
        <v>6762</v>
      </c>
      <c r="E438" s="449">
        <v>6762</v>
      </c>
      <c r="F438" s="449">
        <f t="shared" si="339"/>
        <v>0</v>
      </c>
      <c r="G438" s="421">
        <f t="shared" si="340"/>
        <v>0</v>
      </c>
      <c r="H438" s="449">
        <v>6762</v>
      </c>
      <c r="I438" s="449">
        <f t="shared" si="341"/>
        <v>0</v>
      </c>
      <c r="J438" s="426">
        <f t="shared" si="342"/>
        <v>0</v>
      </c>
      <c r="K438" s="421"/>
      <c r="L438" s="449">
        <v>196.15</v>
      </c>
      <c r="M438" s="449">
        <v>379.23</v>
      </c>
      <c r="N438" s="449">
        <v>274.62</v>
      </c>
      <c r="O438" s="449">
        <v>381.53999999999996</v>
      </c>
      <c r="P438" s="449">
        <v>261.53999999999996</v>
      </c>
      <c r="Q438" s="449">
        <v>326.92000000000007</v>
      </c>
      <c r="R438" s="449">
        <f>($H438-SUM($L438:Q438))/R$694</f>
        <v>823.66666666666663</v>
      </c>
      <c r="S438" s="449">
        <f>($H438-SUM($L438:R438))/S$694</f>
        <v>823.66666666666674</v>
      </c>
      <c r="T438" s="449">
        <f>($H438-SUM($L438:S438))/T$694</f>
        <v>823.66666666666674</v>
      </c>
      <c r="U438" s="449">
        <f>($H438-SUM($L438:T438))/U$694</f>
        <v>823.66666666666663</v>
      </c>
      <c r="V438" s="449">
        <f>($H438-SUM($L438:U438))/V$694</f>
        <v>823.66666666666652</v>
      </c>
      <c r="W438" s="449">
        <f>($H438-SUM($L438:V438))/W$694</f>
        <v>823.66666666666606</v>
      </c>
      <c r="X438" s="449"/>
      <c r="Y438" s="449">
        <f t="shared" si="343"/>
        <v>6762</v>
      </c>
      <c r="Z438" s="531"/>
      <c r="AA438" s="449">
        <f t="shared" si="359"/>
        <v>563.5</v>
      </c>
      <c r="AB438" s="449">
        <f t="shared" si="359"/>
        <v>563.5</v>
      </c>
      <c r="AC438" s="449">
        <f t="shared" si="359"/>
        <v>563.5</v>
      </c>
      <c r="AD438" s="449">
        <f t="shared" si="359"/>
        <v>563.5</v>
      </c>
      <c r="AE438" s="449">
        <f t="shared" si="359"/>
        <v>563.5</v>
      </c>
      <c r="AF438" s="449">
        <f t="shared" si="359"/>
        <v>563.5</v>
      </c>
      <c r="AG438" s="449">
        <f t="shared" si="359"/>
        <v>563.5</v>
      </c>
      <c r="AH438" s="449">
        <f t="shared" si="359"/>
        <v>563.5</v>
      </c>
      <c r="AI438" s="449">
        <f t="shared" si="359"/>
        <v>563.5</v>
      </c>
      <c r="AJ438" s="449">
        <f t="shared" si="359"/>
        <v>563.5</v>
      </c>
      <c r="AK438" s="449">
        <f t="shared" si="359"/>
        <v>563.5</v>
      </c>
      <c r="AL438" s="449">
        <f t="shared" si="359"/>
        <v>563.5</v>
      </c>
      <c r="AN438" s="500">
        <f t="shared" si="358"/>
        <v>6762</v>
      </c>
      <c r="AO438" s="449">
        <f t="shared" si="346"/>
        <v>3535.9999999999995</v>
      </c>
      <c r="AP438" s="449">
        <f t="shared" si="347"/>
        <v>-3226.0000000000005</v>
      </c>
      <c r="AQ438" s="453">
        <f t="shared" si="348"/>
        <v>-0.47707778763679393</v>
      </c>
      <c r="AR438" s="449">
        <f t="shared" si="349"/>
        <v>3535.9999999999995</v>
      </c>
      <c r="AS438" s="449">
        <f t="shared" si="350"/>
        <v>0</v>
      </c>
      <c r="AT438" s="426">
        <f t="shared" si="351"/>
        <v>0</v>
      </c>
      <c r="AU438" s="421"/>
      <c r="AV438" s="449">
        <f t="shared" si="355"/>
        <v>294.66666666666669</v>
      </c>
      <c r="AW438" s="449">
        <f t="shared" si="355"/>
        <v>294.66666666666669</v>
      </c>
      <c r="AX438" s="449">
        <f t="shared" si="355"/>
        <v>294.66666666666669</v>
      </c>
      <c r="AY438" s="449">
        <f t="shared" si="355"/>
        <v>294.66666666666669</v>
      </c>
      <c r="AZ438" s="449">
        <f t="shared" si="355"/>
        <v>294.66666666666669</v>
      </c>
      <c r="BA438" s="449">
        <f t="shared" si="355"/>
        <v>294.66666666666669</v>
      </c>
      <c r="BB438" s="449">
        <f t="shared" si="355"/>
        <v>294.66666666666669</v>
      </c>
      <c r="BC438" s="449">
        <f t="shared" si="355"/>
        <v>294.66666666666669</v>
      </c>
      <c r="BD438" s="449">
        <f t="shared" si="355"/>
        <v>294.66666666666669</v>
      </c>
      <c r="BE438" s="449">
        <f t="shared" si="355"/>
        <v>294.66666666666669</v>
      </c>
      <c r="BF438" s="449">
        <f t="shared" si="355"/>
        <v>294.66666666666669</v>
      </c>
      <c r="BG438" s="449">
        <f t="shared" si="355"/>
        <v>294.66666666666669</v>
      </c>
      <c r="BH438" s="400"/>
      <c r="BI438" s="449">
        <f>SUM('FY19 Staffing V1-1 (3)'!$S$215)/12</f>
        <v>294.66666666666669</v>
      </c>
      <c r="BJ438" s="449">
        <f>SUM('FY19 Staffing V1-1 (3)'!$S$215)/12</f>
        <v>294.66666666666669</v>
      </c>
      <c r="BK438" s="449">
        <f>SUM('FY19 Staffing V1-1 (3)'!$S$215)/12</f>
        <v>294.66666666666669</v>
      </c>
      <c r="BL438" s="449">
        <f>SUM('FY19 Staffing V1-1 (3)'!$S$215)/12</f>
        <v>294.66666666666669</v>
      </c>
      <c r="BM438" s="449">
        <f>SUM('FY19 Staffing V1-1 (3)'!$S$215)/12</f>
        <v>294.66666666666669</v>
      </c>
      <c r="BN438" s="449">
        <f>SUM('FY19 Staffing V1-1 (3)'!$S$215)/12</f>
        <v>294.66666666666669</v>
      </c>
      <c r="BO438" s="449">
        <f>SUM('FY19 Staffing V1-1 (3)'!$S$215)/12</f>
        <v>294.66666666666669</v>
      </c>
      <c r="BP438" s="449">
        <f>SUM('FY19 Staffing V1-1 (3)'!$S$215)/12</f>
        <v>294.66666666666669</v>
      </c>
      <c r="BQ438" s="449">
        <f>SUM('FY19 Staffing V1-1 (3)'!$S$215)/12</f>
        <v>294.66666666666669</v>
      </c>
      <c r="BR438" s="449">
        <f>SUM('FY19 Staffing V1-1 (3)'!$S$215)/12</f>
        <v>294.66666666666669</v>
      </c>
      <c r="BS438" s="449">
        <f>SUM('FY19 Staffing V1-1 (3)'!$S$215)/12</f>
        <v>294.66666666666669</v>
      </c>
      <c r="BT438" s="449">
        <f>SUM('FY19 Staffing V1-1 (3)'!$S$215)/12</f>
        <v>294.66666666666669</v>
      </c>
    </row>
    <row r="439" spans="1:72" ht="15" x14ac:dyDescent="0.25">
      <c r="A439" s="502" t="s">
        <v>743</v>
      </c>
      <c r="B439" s="502" t="s">
        <v>744</v>
      </c>
      <c r="C439" s="541"/>
      <c r="D439" s="500">
        <f t="shared" si="338"/>
        <v>0</v>
      </c>
      <c r="E439" s="449">
        <v>0</v>
      </c>
      <c r="F439" s="449">
        <f t="shared" si="339"/>
        <v>0</v>
      </c>
      <c r="G439" s="421">
        <f t="shared" si="340"/>
        <v>0</v>
      </c>
      <c r="H439" s="449">
        <v>0</v>
      </c>
      <c r="I439" s="449">
        <f t="shared" si="341"/>
        <v>0</v>
      </c>
      <c r="J439" s="426">
        <f t="shared" si="342"/>
        <v>0</v>
      </c>
      <c r="K439" s="421"/>
      <c r="L439" s="449">
        <v>0</v>
      </c>
      <c r="M439" s="449">
        <v>0</v>
      </c>
      <c r="N439" s="449">
        <v>0</v>
      </c>
      <c r="O439" s="449">
        <v>0</v>
      </c>
      <c r="P439" s="449">
        <v>0</v>
      </c>
      <c r="Q439" s="449">
        <v>0</v>
      </c>
      <c r="R439" s="449">
        <f>($H439-SUM($L439:Q439))/R$694</f>
        <v>0</v>
      </c>
      <c r="S439" s="449">
        <f>($H439-SUM($L439:R439))/S$694</f>
        <v>0</v>
      </c>
      <c r="T439" s="449">
        <f>($H439-SUM($L439:S439))/T$694</f>
        <v>0</v>
      </c>
      <c r="U439" s="449">
        <f>($H439-SUM($L439:T439))/U$694</f>
        <v>0</v>
      </c>
      <c r="V439" s="449">
        <f>($H439-SUM($L439:U439))/V$694</f>
        <v>0</v>
      </c>
      <c r="W439" s="449">
        <f>($H439-SUM($L439:V439))/W$694</f>
        <v>0</v>
      </c>
      <c r="X439" s="449"/>
      <c r="Y439" s="449">
        <f t="shared" si="343"/>
        <v>0</v>
      </c>
      <c r="Z439" s="531"/>
      <c r="AA439" s="449">
        <f t="shared" si="359"/>
        <v>0</v>
      </c>
      <c r="AB439" s="449">
        <f t="shared" si="359"/>
        <v>0</v>
      </c>
      <c r="AC439" s="449">
        <f t="shared" si="359"/>
        <v>0</v>
      </c>
      <c r="AD439" s="449">
        <f t="shared" si="359"/>
        <v>0</v>
      </c>
      <c r="AE439" s="449">
        <f t="shared" si="359"/>
        <v>0</v>
      </c>
      <c r="AF439" s="449">
        <f t="shared" si="359"/>
        <v>0</v>
      </c>
      <c r="AG439" s="449">
        <f t="shared" si="359"/>
        <v>0</v>
      </c>
      <c r="AH439" s="449">
        <f t="shared" si="359"/>
        <v>0</v>
      </c>
      <c r="AI439" s="449">
        <f t="shared" si="359"/>
        <v>0</v>
      </c>
      <c r="AJ439" s="449">
        <f t="shared" si="359"/>
        <v>0</v>
      </c>
      <c r="AK439" s="449">
        <f t="shared" si="359"/>
        <v>0</v>
      </c>
      <c r="AL439" s="449">
        <f t="shared" si="359"/>
        <v>0</v>
      </c>
      <c r="AN439" s="500">
        <f t="shared" si="358"/>
        <v>0</v>
      </c>
      <c r="AO439" s="449">
        <f t="shared" si="346"/>
        <v>3619.1999999999994</v>
      </c>
      <c r="AP439" s="449">
        <f t="shared" si="347"/>
        <v>3619.1999999999994</v>
      </c>
      <c r="AQ439" s="453" t="str">
        <f t="shared" si="348"/>
        <v>-</v>
      </c>
      <c r="AR439" s="449">
        <f t="shared" si="349"/>
        <v>3619.1999999999994</v>
      </c>
      <c r="AS439" s="449">
        <f t="shared" si="350"/>
        <v>0</v>
      </c>
      <c r="AT439" s="426">
        <f t="shared" si="351"/>
        <v>0</v>
      </c>
      <c r="AU439" s="421"/>
      <c r="AV439" s="449">
        <f t="shared" si="355"/>
        <v>301.59999999999997</v>
      </c>
      <c r="AW439" s="449">
        <f t="shared" si="355"/>
        <v>301.59999999999997</v>
      </c>
      <c r="AX439" s="449">
        <f t="shared" si="355"/>
        <v>301.59999999999997</v>
      </c>
      <c r="AY439" s="449">
        <f t="shared" si="355"/>
        <v>301.59999999999997</v>
      </c>
      <c r="AZ439" s="449">
        <f t="shared" si="355"/>
        <v>301.59999999999997</v>
      </c>
      <c r="BA439" s="449">
        <f t="shared" si="355"/>
        <v>301.59999999999997</v>
      </c>
      <c r="BB439" s="449">
        <f t="shared" si="355"/>
        <v>301.59999999999997</v>
      </c>
      <c r="BC439" s="449">
        <f t="shared" si="355"/>
        <v>301.59999999999997</v>
      </c>
      <c r="BD439" s="449">
        <f t="shared" si="355"/>
        <v>301.59999999999997</v>
      </c>
      <c r="BE439" s="449">
        <f t="shared" si="355"/>
        <v>301.59999999999997</v>
      </c>
      <c r="BF439" s="449">
        <f t="shared" si="355"/>
        <v>301.59999999999997</v>
      </c>
      <c r="BG439" s="449">
        <f t="shared" si="355"/>
        <v>301.59999999999997</v>
      </c>
      <c r="BH439" s="400"/>
      <c r="BI439" s="449">
        <f>SUM('FY19 Staffing V1-1 (3)'!$S$216)/12</f>
        <v>301.59999999999997</v>
      </c>
      <c r="BJ439" s="449">
        <f>SUM('FY19 Staffing V1-1 (3)'!$S$216)/12</f>
        <v>301.59999999999997</v>
      </c>
      <c r="BK439" s="449">
        <f>SUM('FY19 Staffing V1-1 (3)'!$S$216)/12</f>
        <v>301.59999999999997</v>
      </c>
      <c r="BL439" s="449">
        <f>SUM('FY19 Staffing V1-1 (3)'!$S$216)/12</f>
        <v>301.59999999999997</v>
      </c>
      <c r="BM439" s="449">
        <f>SUM('FY19 Staffing V1-1 (3)'!$S$216)/12</f>
        <v>301.59999999999997</v>
      </c>
      <c r="BN439" s="449">
        <f>SUM('FY19 Staffing V1-1 (3)'!$S$216)/12</f>
        <v>301.59999999999997</v>
      </c>
      <c r="BO439" s="449">
        <f>SUM('FY19 Staffing V1-1 (3)'!$S$216)/12</f>
        <v>301.59999999999997</v>
      </c>
      <c r="BP439" s="449">
        <f>SUM('FY19 Staffing V1-1 (3)'!$S$216)/12</f>
        <v>301.59999999999997</v>
      </c>
      <c r="BQ439" s="449">
        <f>SUM('FY19 Staffing V1-1 (3)'!$S$216)/12</f>
        <v>301.59999999999997</v>
      </c>
      <c r="BR439" s="449">
        <f>SUM('FY19 Staffing V1-1 (3)'!$S$216)/12</f>
        <v>301.59999999999997</v>
      </c>
      <c r="BS439" s="449">
        <f>SUM('FY19 Staffing V1-1 (3)'!$S$216)/12</f>
        <v>301.59999999999997</v>
      </c>
      <c r="BT439" s="449">
        <f>SUM('FY19 Staffing V1-1 (3)'!$S$216)/12</f>
        <v>301.59999999999997</v>
      </c>
    </row>
    <row r="440" spans="1:72" ht="15" x14ac:dyDescent="0.25">
      <c r="A440" s="502" t="s">
        <v>745</v>
      </c>
      <c r="B440" s="502" t="s">
        <v>746</v>
      </c>
      <c r="C440" s="541"/>
      <c r="D440" s="500">
        <f t="shared" si="338"/>
        <v>2480</v>
      </c>
      <c r="E440" s="449">
        <v>2480</v>
      </c>
      <c r="F440" s="449">
        <f t="shared" si="339"/>
        <v>0</v>
      </c>
      <c r="G440" s="421">
        <f t="shared" si="340"/>
        <v>0</v>
      </c>
      <c r="H440" s="449">
        <v>2480</v>
      </c>
      <c r="I440" s="449">
        <f t="shared" si="341"/>
        <v>0</v>
      </c>
      <c r="J440" s="426">
        <f t="shared" si="342"/>
        <v>0</v>
      </c>
      <c r="K440" s="421"/>
      <c r="L440" s="449">
        <v>143.06</v>
      </c>
      <c r="M440" s="449">
        <v>276.60000000000002</v>
      </c>
      <c r="N440" s="449">
        <v>200.3</v>
      </c>
      <c r="O440" s="449">
        <v>310.76</v>
      </c>
      <c r="P440" s="449">
        <v>190.76</v>
      </c>
      <c r="Q440" s="449">
        <v>238.45000000000005</v>
      </c>
      <c r="R440" s="449">
        <f>($H440-SUM($L440:Q440))/R$694</f>
        <v>186.67833333333331</v>
      </c>
      <c r="S440" s="449">
        <f>($H440-SUM($L440:R440))/S$694</f>
        <v>186.67833333333334</v>
      </c>
      <c r="T440" s="449">
        <f>($H440-SUM($L440:S440))/T$694</f>
        <v>186.67833333333334</v>
      </c>
      <c r="U440" s="449">
        <f>($H440-SUM($L440:T440))/U$694</f>
        <v>186.67833333333337</v>
      </c>
      <c r="V440" s="449">
        <f>($H440-SUM($L440:U440))/V$694</f>
        <v>186.67833333333328</v>
      </c>
      <c r="W440" s="449">
        <f>($H440-SUM($L440:V440))/W$694</f>
        <v>186.67833333333328</v>
      </c>
      <c r="X440" s="449"/>
      <c r="Y440" s="449">
        <f t="shared" si="343"/>
        <v>2480</v>
      </c>
      <c r="Z440" s="531"/>
      <c r="AA440" s="449">
        <f t="shared" si="359"/>
        <v>206.66666666666666</v>
      </c>
      <c r="AB440" s="449">
        <f t="shared" si="359"/>
        <v>206.66666666666666</v>
      </c>
      <c r="AC440" s="449">
        <f t="shared" si="359"/>
        <v>206.66666666666666</v>
      </c>
      <c r="AD440" s="449">
        <f t="shared" si="359"/>
        <v>206.66666666666666</v>
      </c>
      <c r="AE440" s="449">
        <f t="shared" si="359"/>
        <v>206.66666666666666</v>
      </c>
      <c r="AF440" s="449">
        <f t="shared" si="359"/>
        <v>206.66666666666666</v>
      </c>
      <c r="AG440" s="449">
        <f t="shared" si="359"/>
        <v>206.66666666666666</v>
      </c>
      <c r="AH440" s="449">
        <f t="shared" si="359"/>
        <v>206.66666666666666</v>
      </c>
      <c r="AI440" s="449">
        <f t="shared" si="359"/>
        <v>206.66666666666666</v>
      </c>
      <c r="AJ440" s="449">
        <f t="shared" si="359"/>
        <v>206.66666666666666</v>
      </c>
      <c r="AK440" s="449">
        <f t="shared" si="359"/>
        <v>206.66666666666666</v>
      </c>
      <c r="AL440" s="449">
        <f t="shared" si="359"/>
        <v>206.66666666666666</v>
      </c>
      <c r="AN440" s="500">
        <f t="shared" si="358"/>
        <v>2480</v>
      </c>
      <c r="AO440" s="449">
        <f t="shared" si="346"/>
        <v>2554.400000000001</v>
      </c>
      <c r="AP440" s="449">
        <f t="shared" si="347"/>
        <v>74.400000000001</v>
      </c>
      <c r="AQ440" s="453">
        <f t="shared" si="348"/>
        <v>3.0000000000000405E-2</v>
      </c>
      <c r="AR440" s="449">
        <f t="shared" si="349"/>
        <v>2554.400000000001</v>
      </c>
      <c r="AS440" s="449">
        <f t="shared" si="350"/>
        <v>0</v>
      </c>
      <c r="AT440" s="426">
        <f t="shared" si="351"/>
        <v>0</v>
      </c>
      <c r="AU440" s="421"/>
      <c r="AV440" s="449">
        <f t="shared" si="355"/>
        <v>212.86666666666667</v>
      </c>
      <c r="AW440" s="449">
        <f t="shared" si="355"/>
        <v>212.86666666666667</v>
      </c>
      <c r="AX440" s="449">
        <f t="shared" si="355"/>
        <v>212.86666666666667</v>
      </c>
      <c r="AY440" s="449">
        <f t="shared" si="355"/>
        <v>212.86666666666667</v>
      </c>
      <c r="AZ440" s="449">
        <f t="shared" si="355"/>
        <v>212.86666666666667</v>
      </c>
      <c r="BA440" s="449">
        <f t="shared" si="355"/>
        <v>212.86666666666667</v>
      </c>
      <c r="BB440" s="449">
        <f t="shared" ref="BB440:BG455" si="360">BO440</f>
        <v>212.86666666666667</v>
      </c>
      <c r="BC440" s="449">
        <f t="shared" si="360"/>
        <v>212.86666666666667</v>
      </c>
      <c r="BD440" s="449">
        <f t="shared" si="360"/>
        <v>212.86666666666667</v>
      </c>
      <c r="BE440" s="449">
        <f t="shared" si="360"/>
        <v>212.86666666666667</v>
      </c>
      <c r="BF440" s="449">
        <f t="shared" si="360"/>
        <v>212.86666666666667</v>
      </c>
      <c r="BG440" s="449">
        <f t="shared" si="360"/>
        <v>212.86666666666667</v>
      </c>
      <c r="BH440" s="400"/>
      <c r="BI440" s="449">
        <f>SUM('FY19 Staffing V1-1 (3)'!$S$217)/12</f>
        <v>212.86666666666667</v>
      </c>
      <c r="BJ440" s="449">
        <f>SUM('FY19 Staffing V1-1 (3)'!$S$217)/12</f>
        <v>212.86666666666667</v>
      </c>
      <c r="BK440" s="449">
        <f>SUM('FY19 Staffing V1-1 (3)'!$S$217)/12</f>
        <v>212.86666666666667</v>
      </c>
      <c r="BL440" s="449">
        <f>SUM('FY19 Staffing V1-1 (3)'!$S$217)/12</f>
        <v>212.86666666666667</v>
      </c>
      <c r="BM440" s="449">
        <f>SUM('FY19 Staffing V1-1 (3)'!$S$217)/12</f>
        <v>212.86666666666667</v>
      </c>
      <c r="BN440" s="449">
        <f>SUM('FY19 Staffing V1-1 (3)'!$S$217)/12</f>
        <v>212.86666666666667</v>
      </c>
      <c r="BO440" s="449">
        <f>SUM('FY19 Staffing V1-1 (3)'!$S$217)/12</f>
        <v>212.86666666666667</v>
      </c>
      <c r="BP440" s="449">
        <f>SUM('FY19 Staffing V1-1 (3)'!$S$217)/12</f>
        <v>212.86666666666667</v>
      </c>
      <c r="BQ440" s="449">
        <f>SUM('FY19 Staffing V1-1 (3)'!$S$217)/12</f>
        <v>212.86666666666667</v>
      </c>
      <c r="BR440" s="449">
        <f>SUM('FY19 Staffing V1-1 (3)'!$S$217)/12</f>
        <v>212.86666666666667</v>
      </c>
      <c r="BS440" s="449">
        <f>SUM('FY19 Staffing V1-1 (3)'!$S$217)/12</f>
        <v>212.86666666666667</v>
      </c>
      <c r="BT440" s="449">
        <f>SUM('FY19 Staffing V1-1 (3)'!$S$217)/12</f>
        <v>212.86666666666667</v>
      </c>
    </row>
    <row r="441" spans="1:72" ht="15" x14ac:dyDescent="0.25">
      <c r="A441" s="502" t="s">
        <v>747</v>
      </c>
      <c r="B441" s="502" t="s">
        <v>748</v>
      </c>
      <c r="C441" s="541"/>
      <c r="D441" s="500">
        <f t="shared" si="338"/>
        <v>2760</v>
      </c>
      <c r="E441" s="449">
        <v>4960</v>
      </c>
      <c r="F441" s="449">
        <f t="shared" si="339"/>
        <v>-2200</v>
      </c>
      <c r="G441" s="421">
        <f t="shared" si="340"/>
        <v>-0.44354838709677419</v>
      </c>
      <c r="H441" s="449">
        <v>2760</v>
      </c>
      <c r="I441" s="449">
        <f t="shared" si="341"/>
        <v>0</v>
      </c>
      <c r="J441" s="426">
        <f t="shared" si="342"/>
        <v>0</v>
      </c>
      <c r="K441" s="421"/>
      <c r="L441" s="449">
        <v>0</v>
      </c>
      <c r="M441" s="449">
        <v>307.83999999999997</v>
      </c>
      <c r="N441" s="449">
        <v>222.91000000000003</v>
      </c>
      <c r="O441" s="449">
        <v>212.27999999999997</v>
      </c>
      <c r="P441" s="449">
        <v>212.26999999999998</v>
      </c>
      <c r="Q441" s="449">
        <v>265.37000000000012</v>
      </c>
      <c r="R441" s="449">
        <f>($H441-SUM($L441:Q441))/R$694</f>
        <v>256.55500000000001</v>
      </c>
      <c r="S441" s="449">
        <f>($H441-SUM($L441:R441))/S$694</f>
        <v>256.55499999999995</v>
      </c>
      <c r="T441" s="449">
        <f>($H441-SUM($L441:S441))/T$694</f>
        <v>256.55499999999995</v>
      </c>
      <c r="U441" s="449">
        <f>($H441-SUM($L441:T441))/U$694</f>
        <v>256.55500000000001</v>
      </c>
      <c r="V441" s="449">
        <f>($H441-SUM($L441:U441))/V$694</f>
        <v>256.55500000000006</v>
      </c>
      <c r="W441" s="449">
        <f>($H441-SUM($L441:V441))/W$694</f>
        <v>256.55500000000029</v>
      </c>
      <c r="X441" s="449"/>
      <c r="Y441" s="449">
        <f t="shared" si="343"/>
        <v>2760</v>
      </c>
      <c r="Z441" s="531"/>
      <c r="AA441" s="449">
        <f t="shared" si="359"/>
        <v>230</v>
      </c>
      <c r="AB441" s="449">
        <f t="shared" si="359"/>
        <v>230</v>
      </c>
      <c r="AC441" s="449">
        <f t="shared" si="359"/>
        <v>230</v>
      </c>
      <c r="AD441" s="449">
        <f t="shared" si="359"/>
        <v>230</v>
      </c>
      <c r="AE441" s="449">
        <f t="shared" si="359"/>
        <v>230</v>
      </c>
      <c r="AF441" s="449">
        <f t="shared" si="359"/>
        <v>230</v>
      </c>
      <c r="AG441" s="449">
        <f t="shared" si="359"/>
        <v>230</v>
      </c>
      <c r="AH441" s="449">
        <f t="shared" si="359"/>
        <v>230</v>
      </c>
      <c r="AI441" s="449">
        <f t="shared" si="359"/>
        <v>230</v>
      </c>
      <c r="AJ441" s="449">
        <f t="shared" si="359"/>
        <v>230</v>
      </c>
      <c r="AK441" s="449">
        <f t="shared" si="359"/>
        <v>230</v>
      </c>
      <c r="AL441" s="449">
        <f t="shared" si="359"/>
        <v>230</v>
      </c>
      <c r="AN441" s="500">
        <f t="shared" si="358"/>
        <v>2760</v>
      </c>
      <c r="AO441" s="449">
        <f t="shared" si="346"/>
        <v>5642.800000000002</v>
      </c>
      <c r="AP441" s="449">
        <f t="shared" si="347"/>
        <v>2882.800000000002</v>
      </c>
      <c r="AQ441" s="453">
        <f t="shared" si="348"/>
        <v>1.0444927536231892</v>
      </c>
      <c r="AR441" s="449">
        <f t="shared" si="349"/>
        <v>5642.800000000002</v>
      </c>
      <c r="AS441" s="449">
        <f t="shared" si="350"/>
        <v>0</v>
      </c>
      <c r="AT441" s="426">
        <f t="shared" si="351"/>
        <v>0</v>
      </c>
      <c r="AU441" s="421"/>
      <c r="AV441" s="449">
        <f t="shared" ref="AV441:BA455" si="361">BI441</f>
        <v>470.23333333333335</v>
      </c>
      <c r="AW441" s="449">
        <f t="shared" si="361"/>
        <v>470.23333333333335</v>
      </c>
      <c r="AX441" s="449">
        <f t="shared" si="361"/>
        <v>470.23333333333335</v>
      </c>
      <c r="AY441" s="449">
        <f t="shared" si="361"/>
        <v>470.23333333333335</v>
      </c>
      <c r="AZ441" s="449">
        <f t="shared" si="361"/>
        <v>470.23333333333335</v>
      </c>
      <c r="BA441" s="449">
        <f t="shared" si="361"/>
        <v>470.23333333333335</v>
      </c>
      <c r="BB441" s="449">
        <f t="shared" si="360"/>
        <v>470.23333333333335</v>
      </c>
      <c r="BC441" s="449">
        <f t="shared" si="360"/>
        <v>470.23333333333335</v>
      </c>
      <c r="BD441" s="449">
        <f t="shared" si="360"/>
        <v>470.23333333333335</v>
      </c>
      <c r="BE441" s="449">
        <f t="shared" si="360"/>
        <v>470.23333333333335</v>
      </c>
      <c r="BF441" s="449">
        <f t="shared" si="360"/>
        <v>470.23333333333335</v>
      </c>
      <c r="BG441" s="449">
        <f t="shared" si="360"/>
        <v>470.23333333333335</v>
      </c>
      <c r="BH441" s="400"/>
      <c r="BI441" s="449">
        <f>SUM('FY19 Staffing V1-1 (3)'!$S$218:$S$219)/12</f>
        <v>470.23333333333335</v>
      </c>
      <c r="BJ441" s="449">
        <f>SUM('FY19 Staffing V1-1 (3)'!$S$218:$S$219)/12</f>
        <v>470.23333333333335</v>
      </c>
      <c r="BK441" s="449">
        <f>SUM('FY19 Staffing V1-1 (3)'!$S$218:$S$219)/12</f>
        <v>470.23333333333335</v>
      </c>
      <c r="BL441" s="449">
        <f>SUM('FY19 Staffing V1-1 (3)'!$S$218:$S$219)/12</f>
        <v>470.23333333333335</v>
      </c>
      <c r="BM441" s="449">
        <f>SUM('FY19 Staffing V1-1 (3)'!$S$218:$S$219)/12</f>
        <v>470.23333333333335</v>
      </c>
      <c r="BN441" s="449">
        <f>SUM('FY19 Staffing V1-1 (3)'!$S$218:$S$219)/12</f>
        <v>470.23333333333335</v>
      </c>
      <c r="BO441" s="449">
        <f>SUM('FY19 Staffing V1-1 (3)'!$S$218:$S$219)/12</f>
        <v>470.23333333333335</v>
      </c>
      <c r="BP441" s="449">
        <f>SUM('FY19 Staffing V1-1 (3)'!$S$218:$S$219)/12</f>
        <v>470.23333333333335</v>
      </c>
      <c r="BQ441" s="449">
        <f>SUM('FY19 Staffing V1-1 (3)'!$S$218:$S$219)/12</f>
        <v>470.23333333333335</v>
      </c>
      <c r="BR441" s="449">
        <f>SUM('FY19 Staffing V1-1 (3)'!$S$218:$S$219)/12</f>
        <v>470.23333333333335</v>
      </c>
      <c r="BS441" s="449">
        <f>SUM('FY19 Staffing V1-1 (3)'!$S$218:$S$219)/12</f>
        <v>470.23333333333335</v>
      </c>
      <c r="BT441" s="449">
        <f>SUM('FY19 Staffing V1-1 (3)'!$S$218:$S$219)/12</f>
        <v>470.23333333333335</v>
      </c>
    </row>
    <row r="442" spans="1:72" ht="15" x14ac:dyDescent="0.25">
      <c r="A442" s="537" t="s">
        <v>749</v>
      </c>
      <c r="B442" s="537" t="s">
        <v>750</v>
      </c>
      <c r="C442" s="541"/>
      <c r="D442" s="500">
        <f>SUM(L442:W442)</f>
        <v>0</v>
      </c>
      <c r="E442" s="449">
        <v>0</v>
      </c>
      <c r="F442" s="449">
        <f t="shared" si="339"/>
        <v>0</v>
      </c>
      <c r="G442" s="421">
        <f t="shared" si="340"/>
        <v>0</v>
      </c>
      <c r="H442" s="449">
        <v>0</v>
      </c>
      <c r="I442" s="449">
        <f t="shared" si="341"/>
        <v>0</v>
      </c>
      <c r="J442" s="426">
        <f t="shared" si="342"/>
        <v>0</v>
      </c>
      <c r="K442" s="421"/>
      <c r="L442" s="449">
        <v>0</v>
      </c>
      <c r="M442" s="449">
        <v>0</v>
      </c>
      <c r="N442" s="449">
        <v>0</v>
      </c>
      <c r="O442" s="449">
        <v>0</v>
      </c>
      <c r="P442" s="449">
        <v>0</v>
      </c>
      <c r="Q442" s="449">
        <v>0</v>
      </c>
      <c r="R442" s="449">
        <f>($H442-SUM($L442:Q442))/R$694</f>
        <v>0</v>
      </c>
      <c r="S442" s="449">
        <f>($H442-SUM($L442:R442))/S$694</f>
        <v>0</v>
      </c>
      <c r="T442" s="449">
        <f>($H442-SUM($L442:S442))/T$694</f>
        <v>0</v>
      </c>
      <c r="U442" s="449">
        <f>($H442-SUM($L442:T442))/U$694</f>
        <v>0</v>
      </c>
      <c r="V442" s="449">
        <f>($H442-SUM($L442:U442))/V$694</f>
        <v>0</v>
      </c>
      <c r="W442" s="449">
        <f>($H442-SUM($L442:V442))/W$694</f>
        <v>0</v>
      </c>
      <c r="X442" s="449"/>
      <c r="Y442" s="449">
        <f t="shared" si="343"/>
        <v>0</v>
      </c>
      <c r="Z442" s="531"/>
      <c r="AA442" s="449">
        <f t="shared" si="359"/>
        <v>0</v>
      </c>
      <c r="AB442" s="449">
        <f t="shared" si="359"/>
        <v>0</v>
      </c>
      <c r="AC442" s="449">
        <f t="shared" si="359"/>
        <v>0</v>
      </c>
      <c r="AD442" s="449">
        <f t="shared" si="359"/>
        <v>0</v>
      </c>
      <c r="AE442" s="449">
        <f t="shared" si="359"/>
        <v>0</v>
      </c>
      <c r="AF442" s="449">
        <f t="shared" si="359"/>
        <v>0</v>
      </c>
      <c r="AG442" s="449">
        <f t="shared" si="359"/>
        <v>0</v>
      </c>
      <c r="AH442" s="449">
        <f t="shared" si="359"/>
        <v>0</v>
      </c>
      <c r="AI442" s="449">
        <f t="shared" si="359"/>
        <v>0</v>
      </c>
      <c r="AJ442" s="449">
        <f t="shared" si="359"/>
        <v>0</v>
      </c>
      <c r="AK442" s="449">
        <f t="shared" si="359"/>
        <v>0</v>
      </c>
      <c r="AL442" s="449">
        <f t="shared" si="359"/>
        <v>0</v>
      </c>
      <c r="AN442" s="500">
        <f t="shared" si="358"/>
        <v>0</v>
      </c>
      <c r="AO442" s="449">
        <f>SUM(BI442:BT442)</f>
        <v>0</v>
      </c>
      <c r="AP442" s="449">
        <f t="shared" si="347"/>
        <v>0</v>
      </c>
      <c r="AQ442" s="453" t="str">
        <f t="shared" si="348"/>
        <v>-</v>
      </c>
      <c r="AR442" s="449">
        <f t="shared" si="349"/>
        <v>0</v>
      </c>
      <c r="AS442" s="449">
        <f t="shared" si="350"/>
        <v>0</v>
      </c>
      <c r="AT442" s="426">
        <f t="shared" si="351"/>
        <v>0</v>
      </c>
      <c r="AU442" s="421"/>
      <c r="AV442" s="449">
        <f t="shared" si="361"/>
        <v>0</v>
      </c>
      <c r="AW442" s="449">
        <f t="shared" si="361"/>
        <v>0</v>
      </c>
      <c r="AX442" s="449">
        <f t="shared" si="361"/>
        <v>0</v>
      </c>
      <c r="AY442" s="449">
        <f t="shared" si="361"/>
        <v>0</v>
      </c>
      <c r="AZ442" s="449">
        <f t="shared" si="361"/>
        <v>0</v>
      </c>
      <c r="BA442" s="449">
        <f t="shared" si="361"/>
        <v>0</v>
      </c>
      <c r="BB442" s="449">
        <f t="shared" si="360"/>
        <v>0</v>
      </c>
      <c r="BC442" s="449">
        <f t="shared" si="360"/>
        <v>0</v>
      </c>
      <c r="BD442" s="449">
        <f t="shared" si="360"/>
        <v>0</v>
      </c>
      <c r="BE442" s="449">
        <f t="shared" si="360"/>
        <v>0</v>
      </c>
      <c r="BF442" s="449">
        <f t="shared" si="360"/>
        <v>0</v>
      </c>
      <c r="BG442" s="449">
        <f t="shared" si="360"/>
        <v>0</v>
      </c>
      <c r="BH442" s="400"/>
      <c r="BI442" s="449">
        <v>0</v>
      </c>
      <c r="BJ442" s="449">
        <v>0</v>
      </c>
      <c r="BK442" s="449">
        <v>0</v>
      </c>
      <c r="BL442" s="449">
        <v>0</v>
      </c>
      <c r="BM442" s="449">
        <v>0</v>
      </c>
      <c r="BN442" s="449">
        <v>0</v>
      </c>
      <c r="BO442" s="449">
        <v>0</v>
      </c>
      <c r="BP442" s="449">
        <v>0</v>
      </c>
      <c r="BQ442" s="449">
        <v>0</v>
      </c>
      <c r="BR442" s="449">
        <v>0</v>
      </c>
      <c r="BS442" s="449">
        <v>0</v>
      </c>
      <c r="BT442" s="449">
        <v>0</v>
      </c>
    </row>
    <row r="443" spans="1:72" ht="15" x14ac:dyDescent="0.25">
      <c r="A443" s="502" t="s">
        <v>751</v>
      </c>
      <c r="B443" s="502" t="s">
        <v>752</v>
      </c>
      <c r="C443" s="541"/>
      <c r="D443" s="500">
        <f t="shared" si="338"/>
        <v>4492</v>
      </c>
      <c r="E443" s="449">
        <v>4492</v>
      </c>
      <c r="F443" s="449">
        <f t="shared" si="339"/>
        <v>0</v>
      </c>
      <c r="G443" s="421">
        <f t="shared" si="340"/>
        <v>0</v>
      </c>
      <c r="H443" s="449">
        <v>4492</v>
      </c>
      <c r="I443" s="449">
        <f t="shared" si="341"/>
        <v>0</v>
      </c>
      <c r="J443" s="426">
        <f t="shared" si="342"/>
        <v>0</v>
      </c>
      <c r="K443" s="421"/>
      <c r="L443" s="449">
        <v>140.54</v>
      </c>
      <c r="M443" s="449">
        <v>264.10000000000002</v>
      </c>
      <c r="N443" s="449">
        <v>242.83000000000004</v>
      </c>
      <c r="O443" s="449">
        <v>222.63</v>
      </c>
      <c r="P443" s="449">
        <v>112</v>
      </c>
      <c r="Q443" s="449">
        <v>65.739999999999895</v>
      </c>
      <c r="R443" s="449">
        <f>($H443-SUM($L443:Q443))/R$694</f>
        <v>574.02666666666664</v>
      </c>
      <c r="S443" s="449">
        <f>($H443-SUM($L443:R443))/S$694</f>
        <v>574.02666666666664</v>
      </c>
      <c r="T443" s="449">
        <f>($H443-SUM($L443:S443))/T$694</f>
        <v>574.02666666666664</v>
      </c>
      <c r="U443" s="449">
        <f>($H443-SUM($L443:T443))/U$694</f>
        <v>574.02666666666664</v>
      </c>
      <c r="V443" s="449">
        <f>($H443-SUM($L443:U443))/V$694</f>
        <v>574.02666666666664</v>
      </c>
      <c r="W443" s="449">
        <f>($H443-SUM($L443:V443))/W$694</f>
        <v>574.02666666666664</v>
      </c>
      <c r="X443" s="449"/>
      <c r="Y443" s="449">
        <f t="shared" si="343"/>
        <v>4492</v>
      </c>
      <c r="Z443" s="531"/>
      <c r="AA443" s="449">
        <f t="shared" si="359"/>
        <v>374.33333333333331</v>
      </c>
      <c r="AB443" s="449">
        <f t="shared" si="359"/>
        <v>374.33333333333331</v>
      </c>
      <c r="AC443" s="449">
        <f t="shared" si="359"/>
        <v>374.33333333333331</v>
      </c>
      <c r="AD443" s="449">
        <f t="shared" si="359"/>
        <v>374.33333333333331</v>
      </c>
      <c r="AE443" s="449">
        <f t="shared" si="359"/>
        <v>374.33333333333331</v>
      </c>
      <c r="AF443" s="449">
        <f t="shared" si="359"/>
        <v>374.33333333333331</v>
      </c>
      <c r="AG443" s="449">
        <f t="shared" si="359"/>
        <v>374.33333333333331</v>
      </c>
      <c r="AH443" s="449">
        <f t="shared" si="359"/>
        <v>374.33333333333331</v>
      </c>
      <c r="AI443" s="449">
        <f t="shared" si="359"/>
        <v>374.33333333333331</v>
      </c>
      <c r="AJ443" s="449">
        <f t="shared" si="359"/>
        <v>374.33333333333331</v>
      </c>
      <c r="AK443" s="449">
        <f t="shared" si="359"/>
        <v>374.33333333333331</v>
      </c>
      <c r="AL443" s="449">
        <f t="shared" si="359"/>
        <v>374.33333333333331</v>
      </c>
      <c r="AN443" s="500">
        <f t="shared" si="358"/>
        <v>4492</v>
      </c>
      <c r="AO443" s="449">
        <f t="shared" si="346"/>
        <v>1820.96</v>
      </c>
      <c r="AP443" s="449">
        <f t="shared" si="347"/>
        <v>-2671.04</v>
      </c>
      <c r="AQ443" s="453">
        <f t="shared" si="348"/>
        <v>-0.59462154942119327</v>
      </c>
      <c r="AR443" s="449">
        <f t="shared" si="349"/>
        <v>1820.96</v>
      </c>
      <c r="AS443" s="449">
        <f t="shared" si="350"/>
        <v>0</v>
      </c>
      <c r="AT443" s="426">
        <f t="shared" si="351"/>
        <v>0</v>
      </c>
      <c r="AU443" s="421"/>
      <c r="AV443" s="449">
        <f t="shared" si="361"/>
        <v>151.74666666666667</v>
      </c>
      <c r="AW443" s="449">
        <f t="shared" si="361"/>
        <v>151.74666666666667</v>
      </c>
      <c r="AX443" s="449">
        <f t="shared" si="361"/>
        <v>151.74666666666667</v>
      </c>
      <c r="AY443" s="449">
        <f t="shared" si="361"/>
        <v>151.74666666666667</v>
      </c>
      <c r="AZ443" s="449">
        <f t="shared" si="361"/>
        <v>151.74666666666667</v>
      </c>
      <c r="BA443" s="449">
        <f t="shared" si="361"/>
        <v>151.74666666666667</v>
      </c>
      <c r="BB443" s="449">
        <f t="shared" si="360"/>
        <v>151.74666666666667</v>
      </c>
      <c r="BC443" s="449">
        <f t="shared" si="360"/>
        <v>151.74666666666667</v>
      </c>
      <c r="BD443" s="449">
        <f t="shared" si="360"/>
        <v>151.74666666666667</v>
      </c>
      <c r="BE443" s="449">
        <f t="shared" si="360"/>
        <v>151.74666666666667</v>
      </c>
      <c r="BF443" s="449">
        <f t="shared" si="360"/>
        <v>151.74666666666667</v>
      </c>
      <c r="BG443" s="449">
        <f t="shared" si="360"/>
        <v>151.74666666666667</v>
      </c>
      <c r="BH443" s="400"/>
      <c r="BI443" s="449">
        <f>SUM('FY19 Staffing V1-1 (3)'!$S$276:$S$278)/12</f>
        <v>151.74666666666667</v>
      </c>
      <c r="BJ443" s="449">
        <f>SUM('FY19 Staffing V1-1 (3)'!$S$276:$S$278)/12</f>
        <v>151.74666666666667</v>
      </c>
      <c r="BK443" s="449">
        <f>SUM('FY19 Staffing V1-1 (3)'!$S$276:$S$278)/12</f>
        <v>151.74666666666667</v>
      </c>
      <c r="BL443" s="449">
        <f>SUM('FY19 Staffing V1-1 (3)'!$S$276:$S$278)/12</f>
        <v>151.74666666666667</v>
      </c>
      <c r="BM443" s="449">
        <f>SUM('FY19 Staffing V1-1 (3)'!$S$276:$S$278)/12</f>
        <v>151.74666666666667</v>
      </c>
      <c r="BN443" s="449">
        <f>SUM('FY19 Staffing V1-1 (3)'!$S$276:$S$278)/12</f>
        <v>151.74666666666667</v>
      </c>
      <c r="BO443" s="449">
        <f>SUM('FY19 Staffing V1-1 (3)'!$S$276:$S$278)/12</f>
        <v>151.74666666666667</v>
      </c>
      <c r="BP443" s="449">
        <f>SUM('FY19 Staffing V1-1 (3)'!$S$276:$S$278)/12</f>
        <v>151.74666666666667</v>
      </c>
      <c r="BQ443" s="449">
        <f>SUM('FY19 Staffing V1-1 (3)'!$S$276:$S$278)/12</f>
        <v>151.74666666666667</v>
      </c>
      <c r="BR443" s="449">
        <f>SUM('FY19 Staffing V1-1 (3)'!$S$276:$S$278)/12</f>
        <v>151.74666666666667</v>
      </c>
      <c r="BS443" s="449">
        <f>SUM('FY19 Staffing V1-1 (3)'!$S$276:$S$278)/12</f>
        <v>151.74666666666667</v>
      </c>
      <c r="BT443" s="449">
        <f>SUM('FY19 Staffing V1-1 (3)'!$S$276:$S$278)/12</f>
        <v>151.74666666666667</v>
      </c>
    </row>
    <row r="444" spans="1:72" ht="15" x14ac:dyDescent="0.25">
      <c r="A444" s="537" t="s">
        <v>753</v>
      </c>
      <c r="B444" s="537" t="s">
        <v>754</v>
      </c>
      <c r="C444" s="541"/>
      <c r="D444" s="500">
        <f t="shared" si="338"/>
        <v>0</v>
      </c>
      <c r="E444" s="449">
        <v>0</v>
      </c>
      <c r="F444" s="449">
        <f t="shared" si="339"/>
        <v>0</v>
      </c>
      <c r="G444" s="421">
        <f t="shared" si="340"/>
        <v>0</v>
      </c>
      <c r="H444" s="449">
        <v>0</v>
      </c>
      <c r="I444" s="449">
        <f t="shared" si="341"/>
        <v>0</v>
      </c>
      <c r="J444" s="426">
        <f t="shared" si="342"/>
        <v>0</v>
      </c>
      <c r="K444" s="421"/>
      <c r="L444" s="449">
        <v>0</v>
      </c>
      <c r="M444" s="449">
        <v>0</v>
      </c>
      <c r="N444" s="449">
        <v>0</v>
      </c>
      <c r="O444" s="449">
        <v>0</v>
      </c>
      <c r="P444" s="449">
        <v>0</v>
      </c>
      <c r="Q444" s="449">
        <v>0</v>
      </c>
      <c r="R444" s="449">
        <f>($H444-SUM($L444:Q444))/R$694</f>
        <v>0</v>
      </c>
      <c r="S444" s="449">
        <f>($H444-SUM($L444:R444))/S$694</f>
        <v>0</v>
      </c>
      <c r="T444" s="449">
        <f>($H444-SUM($L444:S444))/T$694</f>
        <v>0</v>
      </c>
      <c r="U444" s="449">
        <f>($H444-SUM($L444:T444))/U$694</f>
        <v>0</v>
      </c>
      <c r="V444" s="449">
        <f>($H444-SUM($L444:U444))/V$694</f>
        <v>0</v>
      </c>
      <c r="W444" s="449">
        <f>($H444-SUM($L444:V444))/W$694</f>
        <v>0</v>
      </c>
      <c r="X444" s="449"/>
      <c r="Y444" s="449">
        <f t="shared" si="343"/>
        <v>0</v>
      </c>
      <c r="Z444" s="531"/>
      <c r="AA444" s="449">
        <f t="shared" si="359"/>
        <v>0</v>
      </c>
      <c r="AB444" s="449">
        <f t="shared" si="359"/>
        <v>0</v>
      </c>
      <c r="AC444" s="449">
        <f t="shared" si="359"/>
        <v>0</v>
      </c>
      <c r="AD444" s="449">
        <f t="shared" si="359"/>
        <v>0</v>
      </c>
      <c r="AE444" s="449">
        <f t="shared" si="359"/>
        <v>0</v>
      </c>
      <c r="AF444" s="449">
        <f t="shared" si="359"/>
        <v>0</v>
      </c>
      <c r="AG444" s="449">
        <f t="shared" si="359"/>
        <v>0</v>
      </c>
      <c r="AH444" s="449">
        <f t="shared" si="359"/>
        <v>0</v>
      </c>
      <c r="AI444" s="449">
        <f t="shared" si="359"/>
        <v>0</v>
      </c>
      <c r="AJ444" s="449">
        <f t="shared" si="359"/>
        <v>0</v>
      </c>
      <c r="AK444" s="449">
        <f t="shared" si="359"/>
        <v>0</v>
      </c>
      <c r="AL444" s="449">
        <f t="shared" si="359"/>
        <v>0</v>
      </c>
      <c r="AN444" s="500">
        <f t="shared" si="358"/>
        <v>0</v>
      </c>
      <c r="AO444" s="449">
        <f t="shared" si="346"/>
        <v>0</v>
      </c>
      <c r="AP444" s="449">
        <f t="shared" si="347"/>
        <v>0</v>
      </c>
      <c r="AQ444" s="453" t="str">
        <f t="shared" si="348"/>
        <v>-</v>
      </c>
      <c r="AR444" s="449">
        <f t="shared" si="349"/>
        <v>0</v>
      </c>
      <c r="AS444" s="449">
        <f t="shared" si="350"/>
        <v>0</v>
      </c>
      <c r="AT444" s="426">
        <f t="shared" si="351"/>
        <v>0</v>
      </c>
      <c r="AU444" s="421"/>
      <c r="AV444" s="449">
        <f t="shared" si="361"/>
        <v>0</v>
      </c>
      <c r="AW444" s="449">
        <f t="shared" si="361"/>
        <v>0</v>
      </c>
      <c r="AX444" s="449">
        <f t="shared" si="361"/>
        <v>0</v>
      </c>
      <c r="AY444" s="449">
        <f t="shared" si="361"/>
        <v>0</v>
      </c>
      <c r="AZ444" s="449">
        <f t="shared" si="361"/>
        <v>0</v>
      </c>
      <c r="BA444" s="449">
        <f t="shared" si="361"/>
        <v>0</v>
      </c>
      <c r="BB444" s="449">
        <f t="shared" si="360"/>
        <v>0</v>
      </c>
      <c r="BC444" s="449">
        <f t="shared" si="360"/>
        <v>0</v>
      </c>
      <c r="BD444" s="449">
        <f t="shared" si="360"/>
        <v>0</v>
      </c>
      <c r="BE444" s="449">
        <f t="shared" si="360"/>
        <v>0</v>
      </c>
      <c r="BF444" s="449">
        <f t="shared" si="360"/>
        <v>0</v>
      </c>
      <c r="BG444" s="449">
        <f t="shared" si="360"/>
        <v>0</v>
      </c>
      <c r="BH444" s="400"/>
      <c r="BI444" s="449">
        <v>0</v>
      </c>
      <c r="BJ444" s="449">
        <v>0</v>
      </c>
      <c r="BK444" s="449">
        <v>0</v>
      </c>
      <c r="BL444" s="449">
        <v>0</v>
      </c>
      <c r="BM444" s="449">
        <v>0</v>
      </c>
      <c r="BN444" s="449">
        <v>0</v>
      </c>
      <c r="BO444" s="449">
        <v>0</v>
      </c>
      <c r="BP444" s="449">
        <v>0</v>
      </c>
      <c r="BQ444" s="449">
        <v>0</v>
      </c>
      <c r="BR444" s="449">
        <v>0</v>
      </c>
      <c r="BS444" s="449">
        <v>0</v>
      </c>
      <c r="BT444" s="449">
        <v>0</v>
      </c>
    </row>
    <row r="445" spans="1:72" ht="15" x14ac:dyDescent="0.25">
      <c r="A445" s="502" t="s">
        <v>755</v>
      </c>
      <c r="B445" s="502" t="s">
        <v>756</v>
      </c>
      <c r="C445" s="543"/>
      <c r="D445" s="500">
        <f t="shared" si="338"/>
        <v>6430</v>
      </c>
      <c r="E445" s="449">
        <v>6430</v>
      </c>
      <c r="F445" s="449">
        <f t="shared" si="339"/>
        <v>0</v>
      </c>
      <c r="G445" s="421">
        <f t="shared" si="340"/>
        <v>0</v>
      </c>
      <c r="H445" s="449">
        <v>6430</v>
      </c>
      <c r="I445" s="449">
        <f t="shared" si="341"/>
        <v>0</v>
      </c>
      <c r="J445" s="426">
        <f t="shared" si="342"/>
        <v>0</v>
      </c>
      <c r="K445" s="421"/>
      <c r="L445" s="449">
        <v>0</v>
      </c>
      <c r="M445" s="449">
        <v>0</v>
      </c>
      <c r="N445" s="449">
        <v>0</v>
      </c>
      <c r="O445" s="449">
        <v>0</v>
      </c>
      <c r="P445" s="449">
        <v>0</v>
      </c>
      <c r="Q445" s="449">
        <v>0</v>
      </c>
      <c r="R445" s="449">
        <f>($H445-SUM($L445:Q445))/R$694</f>
        <v>1071.6666666666667</v>
      </c>
      <c r="S445" s="449">
        <f>($H445-SUM($L445:R445))/S$694</f>
        <v>1071.6666666666665</v>
      </c>
      <c r="T445" s="449">
        <f>($H445-SUM($L445:S445))/T$694</f>
        <v>1071.6666666666667</v>
      </c>
      <c r="U445" s="449">
        <f>($H445-SUM($L445:T445))/U$694</f>
        <v>1071.6666666666667</v>
      </c>
      <c r="V445" s="449">
        <f>($H445-SUM($L445:U445))/V$694</f>
        <v>1071.6666666666665</v>
      </c>
      <c r="W445" s="449">
        <f>($H445-SUM($L445:V445))/W$694</f>
        <v>1071.6666666666661</v>
      </c>
      <c r="X445" s="449"/>
      <c r="Y445" s="449">
        <f t="shared" si="343"/>
        <v>6430</v>
      </c>
      <c r="Z445" s="531"/>
      <c r="AA445" s="449">
        <f t="shared" si="359"/>
        <v>535.83333333333337</v>
      </c>
      <c r="AB445" s="449">
        <f t="shared" si="359"/>
        <v>535.83333333333337</v>
      </c>
      <c r="AC445" s="449">
        <f t="shared" si="359"/>
        <v>535.83333333333337</v>
      </c>
      <c r="AD445" s="449">
        <f t="shared" si="359"/>
        <v>535.83333333333337</v>
      </c>
      <c r="AE445" s="449">
        <f t="shared" si="359"/>
        <v>535.83333333333337</v>
      </c>
      <c r="AF445" s="449">
        <f t="shared" si="359"/>
        <v>535.83333333333337</v>
      </c>
      <c r="AG445" s="449">
        <f t="shared" si="359"/>
        <v>535.83333333333337</v>
      </c>
      <c r="AH445" s="449">
        <f t="shared" si="359"/>
        <v>535.83333333333337</v>
      </c>
      <c r="AI445" s="449">
        <f t="shared" si="359"/>
        <v>535.83333333333337</v>
      </c>
      <c r="AJ445" s="449">
        <f t="shared" si="359"/>
        <v>535.83333333333337</v>
      </c>
      <c r="AK445" s="449">
        <f t="shared" si="359"/>
        <v>535.83333333333337</v>
      </c>
      <c r="AL445" s="449">
        <f t="shared" si="359"/>
        <v>535.83333333333337</v>
      </c>
      <c r="AN445" s="500">
        <f t="shared" si="358"/>
        <v>6430</v>
      </c>
      <c r="AO445" s="449">
        <f t="shared" si="346"/>
        <v>7070.4176706827311</v>
      </c>
      <c r="AP445" s="449">
        <f t="shared" si="347"/>
        <v>640.41767068273111</v>
      </c>
      <c r="AQ445" s="453">
        <f t="shared" si="348"/>
        <v>9.9598393574297214E-2</v>
      </c>
      <c r="AR445" s="449">
        <f t="shared" si="349"/>
        <v>7070.4176706827311</v>
      </c>
      <c r="AS445" s="449">
        <f t="shared" si="350"/>
        <v>0</v>
      </c>
      <c r="AT445" s="426">
        <f t="shared" si="351"/>
        <v>0</v>
      </c>
      <c r="AU445" s="421"/>
      <c r="AV445" s="449">
        <f t="shared" si="361"/>
        <v>589.20147255689426</v>
      </c>
      <c r="AW445" s="449">
        <f t="shared" si="361"/>
        <v>589.20147255689426</v>
      </c>
      <c r="AX445" s="449">
        <f t="shared" si="361"/>
        <v>589.20147255689426</v>
      </c>
      <c r="AY445" s="449">
        <f t="shared" si="361"/>
        <v>589.20147255689426</v>
      </c>
      <c r="AZ445" s="449">
        <f t="shared" si="361"/>
        <v>589.20147255689426</v>
      </c>
      <c r="BA445" s="449">
        <f t="shared" si="361"/>
        <v>589.20147255689426</v>
      </c>
      <c r="BB445" s="449">
        <f t="shared" si="360"/>
        <v>589.20147255689426</v>
      </c>
      <c r="BC445" s="449">
        <f t="shared" si="360"/>
        <v>589.20147255689426</v>
      </c>
      <c r="BD445" s="449">
        <f t="shared" si="360"/>
        <v>589.20147255689426</v>
      </c>
      <c r="BE445" s="449">
        <f t="shared" si="360"/>
        <v>589.20147255689426</v>
      </c>
      <c r="BF445" s="449">
        <f t="shared" si="360"/>
        <v>589.20147255689426</v>
      </c>
      <c r="BG445" s="449">
        <f t="shared" si="360"/>
        <v>589.20147255689426</v>
      </c>
      <c r="BH445" s="400"/>
      <c r="BI445" s="449">
        <f t="shared" ref="BI445:BT448" si="362">IFERROR((($H445/$H$5)*BI$5)/12,0)</f>
        <v>589.20147255689426</v>
      </c>
      <c r="BJ445" s="449">
        <f t="shared" si="362"/>
        <v>589.20147255689426</v>
      </c>
      <c r="BK445" s="449">
        <f t="shared" si="362"/>
        <v>589.20147255689426</v>
      </c>
      <c r="BL445" s="449">
        <f t="shared" si="362"/>
        <v>589.20147255689426</v>
      </c>
      <c r="BM445" s="449">
        <f t="shared" si="362"/>
        <v>589.20147255689426</v>
      </c>
      <c r="BN445" s="449">
        <f t="shared" si="362"/>
        <v>589.20147255689426</v>
      </c>
      <c r="BO445" s="449">
        <f t="shared" si="362"/>
        <v>589.20147255689426</v>
      </c>
      <c r="BP445" s="449">
        <f t="shared" si="362"/>
        <v>589.20147255689426</v>
      </c>
      <c r="BQ445" s="449">
        <f t="shared" si="362"/>
        <v>589.20147255689426</v>
      </c>
      <c r="BR445" s="449">
        <f t="shared" si="362"/>
        <v>589.20147255689426</v>
      </c>
      <c r="BS445" s="449">
        <f t="shared" si="362"/>
        <v>589.20147255689426</v>
      </c>
      <c r="BT445" s="449">
        <f t="shared" si="362"/>
        <v>589.20147255689426</v>
      </c>
    </row>
    <row r="446" spans="1:72" ht="15" x14ac:dyDescent="0.25">
      <c r="A446" s="502" t="s">
        <v>757</v>
      </c>
      <c r="B446" s="502" t="s">
        <v>758</v>
      </c>
      <c r="C446" s="543"/>
      <c r="D446" s="500">
        <f t="shared" si="338"/>
        <v>4000</v>
      </c>
      <c r="E446" s="449">
        <v>6430</v>
      </c>
      <c r="F446" s="449">
        <f t="shared" si="339"/>
        <v>-2430</v>
      </c>
      <c r="G446" s="421">
        <f t="shared" si="340"/>
        <v>-0.37791601866251945</v>
      </c>
      <c r="H446" s="449">
        <v>4000</v>
      </c>
      <c r="I446" s="449">
        <f t="shared" si="341"/>
        <v>0</v>
      </c>
      <c r="J446" s="426">
        <f t="shared" si="342"/>
        <v>0</v>
      </c>
      <c r="K446" s="421"/>
      <c r="L446" s="449">
        <v>175</v>
      </c>
      <c r="M446" s="449">
        <v>93.730000000000018</v>
      </c>
      <c r="N446" s="449">
        <v>100</v>
      </c>
      <c r="O446" s="449">
        <v>0</v>
      </c>
      <c r="P446" s="449">
        <v>269.73</v>
      </c>
      <c r="Q446" s="449">
        <v>104.14999999999998</v>
      </c>
      <c r="R446" s="449">
        <f>($H446-SUM($L446:Q446))/R$694</f>
        <v>542.89833333333331</v>
      </c>
      <c r="S446" s="449">
        <f>($H446-SUM($L446:R446))/S$694</f>
        <v>542.89833333333331</v>
      </c>
      <c r="T446" s="449">
        <f>($H446-SUM($L446:S446))/T$694</f>
        <v>542.89833333333331</v>
      </c>
      <c r="U446" s="449">
        <f>($H446-SUM($L446:T446))/U$694</f>
        <v>542.89833333333343</v>
      </c>
      <c r="V446" s="449">
        <f>($H446-SUM($L446:U446))/V$694</f>
        <v>542.89833333333331</v>
      </c>
      <c r="W446" s="449">
        <f>($H446-SUM($L446:V446))/W$694</f>
        <v>542.89833333333354</v>
      </c>
      <c r="X446" s="449"/>
      <c r="Y446" s="449">
        <f t="shared" si="343"/>
        <v>4000</v>
      </c>
      <c r="Z446" s="531"/>
      <c r="AA446" s="449">
        <f t="shared" si="359"/>
        <v>333.33333333333331</v>
      </c>
      <c r="AB446" s="449">
        <f t="shared" si="359"/>
        <v>333.33333333333331</v>
      </c>
      <c r="AC446" s="449">
        <f t="shared" si="359"/>
        <v>333.33333333333331</v>
      </c>
      <c r="AD446" s="449">
        <f t="shared" si="359"/>
        <v>333.33333333333331</v>
      </c>
      <c r="AE446" s="449">
        <f t="shared" si="359"/>
        <v>333.33333333333331</v>
      </c>
      <c r="AF446" s="449">
        <f t="shared" si="359"/>
        <v>333.33333333333331</v>
      </c>
      <c r="AG446" s="449">
        <f t="shared" si="359"/>
        <v>333.33333333333331</v>
      </c>
      <c r="AH446" s="449">
        <f t="shared" si="359"/>
        <v>333.33333333333331</v>
      </c>
      <c r="AI446" s="449">
        <f t="shared" si="359"/>
        <v>333.33333333333331</v>
      </c>
      <c r="AJ446" s="449">
        <f t="shared" si="359"/>
        <v>333.33333333333331</v>
      </c>
      <c r="AK446" s="449">
        <f t="shared" si="359"/>
        <v>333.33333333333331</v>
      </c>
      <c r="AL446" s="449">
        <f t="shared" si="359"/>
        <v>333.33333333333331</v>
      </c>
      <c r="AN446" s="500">
        <f t="shared" si="358"/>
        <v>4000</v>
      </c>
      <c r="AO446" s="449">
        <f t="shared" si="346"/>
        <v>4398.3935742971889</v>
      </c>
      <c r="AP446" s="449">
        <f t="shared" si="347"/>
        <v>398.39357429718893</v>
      </c>
      <c r="AQ446" s="453">
        <f t="shared" si="348"/>
        <v>9.9598393574297228E-2</v>
      </c>
      <c r="AR446" s="449">
        <f t="shared" si="349"/>
        <v>4398.3935742971889</v>
      </c>
      <c r="AS446" s="449">
        <f t="shared" si="350"/>
        <v>0</v>
      </c>
      <c r="AT446" s="426">
        <f t="shared" si="351"/>
        <v>0</v>
      </c>
      <c r="AU446" s="421"/>
      <c r="AV446" s="449">
        <f t="shared" si="361"/>
        <v>366.53279785809906</v>
      </c>
      <c r="AW446" s="449">
        <f t="shared" si="361"/>
        <v>366.53279785809906</v>
      </c>
      <c r="AX446" s="449">
        <f t="shared" si="361"/>
        <v>366.53279785809906</v>
      </c>
      <c r="AY446" s="449">
        <f t="shared" si="361"/>
        <v>366.53279785809906</v>
      </c>
      <c r="AZ446" s="449">
        <f t="shared" si="361"/>
        <v>366.53279785809906</v>
      </c>
      <c r="BA446" s="449">
        <f t="shared" si="361"/>
        <v>366.53279785809906</v>
      </c>
      <c r="BB446" s="449">
        <f t="shared" si="360"/>
        <v>366.53279785809906</v>
      </c>
      <c r="BC446" s="449">
        <f t="shared" si="360"/>
        <v>366.53279785809906</v>
      </c>
      <c r="BD446" s="449">
        <f t="shared" si="360"/>
        <v>366.53279785809906</v>
      </c>
      <c r="BE446" s="449">
        <f t="shared" si="360"/>
        <v>366.53279785809906</v>
      </c>
      <c r="BF446" s="449">
        <f t="shared" si="360"/>
        <v>366.53279785809906</v>
      </c>
      <c r="BG446" s="449">
        <f t="shared" si="360"/>
        <v>366.53279785809906</v>
      </c>
      <c r="BH446" s="400"/>
      <c r="BI446" s="449">
        <f t="shared" si="362"/>
        <v>366.53279785809906</v>
      </c>
      <c r="BJ446" s="449">
        <f t="shared" si="362"/>
        <v>366.53279785809906</v>
      </c>
      <c r="BK446" s="449">
        <f t="shared" si="362"/>
        <v>366.53279785809906</v>
      </c>
      <c r="BL446" s="449">
        <f t="shared" si="362"/>
        <v>366.53279785809906</v>
      </c>
      <c r="BM446" s="449">
        <f t="shared" si="362"/>
        <v>366.53279785809906</v>
      </c>
      <c r="BN446" s="449">
        <f t="shared" si="362"/>
        <v>366.53279785809906</v>
      </c>
      <c r="BO446" s="449">
        <f t="shared" si="362"/>
        <v>366.53279785809906</v>
      </c>
      <c r="BP446" s="449">
        <f t="shared" si="362"/>
        <v>366.53279785809906</v>
      </c>
      <c r="BQ446" s="449">
        <f t="shared" si="362"/>
        <v>366.53279785809906</v>
      </c>
      <c r="BR446" s="449">
        <f t="shared" si="362"/>
        <v>366.53279785809906</v>
      </c>
      <c r="BS446" s="449">
        <f t="shared" si="362"/>
        <v>366.53279785809906</v>
      </c>
      <c r="BT446" s="449">
        <f t="shared" si="362"/>
        <v>366.53279785809906</v>
      </c>
    </row>
    <row r="447" spans="1:72" ht="15" x14ac:dyDescent="0.25">
      <c r="A447" s="502" t="s">
        <v>759</v>
      </c>
      <c r="B447" s="502" t="s">
        <v>760</v>
      </c>
      <c r="C447" s="543"/>
      <c r="D447" s="500">
        <f t="shared" si="338"/>
        <v>965</v>
      </c>
      <c r="E447" s="449">
        <v>965</v>
      </c>
      <c r="F447" s="449">
        <f t="shared" si="339"/>
        <v>0</v>
      </c>
      <c r="G447" s="421">
        <f t="shared" si="340"/>
        <v>0</v>
      </c>
      <c r="H447" s="449">
        <v>965</v>
      </c>
      <c r="I447" s="449">
        <f t="shared" si="341"/>
        <v>0</v>
      </c>
      <c r="J447" s="426">
        <f t="shared" si="342"/>
        <v>0</v>
      </c>
      <c r="K447" s="421"/>
      <c r="L447" s="449">
        <v>178.33</v>
      </c>
      <c r="M447" s="449">
        <v>72.789999999999992</v>
      </c>
      <c r="N447" s="449">
        <v>0</v>
      </c>
      <c r="O447" s="449">
        <v>0</v>
      </c>
      <c r="P447" s="449">
        <v>136.02999999999997</v>
      </c>
      <c r="Q447" s="449">
        <v>0</v>
      </c>
      <c r="R447" s="449">
        <f>($H447-SUM($L447:Q447))/R$694</f>
        <v>96.308333333333337</v>
      </c>
      <c r="S447" s="449">
        <f>($H447-SUM($L447:R447))/S$694</f>
        <v>96.308333333333337</v>
      </c>
      <c r="T447" s="449">
        <f>($H447-SUM($L447:S447))/T$694</f>
        <v>96.308333333333337</v>
      </c>
      <c r="U447" s="449">
        <f>($H447-SUM($L447:T447))/U$694</f>
        <v>96.308333333333323</v>
      </c>
      <c r="V447" s="449">
        <f>($H447-SUM($L447:U447))/V$694</f>
        <v>96.308333333333337</v>
      </c>
      <c r="W447" s="449">
        <f>($H447-SUM($L447:V447))/W$694</f>
        <v>96.308333333333394</v>
      </c>
      <c r="X447" s="449"/>
      <c r="Y447" s="449">
        <f t="shared" si="343"/>
        <v>965</v>
      </c>
      <c r="Z447" s="531"/>
      <c r="AA447" s="449">
        <f t="shared" si="359"/>
        <v>80.416666666666671</v>
      </c>
      <c r="AB447" s="449">
        <f t="shared" si="359"/>
        <v>80.416666666666671</v>
      </c>
      <c r="AC447" s="449">
        <f t="shared" si="359"/>
        <v>80.416666666666671</v>
      </c>
      <c r="AD447" s="449">
        <f t="shared" si="359"/>
        <v>80.416666666666671</v>
      </c>
      <c r="AE447" s="449">
        <f t="shared" si="359"/>
        <v>80.416666666666671</v>
      </c>
      <c r="AF447" s="449">
        <f t="shared" si="359"/>
        <v>80.416666666666671</v>
      </c>
      <c r="AG447" s="449">
        <f t="shared" si="359"/>
        <v>80.416666666666671</v>
      </c>
      <c r="AH447" s="449">
        <f t="shared" si="359"/>
        <v>80.416666666666671</v>
      </c>
      <c r="AI447" s="449">
        <f t="shared" si="359"/>
        <v>80.416666666666671</v>
      </c>
      <c r="AJ447" s="449">
        <f t="shared" si="359"/>
        <v>80.416666666666671</v>
      </c>
      <c r="AK447" s="449">
        <f t="shared" si="359"/>
        <v>80.416666666666671</v>
      </c>
      <c r="AL447" s="449">
        <f t="shared" si="359"/>
        <v>80.416666666666671</v>
      </c>
      <c r="AN447" s="500">
        <f t="shared" si="358"/>
        <v>965</v>
      </c>
      <c r="AO447" s="449">
        <f t="shared" si="346"/>
        <v>1061.1124497991971</v>
      </c>
      <c r="AP447" s="449">
        <f t="shared" si="347"/>
        <v>96.112449799197066</v>
      </c>
      <c r="AQ447" s="453">
        <f t="shared" si="348"/>
        <v>9.9598393574297478E-2</v>
      </c>
      <c r="AR447" s="449">
        <f t="shared" si="349"/>
        <v>1061.1124497991971</v>
      </c>
      <c r="AS447" s="449">
        <f t="shared" si="350"/>
        <v>0</v>
      </c>
      <c r="AT447" s="426">
        <f t="shared" si="351"/>
        <v>0</v>
      </c>
      <c r="AU447" s="421"/>
      <c r="AV447" s="449">
        <f t="shared" si="361"/>
        <v>88.426037483266398</v>
      </c>
      <c r="AW447" s="449">
        <f t="shared" si="361"/>
        <v>88.426037483266398</v>
      </c>
      <c r="AX447" s="449">
        <f t="shared" si="361"/>
        <v>88.426037483266398</v>
      </c>
      <c r="AY447" s="449">
        <f t="shared" si="361"/>
        <v>88.426037483266398</v>
      </c>
      <c r="AZ447" s="449">
        <f t="shared" si="361"/>
        <v>88.426037483266398</v>
      </c>
      <c r="BA447" s="449">
        <f t="shared" si="361"/>
        <v>88.426037483266398</v>
      </c>
      <c r="BB447" s="449">
        <f t="shared" si="360"/>
        <v>88.426037483266398</v>
      </c>
      <c r="BC447" s="449">
        <f t="shared" si="360"/>
        <v>88.426037483266398</v>
      </c>
      <c r="BD447" s="449">
        <f t="shared" si="360"/>
        <v>88.426037483266398</v>
      </c>
      <c r="BE447" s="449">
        <f t="shared" si="360"/>
        <v>88.426037483266398</v>
      </c>
      <c r="BF447" s="449">
        <f t="shared" si="360"/>
        <v>88.426037483266398</v>
      </c>
      <c r="BG447" s="449">
        <f t="shared" si="360"/>
        <v>88.426037483266398</v>
      </c>
      <c r="BH447" s="400"/>
      <c r="BI447" s="449">
        <f t="shared" si="362"/>
        <v>88.426037483266398</v>
      </c>
      <c r="BJ447" s="449">
        <f t="shared" si="362"/>
        <v>88.426037483266398</v>
      </c>
      <c r="BK447" s="449">
        <f t="shared" si="362"/>
        <v>88.426037483266398</v>
      </c>
      <c r="BL447" s="449">
        <f t="shared" si="362"/>
        <v>88.426037483266398</v>
      </c>
      <c r="BM447" s="449">
        <f t="shared" si="362"/>
        <v>88.426037483266398</v>
      </c>
      <c r="BN447" s="449">
        <f t="shared" si="362"/>
        <v>88.426037483266398</v>
      </c>
      <c r="BO447" s="449">
        <f t="shared" si="362"/>
        <v>88.426037483266398</v>
      </c>
      <c r="BP447" s="449">
        <f t="shared" si="362"/>
        <v>88.426037483266398</v>
      </c>
      <c r="BQ447" s="449">
        <f t="shared" si="362"/>
        <v>88.426037483266398</v>
      </c>
      <c r="BR447" s="449">
        <f t="shared" si="362"/>
        <v>88.426037483266398</v>
      </c>
      <c r="BS447" s="449">
        <f t="shared" si="362"/>
        <v>88.426037483266398</v>
      </c>
      <c r="BT447" s="449">
        <f t="shared" si="362"/>
        <v>88.426037483266398</v>
      </c>
    </row>
    <row r="448" spans="1:72" ht="15" x14ac:dyDescent="0.25">
      <c r="A448" s="502" t="s">
        <v>761</v>
      </c>
      <c r="B448" s="502" t="s">
        <v>762</v>
      </c>
      <c r="C448" s="543"/>
      <c r="D448" s="500">
        <f t="shared" si="338"/>
        <v>4823</v>
      </c>
      <c r="E448" s="449">
        <v>4823</v>
      </c>
      <c r="F448" s="449">
        <f t="shared" si="339"/>
        <v>0</v>
      </c>
      <c r="G448" s="421">
        <f t="shared" si="340"/>
        <v>0</v>
      </c>
      <c r="H448" s="449">
        <v>4823</v>
      </c>
      <c r="I448" s="449">
        <f t="shared" si="341"/>
        <v>0</v>
      </c>
      <c r="J448" s="426">
        <f t="shared" si="342"/>
        <v>0</v>
      </c>
      <c r="K448" s="421"/>
      <c r="L448" s="449">
        <v>0</v>
      </c>
      <c r="M448" s="449">
        <v>777.06</v>
      </c>
      <c r="N448" s="449">
        <v>0</v>
      </c>
      <c r="O448" s="449">
        <v>44.940000000000055</v>
      </c>
      <c r="P448" s="449">
        <v>255.21000000000004</v>
      </c>
      <c r="Q448" s="449">
        <v>0</v>
      </c>
      <c r="R448" s="449">
        <f>($H448-SUM($L448:Q448))/R$694</f>
        <v>624.29833333333329</v>
      </c>
      <c r="S448" s="449">
        <f>($H448-SUM($L448:R448))/S$694</f>
        <v>624.2983333333334</v>
      </c>
      <c r="T448" s="449">
        <f>($H448-SUM($L448:S448))/T$694</f>
        <v>624.2983333333334</v>
      </c>
      <c r="U448" s="449">
        <f>($H448-SUM($L448:T448))/U$694</f>
        <v>624.29833333333352</v>
      </c>
      <c r="V448" s="449">
        <f>($H448-SUM($L448:U448))/V$694</f>
        <v>624.2983333333334</v>
      </c>
      <c r="W448" s="449">
        <f>($H448-SUM($L448:V448))/W$694</f>
        <v>624.29833333333318</v>
      </c>
      <c r="X448" s="449"/>
      <c r="Y448" s="449">
        <f t="shared" si="343"/>
        <v>4823</v>
      </c>
      <c r="Z448" s="531"/>
      <c r="AA448" s="449">
        <f t="shared" si="359"/>
        <v>401.91666666666669</v>
      </c>
      <c r="AB448" s="449">
        <f t="shared" si="359"/>
        <v>401.91666666666669</v>
      </c>
      <c r="AC448" s="449">
        <f t="shared" si="359"/>
        <v>401.91666666666669</v>
      </c>
      <c r="AD448" s="449">
        <f t="shared" si="359"/>
        <v>401.91666666666669</v>
      </c>
      <c r="AE448" s="449">
        <f t="shared" si="359"/>
        <v>401.91666666666669</v>
      </c>
      <c r="AF448" s="449">
        <f t="shared" si="359"/>
        <v>401.91666666666669</v>
      </c>
      <c r="AG448" s="449">
        <f t="shared" si="359"/>
        <v>401.91666666666669</v>
      </c>
      <c r="AH448" s="449">
        <f t="shared" si="359"/>
        <v>401.91666666666669</v>
      </c>
      <c r="AI448" s="449">
        <f t="shared" si="359"/>
        <v>401.91666666666669</v>
      </c>
      <c r="AJ448" s="449">
        <f t="shared" si="359"/>
        <v>401.91666666666669</v>
      </c>
      <c r="AK448" s="449">
        <f t="shared" si="359"/>
        <v>401.91666666666669</v>
      </c>
      <c r="AL448" s="449">
        <f t="shared" si="359"/>
        <v>401.91666666666669</v>
      </c>
      <c r="AN448" s="500">
        <f t="shared" si="358"/>
        <v>4823</v>
      </c>
      <c r="AO448" s="449">
        <f t="shared" si="346"/>
        <v>5303.3630522088351</v>
      </c>
      <c r="AP448" s="449">
        <f t="shared" si="347"/>
        <v>480.36305220883514</v>
      </c>
      <c r="AQ448" s="453">
        <f t="shared" si="348"/>
        <v>9.9598393574297145E-2</v>
      </c>
      <c r="AR448" s="449">
        <f t="shared" si="349"/>
        <v>5303.3630522088351</v>
      </c>
      <c r="AS448" s="449">
        <f t="shared" si="350"/>
        <v>0</v>
      </c>
      <c r="AT448" s="426">
        <f t="shared" si="351"/>
        <v>0</v>
      </c>
      <c r="AU448" s="421"/>
      <c r="AV448" s="449">
        <f t="shared" si="361"/>
        <v>441.94692101740293</v>
      </c>
      <c r="AW448" s="449">
        <f t="shared" si="361"/>
        <v>441.94692101740293</v>
      </c>
      <c r="AX448" s="449">
        <f t="shared" si="361"/>
        <v>441.94692101740293</v>
      </c>
      <c r="AY448" s="449">
        <f t="shared" si="361"/>
        <v>441.94692101740293</v>
      </c>
      <c r="AZ448" s="449">
        <f t="shared" si="361"/>
        <v>441.94692101740293</v>
      </c>
      <c r="BA448" s="449">
        <f t="shared" si="361"/>
        <v>441.94692101740293</v>
      </c>
      <c r="BB448" s="449">
        <f t="shared" si="360"/>
        <v>441.94692101740293</v>
      </c>
      <c r="BC448" s="449">
        <f t="shared" si="360"/>
        <v>441.94692101740293</v>
      </c>
      <c r="BD448" s="449">
        <f t="shared" si="360"/>
        <v>441.94692101740293</v>
      </c>
      <c r="BE448" s="449">
        <f t="shared" si="360"/>
        <v>441.94692101740293</v>
      </c>
      <c r="BF448" s="449">
        <f t="shared" si="360"/>
        <v>441.94692101740293</v>
      </c>
      <c r="BG448" s="449">
        <f t="shared" si="360"/>
        <v>441.94692101740293</v>
      </c>
      <c r="BH448" s="400"/>
      <c r="BI448" s="449">
        <f t="shared" si="362"/>
        <v>441.94692101740293</v>
      </c>
      <c r="BJ448" s="449">
        <f t="shared" si="362"/>
        <v>441.94692101740293</v>
      </c>
      <c r="BK448" s="449">
        <f t="shared" si="362"/>
        <v>441.94692101740293</v>
      </c>
      <c r="BL448" s="449">
        <f t="shared" si="362"/>
        <v>441.94692101740293</v>
      </c>
      <c r="BM448" s="449">
        <f t="shared" si="362"/>
        <v>441.94692101740293</v>
      </c>
      <c r="BN448" s="449">
        <f t="shared" si="362"/>
        <v>441.94692101740293</v>
      </c>
      <c r="BO448" s="449">
        <f t="shared" si="362"/>
        <v>441.94692101740293</v>
      </c>
      <c r="BP448" s="449">
        <f t="shared" si="362"/>
        <v>441.94692101740293</v>
      </c>
      <c r="BQ448" s="449">
        <f t="shared" si="362"/>
        <v>441.94692101740293</v>
      </c>
      <c r="BR448" s="449">
        <f t="shared" si="362"/>
        <v>441.94692101740293</v>
      </c>
      <c r="BS448" s="449">
        <f t="shared" si="362"/>
        <v>441.94692101740293</v>
      </c>
      <c r="BT448" s="449">
        <f t="shared" si="362"/>
        <v>441.94692101740293</v>
      </c>
    </row>
    <row r="449" spans="1:74" ht="15" x14ac:dyDescent="0.25">
      <c r="A449" s="502" t="s">
        <v>763</v>
      </c>
      <c r="B449" s="502" t="s">
        <v>764</v>
      </c>
      <c r="C449" s="597"/>
      <c r="D449" s="500">
        <f t="shared" si="338"/>
        <v>28000</v>
      </c>
      <c r="E449" s="449">
        <v>32150</v>
      </c>
      <c r="F449" s="449">
        <f t="shared" si="339"/>
        <v>-4150</v>
      </c>
      <c r="G449" s="421">
        <f t="shared" si="340"/>
        <v>-0.12908242612752721</v>
      </c>
      <c r="H449" s="449">
        <v>28000</v>
      </c>
      <c r="I449" s="449">
        <f t="shared" si="341"/>
        <v>0</v>
      </c>
      <c r="J449" s="426">
        <f t="shared" si="342"/>
        <v>0</v>
      </c>
      <c r="K449" s="421"/>
      <c r="L449" s="449">
        <v>258.68</v>
      </c>
      <c r="M449" s="449">
        <v>2493.98</v>
      </c>
      <c r="N449" s="449">
        <v>642.91000000000031</v>
      </c>
      <c r="O449" s="449">
        <v>255.21000000000004</v>
      </c>
      <c r="P449" s="449">
        <v>2901.77</v>
      </c>
      <c r="Q449" s="449">
        <v>18.729999999999563</v>
      </c>
      <c r="R449" s="449">
        <f>($H449-SUM($L449:Q449))/R$694</f>
        <v>3571.4533333333334</v>
      </c>
      <c r="S449" s="449">
        <f>($H449-SUM($L449:R449))/S$694</f>
        <v>3571.4533333333334</v>
      </c>
      <c r="T449" s="449">
        <f>($H449-SUM($L449:S449))/T$694</f>
        <v>3571.4533333333334</v>
      </c>
      <c r="U449" s="449">
        <f>($H449-SUM($L449:T449))/U$694</f>
        <v>3571.4533333333334</v>
      </c>
      <c r="V449" s="449">
        <f>($H449-SUM($L449:U449))/V$694</f>
        <v>3571.4533333333329</v>
      </c>
      <c r="W449" s="449">
        <f>($H449-SUM($L449:V449))/W$694</f>
        <v>3571.4533333333311</v>
      </c>
      <c r="X449" s="449"/>
      <c r="Y449" s="449">
        <f t="shared" si="343"/>
        <v>28000</v>
      </c>
      <c r="Z449" s="531"/>
      <c r="AA449" s="449">
        <f t="shared" si="359"/>
        <v>2333.3333333333335</v>
      </c>
      <c r="AB449" s="449">
        <f t="shared" si="359"/>
        <v>2333.3333333333335</v>
      </c>
      <c r="AC449" s="449">
        <f t="shared" si="359"/>
        <v>2333.3333333333335</v>
      </c>
      <c r="AD449" s="449">
        <f t="shared" si="359"/>
        <v>2333.3333333333335</v>
      </c>
      <c r="AE449" s="449">
        <f t="shared" si="359"/>
        <v>2333.3333333333335</v>
      </c>
      <c r="AF449" s="449">
        <f t="shared" si="359"/>
        <v>2333.3333333333335</v>
      </c>
      <c r="AG449" s="449">
        <f t="shared" si="359"/>
        <v>2333.3333333333335</v>
      </c>
      <c r="AH449" s="449">
        <f t="shared" si="359"/>
        <v>2333.3333333333335</v>
      </c>
      <c r="AI449" s="449">
        <f t="shared" si="359"/>
        <v>2333.3333333333335</v>
      </c>
      <c r="AJ449" s="449">
        <f t="shared" si="359"/>
        <v>2333.3333333333335</v>
      </c>
      <c r="AK449" s="449">
        <f t="shared" si="359"/>
        <v>2333.3333333333335</v>
      </c>
      <c r="AL449" s="449">
        <f t="shared" si="359"/>
        <v>2333.3333333333335</v>
      </c>
      <c r="AN449" s="500">
        <f t="shared" si="358"/>
        <v>28000</v>
      </c>
      <c r="AO449" s="449">
        <f t="shared" si="346"/>
        <v>30788.755020080316</v>
      </c>
      <c r="AP449" s="449">
        <f t="shared" si="347"/>
        <v>2788.7550200803162</v>
      </c>
      <c r="AQ449" s="453">
        <f t="shared" si="348"/>
        <v>9.9598393574297006E-2</v>
      </c>
      <c r="AR449" s="449">
        <f t="shared" si="349"/>
        <v>30788.755020080316</v>
      </c>
      <c r="AS449" s="449">
        <f t="shared" si="350"/>
        <v>0</v>
      </c>
      <c r="AT449" s="426">
        <f t="shared" si="351"/>
        <v>0</v>
      </c>
      <c r="AU449" s="421"/>
      <c r="AV449" s="449">
        <f t="shared" si="361"/>
        <v>6157.7510040160641</v>
      </c>
      <c r="AW449" s="449">
        <f t="shared" si="361"/>
        <v>6157.7510040160641</v>
      </c>
      <c r="AX449" s="449">
        <f t="shared" si="361"/>
        <v>4105.1673360107088</v>
      </c>
      <c r="AY449" s="449">
        <f t="shared" si="361"/>
        <v>4105.1673360107088</v>
      </c>
      <c r="AZ449" s="449">
        <f t="shared" si="361"/>
        <v>4105.1673360107088</v>
      </c>
      <c r="BA449" s="449">
        <f t="shared" si="361"/>
        <v>879.67871485943772</v>
      </c>
      <c r="BB449" s="449">
        <f t="shared" si="360"/>
        <v>879.67871485943772</v>
      </c>
      <c r="BC449" s="449">
        <f t="shared" si="360"/>
        <v>879.67871485943772</v>
      </c>
      <c r="BD449" s="449">
        <f t="shared" si="360"/>
        <v>879.67871485943772</v>
      </c>
      <c r="BE449" s="449">
        <f t="shared" si="360"/>
        <v>879.67871485943772</v>
      </c>
      <c r="BF449" s="449">
        <f t="shared" si="360"/>
        <v>879.67871485943772</v>
      </c>
      <c r="BG449" s="449">
        <f t="shared" si="360"/>
        <v>879.67871485943772</v>
      </c>
      <c r="BH449" s="400"/>
      <c r="BI449" s="449">
        <f t="shared" ref="BI449:BT449" si="363">(IFERROR((($H449/$H$5)*BI$5),0))*BI$696</f>
        <v>6157.7510040160641</v>
      </c>
      <c r="BJ449" s="449">
        <f t="shared" si="363"/>
        <v>6157.7510040160641</v>
      </c>
      <c r="BK449" s="449">
        <f t="shared" si="363"/>
        <v>4105.1673360107088</v>
      </c>
      <c r="BL449" s="449">
        <f t="shared" si="363"/>
        <v>4105.1673360107088</v>
      </c>
      <c r="BM449" s="449">
        <f t="shared" si="363"/>
        <v>4105.1673360107088</v>
      </c>
      <c r="BN449" s="449">
        <f t="shared" si="363"/>
        <v>879.67871485943772</v>
      </c>
      <c r="BO449" s="449">
        <f t="shared" si="363"/>
        <v>879.67871485943772</v>
      </c>
      <c r="BP449" s="449">
        <f t="shared" si="363"/>
        <v>879.67871485943772</v>
      </c>
      <c r="BQ449" s="449">
        <f t="shared" si="363"/>
        <v>879.67871485943772</v>
      </c>
      <c r="BR449" s="449">
        <f t="shared" si="363"/>
        <v>879.67871485943772</v>
      </c>
      <c r="BS449" s="449">
        <f t="shared" si="363"/>
        <v>879.67871485943772</v>
      </c>
      <c r="BT449" s="449">
        <f t="shared" si="363"/>
        <v>879.67871485943772</v>
      </c>
    </row>
    <row r="450" spans="1:74" ht="15" x14ac:dyDescent="0.25">
      <c r="A450" s="537" t="s">
        <v>765</v>
      </c>
      <c r="B450" s="537" t="s">
        <v>766</v>
      </c>
      <c r="C450" s="597"/>
      <c r="D450" s="500">
        <f t="shared" si="338"/>
        <v>5362.33</v>
      </c>
      <c r="E450" s="449">
        <v>0</v>
      </c>
      <c r="F450" s="449">
        <f t="shared" ref="F450:F455" si="364">IFERROR(D450-E450,0)</f>
        <v>5362.33</v>
      </c>
      <c r="G450" s="421">
        <f t="shared" si="340"/>
        <v>0</v>
      </c>
      <c r="H450" s="449">
        <v>0</v>
      </c>
      <c r="I450" s="449">
        <f t="shared" si="341"/>
        <v>5362.33</v>
      </c>
      <c r="J450" s="426">
        <f t="shared" si="342"/>
        <v>0</v>
      </c>
      <c r="K450" s="421"/>
      <c r="L450" s="449">
        <v>0</v>
      </c>
      <c r="M450" s="449">
        <v>2934.32</v>
      </c>
      <c r="N450" s="449">
        <v>0</v>
      </c>
      <c r="O450" s="449">
        <v>10.389999999999873</v>
      </c>
      <c r="P450" s="449">
        <v>2417.62</v>
      </c>
      <c r="Q450" s="449">
        <v>0</v>
      </c>
      <c r="R450" s="449">
        <v>0</v>
      </c>
      <c r="S450" s="449">
        <v>0</v>
      </c>
      <c r="T450" s="449">
        <v>0</v>
      </c>
      <c r="U450" s="449">
        <v>0</v>
      </c>
      <c r="V450" s="449">
        <v>0</v>
      </c>
      <c r="W450" s="449">
        <v>0</v>
      </c>
      <c r="X450" s="449"/>
      <c r="Y450" s="449">
        <f t="shared" si="343"/>
        <v>5362.33</v>
      </c>
      <c r="Z450" s="531"/>
      <c r="AA450" s="449">
        <f t="shared" ref="AA450:AL455" si="365">IFERROR($H450/12,0)</f>
        <v>0</v>
      </c>
      <c r="AB450" s="449">
        <f t="shared" si="365"/>
        <v>0</v>
      </c>
      <c r="AC450" s="449">
        <f t="shared" si="365"/>
        <v>0</v>
      </c>
      <c r="AD450" s="449">
        <f t="shared" si="365"/>
        <v>0</v>
      </c>
      <c r="AE450" s="449">
        <f t="shared" si="365"/>
        <v>0</v>
      </c>
      <c r="AF450" s="449">
        <f t="shared" si="365"/>
        <v>0</v>
      </c>
      <c r="AG450" s="449">
        <f t="shared" si="365"/>
        <v>0</v>
      </c>
      <c r="AH450" s="449">
        <f t="shared" si="365"/>
        <v>0</v>
      </c>
      <c r="AI450" s="449">
        <f t="shared" si="365"/>
        <v>0</v>
      </c>
      <c r="AJ450" s="449">
        <f t="shared" si="365"/>
        <v>0</v>
      </c>
      <c r="AK450" s="449">
        <f t="shared" si="365"/>
        <v>0</v>
      </c>
      <c r="AL450" s="449">
        <f t="shared" si="365"/>
        <v>0</v>
      </c>
      <c r="AN450" s="500">
        <f t="shared" si="358"/>
        <v>5362.33</v>
      </c>
      <c r="AO450" s="449">
        <f t="shared" si="346"/>
        <v>5896.4094538152576</v>
      </c>
      <c r="AP450" s="449">
        <f t="shared" ref="AP450:AP455" si="366">IFERROR(AO450-AN450,0)</f>
        <v>534.07945381525769</v>
      </c>
      <c r="AQ450" s="453">
        <f t="shared" ref="AQ450:AQ455" si="367">IFERROR(AP450/ABS(AN450),"-")</f>
        <v>9.9598393574296562E-2</v>
      </c>
      <c r="AR450" s="449">
        <f t="shared" si="349"/>
        <v>5896.4094538152576</v>
      </c>
      <c r="AS450" s="449">
        <f t="shared" ref="AS450:AS455" si="368">IFERROR(AO450-AR450,0)</f>
        <v>0</v>
      </c>
      <c r="AT450" s="426">
        <f t="shared" si="351"/>
        <v>0</v>
      </c>
      <c r="AU450" s="421"/>
      <c r="AV450" s="449">
        <f t="shared" si="361"/>
        <v>1179.2818907630522</v>
      </c>
      <c r="AW450" s="449">
        <f t="shared" si="361"/>
        <v>1179.2818907630522</v>
      </c>
      <c r="AX450" s="449">
        <f t="shared" si="361"/>
        <v>786.18792717536803</v>
      </c>
      <c r="AY450" s="449">
        <f t="shared" si="361"/>
        <v>786.18792717536803</v>
      </c>
      <c r="AZ450" s="449">
        <f t="shared" si="361"/>
        <v>786.18792717536803</v>
      </c>
      <c r="BA450" s="449">
        <f t="shared" si="361"/>
        <v>168.46884153757887</v>
      </c>
      <c r="BB450" s="449">
        <f t="shared" si="360"/>
        <v>168.46884153757887</v>
      </c>
      <c r="BC450" s="449">
        <f t="shared" si="360"/>
        <v>168.46884153757887</v>
      </c>
      <c r="BD450" s="449">
        <f t="shared" si="360"/>
        <v>168.46884153757887</v>
      </c>
      <c r="BE450" s="449">
        <f t="shared" si="360"/>
        <v>168.46884153757887</v>
      </c>
      <c r="BF450" s="449">
        <f t="shared" si="360"/>
        <v>168.46884153757887</v>
      </c>
      <c r="BG450" s="449">
        <f t="shared" si="360"/>
        <v>168.46884153757887</v>
      </c>
      <c r="BH450" s="400"/>
      <c r="BI450" s="449">
        <f t="shared" ref="BI450:BT450" si="369">(IFERROR((($D450/$H$5)*BI$5),0))*BI$696</f>
        <v>1179.2818907630522</v>
      </c>
      <c r="BJ450" s="449">
        <f t="shared" si="369"/>
        <v>1179.2818907630522</v>
      </c>
      <c r="BK450" s="449">
        <f t="shared" si="369"/>
        <v>786.18792717536803</v>
      </c>
      <c r="BL450" s="449">
        <f t="shared" si="369"/>
        <v>786.18792717536803</v>
      </c>
      <c r="BM450" s="449">
        <f t="shared" si="369"/>
        <v>786.18792717536803</v>
      </c>
      <c r="BN450" s="449">
        <f t="shared" si="369"/>
        <v>168.46884153757887</v>
      </c>
      <c r="BO450" s="449">
        <f t="shared" si="369"/>
        <v>168.46884153757887</v>
      </c>
      <c r="BP450" s="449">
        <f t="shared" si="369"/>
        <v>168.46884153757887</v>
      </c>
      <c r="BQ450" s="449">
        <f t="shared" si="369"/>
        <v>168.46884153757887</v>
      </c>
      <c r="BR450" s="449">
        <f t="shared" si="369"/>
        <v>168.46884153757887</v>
      </c>
      <c r="BS450" s="449">
        <f t="shared" si="369"/>
        <v>168.46884153757887</v>
      </c>
      <c r="BT450" s="449">
        <f t="shared" si="369"/>
        <v>168.46884153757887</v>
      </c>
    </row>
    <row r="451" spans="1:74" ht="15" x14ac:dyDescent="0.25">
      <c r="A451" s="502" t="s">
        <v>767</v>
      </c>
      <c r="B451" s="502" t="s">
        <v>768</v>
      </c>
      <c r="C451" s="597"/>
      <c r="D451" s="500">
        <f t="shared" si="338"/>
        <v>5000</v>
      </c>
      <c r="E451" s="449">
        <v>8038</v>
      </c>
      <c r="F451" s="449">
        <f t="shared" si="364"/>
        <v>-3038</v>
      </c>
      <c r="G451" s="421">
        <f t="shared" si="340"/>
        <v>-0.37795471510325951</v>
      </c>
      <c r="H451" s="449">
        <v>5000</v>
      </c>
      <c r="I451" s="449">
        <f t="shared" si="341"/>
        <v>0</v>
      </c>
      <c r="J451" s="426">
        <f t="shared" si="342"/>
        <v>0</v>
      </c>
      <c r="K451" s="421"/>
      <c r="L451" s="449">
        <v>0</v>
      </c>
      <c r="M451" s="449">
        <v>273</v>
      </c>
      <c r="N451" s="449">
        <v>0</v>
      </c>
      <c r="O451" s="449">
        <v>0</v>
      </c>
      <c r="P451" s="449">
        <v>-30</v>
      </c>
      <c r="Q451" s="449">
        <v>30</v>
      </c>
      <c r="R451" s="449">
        <f>($H451-SUM($L451:Q451))/R$694</f>
        <v>787.83333333333337</v>
      </c>
      <c r="S451" s="449">
        <f>($H451-SUM($L451:R451))/S$694</f>
        <v>787.83333333333326</v>
      </c>
      <c r="T451" s="449">
        <f>($H451-SUM($L451:S451))/T$694</f>
        <v>787.83333333333326</v>
      </c>
      <c r="U451" s="449">
        <f>($H451-SUM($L451:T451))/U$694</f>
        <v>787.83333333333337</v>
      </c>
      <c r="V451" s="449">
        <f>($H451-SUM($L451:U451))/V$694</f>
        <v>787.83333333333326</v>
      </c>
      <c r="W451" s="449">
        <f>($H451-SUM($L451:V451))/W$694</f>
        <v>787.83333333333303</v>
      </c>
      <c r="X451" s="449"/>
      <c r="Y451" s="449">
        <f t="shared" si="343"/>
        <v>5000</v>
      </c>
      <c r="Z451" s="531"/>
      <c r="AA451" s="449">
        <f t="shared" si="365"/>
        <v>416.66666666666669</v>
      </c>
      <c r="AB451" s="449">
        <f t="shared" si="365"/>
        <v>416.66666666666669</v>
      </c>
      <c r="AC451" s="449">
        <f t="shared" si="365"/>
        <v>416.66666666666669</v>
      </c>
      <c r="AD451" s="449">
        <f t="shared" si="365"/>
        <v>416.66666666666669</v>
      </c>
      <c r="AE451" s="449">
        <f t="shared" si="365"/>
        <v>416.66666666666669</v>
      </c>
      <c r="AF451" s="449">
        <f t="shared" si="365"/>
        <v>416.66666666666669</v>
      </c>
      <c r="AG451" s="449">
        <f t="shared" si="365"/>
        <v>416.66666666666669</v>
      </c>
      <c r="AH451" s="449">
        <f t="shared" si="365"/>
        <v>416.66666666666669</v>
      </c>
      <c r="AI451" s="449">
        <f t="shared" si="365"/>
        <v>416.66666666666669</v>
      </c>
      <c r="AJ451" s="449">
        <f t="shared" si="365"/>
        <v>416.66666666666669</v>
      </c>
      <c r="AK451" s="449">
        <f t="shared" si="365"/>
        <v>416.66666666666669</v>
      </c>
      <c r="AL451" s="449">
        <f t="shared" si="365"/>
        <v>416.66666666666669</v>
      </c>
      <c r="AN451" s="500">
        <f t="shared" si="358"/>
        <v>5000</v>
      </c>
      <c r="AO451" s="449">
        <f t="shared" si="346"/>
        <v>5497.9919678714868</v>
      </c>
      <c r="AP451" s="449">
        <f t="shared" si="366"/>
        <v>497.99196787148685</v>
      </c>
      <c r="AQ451" s="453">
        <f t="shared" si="367"/>
        <v>9.9598393574297367E-2</v>
      </c>
      <c r="AR451" s="449">
        <f t="shared" si="349"/>
        <v>5497.9919678714868</v>
      </c>
      <c r="AS451" s="449">
        <f t="shared" si="368"/>
        <v>0</v>
      </c>
      <c r="AT451" s="426">
        <f t="shared" si="351"/>
        <v>0</v>
      </c>
      <c r="AU451" s="421"/>
      <c r="AV451" s="449">
        <f t="shared" si="361"/>
        <v>1099.5983935742972</v>
      </c>
      <c r="AW451" s="449">
        <f t="shared" si="361"/>
        <v>1099.5983935742972</v>
      </c>
      <c r="AX451" s="449">
        <f t="shared" si="361"/>
        <v>733.06559571619812</v>
      </c>
      <c r="AY451" s="449">
        <f t="shared" si="361"/>
        <v>733.06559571619812</v>
      </c>
      <c r="AZ451" s="449">
        <f t="shared" si="361"/>
        <v>733.06559571619812</v>
      </c>
      <c r="BA451" s="449">
        <f t="shared" si="361"/>
        <v>157.08548479632816</v>
      </c>
      <c r="BB451" s="449">
        <f t="shared" si="360"/>
        <v>157.08548479632816</v>
      </c>
      <c r="BC451" s="449">
        <f t="shared" si="360"/>
        <v>157.08548479632816</v>
      </c>
      <c r="BD451" s="449">
        <f t="shared" si="360"/>
        <v>157.08548479632816</v>
      </c>
      <c r="BE451" s="449">
        <f t="shared" si="360"/>
        <v>157.08548479632816</v>
      </c>
      <c r="BF451" s="449">
        <f t="shared" si="360"/>
        <v>157.08548479632816</v>
      </c>
      <c r="BG451" s="449">
        <f t="shared" si="360"/>
        <v>157.08548479632816</v>
      </c>
      <c r="BH451" s="400"/>
      <c r="BI451" s="449">
        <f t="shared" ref="BI451:BT452" si="370">(IFERROR((($H451/$H$5)*BI$5),0))*BI$696</f>
        <v>1099.5983935742972</v>
      </c>
      <c r="BJ451" s="449">
        <f t="shared" si="370"/>
        <v>1099.5983935742972</v>
      </c>
      <c r="BK451" s="449">
        <f t="shared" si="370"/>
        <v>733.06559571619812</v>
      </c>
      <c r="BL451" s="449">
        <f t="shared" si="370"/>
        <v>733.06559571619812</v>
      </c>
      <c r="BM451" s="449">
        <f t="shared" si="370"/>
        <v>733.06559571619812</v>
      </c>
      <c r="BN451" s="449">
        <f t="shared" si="370"/>
        <v>157.08548479632816</v>
      </c>
      <c r="BO451" s="449">
        <f t="shared" si="370"/>
        <v>157.08548479632816</v>
      </c>
      <c r="BP451" s="449">
        <f t="shared" si="370"/>
        <v>157.08548479632816</v>
      </c>
      <c r="BQ451" s="449">
        <f t="shared" si="370"/>
        <v>157.08548479632816</v>
      </c>
      <c r="BR451" s="449">
        <f t="shared" si="370"/>
        <v>157.08548479632816</v>
      </c>
      <c r="BS451" s="449">
        <f t="shared" si="370"/>
        <v>157.08548479632816</v>
      </c>
      <c r="BT451" s="449">
        <f t="shared" si="370"/>
        <v>157.08548479632816</v>
      </c>
    </row>
    <row r="452" spans="1:74" ht="15" x14ac:dyDescent="0.25">
      <c r="A452" s="502" t="s">
        <v>769</v>
      </c>
      <c r="B452" s="502" t="s">
        <v>770</v>
      </c>
      <c r="C452" s="596"/>
      <c r="D452" s="500">
        <f t="shared" si="338"/>
        <v>19290</v>
      </c>
      <c r="E452" s="449">
        <v>19290</v>
      </c>
      <c r="F452" s="449">
        <f t="shared" si="364"/>
        <v>0</v>
      </c>
      <c r="G452" s="421">
        <f t="shared" si="340"/>
        <v>0</v>
      </c>
      <c r="H452" s="449">
        <v>19290</v>
      </c>
      <c r="I452" s="449">
        <f t="shared" si="341"/>
        <v>0</v>
      </c>
      <c r="J452" s="426">
        <f t="shared" si="342"/>
        <v>0</v>
      </c>
      <c r="K452" s="421"/>
      <c r="L452" s="449">
        <v>0</v>
      </c>
      <c r="M452" s="449">
        <v>0</v>
      </c>
      <c r="N452" s="449">
        <v>2662.2</v>
      </c>
      <c r="O452" s="449">
        <v>0</v>
      </c>
      <c r="P452" s="449">
        <v>0</v>
      </c>
      <c r="Q452" s="449">
        <v>1523.3400000000001</v>
      </c>
      <c r="R452" s="449">
        <f>($H452-SUM($L452:Q452))/R$694</f>
        <v>2517.41</v>
      </c>
      <c r="S452" s="449">
        <f>($H452-SUM($L452:R452))/S$694</f>
        <v>2517.41</v>
      </c>
      <c r="T452" s="449">
        <f>($H452-SUM($L452:S452))/T$694</f>
        <v>2517.41</v>
      </c>
      <c r="U452" s="449">
        <f>($H452-SUM($L452:T452))/U$694</f>
        <v>2517.41</v>
      </c>
      <c r="V452" s="449">
        <f>($H452-SUM($L452:U452))/V$694</f>
        <v>2517.41</v>
      </c>
      <c r="W452" s="449">
        <f>($H452-SUM($L452:V452))/W$694</f>
        <v>2517.41</v>
      </c>
      <c r="X452" s="449"/>
      <c r="Y452" s="449">
        <f t="shared" si="343"/>
        <v>19290</v>
      </c>
      <c r="Z452" s="531"/>
      <c r="AA452" s="449">
        <f t="shared" si="365"/>
        <v>1607.5</v>
      </c>
      <c r="AB452" s="449">
        <f t="shared" si="365"/>
        <v>1607.5</v>
      </c>
      <c r="AC452" s="449">
        <f t="shared" si="365"/>
        <v>1607.5</v>
      </c>
      <c r="AD452" s="449">
        <f t="shared" si="365"/>
        <v>1607.5</v>
      </c>
      <c r="AE452" s="449">
        <f t="shared" si="365"/>
        <v>1607.5</v>
      </c>
      <c r="AF452" s="449">
        <f t="shared" si="365"/>
        <v>1607.5</v>
      </c>
      <c r="AG452" s="449">
        <f t="shared" si="365"/>
        <v>1607.5</v>
      </c>
      <c r="AH452" s="449">
        <f t="shared" si="365"/>
        <v>1607.5</v>
      </c>
      <c r="AI452" s="449">
        <f t="shared" si="365"/>
        <v>1607.5</v>
      </c>
      <c r="AJ452" s="449">
        <f t="shared" si="365"/>
        <v>1607.5</v>
      </c>
      <c r="AK452" s="449">
        <f t="shared" si="365"/>
        <v>1607.5</v>
      </c>
      <c r="AL452" s="449">
        <f t="shared" si="365"/>
        <v>1607.5</v>
      </c>
      <c r="AN452" s="500">
        <f t="shared" si="358"/>
        <v>19290</v>
      </c>
      <c r="AO452" s="449">
        <f t="shared" si="346"/>
        <v>21211.253012048197</v>
      </c>
      <c r="AP452" s="449">
        <f t="shared" si="366"/>
        <v>1921.253012048197</v>
      </c>
      <c r="AQ452" s="453">
        <f t="shared" si="367"/>
        <v>9.9598393574297409E-2</v>
      </c>
      <c r="AR452" s="449">
        <f t="shared" si="349"/>
        <v>21211.253012048197</v>
      </c>
      <c r="AS452" s="449">
        <f t="shared" si="368"/>
        <v>0</v>
      </c>
      <c r="AT452" s="426">
        <f t="shared" si="351"/>
        <v>0</v>
      </c>
      <c r="AU452" s="421"/>
      <c r="AV452" s="449">
        <f t="shared" si="361"/>
        <v>4242.2506024096392</v>
      </c>
      <c r="AW452" s="449">
        <f t="shared" si="361"/>
        <v>4242.2506024096392</v>
      </c>
      <c r="AX452" s="449">
        <f t="shared" si="361"/>
        <v>2828.1670682730924</v>
      </c>
      <c r="AY452" s="449">
        <f t="shared" si="361"/>
        <v>2828.1670682730924</v>
      </c>
      <c r="AZ452" s="449">
        <f t="shared" si="361"/>
        <v>2828.1670682730924</v>
      </c>
      <c r="BA452" s="449">
        <f t="shared" si="361"/>
        <v>606.03580034423408</v>
      </c>
      <c r="BB452" s="449">
        <f t="shared" si="360"/>
        <v>606.03580034423408</v>
      </c>
      <c r="BC452" s="449">
        <f t="shared" si="360"/>
        <v>606.03580034423408</v>
      </c>
      <c r="BD452" s="449">
        <f t="shared" si="360"/>
        <v>606.03580034423408</v>
      </c>
      <c r="BE452" s="449">
        <f t="shared" si="360"/>
        <v>606.03580034423408</v>
      </c>
      <c r="BF452" s="449">
        <f t="shared" si="360"/>
        <v>606.03580034423408</v>
      </c>
      <c r="BG452" s="449">
        <f t="shared" si="360"/>
        <v>606.03580034423408</v>
      </c>
      <c r="BH452" s="400"/>
      <c r="BI452" s="449">
        <f t="shared" si="370"/>
        <v>4242.2506024096392</v>
      </c>
      <c r="BJ452" s="449">
        <f t="shared" si="370"/>
        <v>4242.2506024096392</v>
      </c>
      <c r="BK452" s="449">
        <f t="shared" si="370"/>
        <v>2828.1670682730924</v>
      </c>
      <c r="BL452" s="449">
        <f t="shared" si="370"/>
        <v>2828.1670682730924</v>
      </c>
      <c r="BM452" s="449">
        <f t="shared" si="370"/>
        <v>2828.1670682730924</v>
      </c>
      <c r="BN452" s="449">
        <f t="shared" si="370"/>
        <v>606.03580034423408</v>
      </c>
      <c r="BO452" s="449">
        <f t="shared" si="370"/>
        <v>606.03580034423408</v>
      </c>
      <c r="BP452" s="449">
        <f t="shared" si="370"/>
        <v>606.03580034423408</v>
      </c>
      <c r="BQ452" s="449">
        <f t="shared" si="370"/>
        <v>606.03580034423408</v>
      </c>
      <c r="BR452" s="449">
        <f t="shared" si="370"/>
        <v>606.03580034423408</v>
      </c>
      <c r="BS452" s="449">
        <f t="shared" si="370"/>
        <v>606.03580034423408</v>
      </c>
      <c r="BT452" s="449">
        <f t="shared" si="370"/>
        <v>606.03580034423408</v>
      </c>
    </row>
    <row r="453" spans="1:74" ht="15" x14ac:dyDescent="0.25">
      <c r="A453" s="502" t="s">
        <v>771</v>
      </c>
      <c r="B453" s="502" t="s">
        <v>772</v>
      </c>
      <c r="C453" s="596"/>
      <c r="D453" s="500">
        <f t="shared" si="338"/>
        <v>3376</v>
      </c>
      <c r="E453" s="449">
        <v>3376</v>
      </c>
      <c r="F453" s="449">
        <f t="shared" si="364"/>
        <v>0</v>
      </c>
      <c r="G453" s="421">
        <f t="shared" si="340"/>
        <v>0</v>
      </c>
      <c r="H453" s="449">
        <v>3376</v>
      </c>
      <c r="I453" s="449">
        <f t="shared" si="341"/>
        <v>0</v>
      </c>
      <c r="J453" s="426">
        <f t="shared" si="342"/>
        <v>0</v>
      </c>
      <c r="K453" s="421"/>
      <c r="L453" s="449">
        <v>668.04</v>
      </c>
      <c r="M453" s="449">
        <v>0</v>
      </c>
      <c r="N453" s="449">
        <v>498.85000000000014</v>
      </c>
      <c r="O453" s="449">
        <v>0</v>
      </c>
      <c r="P453" s="449">
        <v>0</v>
      </c>
      <c r="Q453" s="449">
        <v>0</v>
      </c>
      <c r="R453" s="449">
        <f>($H453-SUM($L453:Q453))/R$694</f>
        <v>368.18499999999995</v>
      </c>
      <c r="S453" s="449">
        <f>($H453-SUM($L453:R453))/S$694</f>
        <v>368.185</v>
      </c>
      <c r="T453" s="449">
        <f>($H453-SUM($L453:S453))/T$694</f>
        <v>368.185</v>
      </c>
      <c r="U453" s="449">
        <f>($H453-SUM($L453:T453))/U$694</f>
        <v>368.18499999999995</v>
      </c>
      <c r="V453" s="449">
        <f>($H453-SUM($L453:U453))/V$694</f>
        <v>368.18499999999995</v>
      </c>
      <c r="W453" s="449">
        <f>($H453-SUM($L453:V453))/W$694</f>
        <v>368.18499999999995</v>
      </c>
      <c r="X453" s="449"/>
      <c r="Y453" s="449">
        <f t="shared" si="343"/>
        <v>3376</v>
      </c>
      <c r="Z453" s="531"/>
      <c r="AA453" s="449">
        <f t="shared" si="365"/>
        <v>281.33333333333331</v>
      </c>
      <c r="AB453" s="449">
        <f t="shared" si="365"/>
        <v>281.33333333333331</v>
      </c>
      <c r="AC453" s="449">
        <f t="shared" si="365"/>
        <v>281.33333333333331</v>
      </c>
      <c r="AD453" s="449">
        <f t="shared" si="365"/>
        <v>281.33333333333331</v>
      </c>
      <c r="AE453" s="449">
        <f t="shared" si="365"/>
        <v>281.33333333333331</v>
      </c>
      <c r="AF453" s="449">
        <f t="shared" si="365"/>
        <v>281.33333333333331</v>
      </c>
      <c r="AG453" s="449">
        <f t="shared" si="365"/>
        <v>281.33333333333331</v>
      </c>
      <c r="AH453" s="449">
        <f t="shared" si="365"/>
        <v>281.33333333333331</v>
      </c>
      <c r="AI453" s="449">
        <f t="shared" si="365"/>
        <v>281.33333333333331</v>
      </c>
      <c r="AJ453" s="449">
        <f t="shared" si="365"/>
        <v>281.33333333333331</v>
      </c>
      <c r="AK453" s="449">
        <f t="shared" si="365"/>
        <v>281.33333333333331</v>
      </c>
      <c r="AL453" s="449">
        <f t="shared" si="365"/>
        <v>281.33333333333331</v>
      </c>
      <c r="AN453" s="500">
        <f t="shared" si="358"/>
        <v>3376</v>
      </c>
      <c r="AO453" s="449">
        <f t="shared" si="346"/>
        <v>3712.2441767068271</v>
      </c>
      <c r="AP453" s="449">
        <f t="shared" si="366"/>
        <v>336.24417670682715</v>
      </c>
      <c r="AQ453" s="453">
        <f t="shared" si="367"/>
        <v>9.9598393574297145E-2</v>
      </c>
      <c r="AR453" s="449">
        <f t="shared" si="349"/>
        <v>3712.2441767068271</v>
      </c>
      <c r="AS453" s="449">
        <f t="shared" si="368"/>
        <v>0</v>
      </c>
      <c r="AT453" s="426">
        <f t="shared" si="351"/>
        <v>0</v>
      </c>
      <c r="AU453" s="421"/>
      <c r="AV453" s="449">
        <f t="shared" si="361"/>
        <v>309.35368139223561</v>
      </c>
      <c r="AW453" s="449">
        <f t="shared" si="361"/>
        <v>309.35368139223561</v>
      </c>
      <c r="AX453" s="449">
        <f t="shared" si="361"/>
        <v>309.35368139223561</v>
      </c>
      <c r="AY453" s="449">
        <f t="shared" si="361"/>
        <v>309.35368139223561</v>
      </c>
      <c r="AZ453" s="449">
        <f t="shared" si="361"/>
        <v>309.35368139223561</v>
      </c>
      <c r="BA453" s="449">
        <f t="shared" si="361"/>
        <v>309.35368139223561</v>
      </c>
      <c r="BB453" s="449">
        <f t="shared" si="360"/>
        <v>309.35368139223561</v>
      </c>
      <c r="BC453" s="449">
        <f t="shared" si="360"/>
        <v>309.35368139223561</v>
      </c>
      <c r="BD453" s="449">
        <f t="shared" si="360"/>
        <v>309.35368139223561</v>
      </c>
      <c r="BE453" s="449">
        <f t="shared" si="360"/>
        <v>309.35368139223561</v>
      </c>
      <c r="BF453" s="449">
        <f t="shared" si="360"/>
        <v>309.35368139223561</v>
      </c>
      <c r="BG453" s="449">
        <f t="shared" si="360"/>
        <v>309.35368139223561</v>
      </c>
      <c r="BH453" s="400"/>
      <c r="BI453" s="449">
        <f t="shared" ref="BI453:BT455" si="371">IFERROR((($H453/$H$5)*BI$5)/12,0)</f>
        <v>309.35368139223561</v>
      </c>
      <c r="BJ453" s="449">
        <f t="shared" si="371"/>
        <v>309.35368139223561</v>
      </c>
      <c r="BK453" s="449">
        <f t="shared" si="371"/>
        <v>309.35368139223561</v>
      </c>
      <c r="BL453" s="449">
        <f t="shared" si="371"/>
        <v>309.35368139223561</v>
      </c>
      <c r="BM453" s="449">
        <f t="shared" si="371"/>
        <v>309.35368139223561</v>
      </c>
      <c r="BN453" s="449">
        <f t="shared" si="371"/>
        <v>309.35368139223561</v>
      </c>
      <c r="BO453" s="449">
        <f t="shared" si="371"/>
        <v>309.35368139223561</v>
      </c>
      <c r="BP453" s="449">
        <f t="shared" si="371"/>
        <v>309.35368139223561</v>
      </c>
      <c r="BQ453" s="449">
        <f t="shared" si="371"/>
        <v>309.35368139223561</v>
      </c>
      <c r="BR453" s="449">
        <f t="shared" si="371"/>
        <v>309.35368139223561</v>
      </c>
      <c r="BS453" s="449">
        <f t="shared" si="371"/>
        <v>309.35368139223561</v>
      </c>
      <c r="BT453" s="449">
        <f t="shared" si="371"/>
        <v>309.35368139223561</v>
      </c>
    </row>
    <row r="454" spans="1:74" ht="15" x14ac:dyDescent="0.25">
      <c r="A454" s="502" t="s">
        <v>773</v>
      </c>
      <c r="B454" s="502" t="s">
        <v>774</v>
      </c>
      <c r="C454" s="538"/>
      <c r="D454" s="500">
        <f t="shared" si="338"/>
        <v>10931</v>
      </c>
      <c r="E454" s="449">
        <v>10931</v>
      </c>
      <c r="F454" s="449">
        <f t="shared" si="364"/>
        <v>0</v>
      </c>
      <c r="G454" s="421">
        <f t="shared" si="340"/>
        <v>0</v>
      </c>
      <c r="H454" s="449">
        <v>10931</v>
      </c>
      <c r="I454" s="449">
        <f t="shared" si="341"/>
        <v>0</v>
      </c>
      <c r="J454" s="426">
        <f t="shared" si="342"/>
        <v>0</v>
      </c>
      <c r="K454" s="421"/>
      <c r="L454" s="449">
        <v>0</v>
      </c>
      <c r="M454" s="449">
        <v>0</v>
      </c>
      <c r="N454" s="449">
        <v>0</v>
      </c>
      <c r="O454" s="449">
        <v>0</v>
      </c>
      <c r="P454" s="449">
        <v>150</v>
      </c>
      <c r="Q454" s="449">
        <v>0</v>
      </c>
      <c r="R454" s="449">
        <f>($H454-SUM($L454:Q454))/R$694</f>
        <v>1796.8333333333333</v>
      </c>
      <c r="S454" s="449">
        <f>($H454-SUM($L454:R454))/S$694</f>
        <v>1796.8333333333333</v>
      </c>
      <c r="T454" s="449">
        <f>($H454-SUM($L454:S454))/T$694</f>
        <v>1796.8333333333335</v>
      </c>
      <c r="U454" s="449">
        <f>($H454-SUM($L454:T454))/U$694</f>
        <v>1796.8333333333333</v>
      </c>
      <c r="V454" s="449">
        <f>($H454-SUM($L454:U454))/V$694</f>
        <v>1796.8333333333335</v>
      </c>
      <c r="W454" s="449">
        <f>($H454-SUM($L454:V454))/W$694</f>
        <v>1796.8333333333339</v>
      </c>
      <c r="X454" s="449"/>
      <c r="Y454" s="449">
        <f t="shared" si="343"/>
        <v>10931</v>
      </c>
      <c r="Z454" s="531"/>
      <c r="AA454" s="449">
        <f t="shared" si="365"/>
        <v>910.91666666666663</v>
      </c>
      <c r="AB454" s="449">
        <f t="shared" si="365"/>
        <v>910.91666666666663</v>
      </c>
      <c r="AC454" s="449">
        <f t="shared" si="365"/>
        <v>910.91666666666663</v>
      </c>
      <c r="AD454" s="449">
        <f t="shared" si="365"/>
        <v>910.91666666666663</v>
      </c>
      <c r="AE454" s="449">
        <f t="shared" si="365"/>
        <v>910.91666666666663</v>
      </c>
      <c r="AF454" s="449">
        <f t="shared" si="365"/>
        <v>910.91666666666663</v>
      </c>
      <c r="AG454" s="449">
        <f t="shared" si="365"/>
        <v>910.91666666666663</v>
      </c>
      <c r="AH454" s="449">
        <f t="shared" si="365"/>
        <v>910.91666666666663</v>
      </c>
      <c r="AI454" s="449">
        <f t="shared" si="365"/>
        <v>910.91666666666663</v>
      </c>
      <c r="AJ454" s="449">
        <f t="shared" si="365"/>
        <v>910.91666666666663</v>
      </c>
      <c r="AK454" s="449">
        <f t="shared" si="365"/>
        <v>910.91666666666663</v>
      </c>
      <c r="AL454" s="449">
        <f t="shared" si="365"/>
        <v>910.91666666666663</v>
      </c>
      <c r="AN454" s="500">
        <f t="shared" si="358"/>
        <v>10931</v>
      </c>
      <c r="AO454" s="449">
        <f t="shared" si="346"/>
        <v>12019.710040160644</v>
      </c>
      <c r="AP454" s="449">
        <f t="shared" si="366"/>
        <v>1088.710040160644</v>
      </c>
      <c r="AQ454" s="453">
        <f t="shared" si="367"/>
        <v>9.9598393574297311E-2</v>
      </c>
      <c r="AR454" s="449">
        <f t="shared" si="349"/>
        <v>12019.710040160644</v>
      </c>
      <c r="AS454" s="449">
        <f t="shared" si="368"/>
        <v>0</v>
      </c>
      <c r="AT454" s="426">
        <f t="shared" si="351"/>
        <v>0</v>
      </c>
      <c r="AU454" s="421"/>
      <c r="AV454" s="449">
        <f t="shared" si="361"/>
        <v>1001.6425033467203</v>
      </c>
      <c r="AW454" s="449">
        <f t="shared" si="361"/>
        <v>1001.6425033467203</v>
      </c>
      <c r="AX454" s="449">
        <f t="shared" si="361"/>
        <v>1001.6425033467203</v>
      </c>
      <c r="AY454" s="449">
        <f t="shared" si="361"/>
        <v>1001.6425033467203</v>
      </c>
      <c r="AZ454" s="449">
        <f t="shared" si="361"/>
        <v>1001.6425033467203</v>
      </c>
      <c r="BA454" s="449">
        <f t="shared" si="361"/>
        <v>1001.6425033467203</v>
      </c>
      <c r="BB454" s="449">
        <f t="shared" si="360"/>
        <v>1001.6425033467203</v>
      </c>
      <c r="BC454" s="449">
        <f t="shared" si="360"/>
        <v>1001.6425033467203</v>
      </c>
      <c r="BD454" s="449">
        <f t="shared" si="360"/>
        <v>1001.6425033467203</v>
      </c>
      <c r="BE454" s="449">
        <f t="shared" si="360"/>
        <v>1001.6425033467203</v>
      </c>
      <c r="BF454" s="449">
        <f t="shared" si="360"/>
        <v>1001.6425033467203</v>
      </c>
      <c r="BG454" s="449">
        <f t="shared" si="360"/>
        <v>1001.6425033467203</v>
      </c>
      <c r="BH454" s="400"/>
      <c r="BI454" s="449">
        <f t="shared" si="371"/>
        <v>1001.6425033467203</v>
      </c>
      <c r="BJ454" s="449">
        <f t="shared" si="371"/>
        <v>1001.6425033467203</v>
      </c>
      <c r="BK454" s="449">
        <f t="shared" si="371"/>
        <v>1001.6425033467203</v>
      </c>
      <c r="BL454" s="449">
        <f t="shared" si="371"/>
        <v>1001.6425033467203</v>
      </c>
      <c r="BM454" s="449">
        <f t="shared" si="371"/>
        <v>1001.6425033467203</v>
      </c>
      <c r="BN454" s="449">
        <f t="shared" si="371"/>
        <v>1001.6425033467203</v>
      </c>
      <c r="BO454" s="449">
        <f t="shared" si="371"/>
        <v>1001.6425033467203</v>
      </c>
      <c r="BP454" s="449">
        <f t="shared" si="371"/>
        <v>1001.6425033467203</v>
      </c>
      <c r="BQ454" s="449">
        <f t="shared" si="371"/>
        <v>1001.6425033467203</v>
      </c>
      <c r="BR454" s="449">
        <f t="shared" si="371"/>
        <v>1001.6425033467203</v>
      </c>
      <c r="BS454" s="449">
        <f t="shared" si="371"/>
        <v>1001.6425033467203</v>
      </c>
      <c r="BT454" s="449">
        <f t="shared" si="371"/>
        <v>1001.6425033467203</v>
      </c>
    </row>
    <row r="455" spans="1:74" ht="15" x14ac:dyDescent="0.25">
      <c r="A455" s="502" t="s">
        <v>775</v>
      </c>
      <c r="B455" s="502" t="s">
        <v>776</v>
      </c>
      <c r="C455" s="596"/>
      <c r="D455" s="500">
        <f t="shared" si="338"/>
        <v>11684</v>
      </c>
      <c r="E455" s="449">
        <v>15683</v>
      </c>
      <c r="F455" s="449">
        <f t="shared" si="364"/>
        <v>-3999</v>
      </c>
      <c r="G455" s="421">
        <f t="shared" si="340"/>
        <v>-0.25498947905375247</v>
      </c>
      <c r="H455" s="449">
        <v>11684</v>
      </c>
      <c r="I455" s="449">
        <f t="shared" si="341"/>
        <v>0</v>
      </c>
      <c r="J455" s="426">
        <f t="shared" si="342"/>
        <v>0</v>
      </c>
      <c r="K455" s="421"/>
      <c r="L455" s="449">
        <v>0</v>
      </c>
      <c r="M455" s="449">
        <v>208.97</v>
      </c>
      <c r="N455" s="449">
        <v>98.940000000000026</v>
      </c>
      <c r="O455" s="449">
        <v>86.94</v>
      </c>
      <c r="P455" s="449">
        <v>287.79999999999995</v>
      </c>
      <c r="Q455" s="449">
        <v>-294</v>
      </c>
      <c r="R455" s="449">
        <f>($H455-SUM($L455:Q455))/R$694</f>
        <v>1882.5583333333334</v>
      </c>
      <c r="S455" s="449">
        <f>($H455-SUM($L455:R455))/S$694</f>
        <v>1882.5583333333332</v>
      </c>
      <c r="T455" s="449">
        <f>($H455-SUM($L455:S455))/T$694</f>
        <v>1882.5583333333334</v>
      </c>
      <c r="U455" s="449">
        <f>($H455-SUM($L455:T455))/U$694</f>
        <v>1882.5583333333334</v>
      </c>
      <c r="V455" s="449">
        <f>($H455-SUM($L455:U455))/V$694</f>
        <v>1882.5583333333334</v>
      </c>
      <c r="W455" s="449">
        <f>($H455-SUM($L455:V455))/W$694</f>
        <v>1882.5583333333343</v>
      </c>
      <c r="X455" s="449"/>
      <c r="Y455" s="449">
        <f t="shared" si="343"/>
        <v>11684</v>
      </c>
      <c r="Z455" s="531"/>
      <c r="AA455" s="449">
        <f t="shared" si="365"/>
        <v>973.66666666666663</v>
      </c>
      <c r="AB455" s="449">
        <f t="shared" si="365"/>
        <v>973.66666666666663</v>
      </c>
      <c r="AC455" s="449">
        <f t="shared" si="365"/>
        <v>973.66666666666663</v>
      </c>
      <c r="AD455" s="449">
        <f t="shared" si="365"/>
        <v>973.66666666666663</v>
      </c>
      <c r="AE455" s="449">
        <f t="shared" si="365"/>
        <v>973.66666666666663</v>
      </c>
      <c r="AF455" s="449">
        <f t="shared" si="365"/>
        <v>973.66666666666663</v>
      </c>
      <c r="AG455" s="449">
        <f t="shared" si="365"/>
        <v>973.66666666666663</v>
      </c>
      <c r="AH455" s="449">
        <f t="shared" si="365"/>
        <v>973.66666666666663</v>
      </c>
      <c r="AI455" s="449">
        <f t="shared" si="365"/>
        <v>973.66666666666663</v>
      </c>
      <c r="AJ455" s="449">
        <f t="shared" si="365"/>
        <v>973.66666666666663</v>
      </c>
      <c r="AK455" s="449">
        <f t="shared" si="365"/>
        <v>973.66666666666663</v>
      </c>
      <c r="AL455" s="449">
        <f t="shared" si="365"/>
        <v>973.66666666666663</v>
      </c>
      <c r="AN455" s="500">
        <f t="shared" si="358"/>
        <v>11684</v>
      </c>
      <c r="AO455" s="449">
        <f t="shared" si="346"/>
        <v>12847.707630522085</v>
      </c>
      <c r="AP455" s="449">
        <f t="shared" si="366"/>
        <v>1163.7076305220853</v>
      </c>
      <c r="AQ455" s="453">
        <f t="shared" si="367"/>
        <v>9.9598393574296923E-2</v>
      </c>
      <c r="AR455" s="449">
        <f t="shared" si="349"/>
        <v>12847.707630522085</v>
      </c>
      <c r="AS455" s="449">
        <f t="shared" si="368"/>
        <v>0</v>
      </c>
      <c r="AT455" s="426">
        <f t="shared" si="351"/>
        <v>0</v>
      </c>
      <c r="AU455" s="421"/>
      <c r="AV455" s="449">
        <f t="shared" si="361"/>
        <v>1070.6423025435074</v>
      </c>
      <c r="AW455" s="449">
        <f t="shared" si="361"/>
        <v>1070.6423025435074</v>
      </c>
      <c r="AX455" s="449">
        <f t="shared" si="361"/>
        <v>1070.6423025435074</v>
      </c>
      <c r="AY455" s="449">
        <f t="shared" si="361"/>
        <v>1070.6423025435074</v>
      </c>
      <c r="AZ455" s="449">
        <f t="shared" si="361"/>
        <v>1070.6423025435074</v>
      </c>
      <c r="BA455" s="449">
        <f t="shared" si="361"/>
        <v>1070.6423025435074</v>
      </c>
      <c r="BB455" s="449">
        <f t="shared" si="360"/>
        <v>1070.6423025435074</v>
      </c>
      <c r="BC455" s="449">
        <f t="shared" si="360"/>
        <v>1070.6423025435074</v>
      </c>
      <c r="BD455" s="449">
        <f t="shared" si="360"/>
        <v>1070.6423025435074</v>
      </c>
      <c r="BE455" s="449">
        <f t="shared" si="360"/>
        <v>1070.6423025435074</v>
      </c>
      <c r="BF455" s="449">
        <f t="shared" si="360"/>
        <v>1070.6423025435074</v>
      </c>
      <c r="BG455" s="449">
        <f t="shared" si="360"/>
        <v>1070.6423025435074</v>
      </c>
      <c r="BH455" s="400"/>
      <c r="BI455" s="449">
        <f t="shared" si="371"/>
        <v>1070.6423025435074</v>
      </c>
      <c r="BJ455" s="449">
        <f t="shared" si="371"/>
        <v>1070.6423025435074</v>
      </c>
      <c r="BK455" s="449">
        <f t="shared" si="371"/>
        <v>1070.6423025435074</v>
      </c>
      <c r="BL455" s="449">
        <f t="shared" si="371"/>
        <v>1070.6423025435074</v>
      </c>
      <c r="BM455" s="449">
        <f t="shared" si="371"/>
        <v>1070.6423025435074</v>
      </c>
      <c r="BN455" s="449">
        <f t="shared" si="371"/>
        <v>1070.6423025435074</v>
      </c>
      <c r="BO455" s="449">
        <f t="shared" si="371"/>
        <v>1070.6423025435074</v>
      </c>
      <c r="BP455" s="449">
        <f t="shared" si="371"/>
        <v>1070.6423025435074</v>
      </c>
      <c r="BQ455" s="449">
        <f t="shared" si="371"/>
        <v>1070.6423025435074</v>
      </c>
      <c r="BR455" s="449">
        <f t="shared" si="371"/>
        <v>1070.6423025435074</v>
      </c>
      <c r="BS455" s="449">
        <f t="shared" si="371"/>
        <v>1070.6423025435074</v>
      </c>
      <c r="BT455" s="449">
        <f t="shared" si="371"/>
        <v>1070.6423025435074</v>
      </c>
    </row>
    <row r="456" spans="1:74" ht="15" x14ac:dyDescent="0.25">
      <c r="A456" s="502"/>
      <c r="B456" s="502"/>
      <c r="C456" s="596"/>
      <c r="D456" s="500"/>
      <c r="E456" s="449"/>
      <c r="F456" s="449"/>
      <c r="G456" s="421"/>
      <c r="H456" s="449"/>
      <c r="I456" s="449"/>
      <c r="J456" s="426"/>
      <c r="K456" s="421"/>
      <c r="L456" s="449"/>
      <c r="M456" s="449"/>
      <c r="N456" s="449"/>
      <c r="O456" s="449"/>
      <c r="P456" s="449"/>
      <c r="Q456" s="449"/>
      <c r="R456" s="449"/>
      <c r="S456" s="449"/>
      <c r="T456" s="449"/>
      <c r="U456" s="449"/>
      <c r="V456" s="449"/>
      <c r="W456" s="449"/>
      <c r="X456" s="449"/>
      <c r="Y456" s="449"/>
      <c r="Z456" s="531"/>
      <c r="AA456" s="449"/>
      <c r="AB456" s="449"/>
      <c r="AC456" s="449"/>
      <c r="AD456" s="449"/>
      <c r="AE456" s="449"/>
      <c r="AF456" s="449"/>
      <c r="AG456" s="449"/>
      <c r="AH456" s="449"/>
      <c r="AI456" s="449"/>
      <c r="AJ456" s="449"/>
      <c r="AK456" s="449"/>
      <c r="AL456" s="449"/>
      <c r="AN456" s="500"/>
      <c r="AO456" s="449"/>
      <c r="AP456" s="449"/>
      <c r="AQ456" s="453"/>
      <c r="AR456" s="449"/>
      <c r="AS456" s="449"/>
      <c r="AT456" s="426"/>
      <c r="AU456" s="421"/>
      <c r="AV456" s="449"/>
      <c r="AW456" s="449"/>
      <c r="AX456" s="449"/>
      <c r="AY456" s="449"/>
      <c r="AZ456" s="449"/>
      <c r="BA456" s="449"/>
      <c r="BB456" s="449"/>
      <c r="BC456" s="449"/>
      <c r="BD456" s="449"/>
      <c r="BE456" s="449"/>
      <c r="BF456" s="449"/>
      <c r="BG456" s="449"/>
      <c r="BH456" s="531"/>
      <c r="BI456" s="449"/>
      <c r="BJ456" s="449"/>
      <c r="BK456" s="449"/>
      <c r="BL456" s="449"/>
      <c r="BM456" s="449"/>
      <c r="BN456" s="449"/>
      <c r="BO456" s="449"/>
      <c r="BP456" s="449"/>
      <c r="BQ456" s="449"/>
      <c r="BR456" s="449"/>
      <c r="BS456" s="449"/>
      <c r="BT456" s="449"/>
    </row>
    <row r="457" spans="1:74" s="536" customFormat="1" ht="15.75" thickBot="1" x14ac:dyDescent="0.3">
      <c r="A457" s="524"/>
      <c r="B457" s="524" t="s">
        <v>777</v>
      </c>
      <c r="C457" s="598"/>
      <c r="D457" s="532">
        <f>SUM(D386:D456)</f>
        <v>900847.50999999989</v>
      </c>
      <c r="E457" s="533">
        <f>SUM(E386:E456)</f>
        <v>933999</v>
      </c>
      <c r="F457" s="533">
        <f>IFERROR(D457-E457,0)</f>
        <v>-33151.490000000107</v>
      </c>
      <c r="G457" s="520">
        <f>IFERROR(F457/ABS(E457),0)</f>
        <v>-3.5494138644688172E-2</v>
      </c>
      <c r="H457" s="533">
        <f>SUM(H386:H456)</f>
        <v>845508</v>
      </c>
      <c r="I457" s="533">
        <f>IFERROR(D457-H457,0)</f>
        <v>55339.509999999893</v>
      </c>
      <c r="J457" s="521">
        <f>IFERROR(I457/ABS(H457),0)</f>
        <v>6.5451196203938813E-2</v>
      </c>
      <c r="K457" s="507"/>
      <c r="L457" s="533">
        <f t="shared" ref="L457:W457" si="372">SUM(L386:L456)</f>
        <v>44064.579999999987</v>
      </c>
      <c r="M457" s="533">
        <f t="shared" si="372"/>
        <v>84380.150000000009</v>
      </c>
      <c r="N457" s="533">
        <f t="shared" si="372"/>
        <v>60318.180000000015</v>
      </c>
      <c r="O457" s="533">
        <f t="shared" si="372"/>
        <v>82503.19</v>
      </c>
      <c r="P457" s="533">
        <f t="shared" si="372"/>
        <v>78112.930000000008</v>
      </c>
      <c r="Q457" s="533">
        <f t="shared" si="372"/>
        <v>69796.699999999983</v>
      </c>
      <c r="R457" s="533">
        <f t="shared" si="372"/>
        <v>80278.63</v>
      </c>
      <c r="S457" s="533">
        <f t="shared" si="372"/>
        <v>80278.63</v>
      </c>
      <c r="T457" s="533">
        <f t="shared" si="372"/>
        <v>80278.63</v>
      </c>
      <c r="U457" s="533">
        <f t="shared" si="372"/>
        <v>80278.63</v>
      </c>
      <c r="V457" s="533">
        <f t="shared" si="372"/>
        <v>80278.629999999976</v>
      </c>
      <c r="W457" s="533">
        <f t="shared" si="372"/>
        <v>80278.62999999999</v>
      </c>
      <c r="X457" s="533"/>
      <c r="Y457" s="533">
        <f>SUM(L457:W457)</f>
        <v>900847.51</v>
      </c>
      <c r="Z457" s="508"/>
      <c r="AA457" s="533">
        <f t="shared" ref="AA457:AL457" si="373">SUM(AA386:AA456)</f>
        <v>70459.000000000015</v>
      </c>
      <c r="AB457" s="533">
        <f t="shared" si="373"/>
        <v>70459.000000000015</v>
      </c>
      <c r="AC457" s="533">
        <f t="shared" si="373"/>
        <v>70459.000000000015</v>
      </c>
      <c r="AD457" s="533">
        <f t="shared" si="373"/>
        <v>70459.000000000015</v>
      </c>
      <c r="AE457" s="533">
        <f t="shared" si="373"/>
        <v>70459.000000000015</v>
      </c>
      <c r="AF457" s="533">
        <f t="shared" si="373"/>
        <v>70459.000000000015</v>
      </c>
      <c r="AG457" s="533">
        <f t="shared" si="373"/>
        <v>70459.000000000015</v>
      </c>
      <c r="AH457" s="533">
        <f t="shared" si="373"/>
        <v>70459.000000000015</v>
      </c>
      <c r="AI457" s="533">
        <f t="shared" si="373"/>
        <v>70459.000000000015</v>
      </c>
      <c r="AJ457" s="533">
        <f t="shared" si="373"/>
        <v>70459.000000000015</v>
      </c>
      <c r="AK457" s="533">
        <f t="shared" si="373"/>
        <v>70459.000000000015</v>
      </c>
      <c r="AL457" s="533">
        <f t="shared" si="373"/>
        <v>70459.000000000015</v>
      </c>
      <c r="AN457" s="532">
        <f>SUM(AN386:AN456)</f>
        <v>900847.50999999989</v>
      </c>
      <c r="AO457" s="533">
        <f>SUM(AO386:AO456)</f>
        <v>932598.59729219286</v>
      </c>
      <c r="AP457" s="533">
        <f>IFERROR(AO457-AN457,0)</f>
        <v>31751.087292192969</v>
      </c>
      <c r="AQ457" s="523">
        <f>IFERROR(AP457/ABS(AN457),"-")</f>
        <v>3.5245795697645847E-2</v>
      </c>
      <c r="AR457" s="533">
        <f>SUM(AR386:AR456)</f>
        <v>932598.59729219286</v>
      </c>
      <c r="AS457" s="533">
        <f>IFERROR(AO457-AR457,0)</f>
        <v>0</v>
      </c>
      <c r="AT457" s="521">
        <f>IFERROR(AS457/ABS(AR457),0)</f>
        <v>0</v>
      </c>
      <c r="AU457" s="507"/>
      <c r="AV457" s="533">
        <f t="shared" ref="AV457:BG457" si="374">SUM(AV386:AV456)</f>
        <v>83112.564210627868</v>
      </c>
      <c r="AW457" s="533">
        <f t="shared" si="374"/>
        <v>83112.564210627868</v>
      </c>
      <c r="AX457" s="533">
        <f t="shared" si="374"/>
        <v>78886.270247040171</v>
      </c>
      <c r="AY457" s="533">
        <f t="shared" si="374"/>
        <v>102886.27024704019</v>
      </c>
      <c r="AZ457" s="533">
        <f t="shared" si="374"/>
        <v>78886.270247040171</v>
      </c>
      <c r="BA457" s="533">
        <f t="shared" si="374"/>
        <v>72244.951161402409</v>
      </c>
      <c r="BB457" s="533">
        <f t="shared" si="374"/>
        <v>72244.951161402409</v>
      </c>
      <c r="BC457" s="533">
        <f t="shared" si="374"/>
        <v>72244.951161402409</v>
      </c>
      <c r="BD457" s="533">
        <f t="shared" si="374"/>
        <v>72244.951161402409</v>
      </c>
      <c r="BE457" s="533">
        <f t="shared" si="374"/>
        <v>72244.951161402409</v>
      </c>
      <c r="BF457" s="533">
        <f t="shared" si="374"/>
        <v>72244.951161402409</v>
      </c>
      <c r="BG457" s="533">
        <f t="shared" si="374"/>
        <v>72244.951161402409</v>
      </c>
      <c r="BH457" s="508"/>
      <c r="BI457" s="533">
        <f t="shared" ref="BI457:BT457" si="375">SUM(BI386:BI456)</f>
        <v>83112.564210627868</v>
      </c>
      <c r="BJ457" s="533">
        <f t="shared" si="375"/>
        <v>83112.564210627868</v>
      </c>
      <c r="BK457" s="533">
        <f t="shared" si="375"/>
        <v>78886.270247040171</v>
      </c>
      <c r="BL457" s="533">
        <f t="shared" si="375"/>
        <v>102886.27024704019</v>
      </c>
      <c r="BM457" s="533">
        <f t="shared" si="375"/>
        <v>78886.270247040171</v>
      </c>
      <c r="BN457" s="533">
        <f t="shared" si="375"/>
        <v>72244.951161402409</v>
      </c>
      <c r="BO457" s="533">
        <f t="shared" si="375"/>
        <v>72244.951161402409</v>
      </c>
      <c r="BP457" s="533">
        <f t="shared" si="375"/>
        <v>72244.951161402409</v>
      </c>
      <c r="BQ457" s="533">
        <f t="shared" si="375"/>
        <v>72244.951161402409</v>
      </c>
      <c r="BR457" s="533">
        <f t="shared" si="375"/>
        <v>72244.951161402409</v>
      </c>
      <c r="BS457" s="533">
        <f t="shared" si="375"/>
        <v>72244.951161402409</v>
      </c>
      <c r="BT457" s="533">
        <f t="shared" si="375"/>
        <v>72244.951161402409</v>
      </c>
      <c r="BV457" s="400"/>
    </row>
    <row r="458" spans="1:74" ht="15.75" thickTop="1" x14ac:dyDescent="0.25">
      <c r="A458" s="502"/>
      <c r="B458" s="502"/>
      <c r="C458" s="596"/>
      <c r="D458" s="500"/>
      <c r="E458" s="449"/>
      <c r="F458" s="449"/>
      <c r="G458" s="421"/>
      <c r="H458" s="449"/>
      <c r="I458" s="449"/>
      <c r="J458" s="426"/>
      <c r="K458" s="421"/>
      <c r="L458" s="449"/>
      <c r="M458" s="449"/>
      <c r="N458" s="449"/>
      <c r="O458" s="449"/>
      <c r="P458" s="449"/>
      <c r="Q458" s="449"/>
      <c r="R458" s="449"/>
      <c r="S458" s="449"/>
      <c r="T458" s="449"/>
      <c r="U458" s="449"/>
      <c r="V458" s="449"/>
      <c r="W458" s="449"/>
      <c r="X458" s="449"/>
      <c r="Y458" s="449"/>
      <c r="Z458" s="531"/>
      <c r="AA458" s="449"/>
      <c r="AB458" s="449"/>
      <c r="AC458" s="449"/>
      <c r="AD458" s="449"/>
      <c r="AE458" s="449"/>
      <c r="AF458" s="449"/>
      <c r="AG458" s="449"/>
      <c r="AH458" s="449"/>
      <c r="AI458" s="449"/>
      <c r="AJ458" s="449"/>
      <c r="AK458" s="449"/>
      <c r="AL458" s="449"/>
      <c r="AN458" s="500"/>
      <c r="AO458" s="449"/>
      <c r="AP458" s="449"/>
      <c r="AQ458" s="453"/>
      <c r="AR458" s="449"/>
      <c r="AS458" s="449"/>
      <c r="AT458" s="426"/>
      <c r="AU458" s="421"/>
      <c r="AV458" s="449"/>
      <c r="AW458" s="449"/>
      <c r="AX458" s="449"/>
      <c r="AY458" s="449"/>
      <c r="AZ458" s="449"/>
      <c r="BA458" s="449"/>
      <c r="BB458" s="449"/>
      <c r="BC458" s="449"/>
      <c r="BD458" s="449"/>
      <c r="BE458" s="449"/>
      <c r="BF458" s="449"/>
      <c r="BG458" s="449"/>
      <c r="BH458" s="531"/>
      <c r="BI458" s="449"/>
      <c r="BJ458" s="449"/>
      <c r="BK458" s="449"/>
      <c r="BL458" s="449"/>
      <c r="BM458" s="449"/>
      <c r="BN458" s="449"/>
      <c r="BO458" s="449"/>
      <c r="BP458" s="449"/>
      <c r="BQ458" s="449"/>
      <c r="BR458" s="449"/>
      <c r="BS458" s="449"/>
      <c r="BT458" s="449"/>
    </row>
    <row r="459" spans="1:74" ht="15.75" x14ac:dyDescent="0.25">
      <c r="A459" s="502"/>
      <c r="B459" s="525" t="s">
        <v>778</v>
      </c>
      <c r="C459" s="596"/>
      <c r="D459" s="500"/>
      <c r="E459" s="449"/>
      <c r="F459" s="449"/>
      <c r="G459" s="421"/>
      <c r="H459" s="449"/>
      <c r="I459" s="449"/>
      <c r="J459" s="426"/>
      <c r="K459" s="421"/>
      <c r="L459" s="449"/>
      <c r="M459" s="449"/>
      <c r="N459" s="449"/>
      <c r="O459" s="449"/>
      <c r="P459" s="449"/>
      <c r="Q459" s="449"/>
      <c r="R459" s="449"/>
      <c r="S459" s="449"/>
      <c r="T459" s="449"/>
      <c r="U459" s="449"/>
      <c r="V459" s="449"/>
      <c r="W459" s="449"/>
      <c r="X459" s="449"/>
      <c r="Y459" s="449"/>
      <c r="Z459" s="531"/>
      <c r="AA459" s="449"/>
      <c r="AB459" s="449"/>
      <c r="AC459" s="449"/>
      <c r="AD459" s="449"/>
      <c r="AE459" s="449"/>
      <c r="AF459" s="449"/>
      <c r="AG459" s="449"/>
      <c r="AH459" s="449"/>
      <c r="AI459" s="449"/>
      <c r="AJ459" s="449"/>
      <c r="AK459" s="449"/>
      <c r="AL459" s="449"/>
      <c r="AN459" s="500"/>
      <c r="AO459" s="449"/>
      <c r="AP459" s="449"/>
      <c r="AQ459" s="453"/>
      <c r="AR459" s="449"/>
      <c r="AS459" s="449"/>
      <c r="AT459" s="426"/>
      <c r="AU459" s="421"/>
      <c r="AV459" s="449"/>
      <c r="AW459" s="449"/>
      <c r="AX459" s="449"/>
      <c r="AY459" s="449"/>
      <c r="AZ459" s="449"/>
      <c r="BA459" s="449"/>
      <c r="BB459" s="449"/>
      <c r="BC459" s="449"/>
      <c r="BD459" s="449"/>
      <c r="BE459" s="449"/>
      <c r="BF459" s="449"/>
      <c r="BG459" s="449"/>
      <c r="BH459" s="531"/>
      <c r="BI459" s="449"/>
      <c r="BJ459" s="449"/>
      <c r="BK459" s="449"/>
      <c r="BL459" s="449"/>
      <c r="BM459" s="449"/>
      <c r="BN459" s="449"/>
      <c r="BO459" s="449"/>
      <c r="BP459" s="449"/>
      <c r="BQ459" s="449"/>
      <c r="BR459" s="449"/>
      <c r="BS459" s="449"/>
      <c r="BT459" s="449"/>
    </row>
    <row r="460" spans="1:74" ht="9" customHeight="1" x14ac:dyDescent="0.25">
      <c r="A460" s="502"/>
      <c r="B460" s="502"/>
      <c r="C460" s="596"/>
      <c r="D460" s="500"/>
      <c r="E460" s="449"/>
      <c r="F460" s="449"/>
      <c r="G460" s="421"/>
      <c r="H460" s="449"/>
      <c r="I460" s="449"/>
      <c r="J460" s="426"/>
      <c r="K460" s="421"/>
      <c r="L460" s="449"/>
      <c r="M460" s="449"/>
      <c r="N460" s="449"/>
      <c r="O460" s="449"/>
      <c r="P460" s="449"/>
      <c r="Q460" s="449"/>
      <c r="R460" s="449"/>
      <c r="S460" s="449"/>
      <c r="T460" s="449"/>
      <c r="U460" s="449"/>
      <c r="V460" s="449"/>
      <c r="W460" s="449"/>
      <c r="X460" s="449"/>
      <c r="Y460" s="449"/>
      <c r="Z460" s="531"/>
      <c r="AA460" s="449"/>
      <c r="AB460" s="449"/>
      <c r="AC460" s="449"/>
      <c r="AD460" s="449"/>
      <c r="AE460" s="449"/>
      <c r="AF460" s="449"/>
      <c r="AG460" s="449"/>
      <c r="AH460" s="449"/>
      <c r="AI460" s="449"/>
      <c r="AJ460" s="449"/>
      <c r="AK460" s="449"/>
      <c r="AL460" s="449"/>
      <c r="AN460" s="500"/>
      <c r="AO460" s="449"/>
      <c r="AP460" s="449"/>
      <c r="AQ460" s="453"/>
      <c r="AR460" s="449"/>
      <c r="AS460" s="449"/>
      <c r="AT460" s="426"/>
      <c r="AU460" s="421"/>
      <c r="AV460" s="449"/>
      <c r="AW460" s="449"/>
      <c r="AX460" s="449"/>
      <c r="AY460" s="449"/>
      <c r="AZ460" s="449"/>
      <c r="BA460" s="449"/>
      <c r="BB460" s="449"/>
      <c r="BC460" s="449"/>
      <c r="BD460" s="449"/>
      <c r="BE460" s="449"/>
      <c r="BF460" s="449"/>
      <c r="BG460" s="449"/>
      <c r="BH460" s="531"/>
      <c r="BI460" s="449"/>
      <c r="BJ460" s="449"/>
      <c r="BK460" s="449"/>
      <c r="BL460" s="449"/>
      <c r="BM460" s="449"/>
      <c r="BN460" s="449"/>
      <c r="BO460" s="449"/>
      <c r="BP460" s="449"/>
      <c r="BQ460" s="449"/>
      <c r="BR460" s="449"/>
      <c r="BS460" s="449"/>
      <c r="BT460" s="449"/>
    </row>
    <row r="461" spans="1:74" ht="15" x14ac:dyDescent="0.25">
      <c r="A461" s="615" t="s">
        <v>779</v>
      </c>
      <c r="B461" s="502" t="s">
        <v>780</v>
      </c>
      <c r="C461" s="600" t="s">
        <v>781</v>
      </c>
      <c r="D461" s="500">
        <f t="shared" ref="D461:D471" si="376">SUM(L461:W461)</f>
        <v>196100</v>
      </c>
      <c r="E461" s="449">
        <v>173164.42543399998</v>
      </c>
      <c r="F461" s="449">
        <f t="shared" ref="F461:F471" si="377">IFERROR(D461-E461,0)</f>
        <v>22935.574566000025</v>
      </c>
      <c r="G461" s="421">
        <f t="shared" ref="G461:G471" si="378">IFERROR(F461/ABS(E461),0)</f>
        <v>0.13244969056731407</v>
      </c>
      <c r="H461" s="449">
        <v>196100</v>
      </c>
      <c r="I461" s="449">
        <f t="shared" ref="I461:I471" si="379">IFERROR(D461-H461,0)</f>
        <v>0</v>
      </c>
      <c r="J461" s="426">
        <f t="shared" ref="J461:J471" si="380">IFERROR(I461/ABS(H461),0)</f>
        <v>0</v>
      </c>
      <c r="K461" s="421"/>
      <c r="L461" s="449">
        <v>14205.61</v>
      </c>
      <c r="M461" s="449">
        <v>13955.599999999999</v>
      </c>
      <c r="N461" s="449">
        <v>20862.700000000004</v>
      </c>
      <c r="O461" s="449">
        <v>16257.96</v>
      </c>
      <c r="P461" s="449">
        <v>16257.980000000003</v>
      </c>
      <c r="Q461" s="449">
        <v>16641.64</v>
      </c>
      <c r="R461" s="449">
        <f>($H461-SUM($L461:Q461))/R$694</f>
        <v>16319.751666666665</v>
      </c>
      <c r="S461" s="449">
        <f>($H461-SUM($L461:R461))/S$694</f>
        <v>16319.751666666667</v>
      </c>
      <c r="T461" s="449">
        <f>($H461-SUM($L461:S461))/T$694</f>
        <v>16319.751666666667</v>
      </c>
      <c r="U461" s="449">
        <f>($H461-SUM($L461:T461))/U$694</f>
        <v>16319.751666666669</v>
      </c>
      <c r="V461" s="449">
        <f>($H461-SUM($L461:U461))/V$694</f>
        <v>16319.751666666663</v>
      </c>
      <c r="W461" s="449">
        <f>($H461-SUM($L461:V461))/W$694</f>
        <v>16319.751666666649</v>
      </c>
      <c r="X461" s="449"/>
      <c r="Y461" s="449">
        <f t="shared" ref="Y461:Y471" si="381">SUM(L461:W461)</f>
        <v>196100</v>
      </c>
      <c r="Z461" s="531"/>
      <c r="AA461" s="449">
        <f t="shared" ref="AA461:AL471" si="382">IFERROR($H461/12,0)</f>
        <v>16341.666666666666</v>
      </c>
      <c r="AB461" s="449">
        <f t="shared" si="382"/>
        <v>16341.666666666666</v>
      </c>
      <c r="AC461" s="449">
        <f t="shared" si="382"/>
        <v>16341.666666666666</v>
      </c>
      <c r="AD461" s="449">
        <f t="shared" si="382"/>
        <v>16341.666666666666</v>
      </c>
      <c r="AE461" s="449">
        <f t="shared" si="382"/>
        <v>16341.666666666666</v>
      </c>
      <c r="AF461" s="449">
        <f t="shared" si="382"/>
        <v>16341.666666666666</v>
      </c>
      <c r="AG461" s="449">
        <f t="shared" si="382"/>
        <v>16341.666666666666</v>
      </c>
      <c r="AH461" s="449">
        <f t="shared" si="382"/>
        <v>16341.666666666666</v>
      </c>
      <c r="AI461" s="449">
        <f t="shared" si="382"/>
        <v>16341.666666666666</v>
      </c>
      <c r="AJ461" s="449">
        <f t="shared" si="382"/>
        <v>16341.666666666666</v>
      </c>
      <c r="AK461" s="449">
        <f t="shared" si="382"/>
        <v>16341.666666666666</v>
      </c>
      <c r="AL461" s="449">
        <f t="shared" si="382"/>
        <v>16341.666666666666</v>
      </c>
      <c r="AN461" s="500">
        <f t="shared" ref="AN461:AN471" si="383">SUM(L461:W461)</f>
        <v>196100</v>
      </c>
      <c r="AO461" s="449">
        <f t="shared" ref="AO461:AO471" si="384">SUM(BI461:BT461)</f>
        <v>215631.24497991972</v>
      </c>
      <c r="AP461" s="449">
        <f t="shared" ref="AP461:AP471" si="385">IFERROR(AO461-AN461,0)</f>
        <v>19531.24497991972</v>
      </c>
      <c r="AQ461" s="453">
        <f t="shared" ref="AQ461:AQ471" si="386">IFERROR(AP461/ABS(AN461),"-")</f>
        <v>9.9598393574297395E-2</v>
      </c>
      <c r="AR461" s="449">
        <f t="shared" ref="AR461:AR471" si="387">SUM(BI461:BT461)</f>
        <v>215631.24497991972</v>
      </c>
      <c r="AS461" s="449">
        <f t="shared" ref="AS461:AS471" si="388">IFERROR(AO461-AR461,0)</f>
        <v>0</v>
      </c>
      <c r="AT461" s="426">
        <f t="shared" ref="AT461:AT471" si="389">IFERROR(AS461/ABS(AR461),0)</f>
        <v>0</v>
      </c>
      <c r="AU461" s="421"/>
      <c r="AV461" s="449">
        <f t="shared" ref="AV461:BG471" si="390">BI461</f>
        <v>17969.270414993309</v>
      </c>
      <c r="AW461" s="449">
        <f t="shared" si="390"/>
        <v>17969.270414993309</v>
      </c>
      <c r="AX461" s="449">
        <f t="shared" si="390"/>
        <v>17969.270414993309</v>
      </c>
      <c r="AY461" s="449">
        <f t="shared" si="390"/>
        <v>17969.270414993309</v>
      </c>
      <c r="AZ461" s="449">
        <f t="shared" si="390"/>
        <v>17969.270414993309</v>
      </c>
      <c r="BA461" s="449">
        <f t="shared" si="390"/>
        <v>17969.270414993309</v>
      </c>
      <c r="BB461" s="449">
        <f t="shared" si="390"/>
        <v>17969.270414993309</v>
      </c>
      <c r="BC461" s="449">
        <f t="shared" si="390"/>
        <v>17969.270414993309</v>
      </c>
      <c r="BD461" s="449">
        <f t="shared" si="390"/>
        <v>17969.270414993309</v>
      </c>
      <c r="BE461" s="449">
        <f t="shared" si="390"/>
        <v>17969.270414993309</v>
      </c>
      <c r="BF461" s="449">
        <f t="shared" si="390"/>
        <v>17969.270414993309</v>
      </c>
      <c r="BG461" s="449">
        <f t="shared" si="390"/>
        <v>17969.270414993309</v>
      </c>
      <c r="BH461" s="400"/>
      <c r="BI461" s="449">
        <f t="shared" ref="BI461:BT461" si="391">IFERROR((($H461/$H$5)*BI$5)/12,0)</f>
        <v>17969.270414993309</v>
      </c>
      <c r="BJ461" s="449">
        <f t="shared" si="391"/>
        <v>17969.270414993309</v>
      </c>
      <c r="BK461" s="449">
        <f t="shared" si="391"/>
        <v>17969.270414993309</v>
      </c>
      <c r="BL461" s="449">
        <f t="shared" si="391"/>
        <v>17969.270414993309</v>
      </c>
      <c r="BM461" s="449">
        <f t="shared" si="391"/>
        <v>17969.270414993309</v>
      </c>
      <c r="BN461" s="449">
        <f t="shared" si="391"/>
        <v>17969.270414993309</v>
      </c>
      <c r="BO461" s="449">
        <f t="shared" si="391"/>
        <v>17969.270414993309</v>
      </c>
      <c r="BP461" s="449">
        <f t="shared" si="391"/>
        <v>17969.270414993309</v>
      </c>
      <c r="BQ461" s="449">
        <f t="shared" si="391"/>
        <v>17969.270414993309</v>
      </c>
      <c r="BR461" s="449">
        <f t="shared" si="391"/>
        <v>17969.270414993309</v>
      </c>
      <c r="BS461" s="449">
        <f t="shared" si="391"/>
        <v>17969.270414993309</v>
      </c>
      <c r="BT461" s="449">
        <f t="shared" si="391"/>
        <v>17969.270414993309</v>
      </c>
    </row>
    <row r="462" spans="1:74" ht="15" x14ac:dyDescent="0.25">
      <c r="A462" s="502" t="s">
        <v>782</v>
      </c>
      <c r="B462" s="502" t="s">
        <v>783</v>
      </c>
      <c r="C462" s="630"/>
      <c r="D462" s="500">
        <f t="shared" si="376"/>
        <v>51500</v>
      </c>
      <c r="E462" s="449">
        <v>51500</v>
      </c>
      <c r="F462" s="449">
        <f t="shared" si="377"/>
        <v>0</v>
      </c>
      <c r="G462" s="421">
        <f t="shared" si="378"/>
        <v>0</v>
      </c>
      <c r="H462" s="449">
        <v>51500</v>
      </c>
      <c r="I462" s="449">
        <f t="shared" si="379"/>
        <v>0</v>
      </c>
      <c r="J462" s="426">
        <f t="shared" si="380"/>
        <v>0</v>
      </c>
      <c r="K462" s="421"/>
      <c r="L462" s="449">
        <v>2971.16</v>
      </c>
      <c r="M462" s="449">
        <v>5744.23</v>
      </c>
      <c r="N462" s="449">
        <v>4159.6200000000008</v>
      </c>
      <c r="O462" s="449">
        <v>3961.5399999999991</v>
      </c>
      <c r="P462" s="449">
        <v>3961.5400000000009</v>
      </c>
      <c r="Q462" s="449">
        <v>4951.93</v>
      </c>
      <c r="R462" s="449">
        <f>($H462-SUM($L462:Q462))/R$694</f>
        <v>4291.663333333333</v>
      </c>
      <c r="S462" s="449">
        <f>($H462-SUM($L462:R462))/S$694</f>
        <v>4291.663333333333</v>
      </c>
      <c r="T462" s="449">
        <f>($H462-SUM($L462:S462))/T$694</f>
        <v>4291.6633333333339</v>
      </c>
      <c r="U462" s="449">
        <f>($H462-SUM($L462:T462))/U$694</f>
        <v>4291.6633333333348</v>
      </c>
      <c r="V462" s="449">
        <f>($H462-SUM($L462:U462))/V$694</f>
        <v>4291.6633333333339</v>
      </c>
      <c r="W462" s="449">
        <f>($H462-SUM($L462:V462))/W$694</f>
        <v>4291.6633333333302</v>
      </c>
      <c r="X462" s="449"/>
      <c r="Y462" s="449">
        <f t="shared" si="381"/>
        <v>51500</v>
      </c>
      <c r="Z462" s="531"/>
      <c r="AA462" s="449">
        <f t="shared" si="382"/>
        <v>4291.666666666667</v>
      </c>
      <c r="AB462" s="449">
        <f t="shared" si="382"/>
        <v>4291.666666666667</v>
      </c>
      <c r="AC462" s="449">
        <f t="shared" si="382"/>
        <v>4291.666666666667</v>
      </c>
      <c r="AD462" s="449">
        <f t="shared" si="382"/>
        <v>4291.666666666667</v>
      </c>
      <c r="AE462" s="449">
        <f t="shared" si="382"/>
        <v>4291.666666666667</v>
      </c>
      <c r="AF462" s="449">
        <f t="shared" si="382"/>
        <v>4291.666666666667</v>
      </c>
      <c r="AG462" s="449">
        <f t="shared" si="382"/>
        <v>4291.666666666667</v>
      </c>
      <c r="AH462" s="449">
        <f t="shared" si="382"/>
        <v>4291.666666666667</v>
      </c>
      <c r="AI462" s="449">
        <f t="shared" si="382"/>
        <v>4291.666666666667</v>
      </c>
      <c r="AJ462" s="449">
        <f t="shared" si="382"/>
        <v>4291.666666666667</v>
      </c>
      <c r="AK462" s="449">
        <f t="shared" si="382"/>
        <v>4291.666666666667</v>
      </c>
      <c r="AL462" s="449">
        <f t="shared" si="382"/>
        <v>4291.666666666667</v>
      </c>
      <c r="AN462" s="500">
        <f t="shared" si="383"/>
        <v>51500</v>
      </c>
      <c r="AO462" s="449">
        <f t="shared" si="384"/>
        <v>53044.999999999993</v>
      </c>
      <c r="AP462" s="449">
        <f t="shared" si="385"/>
        <v>1544.9999999999927</v>
      </c>
      <c r="AQ462" s="453">
        <f t="shared" si="386"/>
        <v>2.999999999999986E-2</v>
      </c>
      <c r="AR462" s="449">
        <f t="shared" si="387"/>
        <v>53044.999999999993</v>
      </c>
      <c r="AS462" s="449">
        <f t="shared" si="388"/>
        <v>0</v>
      </c>
      <c r="AT462" s="426">
        <f t="shared" si="389"/>
        <v>0</v>
      </c>
      <c r="AU462" s="421"/>
      <c r="AV462" s="449">
        <f t="shared" si="390"/>
        <v>4420.416666666667</v>
      </c>
      <c r="AW462" s="449">
        <f t="shared" si="390"/>
        <v>4420.416666666667</v>
      </c>
      <c r="AX462" s="449">
        <f t="shared" si="390"/>
        <v>4420.416666666667</v>
      </c>
      <c r="AY462" s="449">
        <f t="shared" si="390"/>
        <v>4420.416666666667</v>
      </c>
      <c r="AZ462" s="449">
        <f t="shared" si="390"/>
        <v>4420.416666666667</v>
      </c>
      <c r="BA462" s="449">
        <f t="shared" si="390"/>
        <v>4420.416666666667</v>
      </c>
      <c r="BB462" s="449">
        <f t="shared" si="390"/>
        <v>4420.416666666667</v>
      </c>
      <c r="BC462" s="449">
        <f t="shared" si="390"/>
        <v>4420.416666666667</v>
      </c>
      <c r="BD462" s="449">
        <f t="shared" si="390"/>
        <v>4420.416666666667</v>
      </c>
      <c r="BE462" s="449">
        <f t="shared" si="390"/>
        <v>4420.416666666667</v>
      </c>
      <c r="BF462" s="449">
        <f t="shared" si="390"/>
        <v>4420.416666666667</v>
      </c>
      <c r="BG462" s="449">
        <f t="shared" si="390"/>
        <v>4420.416666666667</v>
      </c>
      <c r="BH462" s="400"/>
      <c r="BI462" s="449">
        <f>SUM('FY19 Staffing V1-1 (3)'!$P$263)/12</f>
        <v>4420.416666666667</v>
      </c>
      <c r="BJ462" s="449">
        <f>SUM('FY19 Staffing V1-1 (3)'!$P$263)/12</f>
        <v>4420.416666666667</v>
      </c>
      <c r="BK462" s="449">
        <f>SUM('FY19 Staffing V1-1 (3)'!$P$263)/12</f>
        <v>4420.416666666667</v>
      </c>
      <c r="BL462" s="449">
        <f>SUM('FY19 Staffing V1-1 (3)'!$P$263)/12</f>
        <v>4420.416666666667</v>
      </c>
      <c r="BM462" s="449">
        <f>SUM('FY19 Staffing V1-1 (3)'!$P$263)/12</f>
        <v>4420.416666666667</v>
      </c>
      <c r="BN462" s="449">
        <f>SUM('FY19 Staffing V1-1 (3)'!$P$263)/12</f>
        <v>4420.416666666667</v>
      </c>
      <c r="BO462" s="449">
        <f>SUM('FY19 Staffing V1-1 (3)'!$P$263)/12</f>
        <v>4420.416666666667</v>
      </c>
      <c r="BP462" s="449">
        <f>SUM('FY19 Staffing V1-1 (3)'!$P$263)/12</f>
        <v>4420.416666666667</v>
      </c>
      <c r="BQ462" s="449">
        <f>SUM('FY19 Staffing V1-1 (3)'!$P$263)/12</f>
        <v>4420.416666666667</v>
      </c>
      <c r="BR462" s="449">
        <f>SUM('FY19 Staffing V1-1 (3)'!$P$263)/12</f>
        <v>4420.416666666667</v>
      </c>
      <c r="BS462" s="449">
        <f>SUM('FY19 Staffing V1-1 (3)'!$P$263)/12</f>
        <v>4420.416666666667</v>
      </c>
      <c r="BT462" s="449">
        <f>SUM('FY19 Staffing V1-1 (3)'!$P$263)/12</f>
        <v>4420.416666666667</v>
      </c>
    </row>
    <row r="463" spans="1:74" ht="15" x14ac:dyDescent="0.25">
      <c r="A463" s="502" t="s">
        <v>784</v>
      </c>
      <c r="B463" s="502" t="s">
        <v>785</v>
      </c>
      <c r="C463" s="630"/>
      <c r="D463" s="500">
        <f t="shared" si="376"/>
        <v>3000</v>
      </c>
      <c r="E463" s="449">
        <v>3000</v>
      </c>
      <c r="F463" s="449">
        <f t="shared" si="377"/>
        <v>0</v>
      </c>
      <c r="G463" s="421">
        <f t="shared" si="378"/>
        <v>0</v>
      </c>
      <c r="H463" s="449">
        <v>3000</v>
      </c>
      <c r="I463" s="449">
        <f t="shared" si="379"/>
        <v>0</v>
      </c>
      <c r="J463" s="426">
        <f t="shared" si="380"/>
        <v>0</v>
      </c>
      <c r="K463" s="421"/>
      <c r="L463" s="449">
        <v>0</v>
      </c>
      <c r="M463" s="449">
        <v>0</v>
      </c>
      <c r="N463" s="449">
        <v>0</v>
      </c>
      <c r="O463" s="449">
        <v>3000</v>
      </c>
      <c r="P463" s="449">
        <v>0</v>
      </c>
      <c r="Q463" s="449">
        <v>0</v>
      </c>
      <c r="R463" s="449">
        <f>($H463-SUM($L463:Q463))/R$694</f>
        <v>0</v>
      </c>
      <c r="S463" s="449">
        <f>($H463-SUM($L463:R463))/S$694</f>
        <v>0</v>
      </c>
      <c r="T463" s="449">
        <f>($H463-SUM($L463:S463))/T$694</f>
        <v>0</v>
      </c>
      <c r="U463" s="449">
        <f>($H463-SUM($L463:T463))/U$694</f>
        <v>0</v>
      </c>
      <c r="V463" s="449">
        <f>($H463-SUM($L463:U463))/V$694</f>
        <v>0</v>
      </c>
      <c r="W463" s="449">
        <f>($H463-SUM($L463:V463))/W$694</f>
        <v>0</v>
      </c>
      <c r="X463" s="449"/>
      <c r="Y463" s="449">
        <f t="shared" si="381"/>
        <v>3000</v>
      </c>
      <c r="Z463" s="531"/>
      <c r="AA463" s="449">
        <f t="shared" si="382"/>
        <v>250</v>
      </c>
      <c r="AB463" s="449">
        <f t="shared" si="382"/>
        <v>250</v>
      </c>
      <c r="AC463" s="449">
        <f t="shared" si="382"/>
        <v>250</v>
      </c>
      <c r="AD463" s="449">
        <f t="shared" si="382"/>
        <v>250</v>
      </c>
      <c r="AE463" s="449">
        <f t="shared" si="382"/>
        <v>250</v>
      </c>
      <c r="AF463" s="449">
        <f t="shared" si="382"/>
        <v>250</v>
      </c>
      <c r="AG463" s="449">
        <f t="shared" si="382"/>
        <v>250</v>
      </c>
      <c r="AH463" s="449">
        <f t="shared" si="382"/>
        <v>250</v>
      </c>
      <c r="AI463" s="449">
        <f t="shared" si="382"/>
        <v>250</v>
      </c>
      <c r="AJ463" s="449">
        <f t="shared" si="382"/>
        <v>250</v>
      </c>
      <c r="AK463" s="449">
        <f t="shared" si="382"/>
        <v>250</v>
      </c>
      <c r="AL463" s="449">
        <f t="shared" si="382"/>
        <v>250</v>
      </c>
      <c r="AN463" s="500">
        <f t="shared" si="383"/>
        <v>3000</v>
      </c>
      <c r="AO463" s="449">
        <f t="shared" si="384"/>
        <v>3000</v>
      </c>
      <c r="AP463" s="449">
        <f t="shared" si="385"/>
        <v>0</v>
      </c>
      <c r="AQ463" s="453">
        <f t="shared" si="386"/>
        <v>0</v>
      </c>
      <c r="AR463" s="449">
        <f t="shared" si="387"/>
        <v>3000</v>
      </c>
      <c r="AS463" s="449">
        <f t="shared" si="388"/>
        <v>0</v>
      </c>
      <c r="AT463" s="426">
        <f t="shared" si="389"/>
        <v>0</v>
      </c>
      <c r="AU463" s="421"/>
      <c r="AV463" s="449">
        <f t="shared" si="390"/>
        <v>0</v>
      </c>
      <c r="AW463" s="449">
        <f t="shared" si="390"/>
        <v>0</v>
      </c>
      <c r="AX463" s="449">
        <f t="shared" si="390"/>
        <v>0</v>
      </c>
      <c r="AY463" s="449">
        <f t="shared" si="390"/>
        <v>3000</v>
      </c>
      <c r="AZ463" s="449">
        <f t="shared" si="390"/>
        <v>0</v>
      </c>
      <c r="BA463" s="449">
        <f t="shared" si="390"/>
        <v>0</v>
      </c>
      <c r="BB463" s="449">
        <f t="shared" si="390"/>
        <v>0</v>
      </c>
      <c r="BC463" s="449">
        <f t="shared" si="390"/>
        <v>0</v>
      </c>
      <c r="BD463" s="449">
        <f t="shared" si="390"/>
        <v>0</v>
      </c>
      <c r="BE463" s="449">
        <f t="shared" si="390"/>
        <v>0</v>
      </c>
      <c r="BF463" s="449">
        <f t="shared" si="390"/>
        <v>0</v>
      </c>
      <c r="BG463" s="449">
        <f t="shared" si="390"/>
        <v>0</v>
      </c>
      <c r="BH463" s="400"/>
      <c r="BI463" s="449">
        <v>0</v>
      </c>
      <c r="BJ463" s="449">
        <v>0</v>
      </c>
      <c r="BK463" s="449">
        <v>0</v>
      </c>
      <c r="BL463" s="449">
        <f>SUM('FY19 Staffing V1-1 (3)'!$J$263)</f>
        <v>3000</v>
      </c>
      <c r="BM463" s="449">
        <v>0</v>
      </c>
      <c r="BN463" s="449">
        <v>0</v>
      </c>
      <c r="BO463" s="449">
        <v>0</v>
      </c>
      <c r="BP463" s="449">
        <v>0</v>
      </c>
      <c r="BQ463" s="449">
        <v>0</v>
      </c>
      <c r="BR463" s="449">
        <v>0</v>
      </c>
      <c r="BS463" s="449">
        <v>0</v>
      </c>
      <c r="BT463" s="449">
        <v>0</v>
      </c>
    </row>
    <row r="464" spans="1:74" ht="15" x14ac:dyDescent="0.25">
      <c r="A464" s="612" t="s">
        <v>786</v>
      </c>
      <c r="B464" s="502" t="s">
        <v>787</v>
      </c>
      <c r="C464" s="541"/>
      <c r="D464" s="500">
        <f t="shared" si="376"/>
        <v>5565</v>
      </c>
      <c r="E464" s="449">
        <v>5565.25</v>
      </c>
      <c r="F464" s="449">
        <f t="shared" si="377"/>
        <v>-0.25</v>
      </c>
      <c r="G464" s="421">
        <f t="shared" si="378"/>
        <v>-4.4921611787430936E-5</v>
      </c>
      <c r="H464" s="449">
        <v>5565</v>
      </c>
      <c r="I464" s="449">
        <f t="shared" si="379"/>
        <v>0</v>
      </c>
      <c r="J464" s="426">
        <f t="shared" si="380"/>
        <v>0</v>
      </c>
      <c r="K464" s="421"/>
      <c r="L464" s="449">
        <v>463.85</v>
      </c>
      <c r="M464" s="449">
        <v>891.14</v>
      </c>
      <c r="N464" s="449">
        <v>467.93000000000006</v>
      </c>
      <c r="O464" s="449">
        <v>532.55999999999995</v>
      </c>
      <c r="P464" s="449">
        <v>303.05999999999995</v>
      </c>
      <c r="Q464" s="449">
        <v>378.82000000000016</v>
      </c>
      <c r="R464" s="449">
        <f>($H464-SUM($L464:Q464))/R$694</f>
        <v>421.27333333333331</v>
      </c>
      <c r="S464" s="449">
        <f>($H464-SUM($L464:R464))/S$694</f>
        <v>421.27333333333337</v>
      </c>
      <c r="T464" s="449">
        <f>($H464-SUM($L464:S464))/T$694</f>
        <v>421.27333333333331</v>
      </c>
      <c r="U464" s="449">
        <f>($H464-SUM($L464:T464))/U$694</f>
        <v>421.27333333333326</v>
      </c>
      <c r="V464" s="449">
        <f>($H464-SUM($L464:U464))/V$694</f>
        <v>421.27333333333308</v>
      </c>
      <c r="W464" s="449">
        <f>($H464-SUM($L464:V464))/W$694</f>
        <v>421.27333333333263</v>
      </c>
      <c r="X464" s="449"/>
      <c r="Y464" s="449">
        <f t="shared" si="381"/>
        <v>5565</v>
      </c>
      <c r="Z464" s="531"/>
      <c r="AA464" s="449">
        <f t="shared" si="382"/>
        <v>463.75</v>
      </c>
      <c r="AB464" s="449">
        <f t="shared" si="382"/>
        <v>463.75</v>
      </c>
      <c r="AC464" s="449">
        <f t="shared" si="382"/>
        <v>463.75</v>
      </c>
      <c r="AD464" s="449">
        <f t="shared" si="382"/>
        <v>463.75</v>
      </c>
      <c r="AE464" s="449">
        <f t="shared" si="382"/>
        <v>463.75</v>
      </c>
      <c r="AF464" s="449">
        <f t="shared" si="382"/>
        <v>463.75</v>
      </c>
      <c r="AG464" s="449">
        <f t="shared" si="382"/>
        <v>463.75</v>
      </c>
      <c r="AH464" s="449">
        <f t="shared" si="382"/>
        <v>463.75</v>
      </c>
      <c r="AI464" s="449">
        <f t="shared" si="382"/>
        <v>463.75</v>
      </c>
      <c r="AJ464" s="449">
        <f t="shared" si="382"/>
        <v>463.75</v>
      </c>
      <c r="AK464" s="449">
        <f t="shared" si="382"/>
        <v>463.75</v>
      </c>
      <c r="AL464" s="449">
        <f t="shared" si="382"/>
        <v>463.75</v>
      </c>
      <c r="AN464" s="500">
        <f t="shared" si="383"/>
        <v>5565</v>
      </c>
      <c r="AO464" s="449">
        <f t="shared" si="384"/>
        <v>5678.94</v>
      </c>
      <c r="AP464" s="449">
        <f t="shared" si="385"/>
        <v>113.9399999999996</v>
      </c>
      <c r="AQ464" s="453">
        <f t="shared" si="386"/>
        <v>2.0474393530997233E-2</v>
      </c>
      <c r="AR464" s="449">
        <f t="shared" si="387"/>
        <v>5678.94</v>
      </c>
      <c r="AS464" s="449">
        <f t="shared" si="388"/>
        <v>0</v>
      </c>
      <c r="AT464" s="426">
        <f t="shared" si="389"/>
        <v>0</v>
      </c>
      <c r="AU464" s="421"/>
      <c r="AV464" s="449">
        <f t="shared" si="390"/>
        <v>473.24500000000006</v>
      </c>
      <c r="AW464" s="449">
        <f t="shared" si="390"/>
        <v>473.24500000000006</v>
      </c>
      <c r="AX464" s="449">
        <f t="shared" si="390"/>
        <v>473.24500000000006</v>
      </c>
      <c r="AY464" s="449">
        <f t="shared" si="390"/>
        <v>473.24500000000006</v>
      </c>
      <c r="AZ464" s="449">
        <f t="shared" si="390"/>
        <v>473.24500000000006</v>
      </c>
      <c r="BA464" s="449">
        <f t="shared" si="390"/>
        <v>473.24500000000006</v>
      </c>
      <c r="BB464" s="449">
        <f t="shared" si="390"/>
        <v>473.24500000000006</v>
      </c>
      <c r="BC464" s="449">
        <f t="shared" si="390"/>
        <v>473.24500000000006</v>
      </c>
      <c r="BD464" s="449">
        <f t="shared" si="390"/>
        <v>473.24500000000006</v>
      </c>
      <c r="BE464" s="449">
        <f t="shared" si="390"/>
        <v>473.24500000000006</v>
      </c>
      <c r="BF464" s="449">
        <f t="shared" si="390"/>
        <v>473.24500000000006</v>
      </c>
      <c r="BG464" s="449">
        <f t="shared" si="390"/>
        <v>473.24500000000006</v>
      </c>
      <c r="BH464" s="400"/>
      <c r="BI464" s="449">
        <f>SUM('FY19 Staffing V1-1 (3)'!$Q$263:$R$263,'FY19 Staffing V1-1 (3)'!$T$263:$U$263)/12</f>
        <v>473.24500000000006</v>
      </c>
      <c r="BJ464" s="449">
        <f>SUM('FY19 Staffing V1-1 (3)'!$Q$263:$R$263,'FY19 Staffing V1-1 (3)'!$T$263:$U$263)/12</f>
        <v>473.24500000000006</v>
      </c>
      <c r="BK464" s="449">
        <f>SUM('FY19 Staffing V1-1 (3)'!$Q$263:$R$263,'FY19 Staffing V1-1 (3)'!$T$263:$U$263)/12</f>
        <v>473.24500000000006</v>
      </c>
      <c r="BL464" s="449">
        <f>SUM('FY19 Staffing V1-1 (3)'!$Q$263:$R$263,'FY19 Staffing V1-1 (3)'!$T$263:$U$263)/12</f>
        <v>473.24500000000006</v>
      </c>
      <c r="BM464" s="449">
        <f>SUM('FY19 Staffing V1-1 (3)'!$Q$263:$R$263,'FY19 Staffing V1-1 (3)'!$T$263:$U$263)/12</f>
        <v>473.24500000000006</v>
      </c>
      <c r="BN464" s="449">
        <f>SUM('FY19 Staffing V1-1 (3)'!$Q$263:$R$263,'FY19 Staffing V1-1 (3)'!$T$263:$U$263)/12</f>
        <v>473.24500000000006</v>
      </c>
      <c r="BO464" s="449">
        <f>SUM('FY19 Staffing V1-1 (3)'!$Q$263:$R$263,'FY19 Staffing V1-1 (3)'!$T$263:$U$263)/12</f>
        <v>473.24500000000006</v>
      </c>
      <c r="BP464" s="449">
        <f>SUM('FY19 Staffing V1-1 (3)'!$Q$263:$R$263,'FY19 Staffing V1-1 (3)'!$T$263:$U$263)/12</f>
        <v>473.24500000000006</v>
      </c>
      <c r="BQ464" s="449">
        <f>SUM('FY19 Staffing V1-1 (3)'!$Q$263:$R$263,'FY19 Staffing V1-1 (3)'!$T$263:$U$263)/12</f>
        <v>473.24500000000006</v>
      </c>
      <c r="BR464" s="449">
        <f>SUM('FY19 Staffing V1-1 (3)'!$Q$263:$R$263,'FY19 Staffing V1-1 (3)'!$T$263:$U$263)/12</f>
        <v>473.24500000000006</v>
      </c>
      <c r="BS464" s="449">
        <f>SUM('FY19 Staffing V1-1 (3)'!$Q$263:$R$263,'FY19 Staffing V1-1 (3)'!$T$263:$U$263)/12</f>
        <v>473.24500000000006</v>
      </c>
      <c r="BT464" s="449">
        <f>SUM('FY19 Staffing V1-1 (3)'!$Q$263:$R$263,'FY19 Staffing V1-1 (3)'!$T$263:$U$263)/12</f>
        <v>473.24500000000006</v>
      </c>
    </row>
    <row r="465" spans="1:74" ht="15" x14ac:dyDescent="0.25">
      <c r="A465" s="502" t="s">
        <v>788</v>
      </c>
      <c r="B465" s="502" t="s">
        <v>789</v>
      </c>
      <c r="C465" s="541"/>
      <c r="D465" s="500">
        <f t="shared" si="376"/>
        <v>8702</v>
      </c>
      <c r="E465" s="449">
        <v>8702.1999999999989</v>
      </c>
      <c r="F465" s="449">
        <f t="shared" si="377"/>
        <v>-0.19999999999890861</v>
      </c>
      <c r="G465" s="421">
        <f t="shared" si="378"/>
        <v>-2.2982694031268946E-5</v>
      </c>
      <c r="H465" s="449">
        <v>8702</v>
      </c>
      <c r="I465" s="449">
        <f t="shared" si="379"/>
        <v>0</v>
      </c>
      <c r="J465" s="426">
        <f t="shared" si="380"/>
        <v>0</v>
      </c>
      <c r="K465" s="421"/>
      <c r="L465" s="449">
        <v>525.74</v>
      </c>
      <c r="M465" s="449">
        <v>525.74</v>
      </c>
      <c r="N465" s="449">
        <v>860.81999999999994</v>
      </c>
      <c r="O465" s="449">
        <v>1914.3300000000002</v>
      </c>
      <c r="P465" s="449">
        <v>859.21</v>
      </c>
      <c r="Q465" s="449">
        <v>616.85999999999967</v>
      </c>
      <c r="R465" s="449">
        <f>($H465-SUM($L465:Q465))/R$694</f>
        <v>566.55000000000007</v>
      </c>
      <c r="S465" s="449">
        <f>($H465-SUM($L465:R465))/S$694</f>
        <v>566.54999999999995</v>
      </c>
      <c r="T465" s="449">
        <f>($H465-SUM($L465:S465))/T$694</f>
        <v>566.54999999999995</v>
      </c>
      <c r="U465" s="449">
        <f>($H465-SUM($L465:T465))/U$694</f>
        <v>566.54999999999984</v>
      </c>
      <c r="V465" s="449">
        <f>($H465-SUM($L465:U465))/V$694</f>
        <v>566.54999999999973</v>
      </c>
      <c r="W465" s="449">
        <f>($H465-SUM($L465:V465))/W$694</f>
        <v>566.54999999999927</v>
      </c>
      <c r="X465" s="449"/>
      <c r="Y465" s="449">
        <f t="shared" si="381"/>
        <v>8702</v>
      </c>
      <c r="Z465" s="531"/>
      <c r="AA465" s="449">
        <f t="shared" si="382"/>
        <v>725.16666666666663</v>
      </c>
      <c r="AB465" s="449">
        <f t="shared" si="382"/>
        <v>725.16666666666663</v>
      </c>
      <c r="AC465" s="449">
        <f t="shared" si="382"/>
        <v>725.16666666666663</v>
      </c>
      <c r="AD465" s="449">
        <f t="shared" si="382"/>
        <v>725.16666666666663</v>
      </c>
      <c r="AE465" s="449">
        <f t="shared" si="382"/>
        <v>725.16666666666663</v>
      </c>
      <c r="AF465" s="449">
        <f t="shared" si="382"/>
        <v>725.16666666666663</v>
      </c>
      <c r="AG465" s="449">
        <f t="shared" si="382"/>
        <v>725.16666666666663</v>
      </c>
      <c r="AH465" s="449">
        <f t="shared" si="382"/>
        <v>725.16666666666663</v>
      </c>
      <c r="AI465" s="449">
        <f t="shared" si="382"/>
        <v>725.16666666666663</v>
      </c>
      <c r="AJ465" s="449">
        <f t="shared" si="382"/>
        <v>725.16666666666663</v>
      </c>
      <c r="AK465" s="449">
        <f t="shared" si="382"/>
        <v>725.16666666666663</v>
      </c>
      <c r="AL465" s="449">
        <f t="shared" si="382"/>
        <v>725.16666666666663</v>
      </c>
      <c r="AN465" s="500">
        <f t="shared" si="383"/>
        <v>8702</v>
      </c>
      <c r="AO465" s="449">
        <f t="shared" si="384"/>
        <v>8094.6670000000022</v>
      </c>
      <c r="AP465" s="449">
        <f t="shared" si="385"/>
        <v>-607.33299999999781</v>
      </c>
      <c r="AQ465" s="453">
        <f t="shared" si="386"/>
        <v>-6.9792346586991238E-2</v>
      </c>
      <c r="AR465" s="449">
        <f t="shared" si="387"/>
        <v>8094.6670000000022</v>
      </c>
      <c r="AS465" s="449">
        <f t="shared" si="388"/>
        <v>0</v>
      </c>
      <c r="AT465" s="426">
        <f t="shared" si="389"/>
        <v>0</v>
      </c>
      <c r="AU465" s="421"/>
      <c r="AV465" s="449">
        <f t="shared" si="390"/>
        <v>674.5555833333334</v>
      </c>
      <c r="AW465" s="449">
        <f t="shared" si="390"/>
        <v>674.5555833333334</v>
      </c>
      <c r="AX465" s="449">
        <f t="shared" si="390"/>
        <v>674.5555833333334</v>
      </c>
      <c r="AY465" s="449">
        <f t="shared" si="390"/>
        <v>674.5555833333334</v>
      </c>
      <c r="AZ465" s="449">
        <f t="shared" si="390"/>
        <v>674.5555833333334</v>
      </c>
      <c r="BA465" s="449">
        <f t="shared" si="390"/>
        <v>674.5555833333334</v>
      </c>
      <c r="BB465" s="449">
        <f t="shared" si="390"/>
        <v>674.5555833333334</v>
      </c>
      <c r="BC465" s="449">
        <f t="shared" si="390"/>
        <v>674.5555833333334</v>
      </c>
      <c r="BD465" s="449">
        <f t="shared" si="390"/>
        <v>674.5555833333334</v>
      </c>
      <c r="BE465" s="449">
        <f t="shared" si="390"/>
        <v>674.5555833333334</v>
      </c>
      <c r="BF465" s="449">
        <f t="shared" si="390"/>
        <v>674.5555833333334</v>
      </c>
      <c r="BG465" s="449">
        <f t="shared" si="390"/>
        <v>674.5555833333334</v>
      </c>
      <c r="BH465" s="400"/>
      <c r="BI465" s="449">
        <f>SUM('FY19 Staffing V1-1 (3)'!$W$263)/12</f>
        <v>674.5555833333334</v>
      </c>
      <c r="BJ465" s="449">
        <f>SUM('FY19 Staffing V1-1 (3)'!$W$263)/12</f>
        <v>674.5555833333334</v>
      </c>
      <c r="BK465" s="449">
        <f>SUM('FY19 Staffing V1-1 (3)'!$W$263)/12</f>
        <v>674.5555833333334</v>
      </c>
      <c r="BL465" s="449">
        <f>SUM('FY19 Staffing V1-1 (3)'!$W$263)/12</f>
        <v>674.5555833333334</v>
      </c>
      <c r="BM465" s="449">
        <f>SUM('FY19 Staffing V1-1 (3)'!$W$263)/12</f>
        <v>674.5555833333334</v>
      </c>
      <c r="BN465" s="449">
        <f>SUM('FY19 Staffing V1-1 (3)'!$W$263)/12</f>
        <v>674.5555833333334</v>
      </c>
      <c r="BO465" s="449">
        <f>SUM('FY19 Staffing V1-1 (3)'!$W$263)/12</f>
        <v>674.5555833333334</v>
      </c>
      <c r="BP465" s="449">
        <f>SUM('FY19 Staffing V1-1 (3)'!$W$263)/12</f>
        <v>674.5555833333334</v>
      </c>
      <c r="BQ465" s="449">
        <f>SUM('FY19 Staffing V1-1 (3)'!$W$263)/12</f>
        <v>674.5555833333334</v>
      </c>
      <c r="BR465" s="449">
        <f>SUM('FY19 Staffing V1-1 (3)'!$W$263)/12</f>
        <v>674.5555833333334</v>
      </c>
      <c r="BS465" s="449">
        <f>SUM('FY19 Staffing V1-1 (3)'!$W$263)/12</f>
        <v>674.5555833333334</v>
      </c>
      <c r="BT465" s="449">
        <f>SUM('FY19 Staffing V1-1 (3)'!$W$263)/12</f>
        <v>674.5555833333334</v>
      </c>
    </row>
    <row r="466" spans="1:74" ht="15" hidden="1" x14ac:dyDescent="0.25">
      <c r="A466" s="502" t="s">
        <v>790</v>
      </c>
      <c r="B466" s="502" t="s">
        <v>791</v>
      </c>
      <c r="C466" s="541"/>
      <c r="D466" s="500">
        <f t="shared" si="376"/>
        <v>0</v>
      </c>
      <c r="E466" s="449">
        <v>0</v>
      </c>
      <c r="F466" s="449">
        <f t="shared" si="377"/>
        <v>0</v>
      </c>
      <c r="G466" s="421">
        <f t="shared" si="378"/>
        <v>0</v>
      </c>
      <c r="H466" s="449">
        <v>0</v>
      </c>
      <c r="I466" s="449">
        <f t="shared" si="379"/>
        <v>0</v>
      </c>
      <c r="J466" s="426">
        <f t="shared" si="380"/>
        <v>0</v>
      </c>
      <c r="K466" s="421"/>
      <c r="L466" s="449">
        <v>0</v>
      </c>
      <c r="M466" s="449">
        <v>0</v>
      </c>
      <c r="N466" s="449">
        <v>0</v>
      </c>
      <c r="O466" s="449">
        <v>0</v>
      </c>
      <c r="P466" s="449">
        <v>0</v>
      </c>
      <c r="Q466" s="449">
        <v>0</v>
      </c>
      <c r="R466" s="449">
        <f>($H466-SUM($L466:Q466))/R$694</f>
        <v>0</v>
      </c>
      <c r="S466" s="449">
        <f>($H466-SUM($L466:R466))/S$694</f>
        <v>0</v>
      </c>
      <c r="T466" s="449">
        <f>($H466-SUM($L466:S466))/T$694</f>
        <v>0</v>
      </c>
      <c r="U466" s="449">
        <f>($H466-SUM($L466:T466))/U$694</f>
        <v>0</v>
      </c>
      <c r="V466" s="449">
        <f>($H466-SUM($L466:U466))/V$694</f>
        <v>0</v>
      </c>
      <c r="W466" s="449">
        <f>($H466-SUM($L466:V466))/W$694</f>
        <v>0</v>
      </c>
      <c r="X466" s="449"/>
      <c r="Y466" s="449">
        <f t="shared" si="381"/>
        <v>0</v>
      </c>
      <c r="Z466" s="531"/>
      <c r="AA466" s="449">
        <f t="shared" si="382"/>
        <v>0</v>
      </c>
      <c r="AB466" s="449">
        <f t="shared" si="382"/>
        <v>0</v>
      </c>
      <c r="AC466" s="449">
        <f t="shared" si="382"/>
        <v>0</v>
      </c>
      <c r="AD466" s="449">
        <f t="shared" si="382"/>
        <v>0</v>
      </c>
      <c r="AE466" s="449">
        <f t="shared" si="382"/>
        <v>0</v>
      </c>
      <c r="AF466" s="449">
        <f t="shared" si="382"/>
        <v>0</v>
      </c>
      <c r="AG466" s="449">
        <f t="shared" si="382"/>
        <v>0</v>
      </c>
      <c r="AH466" s="449">
        <f t="shared" si="382"/>
        <v>0</v>
      </c>
      <c r="AI466" s="449">
        <f t="shared" si="382"/>
        <v>0</v>
      </c>
      <c r="AJ466" s="449">
        <f t="shared" si="382"/>
        <v>0</v>
      </c>
      <c r="AK466" s="449">
        <f t="shared" si="382"/>
        <v>0</v>
      </c>
      <c r="AL466" s="449">
        <f t="shared" si="382"/>
        <v>0</v>
      </c>
      <c r="AN466" s="500">
        <f t="shared" si="383"/>
        <v>0</v>
      </c>
      <c r="AO466" s="449">
        <f t="shared" si="384"/>
        <v>0</v>
      </c>
      <c r="AP466" s="449">
        <f t="shared" si="385"/>
        <v>0</v>
      </c>
      <c r="AQ466" s="453" t="str">
        <f t="shared" si="386"/>
        <v>-</v>
      </c>
      <c r="AR466" s="449">
        <f t="shared" si="387"/>
        <v>0</v>
      </c>
      <c r="AS466" s="449">
        <f t="shared" si="388"/>
        <v>0</v>
      </c>
      <c r="AT466" s="426">
        <f t="shared" si="389"/>
        <v>0</v>
      </c>
      <c r="AU466" s="421"/>
      <c r="AV466" s="449">
        <f t="shared" si="390"/>
        <v>0</v>
      </c>
      <c r="AW466" s="449">
        <f t="shared" si="390"/>
        <v>0</v>
      </c>
      <c r="AX466" s="449">
        <f t="shared" si="390"/>
        <v>0</v>
      </c>
      <c r="AY466" s="449">
        <f t="shared" si="390"/>
        <v>0</v>
      </c>
      <c r="AZ466" s="449">
        <f t="shared" si="390"/>
        <v>0</v>
      </c>
      <c r="BA466" s="449">
        <f t="shared" si="390"/>
        <v>0</v>
      </c>
      <c r="BB466" s="449">
        <f t="shared" si="390"/>
        <v>0</v>
      </c>
      <c r="BC466" s="449">
        <f t="shared" si="390"/>
        <v>0</v>
      </c>
      <c r="BD466" s="449">
        <f t="shared" si="390"/>
        <v>0</v>
      </c>
      <c r="BE466" s="449">
        <f t="shared" si="390"/>
        <v>0</v>
      </c>
      <c r="BF466" s="449">
        <f t="shared" si="390"/>
        <v>0</v>
      </c>
      <c r="BG466" s="449">
        <f t="shared" si="390"/>
        <v>0</v>
      </c>
      <c r="BH466" s="400"/>
      <c r="BI466" s="449">
        <v>0</v>
      </c>
      <c r="BJ466" s="449">
        <v>0</v>
      </c>
      <c r="BK466" s="449">
        <v>0</v>
      </c>
      <c r="BL466" s="449">
        <v>0</v>
      </c>
      <c r="BM466" s="449">
        <v>0</v>
      </c>
      <c r="BN466" s="449">
        <v>0</v>
      </c>
      <c r="BO466" s="449">
        <v>0</v>
      </c>
      <c r="BP466" s="449">
        <v>0</v>
      </c>
      <c r="BQ466" s="449">
        <v>0</v>
      </c>
      <c r="BR466" s="449">
        <v>0</v>
      </c>
      <c r="BS466" s="449">
        <v>0</v>
      </c>
      <c r="BT466" s="449">
        <v>0</v>
      </c>
    </row>
    <row r="467" spans="1:74" ht="15" hidden="1" x14ac:dyDescent="0.25">
      <c r="A467" s="502" t="s">
        <v>792</v>
      </c>
      <c r="B467" s="502" t="s">
        <v>793</v>
      </c>
      <c r="C467" s="541"/>
      <c r="D467" s="500">
        <f t="shared" si="376"/>
        <v>0</v>
      </c>
      <c r="E467" s="449">
        <v>0</v>
      </c>
      <c r="F467" s="449">
        <f t="shared" si="377"/>
        <v>0</v>
      </c>
      <c r="G467" s="421">
        <f t="shared" si="378"/>
        <v>0</v>
      </c>
      <c r="H467" s="449">
        <v>0</v>
      </c>
      <c r="I467" s="449">
        <f t="shared" si="379"/>
        <v>0</v>
      </c>
      <c r="J467" s="426">
        <f t="shared" si="380"/>
        <v>0</v>
      </c>
      <c r="K467" s="421"/>
      <c r="L467" s="449">
        <v>0</v>
      </c>
      <c r="M467" s="449">
        <v>0</v>
      </c>
      <c r="N467" s="449">
        <v>0</v>
      </c>
      <c r="O467" s="449">
        <v>0</v>
      </c>
      <c r="P467" s="449">
        <v>0</v>
      </c>
      <c r="Q467" s="449">
        <v>0</v>
      </c>
      <c r="R467" s="449">
        <f>($H467-SUM($L467:Q467))/R$694</f>
        <v>0</v>
      </c>
      <c r="S467" s="449">
        <f>($H467-SUM($L467:R467))/S$694</f>
        <v>0</v>
      </c>
      <c r="T467" s="449">
        <f>($H467-SUM($L467:S467))/T$694</f>
        <v>0</v>
      </c>
      <c r="U467" s="449">
        <f>($H467-SUM($L467:T467))/U$694</f>
        <v>0</v>
      </c>
      <c r="V467" s="449">
        <f>($H467-SUM($L467:U467))/V$694</f>
        <v>0</v>
      </c>
      <c r="W467" s="449">
        <f>($H467-SUM($L467:V467))/W$694</f>
        <v>0</v>
      </c>
      <c r="X467" s="449"/>
      <c r="Y467" s="449">
        <f t="shared" si="381"/>
        <v>0</v>
      </c>
      <c r="Z467" s="531"/>
      <c r="AA467" s="449">
        <f t="shared" si="382"/>
        <v>0</v>
      </c>
      <c r="AB467" s="449">
        <f t="shared" si="382"/>
        <v>0</v>
      </c>
      <c r="AC467" s="449">
        <f t="shared" si="382"/>
        <v>0</v>
      </c>
      <c r="AD467" s="449">
        <f t="shared" si="382"/>
        <v>0</v>
      </c>
      <c r="AE467" s="449">
        <f t="shared" si="382"/>
        <v>0</v>
      </c>
      <c r="AF467" s="449">
        <f t="shared" si="382"/>
        <v>0</v>
      </c>
      <c r="AG467" s="449">
        <f t="shared" si="382"/>
        <v>0</v>
      </c>
      <c r="AH467" s="449">
        <f t="shared" si="382"/>
        <v>0</v>
      </c>
      <c r="AI467" s="449">
        <f t="shared" si="382"/>
        <v>0</v>
      </c>
      <c r="AJ467" s="449">
        <f t="shared" si="382"/>
        <v>0</v>
      </c>
      <c r="AK467" s="449">
        <f t="shared" si="382"/>
        <v>0</v>
      </c>
      <c r="AL467" s="449">
        <f t="shared" si="382"/>
        <v>0</v>
      </c>
      <c r="AN467" s="500">
        <f t="shared" si="383"/>
        <v>0</v>
      </c>
      <c r="AO467" s="449">
        <f t="shared" si="384"/>
        <v>0</v>
      </c>
      <c r="AP467" s="449">
        <f t="shared" si="385"/>
        <v>0</v>
      </c>
      <c r="AQ467" s="453" t="str">
        <f t="shared" si="386"/>
        <v>-</v>
      </c>
      <c r="AR467" s="449">
        <f t="shared" si="387"/>
        <v>0</v>
      </c>
      <c r="AS467" s="449">
        <f t="shared" si="388"/>
        <v>0</v>
      </c>
      <c r="AT467" s="426">
        <f t="shared" si="389"/>
        <v>0</v>
      </c>
      <c r="AU467" s="421"/>
      <c r="AV467" s="449">
        <f t="shared" si="390"/>
        <v>0</v>
      </c>
      <c r="AW467" s="449">
        <f t="shared" si="390"/>
        <v>0</v>
      </c>
      <c r="AX467" s="449">
        <f t="shared" si="390"/>
        <v>0</v>
      </c>
      <c r="AY467" s="449">
        <f t="shared" si="390"/>
        <v>0</v>
      </c>
      <c r="AZ467" s="449">
        <f t="shared" si="390"/>
        <v>0</v>
      </c>
      <c r="BA467" s="449">
        <f t="shared" si="390"/>
        <v>0</v>
      </c>
      <c r="BB467" s="449">
        <f t="shared" si="390"/>
        <v>0</v>
      </c>
      <c r="BC467" s="449">
        <f t="shared" si="390"/>
        <v>0</v>
      </c>
      <c r="BD467" s="449">
        <f t="shared" si="390"/>
        <v>0</v>
      </c>
      <c r="BE467" s="449">
        <f t="shared" si="390"/>
        <v>0</v>
      </c>
      <c r="BF467" s="449">
        <f t="shared" si="390"/>
        <v>0</v>
      </c>
      <c r="BG467" s="449">
        <f t="shared" si="390"/>
        <v>0</v>
      </c>
      <c r="BH467" s="400"/>
      <c r="BI467" s="449">
        <v>0</v>
      </c>
      <c r="BJ467" s="449">
        <v>0</v>
      </c>
      <c r="BK467" s="449">
        <v>0</v>
      </c>
      <c r="BL467" s="449">
        <v>0</v>
      </c>
      <c r="BM467" s="449">
        <v>0</v>
      </c>
      <c r="BN467" s="449">
        <v>0</v>
      </c>
      <c r="BO467" s="449">
        <v>0</v>
      </c>
      <c r="BP467" s="449">
        <v>0</v>
      </c>
      <c r="BQ467" s="449">
        <v>0</v>
      </c>
      <c r="BR467" s="449">
        <v>0</v>
      </c>
      <c r="BS467" s="449">
        <v>0</v>
      </c>
      <c r="BT467" s="449">
        <v>0</v>
      </c>
    </row>
    <row r="468" spans="1:74" ht="15" x14ac:dyDescent="0.25">
      <c r="A468" s="502" t="s">
        <v>794</v>
      </c>
      <c r="B468" s="502" t="s">
        <v>795</v>
      </c>
      <c r="C468" s="541"/>
      <c r="D468" s="500">
        <f t="shared" si="376"/>
        <v>2060</v>
      </c>
      <c r="E468" s="449">
        <v>2060</v>
      </c>
      <c r="F468" s="449">
        <f t="shared" si="377"/>
        <v>0</v>
      </c>
      <c r="G468" s="421">
        <f t="shared" si="378"/>
        <v>0</v>
      </c>
      <c r="H468" s="449">
        <v>2060</v>
      </c>
      <c r="I468" s="449">
        <f t="shared" si="379"/>
        <v>0</v>
      </c>
      <c r="J468" s="426">
        <f t="shared" si="380"/>
        <v>0</v>
      </c>
      <c r="K468" s="421"/>
      <c r="L468" s="449">
        <v>118.85</v>
      </c>
      <c r="M468" s="449">
        <v>229.77</v>
      </c>
      <c r="N468" s="449">
        <v>166.38</v>
      </c>
      <c r="O468" s="449">
        <v>278.46000000000004</v>
      </c>
      <c r="P468" s="449">
        <v>158.45999999999992</v>
      </c>
      <c r="Q468" s="449">
        <v>198.08000000000004</v>
      </c>
      <c r="R468" s="449">
        <f>($H468-SUM($L468:Q468))/R$694</f>
        <v>151.66666666666666</v>
      </c>
      <c r="S468" s="449">
        <f>($H468-SUM($L468:R468))/S$694</f>
        <v>151.66666666666666</v>
      </c>
      <c r="T468" s="449">
        <f>($H468-SUM($L468:S468))/T$694</f>
        <v>151.66666666666663</v>
      </c>
      <c r="U468" s="449">
        <f>($H468-SUM($L468:T468))/U$694</f>
        <v>151.66666666666666</v>
      </c>
      <c r="V468" s="449">
        <f>($H468-SUM($L468:U468))/V$694</f>
        <v>151.66666666666663</v>
      </c>
      <c r="W468" s="449">
        <f>($H468-SUM($L468:V468))/W$694</f>
        <v>151.66666666666652</v>
      </c>
      <c r="X468" s="449"/>
      <c r="Y468" s="449">
        <f t="shared" si="381"/>
        <v>2060</v>
      </c>
      <c r="Z468" s="531"/>
      <c r="AA468" s="449">
        <f t="shared" si="382"/>
        <v>171.66666666666666</v>
      </c>
      <c r="AB468" s="449">
        <f t="shared" si="382"/>
        <v>171.66666666666666</v>
      </c>
      <c r="AC468" s="449">
        <f t="shared" si="382"/>
        <v>171.66666666666666</v>
      </c>
      <c r="AD468" s="449">
        <f t="shared" si="382"/>
        <v>171.66666666666666</v>
      </c>
      <c r="AE468" s="449">
        <f t="shared" si="382"/>
        <v>171.66666666666666</v>
      </c>
      <c r="AF468" s="449">
        <f t="shared" si="382"/>
        <v>171.66666666666666</v>
      </c>
      <c r="AG468" s="449">
        <f t="shared" si="382"/>
        <v>171.66666666666666</v>
      </c>
      <c r="AH468" s="449">
        <f t="shared" si="382"/>
        <v>171.66666666666666</v>
      </c>
      <c r="AI468" s="449">
        <f t="shared" si="382"/>
        <v>171.66666666666666</v>
      </c>
      <c r="AJ468" s="449">
        <f t="shared" si="382"/>
        <v>171.66666666666666</v>
      </c>
      <c r="AK468" s="449">
        <f t="shared" si="382"/>
        <v>171.66666666666666</v>
      </c>
      <c r="AL468" s="449">
        <f t="shared" si="382"/>
        <v>171.66666666666666</v>
      </c>
      <c r="AN468" s="500">
        <f t="shared" si="383"/>
        <v>2060</v>
      </c>
      <c r="AO468" s="449">
        <f t="shared" si="384"/>
        <v>2121.7999999999997</v>
      </c>
      <c r="AP468" s="449">
        <f t="shared" si="385"/>
        <v>61.799999999999727</v>
      </c>
      <c r="AQ468" s="453">
        <f t="shared" si="386"/>
        <v>2.9999999999999867E-2</v>
      </c>
      <c r="AR468" s="449">
        <f t="shared" si="387"/>
        <v>2121.7999999999997</v>
      </c>
      <c r="AS468" s="449">
        <f t="shared" si="388"/>
        <v>0</v>
      </c>
      <c r="AT468" s="426">
        <f t="shared" si="389"/>
        <v>0</v>
      </c>
      <c r="AU468" s="421"/>
      <c r="AV468" s="449">
        <f t="shared" si="390"/>
        <v>176.81666666666669</v>
      </c>
      <c r="AW468" s="449">
        <f t="shared" si="390"/>
        <v>176.81666666666669</v>
      </c>
      <c r="AX468" s="449">
        <f t="shared" si="390"/>
        <v>176.81666666666669</v>
      </c>
      <c r="AY468" s="449">
        <f t="shared" si="390"/>
        <v>176.81666666666669</v>
      </c>
      <c r="AZ468" s="449">
        <f t="shared" si="390"/>
        <v>176.81666666666669</v>
      </c>
      <c r="BA468" s="449">
        <f t="shared" si="390"/>
        <v>176.81666666666669</v>
      </c>
      <c r="BB468" s="449">
        <f t="shared" si="390"/>
        <v>176.81666666666669</v>
      </c>
      <c r="BC468" s="449">
        <f t="shared" si="390"/>
        <v>176.81666666666669</v>
      </c>
      <c r="BD468" s="449">
        <f t="shared" si="390"/>
        <v>176.81666666666669</v>
      </c>
      <c r="BE468" s="449">
        <f t="shared" si="390"/>
        <v>176.81666666666669</v>
      </c>
      <c r="BF468" s="449">
        <f t="shared" si="390"/>
        <v>176.81666666666669</v>
      </c>
      <c r="BG468" s="449">
        <f t="shared" si="390"/>
        <v>176.81666666666669</v>
      </c>
      <c r="BH468" s="400"/>
      <c r="BI468" s="449">
        <f>SUM('FY19 Staffing V1-1 (3)'!$S$263)/12</f>
        <v>176.81666666666669</v>
      </c>
      <c r="BJ468" s="449">
        <f>SUM('FY19 Staffing V1-1 (3)'!$S$263)/12</f>
        <v>176.81666666666669</v>
      </c>
      <c r="BK468" s="449">
        <f>SUM('FY19 Staffing V1-1 (3)'!$S$263)/12</f>
        <v>176.81666666666669</v>
      </c>
      <c r="BL468" s="449">
        <f>SUM('FY19 Staffing V1-1 (3)'!$S$263)/12</f>
        <v>176.81666666666669</v>
      </c>
      <c r="BM468" s="449">
        <f>SUM('FY19 Staffing V1-1 (3)'!$S$263)/12</f>
        <v>176.81666666666669</v>
      </c>
      <c r="BN468" s="449">
        <f>SUM('FY19 Staffing V1-1 (3)'!$S$263)/12</f>
        <v>176.81666666666669</v>
      </c>
      <c r="BO468" s="449">
        <f>SUM('FY19 Staffing V1-1 (3)'!$S$263)/12</f>
        <v>176.81666666666669</v>
      </c>
      <c r="BP468" s="449">
        <f>SUM('FY19 Staffing V1-1 (3)'!$S$263)/12</f>
        <v>176.81666666666669</v>
      </c>
      <c r="BQ468" s="449">
        <f>SUM('FY19 Staffing V1-1 (3)'!$S$263)/12</f>
        <v>176.81666666666669</v>
      </c>
      <c r="BR468" s="449">
        <f>SUM('FY19 Staffing V1-1 (3)'!$S$263)/12</f>
        <v>176.81666666666669</v>
      </c>
      <c r="BS468" s="449">
        <f>SUM('FY19 Staffing V1-1 (3)'!$S$263)/12</f>
        <v>176.81666666666669</v>
      </c>
      <c r="BT468" s="449">
        <f>SUM('FY19 Staffing V1-1 (3)'!$S$263)/12</f>
        <v>176.81666666666669</v>
      </c>
    </row>
    <row r="469" spans="1:74" ht="15" x14ac:dyDescent="0.25">
      <c r="A469" s="502" t="s">
        <v>796</v>
      </c>
      <c r="B469" s="502" t="s">
        <v>797</v>
      </c>
      <c r="C469" s="601" t="s">
        <v>798</v>
      </c>
      <c r="D469" s="500">
        <f t="shared" si="376"/>
        <v>4823</v>
      </c>
      <c r="E469" s="449">
        <v>4822.5</v>
      </c>
      <c r="F469" s="449">
        <f t="shared" si="377"/>
        <v>0.5</v>
      </c>
      <c r="G469" s="421">
        <f t="shared" si="378"/>
        <v>1.0368066355624676E-4</v>
      </c>
      <c r="H469" s="449">
        <v>4823</v>
      </c>
      <c r="I469" s="449">
        <f t="shared" si="379"/>
        <v>0</v>
      </c>
      <c r="J469" s="426">
        <f t="shared" si="380"/>
        <v>0</v>
      </c>
      <c r="K469" s="421"/>
      <c r="L469" s="449">
        <v>0</v>
      </c>
      <c r="M469" s="449">
        <v>325</v>
      </c>
      <c r="N469" s="449">
        <v>0</v>
      </c>
      <c r="O469" s="449">
        <v>0</v>
      </c>
      <c r="P469" s="449">
        <v>11</v>
      </c>
      <c r="Q469" s="449">
        <v>61.029999999998836</v>
      </c>
      <c r="R469" s="449">
        <f>($H469-SUM($L469:Q469))/R$694</f>
        <v>737.66166666666686</v>
      </c>
      <c r="S469" s="449">
        <f>($H469-SUM($L469:R469))/S$694</f>
        <v>737.66166666666686</v>
      </c>
      <c r="T469" s="449">
        <f>($H469-SUM($L469:S469))/T$694</f>
        <v>737.66166666666686</v>
      </c>
      <c r="U469" s="449">
        <f>($H469-SUM($L469:T469))/U$694</f>
        <v>737.66166666666686</v>
      </c>
      <c r="V469" s="449">
        <f>($H469-SUM($L469:U469))/V$694</f>
        <v>737.66166666666686</v>
      </c>
      <c r="W469" s="449">
        <f>($H469-SUM($L469:V469))/W$694</f>
        <v>737.66166666666686</v>
      </c>
      <c r="X469" s="449"/>
      <c r="Y469" s="449">
        <f t="shared" si="381"/>
        <v>4823</v>
      </c>
      <c r="Z469" s="531"/>
      <c r="AA469" s="449">
        <f t="shared" si="382"/>
        <v>401.91666666666669</v>
      </c>
      <c r="AB469" s="449">
        <f t="shared" si="382"/>
        <v>401.91666666666669</v>
      </c>
      <c r="AC469" s="449">
        <f t="shared" si="382"/>
        <v>401.91666666666669</v>
      </c>
      <c r="AD469" s="449">
        <f t="shared" si="382"/>
        <v>401.91666666666669</v>
      </c>
      <c r="AE469" s="449">
        <f t="shared" si="382"/>
        <v>401.91666666666669</v>
      </c>
      <c r="AF469" s="449">
        <f t="shared" si="382"/>
        <v>401.91666666666669</v>
      </c>
      <c r="AG469" s="449">
        <f t="shared" si="382"/>
        <v>401.91666666666669</v>
      </c>
      <c r="AH469" s="449">
        <f t="shared" si="382"/>
        <v>401.91666666666669</v>
      </c>
      <c r="AI469" s="449">
        <f t="shared" si="382"/>
        <v>401.91666666666669</v>
      </c>
      <c r="AJ469" s="449">
        <f t="shared" si="382"/>
        <v>401.91666666666669</v>
      </c>
      <c r="AK469" s="449">
        <f t="shared" si="382"/>
        <v>401.91666666666669</v>
      </c>
      <c r="AL469" s="449">
        <f t="shared" si="382"/>
        <v>401.91666666666669</v>
      </c>
      <c r="AN469" s="500">
        <f t="shared" si="383"/>
        <v>4823</v>
      </c>
      <c r="AO469" s="449">
        <f t="shared" si="384"/>
        <v>4967.6900000000014</v>
      </c>
      <c r="AP469" s="449">
        <f t="shared" si="385"/>
        <v>144.69000000000142</v>
      </c>
      <c r="AQ469" s="453">
        <f t="shared" si="386"/>
        <v>3.0000000000000294E-2</v>
      </c>
      <c r="AR469" s="449">
        <f t="shared" si="387"/>
        <v>4967.6900000000014</v>
      </c>
      <c r="AS469" s="449">
        <f t="shared" si="388"/>
        <v>0</v>
      </c>
      <c r="AT469" s="426">
        <f t="shared" si="389"/>
        <v>0</v>
      </c>
      <c r="AU469" s="421"/>
      <c r="AV469" s="449">
        <f t="shared" si="390"/>
        <v>413.97416666666669</v>
      </c>
      <c r="AW469" s="449">
        <f t="shared" si="390"/>
        <v>413.97416666666669</v>
      </c>
      <c r="AX469" s="449">
        <f t="shared" si="390"/>
        <v>413.97416666666669</v>
      </c>
      <c r="AY469" s="449">
        <f t="shared" si="390"/>
        <v>413.97416666666669</v>
      </c>
      <c r="AZ469" s="449">
        <f t="shared" si="390"/>
        <v>413.97416666666669</v>
      </c>
      <c r="BA469" s="449">
        <f t="shared" si="390"/>
        <v>413.97416666666669</v>
      </c>
      <c r="BB469" s="449">
        <f t="shared" si="390"/>
        <v>413.97416666666669</v>
      </c>
      <c r="BC469" s="449">
        <f t="shared" si="390"/>
        <v>413.97416666666669</v>
      </c>
      <c r="BD469" s="449">
        <f t="shared" si="390"/>
        <v>413.97416666666669</v>
      </c>
      <c r="BE469" s="449">
        <f t="shared" si="390"/>
        <v>413.97416666666669</v>
      </c>
      <c r="BF469" s="449">
        <f t="shared" si="390"/>
        <v>413.97416666666669</v>
      </c>
      <c r="BG469" s="449">
        <f t="shared" si="390"/>
        <v>413.97416666666669</v>
      </c>
      <c r="BH469" s="400"/>
      <c r="BI469" s="449">
        <f t="shared" ref="BI469:BT469" si="392">IFERROR(($H469*1.03)/12,0)</f>
        <v>413.97416666666669</v>
      </c>
      <c r="BJ469" s="449">
        <f t="shared" si="392"/>
        <v>413.97416666666669</v>
      </c>
      <c r="BK469" s="449">
        <f t="shared" si="392"/>
        <v>413.97416666666669</v>
      </c>
      <c r="BL469" s="449">
        <f t="shared" si="392"/>
        <v>413.97416666666669</v>
      </c>
      <c r="BM469" s="449">
        <f t="shared" si="392"/>
        <v>413.97416666666669</v>
      </c>
      <c r="BN469" s="449">
        <f t="shared" si="392"/>
        <v>413.97416666666669</v>
      </c>
      <c r="BO469" s="449">
        <f t="shared" si="392"/>
        <v>413.97416666666669</v>
      </c>
      <c r="BP469" s="449">
        <f t="shared" si="392"/>
        <v>413.97416666666669</v>
      </c>
      <c r="BQ469" s="449">
        <f t="shared" si="392"/>
        <v>413.97416666666669</v>
      </c>
      <c r="BR469" s="449">
        <f t="shared" si="392"/>
        <v>413.97416666666669</v>
      </c>
      <c r="BS469" s="449">
        <f t="shared" si="392"/>
        <v>413.97416666666669</v>
      </c>
      <c r="BT469" s="449">
        <f t="shared" si="392"/>
        <v>413.97416666666669</v>
      </c>
    </row>
    <row r="470" spans="1:74" ht="15" x14ac:dyDescent="0.25">
      <c r="A470" s="502" t="s">
        <v>799</v>
      </c>
      <c r="B470" s="502" t="s">
        <v>800</v>
      </c>
      <c r="C470" s="538"/>
      <c r="D470" s="500">
        <f t="shared" si="376"/>
        <v>2000</v>
      </c>
      <c r="E470" s="449">
        <v>482.25</v>
      </c>
      <c r="F470" s="449">
        <f t="shared" si="377"/>
        <v>1517.75</v>
      </c>
      <c r="G470" s="421">
        <f t="shared" si="378"/>
        <v>3.1472265422498702</v>
      </c>
      <c r="H470" s="449">
        <v>2000</v>
      </c>
      <c r="I470" s="449">
        <f t="shared" si="379"/>
        <v>0</v>
      </c>
      <c r="J470" s="426">
        <f t="shared" si="380"/>
        <v>0</v>
      </c>
      <c r="K470" s="421"/>
      <c r="L470" s="449">
        <v>82.2</v>
      </c>
      <c r="M470" s="449">
        <v>280.85000000000002</v>
      </c>
      <c r="N470" s="449">
        <v>-45.100000000000023</v>
      </c>
      <c r="O470" s="449">
        <v>-142.54999999999998</v>
      </c>
      <c r="P470" s="449">
        <v>364.37</v>
      </c>
      <c r="Q470" s="449">
        <v>-52</v>
      </c>
      <c r="R470" s="449">
        <f>($H470-SUM($L470:Q470))/R$694</f>
        <v>252.03833333333333</v>
      </c>
      <c r="S470" s="449">
        <f>($H470-SUM($L470:R470))/S$694</f>
        <v>252.03833333333333</v>
      </c>
      <c r="T470" s="449">
        <f>($H470-SUM($L470:S470))/T$694</f>
        <v>252.03833333333336</v>
      </c>
      <c r="U470" s="449">
        <f>($H470-SUM($L470:T470))/U$694</f>
        <v>252.03833333333333</v>
      </c>
      <c r="V470" s="449">
        <f>($H470-SUM($L470:U470))/V$694</f>
        <v>252.0383333333333</v>
      </c>
      <c r="W470" s="449">
        <f>($H470-SUM($L470:V470))/W$694</f>
        <v>252.03833333333341</v>
      </c>
      <c r="X470" s="449"/>
      <c r="Y470" s="449">
        <f t="shared" si="381"/>
        <v>2000</v>
      </c>
      <c r="Z470" s="531"/>
      <c r="AA470" s="449">
        <f t="shared" si="382"/>
        <v>166.66666666666666</v>
      </c>
      <c r="AB470" s="449">
        <f t="shared" si="382"/>
        <v>166.66666666666666</v>
      </c>
      <c r="AC470" s="449">
        <f t="shared" si="382"/>
        <v>166.66666666666666</v>
      </c>
      <c r="AD470" s="449">
        <f t="shared" si="382"/>
        <v>166.66666666666666</v>
      </c>
      <c r="AE470" s="449">
        <f t="shared" si="382"/>
        <v>166.66666666666666</v>
      </c>
      <c r="AF470" s="449">
        <f t="shared" si="382"/>
        <v>166.66666666666666</v>
      </c>
      <c r="AG470" s="449">
        <f t="shared" si="382"/>
        <v>166.66666666666666</v>
      </c>
      <c r="AH470" s="449">
        <f t="shared" si="382"/>
        <v>166.66666666666666</v>
      </c>
      <c r="AI470" s="449">
        <f t="shared" si="382"/>
        <v>166.66666666666666</v>
      </c>
      <c r="AJ470" s="449">
        <f t="shared" si="382"/>
        <v>166.66666666666666</v>
      </c>
      <c r="AK470" s="449">
        <f t="shared" si="382"/>
        <v>166.66666666666666</v>
      </c>
      <c r="AL470" s="449">
        <f t="shared" si="382"/>
        <v>166.66666666666666</v>
      </c>
      <c r="AN470" s="500">
        <f t="shared" si="383"/>
        <v>2000</v>
      </c>
      <c r="AO470" s="449">
        <f t="shared" si="384"/>
        <v>2199.1967871485945</v>
      </c>
      <c r="AP470" s="449">
        <f t="shared" si="385"/>
        <v>199.19678714859447</v>
      </c>
      <c r="AQ470" s="453">
        <f t="shared" si="386"/>
        <v>9.9598393574297228E-2</v>
      </c>
      <c r="AR470" s="449">
        <f t="shared" si="387"/>
        <v>2199.1967871485945</v>
      </c>
      <c r="AS470" s="449">
        <f t="shared" si="388"/>
        <v>0</v>
      </c>
      <c r="AT470" s="426">
        <f t="shared" si="389"/>
        <v>0</v>
      </c>
      <c r="AU470" s="421"/>
      <c r="AV470" s="449">
        <f t="shared" si="390"/>
        <v>183.26639892904953</v>
      </c>
      <c r="AW470" s="449">
        <f t="shared" si="390"/>
        <v>183.26639892904953</v>
      </c>
      <c r="AX470" s="449">
        <f t="shared" si="390"/>
        <v>183.26639892904953</v>
      </c>
      <c r="AY470" s="449">
        <f t="shared" si="390"/>
        <v>183.26639892904953</v>
      </c>
      <c r="AZ470" s="449">
        <f t="shared" si="390"/>
        <v>183.26639892904953</v>
      </c>
      <c r="BA470" s="449">
        <f t="shared" si="390"/>
        <v>183.26639892904953</v>
      </c>
      <c r="BB470" s="449">
        <f t="shared" si="390"/>
        <v>183.26639892904953</v>
      </c>
      <c r="BC470" s="449">
        <f t="shared" si="390"/>
        <v>183.26639892904953</v>
      </c>
      <c r="BD470" s="449">
        <f t="shared" si="390"/>
        <v>183.26639892904953</v>
      </c>
      <c r="BE470" s="449">
        <f t="shared" si="390"/>
        <v>183.26639892904953</v>
      </c>
      <c r="BF470" s="449">
        <f t="shared" si="390"/>
        <v>183.26639892904953</v>
      </c>
      <c r="BG470" s="449">
        <f t="shared" si="390"/>
        <v>183.26639892904953</v>
      </c>
      <c r="BH470" s="400"/>
      <c r="BI470" s="449">
        <f t="shared" ref="BI470:BT471" si="393">IFERROR((($H470/$H$5)*BI$5)/12,0)</f>
        <v>183.26639892904953</v>
      </c>
      <c r="BJ470" s="449">
        <f t="shared" si="393"/>
        <v>183.26639892904953</v>
      </c>
      <c r="BK470" s="449">
        <f t="shared" si="393"/>
        <v>183.26639892904953</v>
      </c>
      <c r="BL470" s="449">
        <f t="shared" si="393"/>
        <v>183.26639892904953</v>
      </c>
      <c r="BM470" s="449">
        <f t="shared" si="393"/>
        <v>183.26639892904953</v>
      </c>
      <c r="BN470" s="449">
        <f t="shared" si="393"/>
        <v>183.26639892904953</v>
      </c>
      <c r="BO470" s="449">
        <f t="shared" si="393"/>
        <v>183.26639892904953</v>
      </c>
      <c r="BP470" s="449">
        <f t="shared" si="393"/>
        <v>183.26639892904953</v>
      </c>
      <c r="BQ470" s="449">
        <f t="shared" si="393"/>
        <v>183.26639892904953</v>
      </c>
      <c r="BR470" s="449">
        <f t="shared" si="393"/>
        <v>183.26639892904953</v>
      </c>
      <c r="BS470" s="449">
        <f t="shared" si="393"/>
        <v>183.26639892904953</v>
      </c>
      <c r="BT470" s="449">
        <f t="shared" si="393"/>
        <v>183.26639892904953</v>
      </c>
    </row>
    <row r="471" spans="1:74" ht="15" x14ac:dyDescent="0.25">
      <c r="A471" s="502" t="s">
        <v>801</v>
      </c>
      <c r="B471" s="502" t="s">
        <v>802</v>
      </c>
      <c r="C471" s="538" t="s">
        <v>803</v>
      </c>
      <c r="D471" s="500">
        <f t="shared" si="376"/>
        <v>45975</v>
      </c>
      <c r="E471" s="449">
        <v>45974.5</v>
      </c>
      <c r="F471" s="449">
        <f t="shared" si="377"/>
        <v>0.5</v>
      </c>
      <c r="G471" s="421">
        <f t="shared" si="378"/>
        <v>1.0875594079326584E-5</v>
      </c>
      <c r="H471" s="449">
        <v>45975</v>
      </c>
      <c r="I471" s="449">
        <f t="shared" si="379"/>
        <v>0</v>
      </c>
      <c r="J471" s="426">
        <f t="shared" si="380"/>
        <v>0</v>
      </c>
      <c r="K471" s="421"/>
      <c r="L471" s="449">
        <v>2065.89</v>
      </c>
      <c r="M471" s="449">
        <v>3700.23</v>
      </c>
      <c r="N471" s="449">
        <v>16442.830000000002</v>
      </c>
      <c r="O471" s="449">
        <v>-15585.84</v>
      </c>
      <c r="P471" s="449">
        <v>354.53999999999905</v>
      </c>
      <c r="Q471" s="449">
        <v>351.78999999999996</v>
      </c>
      <c r="R471" s="449">
        <f>($H471-SUM($L471:Q471))/R$694</f>
        <v>6440.9266666666663</v>
      </c>
      <c r="S471" s="449">
        <f>($H471-SUM($L471:R471))/S$694</f>
        <v>6440.9266666666672</v>
      </c>
      <c r="T471" s="449">
        <f>($H471-SUM($L471:S471))/T$694</f>
        <v>6440.9266666666672</v>
      </c>
      <c r="U471" s="449">
        <f>($H471-SUM($L471:T471))/U$694</f>
        <v>6440.9266666666672</v>
      </c>
      <c r="V471" s="449">
        <f>($H471-SUM($L471:U471))/V$694</f>
        <v>6440.9266666666663</v>
      </c>
      <c r="W471" s="449">
        <f>($H471-SUM($L471:V471))/W$694</f>
        <v>6440.9266666666663</v>
      </c>
      <c r="X471" s="449"/>
      <c r="Y471" s="449">
        <f t="shared" si="381"/>
        <v>45975</v>
      </c>
      <c r="Z471" s="531"/>
      <c r="AA471" s="449">
        <f t="shared" si="382"/>
        <v>3831.25</v>
      </c>
      <c r="AB471" s="449">
        <f t="shared" si="382"/>
        <v>3831.25</v>
      </c>
      <c r="AC471" s="449">
        <f t="shared" si="382"/>
        <v>3831.25</v>
      </c>
      <c r="AD471" s="449">
        <f t="shared" si="382"/>
        <v>3831.25</v>
      </c>
      <c r="AE471" s="449">
        <f t="shared" si="382"/>
        <v>3831.25</v>
      </c>
      <c r="AF471" s="449">
        <f t="shared" si="382"/>
        <v>3831.25</v>
      </c>
      <c r="AG471" s="449">
        <f t="shared" si="382"/>
        <v>3831.25</v>
      </c>
      <c r="AH471" s="449">
        <f t="shared" si="382"/>
        <v>3831.25</v>
      </c>
      <c r="AI471" s="449">
        <f t="shared" si="382"/>
        <v>3831.25</v>
      </c>
      <c r="AJ471" s="449">
        <f t="shared" si="382"/>
        <v>3831.25</v>
      </c>
      <c r="AK471" s="449">
        <f t="shared" si="382"/>
        <v>3831.25</v>
      </c>
      <c r="AL471" s="449">
        <f t="shared" si="382"/>
        <v>3831.25</v>
      </c>
      <c r="AN471" s="500">
        <f t="shared" si="383"/>
        <v>45975</v>
      </c>
      <c r="AO471" s="449">
        <f t="shared" si="384"/>
        <v>50554.036144578313</v>
      </c>
      <c r="AP471" s="449">
        <f t="shared" si="385"/>
        <v>4579.0361445783128</v>
      </c>
      <c r="AQ471" s="453">
        <f t="shared" si="386"/>
        <v>9.9598393574297173E-2</v>
      </c>
      <c r="AR471" s="449">
        <f t="shared" si="387"/>
        <v>50554.036144578313</v>
      </c>
      <c r="AS471" s="449">
        <f t="shared" si="388"/>
        <v>0</v>
      </c>
      <c r="AT471" s="426">
        <f t="shared" si="389"/>
        <v>0</v>
      </c>
      <c r="AU471" s="421"/>
      <c r="AV471" s="449">
        <f t="shared" si="390"/>
        <v>4212.8363453815264</v>
      </c>
      <c r="AW471" s="449">
        <f t="shared" si="390"/>
        <v>4212.8363453815264</v>
      </c>
      <c r="AX471" s="449">
        <f t="shared" si="390"/>
        <v>4212.8363453815264</v>
      </c>
      <c r="AY471" s="449">
        <f t="shared" si="390"/>
        <v>4212.8363453815264</v>
      </c>
      <c r="AZ471" s="449">
        <f t="shared" si="390"/>
        <v>4212.8363453815264</v>
      </c>
      <c r="BA471" s="449">
        <f t="shared" si="390"/>
        <v>4212.8363453815264</v>
      </c>
      <c r="BB471" s="449">
        <f t="shared" si="390"/>
        <v>4212.8363453815264</v>
      </c>
      <c r="BC471" s="449">
        <f t="shared" si="390"/>
        <v>4212.8363453815264</v>
      </c>
      <c r="BD471" s="449">
        <f t="shared" si="390"/>
        <v>4212.8363453815264</v>
      </c>
      <c r="BE471" s="449">
        <f t="shared" si="390"/>
        <v>4212.8363453815264</v>
      </c>
      <c r="BF471" s="449">
        <f t="shared" si="390"/>
        <v>4212.8363453815264</v>
      </c>
      <c r="BG471" s="449">
        <f t="shared" si="390"/>
        <v>4212.8363453815264</v>
      </c>
      <c r="BH471" s="400"/>
      <c r="BI471" s="449">
        <f t="shared" si="393"/>
        <v>4212.8363453815264</v>
      </c>
      <c r="BJ471" s="449">
        <f t="shared" si="393"/>
        <v>4212.8363453815264</v>
      </c>
      <c r="BK471" s="449">
        <f t="shared" si="393"/>
        <v>4212.8363453815264</v>
      </c>
      <c r="BL471" s="449">
        <f t="shared" si="393"/>
        <v>4212.8363453815264</v>
      </c>
      <c r="BM471" s="449">
        <f t="shared" si="393"/>
        <v>4212.8363453815264</v>
      </c>
      <c r="BN471" s="449">
        <f t="shared" si="393"/>
        <v>4212.8363453815264</v>
      </c>
      <c r="BO471" s="449">
        <f t="shared" si="393"/>
        <v>4212.8363453815264</v>
      </c>
      <c r="BP471" s="449">
        <f t="shared" si="393"/>
        <v>4212.8363453815264</v>
      </c>
      <c r="BQ471" s="449">
        <f t="shared" si="393"/>
        <v>4212.8363453815264</v>
      </c>
      <c r="BR471" s="449">
        <f t="shared" si="393"/>
        <v>4212.8363453815264</v>
      </c>
      <c r="BS471" s="449">
        <f t="shared" si="393"/>
        <v>4212.8363453815264</v>
      </c>
      <c r="BT471" s="449">
        <f t="shared" si="393"/>
        <v>4212.8363453815264</v>
      </c>
    </row>
    <row r="472" spans="1:74" ht="15" x14ac:dyDescent="0.25">
      <c r="A472" s="502"/>
      <c r="B472" s="502"/>
      <c r="C472" s="538"/>
      <c r="D472" s="500"/>
      <c r="E472" s="449"/>
      <c r="F472" s="449"/>
      <c r="G472" s="421"/>
      <c r="H472" s="449"/>
      <c r="I472" s="449"/>
      <c r="J472" s="426"/>
      <c r="K472" s="421"/>
      <c r="L472" s="449"/>
      <c r="M472" s="449"/>
      <c r="N472" s="449"/>
      <c r="O472" s="449"/>
      <c r="P472" s="449"/>
      <c r="Q472" s="449"/>
      <c r="R472" s="449"/>
      <c r="S472" s="449"/>
      <c r="T472" s="449"/>
      <c r="U472" s="449"/>
      <c r="V472" s="449"/>
      <c r="W472" s="449"/>
      <c r="X472" s="449"/>
      <c r="Y472" s="449"/>
      <c r="Z472" s="531"/>
      <c r="AA472" s="449"/>
      <c r="AB472" s="449"/>
      <c r="AC472" s="449"/>
      <c r="AD472" s="449"/>
      <c r="AE472" s="449"/>
      <c r="AF472" s="449"/>
      <c r="AG472" s="449"/>
      <c r="AH472" s="449"/>
      <c r="AI472" s="449"/>
      <c r="AJ472" s="449"/>
      <c r="AK472" s="449"/>
      <c r="AL472" s="449"/>
      <c r="AN472" s="500"/>
      <c r="AO472" s="449"/>
      <c r="AP472" s="449"/>
      <c r="AQ472" s="453"/>
      <c r="AR472" s="449"/>
      <c r="AS472" s="449"/>
      <c r="AT472" s="426"/>
      <c r="AU472" s="421"/>
      <c r="AV472" s="449"/>
      <c r="AW472" s="449"/>
      <c r="AX472" s="449"/>
      <c r="AY472" s="449"/>
      <c r="AZ472" s="449"/>
      <c r="BA472" s="449"/>
      <c r="BB472" s="449"/>
      <c r="BC472" s="449"/>
      <c r="BD472" s="449"/>
      <c r="BE472" s="449"/>
      <c r="BF472" s="449"/>
      <c r="BG472" s="449"/>
      <c r="BH472" s="531"/>
      <c r="BI472" s="449"/>
      <c r="BJ472" s="449"/>
      <c r="BK472" s="449"/>
      <c r="BL472" s="449"/>
      <c r="BM472" s="449"/>
      <c r="BN472" s="449"/>
      <c r="BO472" s="449"/>
      <c r="BP472" s="449"/>
      <c r="BQ472" s="449"/>
      <c r="BR472" s="449"/>
      <c r="BS472" s="449"/>
      <c r="BT472" s="449"/>
    </row>
    <row r="473" spans="1:74" s="536" customFormat="1" ht="15.75" thickBot="1" x14ac:dyDescent="0.3">
      <c r="A473" s="524"/>
      <c r="B473" s="524" t="s">
        <v>804</v>
      </c>
      <c r="C473" s="535"/>
      <c r="D473" s="532">
        <f>SUM(D461:D472)</f>
        <v>319725</v>
      </c>
      <c r="E473" s="533">
        <f>SUM(E461:E472)</f>
        <v>295271.12543399999</v>
      </c>
      <c r="F473" s="533">
        <f>IFERROR(D473-E473,0)</f>
        <v>24453.874566000013</v>
      </c>
      <c r="G473" s="520">
        <f>IFERROR(F473/ABS(E473),0)</f>
        <v>8.2818374231672126E-2</v>
      </c>
      <c r="H473" s="533">
        <f>SUM(H461:H472)</f>
        <v>319725</v>
      </c>
      <c r="I473" s="533">
        <f>IFERROR(D473-H473,0)</f>
        <v>0</v>
      </c>
      <c r="J473" s="521">
        <f>IFERROR(I473/ABS(H473),0)</f>
        <v>0</v>
      </c>
      <c r="K473" s="507"/>
      <c r="L473" s="533">
        <f>SUM(L461:L472)</f>
        <v>20433.3</v>
      </c>
      <c r="M473" s="533">
        <f t="shared" ref="M473:W473" si="394">SUM(M461:M472)</f>
        <v>25652.559999999998</v>
      </c>
      <c r="N473" s="533">
        <f t="shared" si="394"/>
        <v>42915.180000000008</v>
      </c>
      <c r="O473" s="533">
        <f t="shared" si="394"/>
        <v>10216.460000000003</v>
      </c>
      <c r="P473" s="533">
        <f t="shared" si="394"/>
        <v>22270.160000000003</v>
      </c>
      <c r="Q473" s="533">
        <f t="shared" si="394"/>
        <v>23148.15</v>
      </c>
      <c r="R473" s="533">
        <f t="shared" si="394"/>
        <v>29181.531666666666</v>
      </c>
      <c r="S473" s="533">
        <f t="shared" si="394"/>
        <v>29181.531666666669</v>
      </c>
      <c r="T473" s="533">
        <f t="shared" si="394"/>
        <v>29181.531666666669</v>
      </c>
      <c r="U473" s="533">
        <f t="shared" si="394"/>
        <v>29181.531666666673</v>
      </c>
      <c r="V473" s="533">
        <f t="shared" si="394"/>
        <v>29181.531666666666</v>
      </c>
      <c r="W473" s="533">
        <f t="shared" si="394"/>
        <v>29181.531666666644</v>
      </c>
      <c r="X473" s="533"/>
      <c r="Y473" s="533">
        <f>SUM(L473:W473)</f>
        <v>319725</v>
      </c>
      <c r="Z473" s="508"/>
      <c r="AA473" s="533">
        <f t="shared" ref="AA473:AL473" si="395">SUM(AA461:AA472)</f>
        <v>26643.750000000004</v>
      </c>
      <c r="AB473" s="533">
        <f t="shared" si="395"/>
        <v>26643.750000000004</v>
      </c>
      <c r="AC473" s="533">
        <f t="shared" si="395"/>
        <v>26643.750000000004</v>
      </c>
      <c r="AD473" s="533">
        <f t="shared" si="395"/>
        <v>26643.750000000004</v>
      </c>
      <c r="AE473" s="533">
        <f t="shared" si="395"/>
        <v>26643.750000000004</v>
      </c>
      <c r="AF473" s="533">
        <f t="shared" si="395"/>
        <v>26643.750000000004</v>
      </c>
      <c r="AG473" s="533">
        <f t="shared" si="395"/>
        <v>26643.750000000004</v>
      </c>
      <c r="AH473" s="533">
        <f t="shared" si="395"/>
        <v>26643.750000000004</v>
      </c>
      <c r="AI473" s="533">
        <f t="shared" si="395"/>
        <v>26643.750000000004</v>
      </c>
      <c r="AJ473" s="533">
        <f t="shared" si="395"/>
        <v>26643.750000000004</v>
      </c>
      <c r="AK473" s="533">
        <f t="shared" si="395"/>
        <v>26643.750000000004</v>
      </c>
      <c r="AL473" s="533">
        <f t="shared" si="395"/>
        <v>26643.750000000004</v>
      </c>
      <c r="AN473" s="532">
        <f>SUM(AN461:AN472)</f>
        <v>319725</v>
      </c>
      <c r="AO473" s="533">
        <f>SUM(AO461:AO472)</f>
        <v>345292.5749116466</v>
      </c>
      <c r="AP473" s="533">
        <f>IFERROR(AO473-AN473,0)</f>
        <v>25567.574911646603</v>
      </c>
      <c r="AQ473" s="523">
        <f>IFERROR(AP473/ABS(AN473),"-")</f>
        <v>7.9967393577751511E-2</v>
      </c>
      <c r="AR473" s="533">
        <f>SUM(AR461:AR472)</f>
        <v>345292.5749116466</v>
      </c>
      <c r="AS473" s="533">
        <f>IFERROR(AO473-AR473,0)</f>
        <v>0</v>
      </c>
      <c r="AT473" s="521">
        <f>IFERROR(AS473/ABS(AR473),0)</f>
        <v>0</v>
      </c>
      <c r="AU473" s="507"/>
      <c r="AV473" s="533">
        <f>SUM(AV461:AV472)</f>
        <v>28524.381242637217</v>
      </c>
      <c r="AW473" s="533">
        <f t="shared" ref="AW473:BG473" si="396">SUM(AW461:AW472)</f>
        <v>28524.381242637217</v>
      </c>
      <c r="AX473" s="533">
        <f t="shared" si="396"/>
        <v>28524.381242637217</v>
      </c>
      <c r="AY473" s="533">
        <f t="shared" si="396"/>
        <v>31524.381242637217</v>
      </c>
      <c r="AZ473" s="533">
        <f t="shared" si="396"/>
        <v>28524.381242637217</v>
      </c>
      <c r="BA473" s="533">
        <f t="shared" si="396"/>
        <v>28524.381242637217</v>
      </c>
      <c r="BB473" s="533">
        <f t="shared" si="396"/>
        <v>28524.381242637217</v>
      </c>
      <c r="BC473" s="533">
        <f t="shared" si="396"/>
        <v>28524.381242637217</v>
      </c>
      <c r="BD473" s="533">
        <f t="shared" si="396"/>
        <v>28524.381242637217</v>
      </c>
      <c r="BE473" s="533">
        <f t="shared" si="396"/>
        <v>28524.381242637217</v>
      </c>
      <c r="BF473" s="533">
        <f t="shared" si="396"/>
        <v>28524.381242637217</v>
      </c>
      <c r="BG473" s="533">
        <f t="shared" si="396"/>
        <v>28524.381242637217</v>
      </c>
      <c r="BH473" s="508"/>
      <c r="BI473" s="533">
        <f t="shared" ref="BI473:BT473" si="397">SUM(BI461:BI472)</f>
        <v>28524.381242637217</v>
      </c>
      <c r="BJ473" s="533">
        <f t="shared" si="397"/>
        <v>28524.381242637217</v>
      </c>
      <c r="BK473" s="533">
        <f t="shared" si="397"/>
        <v>28524.381242637217</v>
      </c>
      <c r="BL473" s="533">
        <f t="shared" si="397"/>
        <v>31524.381242637217</v>
      </c>
      <c r="BM473" s="533">
        <f t="shared" si="397"/>
        <v>28524.381242637217</v>
      </c>
      <c r="BN473" s="533">
        <f t="shared" si="397"/>
        <v>28524.381242637217</v>
      </c>
      <c r="BO473" s="533">
        <f t="shared" si="397"/>
        <v>28524.381242637217</v>
      </c>
      <c r="BP473" s="533">
        <f t="shared" si="397"/>
        <v>28524.381242637217</v>
      </c>
      <c r="BQ473" s="533">
        <f t="shared" si="397"/>
        <v>28524.381242637217</v>
      </c>
      <c r="BR473" s="533">
        <f t="shared" si="397"/>
        <v>28524.381242637217</v>
      </c>
      <c r="BS473" s="533">
        <f t="shared" si="397"/>
        <v>28524.381242637217</v>
      </c>
      <c r="BT473" s="533">
        <f t="shared" si="397"/>
        <v>28524.381242637217</v>
      </c>
      <c r="BV473" s="400"/>
    </row>
    <row r="474" spans="1:74" ht="15.75" thickTop="1" x14ac:dyDescent="0.25">
      <c r="A474" s="502"/>
      <c r="B474" s="502"/>
      <c r="C474" s="538"/>
      <c r="D474" s="500"/>
      <c r="E474" s="449"/>
      <c r="F474" s="449"/>
      <c r="G474" s="421"/>
      <c r="H474" s="449"/>
      <c r="I474" s="449"/>
      <c r="J474" s="426"/>
      <c r="K474" s="421"/>
      <c r="L474" s="449"/>
      <c r="M474" s="449"/>
      <c r="N474" s="449"/>
      <c r="O474" s="449"/>
      <c r="P474" s="449"/>
      <c r="Q474" s="449"/>
      <c r="R474" s="449"/>
      <c r="S474" s="449"/>
      <c r="T474" s="449"/>
      <c r="U474" s="449"/>
      <c r="V474" s="449"/>
      <c r="W474" s="449"/>
      <c r="X474" s="449"/>
      <c r="Y474" s="449"/>
      <c r="Z474" s="531"/>
      <c r="AA474" s="449"/>
      <c r="AB474" s="449"/>
      <c r="AC474" s="449"/>
      <c r="AD474" s="449"/>
      <c r="AE474" s="449"/>
      <c r="AF474" s="449"/>
      <c r="AG474" s="449"/>
      <c r="AH474" s="449"/>
      <c r="AI474" s="449"/>
      <c r="AJ474" s="449"/>
      <c r="AK474" s="449"/>
      <c r="AL474" s="449"/>
      <c r="AN474" s="500"/>
      <c r="AO474" s="449"/>
      <c r="AP474" s="449"/>
      <c r="AQ474" s="453"/>
      <c r="AR474" s="449"/>
      <c r="AS474" s="449"/>
      <c r="AT474" s="426"/>
      <c r="AU474" s="421"/>
      <c r="AV474" s="449"/>
      <c r="AW474" s="449"/>
      <c r="AX474" s="449"/>
      <c r="AY474" s="449"/>
      <c r="AZ474" s="449"/>
      <c r="BA474" s="449"/>
      <c r="BB474" s="449"/>
      <c r="BC474" s="449"/>
      <c r="BD474" s="449"/>
      <c r="BE474" s="449"/>
      <c r="BF474" s="449"/>
      <c r="BG474" s="449"/>
      <c r="BH474" s="531"/>
      <c r="BI474" s="449"/>
      <c r="BJ474" s="449"/>
      <c r="BK474" s="449"/>
      <c r="BL474" s="449"/>
      <c r="BM474" s="449"/>
      <c r="BN474" s="449"/>
      <c r="BO474" s="449"/>
      <c r="BP474" s="449"/>
      <c r="BQ474" s="449"/>
      <c r="BR474" s="449"/>
      <c r="BS474" s="449"/>
      <c r="BT474" s="449"/>
    </row>
    <row r="475" spans="1:74" ht="15.75" x14ac:dyDescent="0.25">
      <c r="A475" s="502"/>
      <c r="B475" s="525" t="s">
        <v>805</v>
      </c>
      <c r="C475" s="538"/>
      <c r="D475" s="500"/>
      <c r="E475" s="449"/>
      <c r="F475" s="449"/>
      <c r="G475" s="421"/>
      <c r="H475" s="449"/>
      <c r="I475" s="449"/>
      <c r="J475" s="426"/>
      <c r="K475" s="421"/>
      <c r="L475" s="449"/>
      <c r="M475" s="449"/>
      <c r="N475" s="449"/>
      <c r="O475" s="449"/>
      <c r="P475" s="449"/>
      <c r="Q475" s="449"/>
      <c r="R475" s="449"/>
      <c r="S475" s="449"/>
      <c r="T475" s="449"/>
      <c r="U475" s="449"/>
      <c r="V475" s="449"/>
      <c r="W475" s="449"/>
      <c r="X475" s="449"/>
      <c r="Y475" s="449"/>
      <c r="Z475" s="531"/>
      <c r="AA475" s="449"/>
      <c r="AB475" s="449"/>
      <c r="AC475" s="449"/>
      <c r="AD475" s="449"/>
      <c r="AE475" s="449"/>
      <c r="AF475" s="449"/>
      <c r="AG475" s="449"/>
      <c r="AH475" s="449"/>
      <c r="AI475" s="449"/>
      <c r="AJ475" s="449"/>
      <c r="AK475" s="449"/>
      <c r="AL475" s="449"/>
      <c r="AN475" s="500"/>
      <c r="AO475" s="449"/>
      <c r="AP475" s="449"/>
      <c r="AQ475" s="453"/>
      <c r="AR475" s="449"/>
      <c r="AS475" s="449"/>
      <c r="AT475" s="426"/>
      <c r="AU475" s="421"/>
      <c r="AV475" s="449"/>
      <c r="AW475" s="449"/>
      <c r="AX475" s="449"/>
      <c r="AY475" s="449"/>
      <c r="AZ475" s="449"/>
      <c r="BA475" s="449"/>
      <c r="BB475" s="449"/>
      <c r="BC475" s="449"/>
      <c r="BD475" s="449"/>
      <c r="BE475" s="449"/>
      <c r="BF475" s="449"/>
      <c r="BG475" s="449"/>
      <c r="BH475" s="531"/>
      <c r="BI475" s="449"/>
      <c r="BJ475" s="449"/>
      <c r="BK475" s="449"/>
      <c r="BL475" s="449"/>
      <c r="BM475" s="449"/>
      <c r="BN475" s="449"/>
      <c r="BO475" s="449"/>
      <c r="BP475" s="449"/>
      <c r="BQ475" s="449"/>
      <c r="BR475" s="449"/>
      <c r="BS475" s="449"/>
      <c r="BT475" s="449"/>
    </row>
    <row r="476" spans="1:74" ht="7.5" customHeight="1" x14ac:dyDescent="0.25">
      <c r="A476" s="502"/>
      <c r="B476" s="502"/>
      <c r="C476" s="538"/>
      <c r="D476" s="500"/>
      <c r="E476" s="449"/>
      <c r="F476" s="449"/>
      <c r="G476" s="421"/>
      <c r="H476" s="449"/>
      <c r="I476" s="449"/>
      <c r="J476" s="426"/>
      <c r="K476" s="421"/>
      <c r="L476" s="449"/>
      <c r="M476" s="449"/>
      <c r="N476" s="449"/>
      <c r="O476" s="449"/>
      <c r="P476" s="449"/>
      <c r="Q476" s="449"/>
      <c r="R476" s="449"/>
      <c r="S476" s="449"/>
      <c r="T476" s="449"/>
      <c r="U476" s="449"/>
      <c r="V476" s="449"/>
      <c r="W476" s="449"/>
      <c r="X476" s="449"/>
      <c r="Y476" s="449"/>
      <c r="Z476" s="531"/>
      <c r="AA476" s="449"/>
      <c r="AB476" s="449"/>
      <c r="AC476" s="449"/>
      <c r="AD476" s="449"/>
      <c r="AE476" s="449"/>
      <c r="AF476" s="449"/>
      <c r="AG476" s="449"/>
      <c r="AH476" s="449"/>
      <c r="AI476" s="449"/>
      <c r="AJ476" s="449"/>
      <c r="AK476" s="449"/>
      <c r="AL476" s="449"/>
      <c r="AN476" s="500"/>
      <c r="AO476" s="449"/>
      <c r="AP476" s="449"/>
      <c r="AQ476" s="453"/>
      <c r="AR476" s="449"/>
      <c r="AS476" s="449"/>
      <c r="AT476" s="426"/>
      <c r="AU476" s="421"/>
      <c r="AV476" s="449"/>
      <c r="AW476" s="449"/>
      <c r="AX476" s="449"/>
      <c r="AY476" s="449"/>
      <c r="AZ476" s="449"/>
      <c r="BA476" s="449"/>
      <c r="BB476" s="449"/>
      <c r="BC476" s="449"/>
      <c r="BD476" s="449"/>
      <c r="BE476" s="449"/>
      <c r="BF476" s="449"/>
      <c r="BG476" s="449"/>
      <c r="BH476" s="531"/>
      <c r="BI476" s="449"/>
      <c r="BJ476" s="449"/>
      <c r="BK476" s="449"/>
      <c r="BL476" s="449"/>
      <c r="BM476" s="449"/>
      <c r="BN476" s="449"/>
      <c r="BO476" s="449"/>
      <c r="BP476" s="449"/>
      <c r="BQ476" s="449"/>
      <c r="BR476" s="449"/>
      <c r="BS476" s="449"/>
      <c r="BT476" s="449"/>
    </row>
    <row r="477" spans="1:74" ht="15" x14ac:dyDescent="0.25">
      <c r="A477" s="502" t="s">
        <v>806</v>
      </c>
      <c r="B477" s="502" t="s">
        <v>807</v>
      </c>
      <c r="C477" s="630"/>
      <c r="D477" s="500">
        <f t="shared" ref="D477:D525" si="398">SUM(L477:W477)</f>
        <v>90664</v>
      </c>
      <c r="E477" s="449">
        <v>90664</v>
      </c>
      <c r="F477" s="449">
        <f t="shared" ref="F477:F525" si="399">IFERROR(D477-E477,0)</f>
        <v>0</v>
      </c>
      <c r="G477" s="421">
        <f t="shared" ref="G477:G525" si="400">IFERROR(F477/ABS(E477),0)</f>
        <v>0</v>
      </c>
      <c r="H477" s="449">
        <v>90664</v>
      </c>
      <c r="I477" s="449">
        <f t="shared" ref="I477:I525" si="401">IFERROR(D477-H477,0)</f>
        <v>0</v>
      </c>
      <c r="J477" s="426">
        <f t="shared" ref="J477:J525" si="402">IFERROR(I477/ABS(H477),0)</f>
        <v>0</v>
      </c>
      <c r="K477" s="421"/>
      <c r="L477" s="449">
        <v>8059.16</v>
      </c>
      <c r="M477" s="449">
        <v>17036.150000000001</v>
      </c>
      <c r="N477" s="449">
        <v>12383.649999999998</v>
      </c>
      <c r="O477" s="449">
        <v>-8363.7560000000012</v>
      </c>
      <c r="P477" s="449">
        <v>10078.330000000002</v>
      </c>
      <c r="Q477" s="449">
        <v>12363.070000000007</v>
      </c>
      <c r="R477" s="449">
        <f>($H477-SUM($L477:Q477))/R$694</f>
        <v>6517.8993333333319</v>
      </c>
      <c r="S477" s="449">
        <f>($H477-SUM($L477:R477))/S$694</f>
        <v>6517.8993333333319</v>
      </c>
      <c r="T477" s="449">
        <f>($H477-SUM($L477:S477))/T$694</f>
        <v>6517.899333333331</v>
      </c>
      <c r="U477" s="449">
        <f>($H477-SUM($L477:T477))/U$694</f>
        <v>6517.8993333333301</v>
      </c>
      <c r="V477" s="449">
        <f>($H477-SUM($L477:U477))/V$694</f>
        <v>6517.8993333333274</v>
      </c>
      <c r="W477" s="449">
        <f>($H477-SUM($L477:V477))/W$694</f>
        <v>6517.8993333333347</v>
      </c>
      <c r="X477" s="449"/>
      <c r="Y477" s="449">
        <f t="shared" ref="Y477:Y525" si="403">SUM(L477:W477)</f>
        <v>90664</v>
      </c>
      <c r="Z477" s="531"/>
      <c r="AA477" s="449">
        <f t="shared" ref="AA477:AL492" si="404">IFERROR($H477/12,0)</f>
        <v>7555.333333333333</v>
      </c>
      <c r="AB477" s="449">
        <f t="shared" si="404"/>
        <v>7555.333333333333</v>
      </c>
      <c r="AC477" s="449">
        <f t="shared" si="404"/>
        <v>7555.333333333333</v>
      </c>
      <c r="AD477" s="449">
        <f t="shared" si="404"/>
        <v>7555.333333333333</v>
      </c>
      <c r="AE477" s="449">
        <f t="shared" si="404"/>
        <v>7555.333333333333</v>
      </c>
      <c r="AF477" s="449">
        <f t="shared" si="404"/>
        <v>7555.333333333333</v>
      </c>
      <c r="AG477" s="449">
        <f t="shared" si="404"/>
        <v>7555.333333333333</v>
      </c>
      <c r="AH477" s="449">
        <f t="shared" si="404"/>
        <v>7555.333333333333</v>
      </c>
      <c r="AI477" s="449">
        <f t="shared" si="404"/>
        <v>7555.333333333333</v>
      </c>
      <c r="AJ477" s="449">
        <f t="shared" si="404"/>
        <v>7555.333333333333</v>
      </c>
      <c r="AK477" s="449">
        <f t="shared" si="404"/>
        <v>7555.333333333333</v>
      </c>
      <c r="AL477" s="449">
        <f t="shared" si="404"/>
        <v>7555.333333333333</v>
      </c>
      <c r="AN477" s="500">
        <f t="shared" ref="AN477:AN525" si="405">SUM(L477:W477)</f>
        <v>90664</v>
      </c>
      <c r="AO477" s="449">
        <f t="shared" ref="AO477:AO525" si="406">SUM(BI477:BT477)</f>
        <v>82136.690800000011</v>
      </c>
      <c r="AP477" s="449">
        <f t="shared" ref="AP477:AP525" si="407">IFERROR(AO477-AN477,0)</f>
        <v>-8527.3091999999888</v>
      </c>
      <c r="AQ477" s="453">
        <f t="shared" ref="AQ477:AQ525" si="408">IFERROR(AP477/ABS(AN477),"-")</f>
        <v>-9.4053970705020612E-2</v>
      </c>
      <c r="AR477" s="449">
        <f t="shared" ref="AR477:AR525" si="409">SUM(BI477:BT477)</f>
        <v>82136.690800000011</v>
      </c>
      <c r="AS477" s="449">
        <f t="shared" ref="AS477:AS525" si="410">IFERROR(AO477-AR477,0)</f>
        <v>0</v>
      </c>
      <c r="AT477" s="426">
        <f t="shared" ref="AT477:AT525" si="411">IFERROR(AS477/ABS(AR477),0)</f>
        <v>0</v>
      </c>
      <c r="AU477" s="421"/>
      <c r="AV477" s="449">
        <f t="shared" ref="AV477:BG498" si="412">BI477</f>
        <v>6844.7242333333343</v>
      </c>
      <c r="AW477" s="449">
        <f t="shared" si="412"/>
        <v>6844.7242333333343</v>
      </c>
      <c r="AX477" s="449">
        <f t="shared" si="412"/>
        <v>6844.7242333333343</v>
      </c>
      <c r="AY477" s="449">
        <f t="shared" si="412"/>
        <v>6844.7242333333343</v>
      </c>
      <c r="AZ477" s="449">
        <f t="shared" si="412"/>
        <v>6844.7242333333343</v>
      </c>
      <c r="BA477" s="449">
        <f t="shared" si="412"/>
        <v>6844.7242333333343</v>
      </c>
      <c r="BB477" s="449">
        <f t="shared" si="412"/>
        <v>6844.7242333333343</v>
      </c>
      <c r="BC477" s="449">
        <f t="shared" si="412"/>
        <v>6844.7242333333343</v>
      </c>
      <c r="BD477" s="449">
        <f t="shared" si="412"/>
        <v>6844.7242333333343</v>
      </c>
      <c r="BE477" s="449">
        <f t="shared" si="412"/>
        <v>6844.7242333333343</v>
      </c>
      <c r="BF477" s="449">
        <f t="shared" si="412"/>
        <v>6844.7242333333343</v>
      </c>
      <c r="BG477" s="449">
        <f t="shared" si="412"/>
        <v>6844.7242333333343</v>
      </c>
      <c r="BH477" s="400"/>
      <c r="BI477" s="449">
        <f>SUM('FY19 Staffing V1-1 (3)'!$P$295:$P$297,'FY19 Staffing V1-1 (3)'!$P$299)/12</f>
        <v>6844.7242333333343</v>
      </c>
      <c r="BJ477" s="449">
        <f>SUM('FY19 Staffing V1-1 (3)'!$P$295:$P$297,'FY19 Staffing V1-1 (3)'!$P$299)/12</f>
        <v>6844.7242333333343</v>
      </c>
      <c r="BK477" s="449">
        <f>SUM('FY19 Staffing V1-1 (3)'!$P$295:$P$297,'FY19 Staffing V1-1 (3)'!$P$299)/12</f>
        <v>6844.7242333333343</v>
      </c>
      <c r="BL477" s="449">
        <f>SUM('FY19 Staffing V1-1 (3)'!$P$295:$P$297,'FY19 Staffing V1-1 (3)'!$P$299)/12</f>
        <v>6844.7242333333343</v>
      </c>
      <c r="BM477" s="449">
        <f>SUM('FY19 Staffing V1-1 (3)'!$P$295:$P$297,'FY19 Staffing V1-1 (3)'!$P$299)/12</f>
        <v>6844.7242333333343</v>
      </c>
      <c r="BN477" s="449">
        <f>SUM('FY19 Staffing V1-1 (3)'!$P$295:$P$297,'FY19 Staffing V1-1 (3)'!$P$299)/12</f>
        <v>6844.7242333333343</v>
      </c>
      <c r="BO477" s="449">
        <f>SUM('FY19 Staffing V1-1 (3)'!$P$295:$P$297,'FY19 Staffing V1-1 (3)'!$P$299)/12</f>
        <v>6844.7242333333343</v>
      </c>
      <c r="BP477" s="449">
        <f>SUM('FY19 Staffing V1-1 (3)'!$P$295:$P$297,'FY19 Staffing V1-1 (3)'!$P$299)/12</f>
        <v>6844.7242333333343</v>
      </c>
      <c r="BQ477" s="449">
        <f>SUM('FY19 Staffing V1-1 (3)'!$P$295:$P$297,'FY19 Staffing V1-1 (3)'!$P$299)/12</f>
        <v>6844.7242333333343</v>
      </c>
      <c r="BR477" s="449">
        <f>SUM('FY19 Staffing V1-1 (3)'!$P$295:$P$297,'FY19 Staffing V1-1 (3)'!$P$299)/12</f>
        <v>6844.7242333333343</v>
      </c>
      <c r="BS477" s="449">
        <f>SUM('FY19 Staffing V1-1 (3)'!$P$295:$P$297,'FY19 Staffing V1-1 (3)'!$P$299)/12</f>
        <v>6844.7242333333343</v>
      </c>
      <c r="BT477" s="449">
        <f>SUM('FY19 Staffing V1-1 (3)'!$P$295:$P$297,'FY19 Staffing V1-1 (3)'!$P$299)/12</f>
        <v>6844.7242333333343</v>
      </c>
    </row>
    <row r="478" spans="1:74" ht="15" x14ac:dyDescent="0.25">
      <c r="A478" s="502" t="s">
        <v>808</v>
      </c>
      <c r="B478" s="502" t="s">
        <v>809</v>
      </c>
      <c r="C478" s="630"/>
      <c r="D478" s="500">
        <f t="shared" si="398"/>
        <v>64399</v>
      </c>
      <c r="E478" s="449">
        <v>64399</v>
      </c>
      <c r="F478" s="449">
        <f t="shared" si="399"/>
        <v>0</v>
      </c>
      <c r="G478" s="421">
        <f t="shared" si="400"/>
        <v>0</v>
      </c>
      <c r="H478" s="449">
        <v>64399</v>
      </c>
      <c r="I478" s="449">
        <f t="shared" si="401"/>
        <v>0</v>
      </c>
      <c r="J478" s="426">
        <f t="shared" si="402"/>
        <v>0</v>
      </c>
      <c r="K478" s="421"/>
      <c r="L478" s="449">
        <v>0</v>
      </c>
      <c r="M478" s="449">
        <v>0</v>
      </c>
      <c r="N478" s="449">
        <v>0</v>
      </c>
      <c r="O478" s="449">
        <v>19410.135999999999</v>
      </c>
      <c r="P478" s="449">
        <v>0</v>
      </c>
      <c r="Q478" s="449">
        <v>0</v>
      </c>
      <c r="R478" s="449">
        <f>($H478-SUM($L478:Q478))/R$694</f>
        <v>7498.1440000000002</v>
      </c>
      <c r="S478" s="449">
        <f>($H478-SUM($L478:R478))/S$694</f>
        <v>7498.1440000000002</v>
      </c>
      <c r="T478" s="449">
        <f>($H478-SUM($L478:S478))/T$694</f>
        <v>7498.1440000000002</v>
      </c>
      <c r="U478" s="449">
        <f>($H478-SUM($L478:T478))/U$694</f>
        <v>7498.1440000000002</v>
      </c>
      <c r="V478" s="449">
        <f>($H478-SUM($L478:U478))/V$694</f>
        <v>7498.1440000000002</v>
      </c>
      <c r="W478" s="449">
        <f>($H478-SUM($L478:V478))/W$694</f>
        <v>7498.1440000000002</v>
      </c>
      <c r="X478" s="449"/>
      <c r="Y478" s="449">
        <f t="shared" si="403"/>
        <v>64399</v>
      </c>
      <c r="Z478" s="531"/>
      <c r="AA478" s="449">
        <f t="shared" si="404"/>
        <v>5366.583333333333</v>
      </c>
      <c r="AB478" s="449">
        <f t="shared" si="404"/>
        <v>5366.583333333333</v>
      </c>
      <c r="AC478" s="449">
        <f t="shared" si="404"/>
        <v>5366.583333333333</v>
      </c>
      <c r="AD478" s="449">
        <f t="shared" si="404"/>
        <v>5366.583333333333</v>
      </c>
      <c r="AE478" s="449">
        <f t="shared" si="404"/>
        <v>5366.583333333333</v>
      </c>
      <c r="AF478" s="449">
        <f t="shared" si="404"/>
        <v>5366.583333333333</v>
      </c>
      <c r="AG478" s="449">
        <f t="shared" si="404"/>
        <v>5366.583333333333</v>
      </c>
      <c r="AH478" s="449">
        <f t="shared" si="404"/>
        <v>5366.583333333333</v>
      </c>
      <c r="AI478" s="449">
        <f t="shared" si="404"/>
        <v>5366.583333333333</v>
      </c>
      <c r="AJ478" s="449">
        <f t="shared" si="404"/>
        <v>5366.583333333333</v>
      </c>
      <c r="AK478" s="449">
        <f t="shared" si="404"/>
        <v>5366.583333333333</v>
      </c>
      <c r="AL478" s="449">
        <f t="shared" si="404"/>
        <v>5366.583333333333</v>
      </c>
      <c r="AN478" s="500">
        <f t="shared" si="405"/>
        <v>64399</v>
      </c>
      <c r="AO478" s="449">
        <f t="shared" si="406"/>
        <v>77921.56</v>
      </c>
      <c r="AP478" s="449">
        <f t="shared" si="407"/>
        <v>13522.559999999998</v>
      </c>
      <c r="AQ478" s="453">
        <f t="shared" si="408"/>
        <v>0.20998090032453917</v>
      </c>
      <c r="AR478" s="449">
        <f t="shared" si="409"/>
        <v>77921.56</v>
      </c>
      <c r="AS478" s="449">
        <f t="shared" si="410"/>
        <v>0</v>
      </c>
      <c r="AT478" s="426">
        <f t="shared" si="411"/>
        <v>0</v>
      </c>
      <c r="AU478" s="421"/>
      <c r="AV478" s="449">
        <f t="shared" si="412"/>
        <v>6493.4633333333331</v>
      </c>
      <c r="AW478" s="449">
        <f t="shared" si="412"/>
        <v>6493.4633333333331</v>
      </c>
      <c r="AX478" s="449">
        <f t="shared" si="412"/>
        <v>6493.4633333333331</v>
      </c>
      <c r="AY478" s="449">
        <f t="shared" si="412"/>
        <v>6493.4633333333331</v>
      </c>
      <c r="AZ478" s="449">
        <f t="shared" si="412"/>
        <v>6493.4633333333331</v>
      </c>
      <c r="BA478" s="449">
        <f t="shared" si="412"/>
        <v>6493.4633333333331</v>
      </c>
      <c r="BB478" s="449">
        <f t="shared" si="412"/>
        <v>6493.4633333333331</v>
      </c>
      <c r="BC478" s="449">
        <f t="shared" si="412"/>
        <v>6493.4633333333331</v>
      </c>
      <c r="BD478" s="449">
        <f t="shared" si="412"/>
        <v>6493.4633333333331</v>
      </c>
      <c r="BE478" s="449">
        <f t="shared" si="412"/>
        <v>6493.4633333333331</v>
      </c>
      <c r="BF478" s="449">
        <f t="shared" si="412"/>
        <v>6493.4633333333331</v>
      </c>
      <c r="BG478" s="449">
        <f t="shared" si="412"/>
        <v>6493.4633333333331</v>
      </c>
      <c r="BH478" s="400"/>
      <c r="BI478" s="449">
        <f>SUM('FY19 Staffing V1-1 (3)'!$P$293:$P$294,'FY19 Staffing V1-1 (3)'!$P$298,'FY19 Staffing V1-1 (3)'!$P$300)/12</f>
        <v>6493.4633333333331</v>
      </c>
      <c r="BJ478" s="449">
        <f>SUM('FY19 Staffing V1-1 (3)'!$P$293:$P$294,'FY19 Staffing V1-1 (3)'!$P$298,'FY19 Staffing V1-1 (3)'!$P$300)/12</f>
        <v>6493.4633333333331</v>
      </c>
      <c r="BK478" s="449">
        <f>SUM('FY19 Staffing V1-1 (3)'!$P$293:$P$294,'FY19 Staffing V1-1 (3)'!$P$298,'FY19 Staffing V1-1 (3)'!$P$300)/12</f>
        <v>6493.4633333333331</v>
      </c>
      <c r="BL478" s="449">
        <f>SUM('FY19 Staffing V1-1 (3)'!$P$293:$P$294,'FY19 Staffing V1-1 (3)'!$P$298,'FY19 Staffing V1-1 (3)'!$P$300)/12</f>
        <v>6493.4633333333331</v>
      </c>
      <c r="BM478" s="449">
        <f>SUM('FY19 Staffing V1-1 (3)'!$P$293:$P$294,'FY19 Staffing V1-1 (3)'!$P$298,'FY19 Staffing V1-1 (3)'!$P$300)/12</f>
        <v>6493.4633333333331</v>
      </c>
      <c r="BN478" s="449">
        <f>SUM('FY19 Staffing V1-1 (3)'!$P$293:$P$294,'FY19 Staffing V1-1 (3)'!$P$298,'FY19 Staffing V1-1 (3)'!$P$300)/12</f>
        <v>6493.4633333333331</v>
      </c>
      <c r="BO478" s="449">
        <f>SUM('FY19 Staffing V1-1 (3)'!$P$293:$P$294,'FY19 Staffing V1-1 (3)'!$P$298,'FY19 Staffing V1-1 (3)'!$P$300)/12</f>
        <v>6493.4633333333331</v>
      </c>
      <c r="BP478" s="449">
        <f>SUM('FY19 Staffing V1-1 (3)'!$P$293:$P$294,'FY19 Staffing V1-1 (3)'!$P$298,'FY19 Staffing V1-1 (3)'!$P$300)/12</f>
        <v>6493.4633333333331</v>
      </c>
      <c r="BQ478" s="449">
        <f>SUM('FY19 Staffing V1-1 (3)'!$P$293:$P$294,'FY19 Staffing V1-1 (3)'!$P$298,'FY19 Staffing V1-1 (3)'!$P$300)/12</f>
        <v>6493.4633333333331</v>
      </c>
      <c r="BR478" s="449">
        <f>SUM('FY19 Staffing V1-1 (3)'!$P$293:$P$294,'FY19 Staffing V1-1 (3)'!$P$298,'FY19 Staffing V1-1 (3)'!$P$300)/12</f>
        <v>6493.4633333333331</v>
      </c>
      <c r="BS478" s="449">
        <f>SUM('FY19 Staffing V1-1 (3)'!$P$293:$P$294,'FY19 Staffing V1-1 (3)'!$P$298,'FY19 Staffing V1-1 (3)'!$P$300)/12</f>
        <v>6493.4633333333331</v>
      </c>
      <c r="BT478" s="449">
        <f>SUM('FY19 Staffing V1-1 (3)'!$P$293:$P$294,'FY19 Staffing V1-1 (3)'!$P$298,'FY19 Staffing V1-1 (3)'!$P$300)/12</f>
        <v>6493.4633333333331</v>
      </c>
    </row>
    <row r="479" spans="1:74" ht="15" x14ac:dyDescent="0.25">
      <c r="A479" s="502" t="s">
        <v>810</v>
      </c>
      <c r="B479" s="502" t="s">
        <v>811</v>
      </c>
      <c r="C479" s="630"/>
      <c r="D479" s="500">
        <f t="shared" si="398"/>
        <v>9000</v>
      </c>
      <c r="E479" s="449">
        <v>9000</v>
      </c>
      <c r="F479" s="449">
        <f t="shared" si="399"/>
        <v>0</v>
      </c>
      <c r="G479" s="421">
        <f t="shared" si="400"/>
        <v>0</v>
      </c>
      <c r="H479" s="449">
        <v>9000</v>
      </c>
      <c r="I479" s="449">
        <f t="shared" si="401"/>
        <v>0</v>
      </c>
      <c r="J479" s="426">
        <f t="shared" si="402"/>
        <v>0</v>
      </c>
      <c r="K479" s="421"/>
      <c r="L479" s="449">
        <v>0</v>
      </c>
      <c r="M479" s="449">
        <v>0</v>
      </c>
      <c r="N479" s="449">
        <v>0</v>
      </c>
      <c r="O479" s="449">
        <v>3000</v>
      </c>
      <c r="P479" s="449">
        <v>0</v>
      </c>
      <c r="Q479" s="449">
        <v>0</v>
      </c>
      <c r="R479" s="449">
        <f>($H479-SUM($L479:Q479))/R$694</f>
        <v>1000</v>
      </c>
      <c r="S479" s="449">
        <f>($H479-SUM($L479:R479))/S$694</f>
        <v>1000</v>
      </c>
      <c r="T479" s="449">
        <f>($H479-SUM($L479:S479))/T$694</f>
        <v>1000</v>
      </c>
      <c r="U479" s="449">
        <f>($H479-SUM($L479:T479))/U$694</f>
        <v>1000</v>
      </c>
      <c r="V479" s="449">
        <f>($H479-SUM($L479:U479))/V$694</f>
        <v>1000</v>
      </c>
      <c r="W479" s="449">
        <f>($H479-SUM($L479:V479))/W$694</f>
        <v>1000</v>
      </c>
      <c r="X479" s="449"/>
      <c r="Y479" s="449">
        <f t="shared" si="403"/>
        <v>9000</v>
      </c>
      <c r="Z479" s="531"/>
      <c r="AA479" s="449">
        <f t="shared" si="404"/>
        <v>750</v>
      </c>
      <c r="AB479" s="449">
        <f t="shared" si="404"/>
        <v>750</v>
      </c>
      <c r="AC479" s="449">
        <f t="shared" si="404"/>
        <v>750</v>
      </c>
      <c r="AD479" s="449">
        <f t="shared" si="404"/>
        <v>750</v>
      </c>
      <c r="AE479" s="449">
        <f t="shared" si="404"/>
        <v>750</v>
      </c>
      <c r="AF479" s="449">
        <f t="shared" si="404"/>
        <v>750</v>
      </c>
      <c r="AG479" s="449">
        <f t="shared" si="404"/>
        <v>750</v>
      </c>
      <c r="AH479" s="449">
        <f t="shared" si="404"/>
        <v>750</v>
      </c>
      <c r="AI479" s="449">
        <f t="shared" si="404"/>
        <v>750</v>
      </c>
      <c r="AJ479" s="449">
        <f t="shared" si="404"/>
        <v>750</v>
      </c>
      <c r="AK479" s="449">
        <f t="shared" si="404"/>
        <v>750</v>
      </c>
      <c r="AL479" s="449">
        <f t="shared" si="404"/>
        <v>750</v>
      </c>
      <c r="AN479" s="500">
        <f t="shared" si="405"/>
        <v>9000</v>
      </c>
      <c r="AO479" s="449">
        <f t="shared" si="406"/>
        <v>0</v>
      </c>
      <c r="AP479" s="449">
        <f t="shared" si="407"/>
        <v>-9000</v>
      </c>
      <c r="AQ479" s="453">
        <f t="shared" si="408"/>
        <v>-1</v>
      </c>
      <c r="AR479" s="449">
        <f t="shared" si="409"/>
        <v>0</v>
      </c>
      <c r="AS479" s="449">
        <f t="shared" si="410"/>
        <v>0</v>
      </c>
      <c r="AT479" s="426">
        <f t="shared" si="411"/>
        <v>0</v>
      </c>
      <c r="AU479" s="421"/>
      <c r="AV479" s="449">
        <f t="shared" si="412"/>
        <v>0</v>
      </c>
      <c r="AW479" s="449">
        <f t="shared" si="412"/>
        <v>0</v>
      </c>
      <c r="AX479" s="449">
        <f t="shared" si="412"/>
        <v>0</v>
      </c>
      <c r="AY479" s="449">
        <f t="shared" si="412"/>
        <v>0</v>
      </c>
      <c r="AZ479" s="449">
        <f t="shared" si="412"/>
        <v>0</v>
      </c>
      <c r="BA479" s="449">
        <f t="shared" si="412"/>
        <v>0</v>
      </c>
      <c r="BB479" s="449">
        <f t="shared" si="412"/>
        <v>0</v>
      </c>
      <c r="BC479" s="449">
        <f t="shared" si="412"/>
        <v>0</v>
      </c>
      <c r="BD479" s="449">
        <f t="shared" si="412"/>
        <v>0</v>
      </c>
      <c r="BE479" s="449">
        <f t="shared" si="412"/>
        <v>0</v>
      </c>
      <c r="BF479" s="449">
        <f t="shared" si="412"/>
        <v>0</v>
      </c>
      <c r="BG479" s="449">
        <f t="shared" si="412"/>
        <v>0</v>
      </c>
      <c r="BH479" s="400"/>
      <c r="BI479" s="449">
        <v>0</v>
      </c>
      <c r="BJ479" s="449">
        <v>0</v>
      </c>
      <c r="BK479" s="449">
        <v>0</v>
      </c>
      <c r="BL479" s="449">
        <v>0</v>
      </c>
      <c r="BM479" s="449">
        <v>0</v>
      </c>
      <c r="BN479" s="449">
        <v>0</v>
      </c>
      <c r="BO479" s="449">
        <v>0</v>
      </c>
      <c r="BP479" s="449">
        <v>0</v>
      </c>
      <c r="BQ479" s="449">
        <v>0</v>
      </c>
      <c r="BR479" s="449">
        <v>0</v>
      </c>
      <c r="BS479" s="449">
        <v>0</v>
      </c>
      <c r="BT479" s="449">
        <v>0</v>
      </c>
    </row>
    <row r="480" spans="1:74" ht="15" hidden="1" x14ac:dyDescent="0.25">
      <c r="A480" s="614" t="s">
        <v>812</v>
      </c>
      <c r="B480" s="614" t="s">
        <v>813</v>
      </c>
      <c r="C480" s="541"/>
      <c r="D480" s="500">
        <f t="shared" si="398"/>
        <v>10770</v>
      </c>
      <c r="E480" s="449">
        <v>10770</v>
      </c>
      <c r="F480" s="449">
        <f t="shared" si="399"/>
        <v>0</v>
      </c>
      <c r="G480" s="421">
        <f t="shared" si="400"/>
        <v>0</v>
      </c>
      <c r="H480" s="449">
        <v>10770</v>
      </c>
      <c r="I480" s="449">
        <f t="shared" si="401"/>
        <v>0</v>
      </c>
      <c r="J480" s="426">
        <f t="shared" si="402"/>
        <v>0</v>
      </c>
      <c r="K480" s="421"/>
      <c r="L480" s="449">
        <v>0</v>
      </c>
      <c r="M480" s="449">
        <v>0</v>
      </c>
      <c r="N480" s="449">
        <v>0</v>
      </c>
      <c r="O480" s="449">
        <v>0</v>
      </c>
      <c r="P480" s="449">
        <v>0</v>
      </c>
      <c r="Q480" s="449">
        <v>0</v>
      </c>
      <c r="R480" s="449">
        <f>($H480-SUM($L480:Q480))/R$694</f>
        <v>1795</v>
      </c>
      <c r="S480" s="449">
        <f>($H480-SUM($L480:R480))/S$694</f>
        <v>1795</v>
      </c>
      <c r="T480" s="449">
        <f>($H480-SUM($L480:S480))/T$694</f>
        <v>1795</v>
      </c>
      <c r="U480" s="449">
        <f>($H480-SUM($L480:T480))/U$694</f>
        <v>1795</v>
      </c>
      <c r="V480" s="449">
        <f>($H480-SUM($L480:U480))/V$694</f>
        <v>1795</v>
      </c>
      <c r="W480" s="449">
        <f>($H480-SUM($L480:V480))/W$694</f>
        <v>1795</v>
      </c>
      <c r="X480" s="449"/>
      <c r="Y480" s="449">
        <f t="shared" si="403"/>
        <v>10770</v>
      </c>
      <c r="Z480" s="531"/>
      <c r="AA480" s="449">
        <f t="shared" si="404"/>
        <v>897.5</v>
      </c>
      <c r="AB480" s="449">
        <f t="shared" si="404"/>
        <v>897.5</v>
      </c>
      <c r="AC480" s="449">
        <f t="shared" si="404"/>
        <v>897.5</v>
      </c>
      <c r="AD480" s="449">
        <f t="shared" si="404"/>
        <v>897.5</v>
      </c>
      <c r="AE480" s="449">
        <f t="shared" si="404"/>
        <v>897.5</v>
      </c>
      <c r="AF480" s="449">
        <f t="shared" si="404"/>
        <v>897.5</v>
      </c>
      <c r="AG480" s="449">
        <f t="shared" si="404"/>
        <v>897.5</v>
      </c>
      <c r="AH480" s="449">
        <f t="shared" si="404"/>
        <v>897.5</v>
      </c>
      <c r="AI480" s="449">
        <f t="shared" si="404"/>
        <v>897.5</v>
      </c>
      <c r="AJ480" s="449">
        <f t="shared" si="404"/>
        <v>897.5</v>
      </c>
      <c r="AK480" s="449">
        <f t="shared" si="404"/>
        <v>897.5</v>
      </c>
      <c r="AL480" s="449">
        <f t="shared" si="404"/>
        <v>897.5</v>
      </c>
      <c r="AN480" s="500">
        <f t="shared" si="405"/>
        <v>10770</v>
      </c>
      <c r="AO480" s="449">
        <f t="shared" si="406"/>
        <v>0</v>
      </c>
      <c r="AP480" s="449">
        <f t="shared" si="407"/>
        <v>-10770</v>
      </c>
      <c r="AQ480" s="453">
        <f t="shared" si="408"/>
        <v>-1</v>
      </c>
      <c r="AR480" s="449">
        <f t="shared" si="409"/>
        <v>0</v>
      </c>
      <c r="AS480" s="449">
        <f t="shared" si="410"/>
        <v>0</v>
      </c>
      <c r="AT480" s="426">
        <f t="shared" si="411"/>
        <v>0</v>
      </c>
      <c r="AU480" s="421"/>
      <c r="AV480" s="449">
        <f t="shared" si="412"/>
        <v>0</v>
      </c>
      <c r="AW480" s="449">
        <f t="shared" si="412"/>
        <v>0</v>
      </c>
      <c r="AX480" s="449">
        <f t="shared" si="412"/>
        <v>0</v>
      </c>
      <c r="AY480" s="449">
        <f t="shared" si="412"/>
        <v>0</v>
      </c>
      <c r="AZ480" s="449">
        <f t="shared" si="412"/>
        <v>0</v>
      </c>
      <c r="BA480" s="449">
        <f t="shared" si="412"/>
        <v>0</v>
      </c>
      <c r="BB480" s="449">
        <f t="shared" si="412"/>
        <v>0</v>
      </c>
      <c r="BC480" s="449">
        <f t="shared" si="412"/>
        <v>0</v>
      </c>
      <c r="BD480" s="449">
        <f t="shared" si="412"/>
        <v>0</v>
      </c>
      <c r="BE480" s="449">
        <f t="shared" si="412"/>
        <v>0</v>
      </c>
      <c r="BF480" s="449">
        <f t="shared" si="412"/>
        <v>0</v>
      </c>
      <c r="BG480" s="449">
        <f t="shared" si="412"/>
        <v>0</v>
      </c>
      <c r="BH480" s="400"/>
      <c r="BI480" s="449">
        <v>0</v>
      </c>
      <c r="BJ480" s="449">
        <v>0</v>
      </c>
      <c r="BK480" s="449">
        <v>0</v>
      </c>
      <c r="BL480" s="449">
        <v>0</v>
      </c>
      <c r="BM480" s="449">
        <v>0</v>
      </c>
      <c r="BN480" s="449">
        <v>0</v>
      </c>
      <c r="BO480" s="449">
        <v>0</v>
      </c>
      <c r="BP480" s="449">
        <v>0</v>
      </c>
      <c r="BQ480" s="449">
        <v>0</v>
      </c>
      <c r="BR480" s="449">
        <v>0</v>
      </c>
      <c r="BS480" s="449">
        <v>0</v>
      </c>
      <c r="BT480" s="449">
        <v>0</v>
      </c>
    </row>
    <row r="481" spans="1:72" ht="15" x14ac:dyDescent="0.25">
      <c r="A481" s="502" t="s">
        <v>814</v>
      </c>
      <c r="B481" s="502" t="s">
        <v>815</v>
      </c>
      <c r="C481" s="541"/>
      <c r="D481" s="500">
        <f t="shared" si="398"/>
        <v>21482</v>
      </c>
      <c r="E481" s="449">
        <v>11463</v>
      </c>
      <c r="F481" s="449">
        <f t="shared" si="399"/>
        <v>10019</v>
      </c>
      <c r="G481" s="421">
        <f t="shared" si="400"/>
        <v>0.8740294861729041</v>
      </c>
      <c r="H481" s="449">
        <v>21482</v>
      </c>
      <c r="I481" s="449">
        <f t="shared" si="401"/>
        <v>0</v>
      </c>
      <c r="J481" s="426">
        <f t="shared" si="402"/>
        <v>0</v>
      </c>
      <c r="K481" s="421"/>
      <c r="L481" s="449">
        <v>1422.68</v>
      </c>
      <c r="M481" s="449">
        <v>2842.59</v>
      </c>
      <c r="N481" s="449">
        <v>1365.6699999999992</v>
      </c>
      <c r="O481" s="449">
        <v>1465.3500000000004</v>
      </c>
      <c r="P481" s="449">
        <v>1087.8000000000002</v>
      </c>
      <c r="Q481" s="449">
        <v>1304.5699999999997</v>
      </c>
      <c r="R481" s="449">
        <f>($H481-SUM($L481:Q481))/R$694</f>
        <v>1998.89</v>
      </c>
      <c r="S481" s="449">
        <f>($H481-SUM($L481:R481))/S$694</f>
        <v>1998.89</v>
      </c>
      <c r="T481" s="449">
        <f>($H481-SUM($L481:S481))/T$694</f>
        <v>1998.8900000000003</v>
      </c>
      <c r="U481" s="449">
        <f>($H481-SUM($L481:T481))/U$694</f>
        <v>1998.8900000000006</v>
      </c>
      <c r="V481" s="449">
        <f>($H481-SUM($L481:U481))/V$694</f>
        <v>1998.8900000000012</v>
      </c>
      <c r="W481" s="449">
        <f>($H481-SUM($L481:V481))/W$694</f>
        <v>1998.8899999999994</v>
      </c>
      <c r="X481" s="449"/>
      <c r="Y481" s="449">
        <f t="shared" si="403"/>
        <v>21482</v>
      </c>
      <c r="Z481" s="531"/>
      <c r="AA481" s="449">
        <f t="shared" si="404"/>
        <v>1790.1666666666667</v>
      </c>
      <c r="AB481" s="449">
        <f t="shared" si="404"/>
        <v>1790.1666666666667</v>
      </c>
      <c r="AC481" s="449">
        <f t="shared" si="404"/>
        <v>1790.1666666666667</v>
      </c>
      <c r="AD481" s="449">
        <f t="shared" si="404"/>
        <v>1790.1666666666667</v>
      </c>
      <c r="AE481" s="449">
        <f t="shared" si="404"/>
        <v>1790.1666666666667</v>
      </c>
      <c r="AF481" s="449">
        <f t="shared" si="404"/>
        <v>1790.1666666666667</v>
      </c>
      <c r="AG481" s="449">
        <f t="shared" si="404"/>
        <v>1790.1666666666667</v>
      </c>
      <c r="AH481" s="449">
        <f t="shared" si="404"/>
        <v>1790.1666666666667</v>
      </c>
      <c r="AI481" s="449">
        <f t="shared" si="404"/>
        <v>1790.1666666666667</v>
      </c>
      <c r="AJ481" s="449">
        <f t="shared" si="404"/>
        <v>1790.1666666666667</v>
      </c>
      <c r="AK481" s="449">
        <f t="shared" si="404"/>
        <v>1790.1666666666667</v>
      </c>
      <c r="AL481" s="449">
        <f t="shared" si="404"/>
        <v>1790.1666666666667</v>
      </c>
      <c r="AN481" s="500">
        <f t="shared" si="405"/>
        <v>21482</v>
      </c>
      <c r="AO481" s="449">
        <f t="shared" si="406"/>
        <v>12485.5274782</v>
      </c>
      <c r="AP481" s="449">
        <f t="shared" si="407"/>
        <v>-8996.4725218000003</v>
      </c>
      <c r="AQ481" s="453">
        <f t="shared" si="408"/>
        <v>-0.41879119829624806</v>
      </c>
      <c r="AR481" s="449">
        <f t="shared" si="409"/>
        <v>12485.5274782</v>
      </c>
      <c r="AS481" s="449">
        <f t="shared" si="410"/>
        <v>0</v>
      </c>
      <c r="AT481" s="426">
        <f t="shared" si="411"/>
        <v>0</v>
      </c>
      <c r="AU481" s="421"/>
      <c r="AV481" s="449">
        <f t="shared" si="412"/>
        <v>1040.4606231833334</v>
      </c>
      <c r="AW481" s="449">
        <f t="shared" si="412"/>
        <v>1040.4606231833334</v>
      </c>
      <c r="AX481" s="449">
        <f t="shared" si="412"/>
        <v>1040.4606231833334</v>
      </c>
      <c r="AY481" s="449">
        <f t="shared" si="412"/>
        <v>1040.4606231833334</v>
      </c>
      <c r="AZ481" s="449">
        <f t="shared" si="412"/>
        <v>1040.4606231833334</v>
      </c>
      <c r="BA481" s="449">
        <f t="shared" si="412"/>
        <v>1040.4606231833334</v>
      </c>
      <c r="BB481" s="449">
        <f t="shared" si="412"/>
        <v>1040.4606231833334</v>
      </c>
      <c r="BC481" s="449">
        <f t="shared" si="412"/>
        <v>1040.4606231833334</v>
      </c>
      <c r="BD481" s="449">
        <f t="shared" si="412"/>
        <v>1040.4606231833334</v>
      </c>
      <c r="BE481" s="449">
        <f t="shared" si="412"/>
        <v>1040.4606231833334</v>
      </c>
      <c r="BF481" s="449">
        <f t="shared" si="412"/>
        <v>1040.4606231833334</v>
      </c>
      <c r="BG481" s="449">
        <f t="shared" si="412"/>
        <v>1040.4606231833334</v>
      </c>
      <c r="BH481" s="400"/>
      <c r="BI481" s="449">
        <f>SUM('FY19 Staffing V1-1 (3)'!$Q$295:$R$297,'FY19 Staffing V1-1 (3)'!$Q$299:$R$299,'FY19 Staffing V1-1 (3)'!$T$295:$U$297,'FY19 Staffing V1-1 (3)'!$T$299:$U$299)/12</f>
        <v>1040.4606231833334</v>
      </c>
      <c r="BJ481" s="449">
        <f>SUM('FY19 Staffing V1-1 (3)'!$Q$295:$R$297,'FY19 Staffing V1-1 (3)'!$Q$299:$R$299,'FY19 Staffing V1-1 (3)'!$T$295:$U$297,'FY19 Staffing V1-1 (3)'!$T$299:$U$299)/12</f>
        <v>1040.4606231833334</v>
      </c>
      <c r="BK481" s="449">
        <f>SUM('FY19 Staffing V1-1 (3)'!$Q$295:$R$297,'FY19 Staffing V1-1 (3)'!$Q$299:$R$299,'FY19 Staffing V1-1 (3)'!$T$295:$U$297,'FY19 Staffing V1-1 (3)'!$T$299:$U$299)/12</f>
        <v>1040.4606231833334</v>
      </c>
      <c r="BL481" s="449">
        <f>SUM('FY19 Staffing V1-1 (3)'!$Q$295:$R$297,'FY19 Staffing V1-1 (3)'!$Q$299:$R$299,'FY19 Staffing V1-1 (3)'!$T$295:$U$297,'FY19 Staffing V1-1 (3)'!$T$299:$U$299)/12</f>
        <v>1040.4606231833334</v>
      </c>
      <c r="BM481" s="449">
        <f>SUM('FY19 Staffing V1-1 (3)'!$Q$295:$R$297,'FY19 Staffing V1-1 (3)'!$Q$299:$R$299,'FY19 Staffing V1-1 (3)'!$T$295:$U$297,'FY19 Staffing V1-1 (3)'!$T$299:$U$299)/12</f>
        <v>1040.4606231833334</v>
      </c>
      <c r="BN481" s="449">
        <f>SUM('FY19 Staffing V1-1 (3)'!$Q$295:$R$297,'FY19 Staffing V1-1 (3)'!$Q$299:$R$299,'FY19 Staffing V1-1 (3)'!$T$295:$U$297,'FY19 Staffing V1-1 (3)'!$T$299:$U$299)/12</f>
        <v>1040.4606231833334</v>
      </c>
      <c r="BO481" s="449">
        <f>SUM('FY19 Staffing V1-1 (3)'!$Q$295:$R$297,'FY19 Staffing V1-1 (3)'!$Q$299:$R$299,'FY19 Staffing V1-1 (3)'!$T$295:$U$297,'FY19 Staffing V1-1 (3)'!$T$299:$U$299)/12</f>
        <v>1040.4606231833334</v>
      </c>
      <c r="BP481" s="449">
        <f>SUM('FY19 Staffing V1-1 (3)'!$Q$295:$R$297,'FY19 Staffing V1-1 (3)'!$Q$299:$R$299,'FY19 Staffing V1-1 (3)'!$T$295:$U$297,'FY19 Staffing V1-1 (3)'!$T$299:$U$299)/12</f>
        <v>1040.4606231833334</v>
      </c>
      <c r="BQ481" s="449">
        <f>SUM('FY19 Staffing V1-1 (3)'!$Q$295:$R$297,'FY19 Staffing V1-1 (3)'!$Q$299:$R$299,'FY19 Staffing V1-1 (3)'!$T$295:$U$297,'FY19 Staffing V1-1 (3)'!$T$299:$U$299)/12</f>
        <v>1040.4606231833334</v>
      </c>
      <c r="BR481" s="449">
        <f>SUM('FY19 Staffing V1-1 (3)'!$Q$295:$R$297,'FY19 Staffing V1-1 (3)'!$Q$299:$R$299,'FY19 Staffing V1-1 (3)'!$T$295:$U$297,'FY19 Staffing V1-1 (3)'!$T$299:$U$299)/12</f>
        <v>1040.4606231833334</v>
      </c>
      <c r="BS481" s="449">
        <f>SUM('FY19 Staffing V1-1 (3)'!$Q$295:$R$297,'FY19 Staffing V1-1 (3)'!$Q$299:$R$299,'FY19 Staffing V1-1 (3)'!$T$295:$U$297,'FY19 Staffing V1-1 (3)'!$T$299:$U$299)/12</f>
        <v>1040.4606231833334</v>
      </c>
      <c r="BT481" s="449">
        <f>SUM('FY19 Staffing V1-1 (3)'!$Q$295:$R$297,'FY19 Staffing V1-1 (3)'!$Q$299:$R$299,'FY19 Staffing V1-1 (3)'!$T$295:$U$297,'FY19 Staffing V1-1 (3)'!$T$299:$U$299)/12</f>
        <v>1040.4606231833334</v>
      </c>
    </row>
    <row r="482" spans="1:72" ht="15" x14ac:dyDescent="0.25">
      <c r="A482" s="502" t="s">
        <v>816</v>
      </c>
      <c r="B482" s="502" t="s">
        <v>817</v>
      </c>
      <c r="C482" s="541"/>
      <c r="D482" s="500">
        <f t="shared" si="398"/>
        <v>0</v>
      </c>
      <c r="E482" s="449">
        <v>10019</v>
      </c>
      <c r="F482" s="449">
        <f t="shared" si="399"/>
        <v>-10019</v>
      </c>
      <c r="G482" s="421">
        <f t="shared" si="400"/>
        <v>-1</v>
      </c>
      <c r="H482" s="449">
        <v>0</v>
      </c>
      <c r="I482" s="449">
        <f t="shared" si="401"/>
        <v>0</v>
      </c>
      <c r="J482" s="426">
        <f t="shared" si="402"/>
        <v>0</v>
      </c>
      <c r="K482" s="421"/>
      <c r="L482" s="449">
        <v>0</v>
      </c>
      <c r="M482" s="449">
        <v>0</v>
      </c>
      <c r="N482" s="449">
        <v>0</v>
      </c>
      <c r="O482" s="449">
        <v>0</v>
      </c>
      <c r="P482" s="449">
        <v>0</v>
      </c>
      <c r="Q482" s="449">
        <v>0</v>
      </c>
      <c r="R482" s="449">
        <f>($H482-SUM($L482:Q482))/R$694</f>
        <v>0</v>
      </c>
      <c r="S482" s="449">
        <f>($H482-SUM($L482:R482))/S$694</f>
        <v>0</v>
      </c>
      <c r="T482" s="449">
        <f>($H482-SUM($L482:S482))/T$694</f>
        <v>0</v>
      </c>
      <c r="U482" s="449">
        <f>($H482-SUM($L482:T482))/U$694</f>
        <v>0</v>
      </c>
      <c r="V482" s="449">
        <f>($H482-SUM($L482:U482))/V$694</f>
        <v>0</v>
      </c>
      <c r="W482" s="449">
        <f>($H482-SUM($L482:V482))/W$694</f>
        <v>0</v>
      </c>
      <c r="X482" s="449"/>
      <c r="Y482" s="449">
        <f t="shared" si="403"/>
        <v>0</v>
      </c>
      <c r="Z482" s="531"/>
      <c r="AA482" s="449">
        <f t="shared" si="404"/>
        <v>0</v>
      </c>
      <c r="AB482" s="449">
        <f t="shared" si="404"/>
        <v>0</v>
      </c>
      <c r="AC482" s="449">
        <f t="shared" si="404"/>
        <v>0</v>
      </c>
      <c r="AD482" s="449">
        <f t="shared" si="404"/>
        <v>0</v>
      </c>
      <c r="AE482" s="449">
        <f t="shared" si="404"/>
        <v>0</v>
      </c>
      <c r="AF482" s="449">
        <f t="shared" si="404"/>
        <v>0</v>
      </c>
      <c r="AG482" s="449">
        <f t="shared" si="404"/>
        <v>0</v>
      </c>
      <c r="AH482" s="449">
        <f t="shared" si="404"/>
        <v>0</v>
      </c>
      <c r="AI482" s="449">
        <f t="shared" si="404"/>
        <v>0</v>
      </c>
      <c r="AJ482" s="449">
        <f t="shared" si="404"/>
        <v>0</v>
      </c>
      <c r="AK482" s="449">
        <f t="shared" si="404"/>
        <v>0</v>
      </c>
      <c r="AL482" s="449">
        <f t="shared" si="404"/>
        <v>0</v>
      </c>
      <c r="AN482" s="500">
        <f t="shared" si="405"/>
        <v>0</v>
      </c>
      <c r="AO482" s="449">
        <f t="shared" si="406"/>
        <v>12632.070140000003</v>
      </c>
      <c r="AP482" s="449">
        <f t="shared" si="407"/>
        <v>12632.070140000003</v>
      </c>
      <c r="AQ482" s="453" t="str">
        <f t="shared" si="408"/>
        <v>-</v>
      </c>
      <c r="AR482" s="449">
        <f t="shared" si="409"/>
        <v>12632.070140000003</v>
      </c>
      <c r="AS482" s="449">
        <f t="shared" si="410"/>
        <v>0</v>
      </c>
      <c r="AT482" s="426">
        <f t="shared" si="411"/>
        <v>0</v>
      </c>
      <c r="AU482" s="421"/>
      <c r="AV482" s="449">
        <f t="shared" si="412"/>
        <v>1052.6725116666667</v>
      </c>
      <c r="AW482" s="449">
        <f t="shared" si="412"/>
        <v>1052.6725116666667</v>
      </c>
      <c r="AX482" s="449">
        <f t="shared" si="412"/>
        <v>1052.6725116666667</v>
      </c>
      <c r="AY482" s="449">
        <f t="shared" si="412"/>
        <v>1052.6725116666667</v>
      </c>
      <c r="AZ482" s="449">
        <f t="shared" si="412"/>
        <v>1052.6725116666667</v>
      </c>
      <c r="BA482" s="449">
        <f t="shared" si="412"/>
        <v>1052.6725116666667</v>
      </c>
      <c r="BB482" s="449">
        <f t="shared" si="412"/>
        <v>1052.6725116666667</v>
      </c>
      <c r="BC482" s="449">
        <f t="shared" si="412"/>
        <v>1052.6725116666667</v>
      </c>
      <c r="BD482" s="449">
        <f t="shared" si="412"/>
        <v>1052.6725116666667</v>
      </c>
      <c r="BE482" s="449">
        <f t="shared" si="412"/>
        <v>1052.6725116666667</v>
      </c>
      <c r="BF482" s="449">
        <f t="shared" si="412"/>
        <v>1052.6725116666667</v>
      </c>
      <c r="BG482" s="449">
        <f t="shared" si="412"/>
        <v>1052.6725116666667</v>
      </c>
      <c r="BH482" s="400"/>
      <c r="BI482" s="449">
        <f>SUM('FY19 Staffing V1-1 (3)'!$Q$293:$R$294,'FY19 Staffing V1-1 (3)'!$Q$298:$R$298,'FY19 Staffing V1-1 (3)'!$Q$300:$R$300,'FY19 Staffing V1-1 (3)'!$T$293:$U$294,'FY19 Staffing V1-1 (3)'!$T$298:$U$298,'FY19 Staffing V1-1 (3)'!$T$300:$U$300)/12</f>
        <v>1052.6725116666667</v>
      </c>
      <c r="BJ482" s="449">
        <f>SUM('FY19 Staffing V1-1 (3)'!$Q$293:$R$294,'FY19 Staffing V1-1 (3)'!$Q$298:$R$298,'FY19 Staffing V1-1 (3)'!$Q$300:$R$300,'FY19 Staffing V1-1 (3)'!$T$293:$U$294,'FY19 Staffing V1-1 (3)'!$T$298:$U$298,'FY19 Staffing V1-1 (3)'!$T$300:$U$300)/12</f>
        <v>1052.6725116666667</v>
      </c>
      <c r="BK482" s="449">
        <f>SUM('FY19 Staffing V1-1 (3)'!$Q$293:$R$294,'FY19 Staffing V1-1 (3)'!$Q$298:$R$298,'FY19 Staffing V1-1 (3)'!$Q$300:$R$300,'FY19 Staffing V1-1 (3)'!$T$293:$U$294,'FY19 Staffing V1-1 (3)'!$T$298:$U$298,'FY19 Staffing V1-1 (3)'!$T$300:$U$300)/12</f>
        <v>1052.6725116666667</v>
      </c>
      <c r="BL482" s="449">
        <f>SUM('FY19 Staffing V1-1 (3)'!$Q$293:$R$294,'FY19 Staffing V1-1 (3)'!$Q$298:$R$298,'FY19 Staffing V1-1 (3)'!$Q$300:$R$300,'FY19 Staffing V1-1 (3)'!$T$293:$U$294,'FY19 Staffing V1-1 (3)'!$T$298:$U$298,'FY19 Staffing V1-1 (3)'!$T$300:$U$300)/12</f>
        <v>1052.6725116666667</v>
      </c>
      <c r="BM482" s="449">
        <f>SUM('FY19 Staffing V1-1 (3)'!$Q$293:$R$294,'FY19 Staffing V1-1 (3)'!$Q$298:$R$298,'FY19 Staffing V1-1 (3)'!$Q$300:$R$300,'FY19 Staffing V1-1 (3)'!$T$293:$U$294,'FY19 Staffing V1-1 (3)'!$T$298:$U$298,'FY19 Staffing V1-1 (3)'!$T$300:$U$300)/12</f>
        <v>1052.6725116666667</v>
      </c>
      <c r="BN482" s="449">
        <f>SUM('FY19 Staffing V1-1 (3)'!$Q$293:$R$294,'FY19 Staffing V1-1 (3)'!$Q$298:$R$298,'FY19 Staffing V1-1 (3)'!$Q$300:$R$300,'FY19 Staffing V1-1 (3)'!$T$293:$U$294,'FY19 Staffing V1-1 (3)'!$T$298:$U$298,'FY19 Staffing V1-1 (3)'!$T$300:$U$300)/12</f>
        <v>1052.6725116666667</v>
      </c>
      <c r="BO482" s="449">
        <f>SUM('FY19 Staffing V1-1 (3)'!$Q$293:$R$294,'FY19 Staffing V1-1 (3)'!$Q$298:$R$298,'FY19 Staffing V1-1 (3)'!$Q$300:$R$300,'FY19 Staffing V1-1 (3)'!$T$293:$U$294,'FY19 Staffing V1-1 (3)'!$T$298:$U$298,'FY19 Staffing V1-1 (3)'!$T$300:$U$300)/12</f>
        <v>1052.6725116666667</v>
      </c>
      <c r="BP482" s="449">
        <f>SUM('FY19 Staffing V1-1 (3)'!$Q$293:$R$294,'FY19 Staffing V1-1 (3)'!$Q$298:$R$298,'FY19 Staffing V1-1 (3)'!$Q$300:$R$300,'FY19 Staffing V1-1 (3)'!$T$293:$U$294,'FY19 Staffing V1-1 (3)'!$T$298:$U$298,'FY19 Staffing V1-1 (3)'!$T$300:$U$300)/12</f>
        <v>1052.6725116666667</v>
      </c>
      <c r="BQ482" s="449">
        <f>SUM('FY19 Staffing V1-1 (3)'!$Q$293:$R$294,'FY19 Staffing V1-1 (3)'!$Q$298:$R$298,'FY19 Staffing V1-1 (3)'!$Q$300:$R$300,'FY19 Staffing V1-1 (3)'!$T$293:$U$294,'FY19 Staffing V1-1 (3)'!$T$298:$U$298,'FY19 Staffing V1-1 (3)'!$T$300:$U$300)/12</f>
        <v>1052.6725116666667</v>
      </c>
      <c r="BR482" s="449">
        <f>SUM('FY19 Staffing V1-1 (3)'!$Q$293:$R$294,'FY19 Staffing V1-1 (3)'!$Q$298:$R$298,'FY19 Staffing V1-1 (3)'!$Q$300:$R$300,'FY19 Staffing V1-1 (3)'!$T$293:$U$294,'FY19 Staffing V1-1 (3)'!$T$298:$U$298,'FY19 Staffing V1-1 (3)'!$T$300:$U$300)/12</f>
        <v>1052.6725116666667</v>
      </c>
      <c r="BS482" s="449">
        <f>SUM('FY19 Staffing V1-1 (3)'!$Q$293:$R$294,'FY19 Staffing V1-1 (3)'!$Q$298:$R$298,'FY19 Staffing V1-1 (3)'!$Q$300:$R$300,'FY19 Staffing V1-1 (3)'!$T$293:$U$294,'FY19 Staffing V1-1 (3)'!$T$298:$U$298,'FY19 Staffing V1-1 (3)'!$T$300:$U$300)/12</f>
        <v>1052.6725116666667</v>
      </c>
      <c r="BT482" s="449">
        <f>SUM('FY19 Staffing V1-1 (3)'!$Q$293:$R$294,'FY19 Staffing V1-1 (3)'!$Q$298:$R$298,'FY19 Staffing V1-1 (3)'!$Q$300:$R$300,'FY19 Staffing V1-1 (3)'!$T$293:$U$294,'FY19 Staffing V1-1 (3)'!$T$298:$U$298,'FY19 Staffing V1-1 (3)'!$T$300:$U$300)/12</f>
        <v>1052.6725116666667</v>
      </c>
    </row>
    <row r="483" spans="1:72" ht="15" customHeight="1" x14ac:dyDescent="0.25">
      <c r="A483" s="502" t="s">
        <v>818</v>
      </c>
      <c r="B483" s="502" t="s">
        <v>819</v>
      </c>
      <c r="C483" s="541"/>
      <c r="D483" s="500">
        <f t="shared" si="398"/>
        <v>26040</v>
      </c>
      <c r="E483" s="449">
        <v>14344</v>
      </c>
      <c r="F483" s="449">
        <f t="shared" si="399"/>
        <v>11696</v>
      </c>
      <c r="G483" s="421">
        <f t="shared" si="400"/>
        <v>0.81539319576129388</v>
      </c>
      <c r="H483" s="449">
        <v>26040</v>
      </c>
      <c r="I483" s="449">
        <f t="shared" si="401"/>
        <v>0</v>
      </c>
      <c r="J483" s="426">
        <f t="shared" si="402"/>
        <v>0</v>
      </c>
      <c r="K483" s="421"/>
      <c r="L483" s="449">
        <v>1447.58</v>
      </c>
      <c r="M483" s="449">
        <v>1447.58</v>
      </c>
      <c r="N483" s="449">
        <v>2370.2200000000003</v>
      </c>
      <c r="O483" s="449">
        <v>-1369.85</v>
      </c>
      <c r="P483" s="449">
        <v>5067.9799999999996</v>
      </c>
      <c r="Q483" s="449">
        <v>1679.7399999999998</v>
      </c>
      <c r="R483" s="449">
        <f>($H483-SUM($L483:Q483))/R$694</f>
        <v>2566.125</v>
      </c>
      <c r="S483" s="449">
        <f>($H483-SUM($L483:R483))/S$694</f>
        <v>2566.125</v>
      </c>
      <c r="T483" s="449">
        <f>($H483-SUM($L483:S483))/T$694</f>
        <v>2566.125</v>
      </c>
      <c r="U483" s="449">
        <f>($H483-SUM($L483:T483))/U$694</f>
        <v>2566.125</v>
      </c>
      <c r="V483" s="449">
        <f>($H483-SUM($L483:U483))/V$694</f>
        <v>2566.125</v>
      </c>
      <c r="W483" s="449">
        <f>($H483-SUM($L483:V483))/W$694</f>
        <v>2566.125</v>
      </c>
      <c r="X483" s="449"/>
      <c r="Y483" s="449">
        <f t="shared" si="403"/>
        <v>26040</v>
      </c>
      <c r="Z483" s="531"/>
      <c r="AA483" s="449">
        <f t="shared" si="404"/>
        <v>2170</v>
      </c>
      <c r="AB483" s="449">
        <f t="shared" si="404"/>
        <v>2170</v>
      </c>
      <c r="AC483" s="449">
        <f t="shared" si="404"/>
        <v>2170</v>
      </c>
      <c r="AD483" s="449">
        <f t="shared" si="404"/>
        <v>2170</v>
      </c>
      <c r="AE483" s="449">
        <f t="shared" si="404"/>
        <v>2170</v>
      </c>
      <c r="AF483" s="449">
        <f t="shared" si="404"/>
        <v>2170</v>
      </c>
      <c r="AG483" s="449">
        <f t="shared" si="404"/>
        <v>2170</v>
      </c>
      <c r="AH483" s="449">
        <f t="shared" si="404"/>
        <v>2170</v>
      </c>
      <c r="AI483" s="449">
        <f t="shared" si="404"/>
        <v>2170</v>
      </c>
      <c r="AJ483" s="449">
        <f t="shared" si="404"/>
        <v>2170</v>
      </c>
      <c r="AK483" s="449">
        <f t="shared" si="404"/>
        <v>2170</v>
      </c>
      <c r="AL483" s="449">
        <f t="shared" si="404"/>
        <v>2170</v>
      </c>
      <c r="AN483" s="500">
        <f t="shared" si="405"/>
        <v>26040</v>
      </c>
      <c r="AO483" s="449">
        <f t="shared" si="406"/>
        <v>12534.059016080004</v>
      </c>
      <c r="AP483" s="449">
        <f t="shared" si="407"/>
        <v>-13505.940983919996</v>
      </c>
      <c r="AQ483" s="453">
        <f t="shared" si="408"/>
        <v>-0.51866132810752674</v>
      </c>
      <c r="AR483" s="449">
        <f t="shared" si="409"/>
        <v>12534.059016080004</v>
      </c>
      <c r="AS483" s="449">
        <f t="shared" si="410"/>
        <v>0</v>
      </c>
      <c r="AT483" s="426">
        <f t="shared" si="411"/>
        <v>0</v>
      </c>
      <c r="AU483" s="421"/>
      <c r="AV483" s="449">
        <f t="shared" si="412"/>
        <v>1044.5049180066669</v>
      </c>
      <c r="AW483" s="449">
        <f t="shared" si="412"/>
        <v>1044.5049180066669</v>
      </c>
      <c r="AX483" s="449">
        <f t="shared" si="412"/>
        <v>1044.5049180066669</v>
      </c>
      <c r="AY483" s="449">
        <f t="shared" si="412"/>
        <v>1044.5049180066669</v>
      </c>
      <c r="AZ483" s="449">
        <f t="shared" si="412"/>
        <v>1044.5049180066669</v>
      </c>
      <c r="BA483" s="449">
        <f t="shared" si="412"/>
        <v>1044.5049180066669</v>
      </c>
      <c r="BB483" s="449">
        <f t="shared" si="412"/>
        <v>1044.5049180066669</v>
      </c>
      <c r="BC483" s="449">
        <f t="shared" si="412"/>
        <v>1044.5049180066669</v>
      </c>
      <c r="BD483" s="449">
        <f t="shared" si="412"/>
        <v>1044.5049180066669</v>
      </c>
      <c r="BE483" s="449">
        <f t="shared" si="412"/>
        <v>1044.5049180066669</v>
      </c>
      <c r="BF483" s="449">
        <f t="shared" si="412"/>
        <v>1044.5049180066669</v>
      </c>
      <c r="BG483" s="449">
        <f t="shared" si="412"/>
        <v>1044.5049180066669</v>
      </c>
      <c r="BH483" s="400"/>
      <c r="BI483" s="449">
        <f>SUM('FY19 Staffing V1-1 (3)'!$W$295:$W$297,'FY19 Staffing V1-1 (3)'!$W$299)/12</f>
        <v>1044.5049180066669</v>
      </c>
      <c r="BJ483" s="449">
        <f>SUM('FY19 Staffing V1-1 (3)'!$W$295:$W$297,'FY19 Staffing V1-1 (3)'!$W$299)/12</f>
        <v>1044.5049180066669</v>
      </c>
      <c r="BK483" s="449">
        <f>SUM('FY19 Staffing V1-1 (3)'!$W$295:$W$297,'FY19 Staffing V1-1 (3)'!$W$299)/12</f>
        <v>1044.5049180066669</v>
      </c>
      <c r="BL483" s="449">
        <f>SUM('FY19 Staffing V1-1 (3)'!$W$295:$W$297,'FY19 Staffing V1-1 (3)'!$W$299)/12</f>
        <v>1044.5049180066669</v>
      </c>
      <c r="BM483" s="449">
        <f>SUM('FY19 Staffing V1-1 (3)'!$W$295:$W$297,'FY19 Staffing V1-1 (3)'!$W$299)/12</f>
        <v>1044.5049180066669</v>
      </c>
      <c r="BN483" s="449">
        <f>SUM('FY19 Staffing V1-1 (3)'!$W$295:$W$297,'FY19 Staffing V1-1 (3)'!$W$299)/12</f>
        <v>1044.5049180066669</v>
      </c>
      <c r="BO483" s="449">
        <f>SUM('FY19 Staffing V1-1 (3)'!$W$295:$W$297,'FY19 Staffing V1-1 (3)'!$W$299)/12</f>
        <v>1044.5049180066669</v>
      </c>
      <c r="BP483" s="449">
        <f>SUM('FY19 Staffing V1-1 (3)'!$W$295:$W$297,'FY19 Staffing V1-1 (3)'!$W$299)/12</f>
        <v>1044.5049180066669</v>
      </c>
      <c r="BQ483" s="449">
        <f>SUM('FY19 Staffing V1-1 (3)'!$W$295:$W$297,'FY19 Staffing V1-1 (3)'!$W$299)/12</f>
        <v>1044.5049180066669</v>
      </c>
      <c r="BR483" s="449">
        <f>SUM('FY19 Staffing V1-1 (3)'!$W$295:$W$297,'FY19 Staffing V1-1 (3)'!$W$299)/12</f>
        <v>1044.5049180066669</v>
      </c>
      <c r="BS483" s="449">
        <f>SUM('FY19 Staffing V1-1 (3)'!$W$295:$W$297,'FY19 Staffing V1-1 (3)'!$W$299)/12</f>
        <v>1044.5049180066669</v>
      </c>
      <c r="BT483" s="449">
        <f>SUM('FY19 Staffing V1-1 (3)'!$W$295:$W$297,'FY19 Staffing V1-1 (3)'!$W$299)/12</f>
        <v>1044.5049180066669</v>
      </c>
    </row>
    <row r="484" spans="1:72" ht="15" customHeight="1" x14ac:dyDescent="0.25">
      <c r="A484" s="502" t="s">
        <v>820</v>
      </c>
      <c r="B484" s="502" t="s">
        <v>821</v>
      </c>
      <c r="C484" s="541"/>
      <c r="D484" s="500">
        <f t="shared" si="398"/>
        <v>0</v>
      </c>
      <c r="E484" s="449">
        <v>11696</v>
      </c>
      <c r="F484" s="449">
        <f t="shared" si="399"/>
        <v>-11696</v>
      </c>
      <c r="G484" s="421">
        <f t="shared" si="400"/>
        <v>-1</v>
      </c>
      <c r="H484" s="449">
        <v>0</v>
      </c>
      <c r="I484" s="449">
        <f t="shared" si="401"/>
        <v>0</v>
      </c>
      <c r="J484" s="426">
        <f t="shared" si="402"/>
        <v>0</v>
      </c>
      <c r="K484" s="421"/>
      <c r="L484" s="449">
        <v>0</v>
      </c>
      <c r="M484" s="449">
        <v>0</v>
      </c>
      <c r="N484" s="449">
        <v>0</v>
      </c>
      <c r="O484" s="449">
        <v>0</v>
      </c>
      <c r="P484" s="449">
        <v>0</v>
      </c>
      <c r="Q484" s="449">
        <v>0</v>
      </c>
      <c r="R484" s="449">
        <f>($H484-SUM($L484:Q484))/R$694</f>
        <v>0</v>
      </c>
      <c r="S484" s="449">
        <f>($H484-SUM($L484:R484))/S$694</f>
        <v>0</v>
      </c>
      <c r="T484" s="449">
        <f>($H484-SUM($L484:S484))/T$694</f>
        <v>0</v>
      </c>
      <c r="U484" s="449">
        <f>($H484-SUM($L484:T484))/U$694</f>
        <v>0</v>
      </c>
      <c r="V484" s="449">
        <f>($H484-SUM($L484:U484))/V$694</f>
        <v>0</v>
      </c>
      <c r="W484" s="449">
        <f>($H484-SUM($L484:V484))/W$694</f>
        <v>0</v>
      </c>
      <c r="X484" s="449"/>
      <c r="Y484" s="449">
        <f t="shared" si="403"/>
        <v>0</v>
      </c>
      <c r="Z484" s="531"/>
      <c r="AA484" s="449">
        <f t="shared" si="404"/>
        <v>0</v>
      </c>
      <c r="AB484" s="449">
        <f t="shared" si="404"/>
        <v>0</v>
      </c>
      <c r="AC484" s="449">
        <f t="shared" si="404"/>
        <v>0</v>
      </c>
      <c r="AD484" s="449">
        <f t="shared" si="404"/>
        <v>0</v>
      </c>
      <c r="AE484" s="449">
        <f t="shared" si="404"/>
        <v>0</v>
      </c>
      <c r="AF484" s="449">
        <f t="shared" si="404"/>
        <v>0</v>
      </c>
      <c r="AG484" s="449">
        <f t="shared" si="404"/>
        <v>0</v>
      </c>
      <c r="AH484" s="449">
        <f t="shared" si="404"/>
        <v>0</v>
      </c>
      <c r="AI484" s="449">
        <f t="shared" si="404"/>
        <v>0</v>
      </c>
      <c r="AJ484" s="449">
        <f t="shared" si="404"/>
        <v>0</v>
      </c>
      <c r="AK484" s="449">
        <f t="shared" si="404"/>
        <v>0</v>
      </c>
      <c r="AL484" s="449">
        <f t="shared" si="404"/>
        <v>0</v>
      </c>
      <c r="AN484" s="500">
        <f t="shared" si="405"/>
        <v>0</v>
      </c>
      <c r="AO484" s="449">
        <f t="shared" si="406"/>
        <v>11890.830056000001</v>
      </c>
      <c r="AP484" s="449">
        <f t="shared" si="407"/>
        <v>11890.830056000001</v>
      </c>
      <c r="AQ484" s="453" t="str">
        <f t="shared" si="408"/>
        <v>-</v>
      </c>
      <c r="AR484" s="449">
        <f t="shared" si="409"/>
        <v>11890.830056000001</v>
      </c>
      <c r="AS484" s="449">
        <f t="shared" si="410"/>
        <v>0</v>
      </c>
      <c r="AT484" s="426">
        <f t="shared" si="411"/>
        <v>0</v>
      </c>
      <c r="AU484" s="421"/>
      <c r="AV484" s="449">
        <f t="shared" si="412"/>
        <v>990.90250466666691</v>
      </c>
      <c r="AW484" s="449">
        <f t="shared" si="412"/>
        <v>990.90250466666691</v>
      </c>
      <c r="AX484" s="449">
        <f t="shared" si="412"/>
        <v>990.90250466666691</v>
      </c>
      <c r="AY484" s="449">
        <f t="shared" si="412"/>
        <v>990.90250466666691</v>
      </c>
      <c r="AZ484" s="449">
        <f t="shared" si="412"/>
        <v>990.90250466666691</v>
      </c>
      <c r="BA484" s="449">
        <f t="shared" si="412"/>
        <v>990.90250466666691</v>
      </c>
      <c r="BB484" s="449">
        <f t="shared" si="412"/>
        <v>990.90250466666691</v>
      </c>
      <c r="BC484" s="449">
        <f t="shared" si="412"/>
        <v>990.90250466666691</v>
      </c>
      <c r="BD484" s="449">
        <f t="shared" si="412"/>
        <v>990.90250466666691</v>
      </c>
      <c r="BE484" s="449">
        <f t="shared" si="412"/>
        <v>990.90250466666691</v>
      </c>
      <c r="BF484" s="449">
        <f t="shared" si="412"/>
        <v>990.90250466666691</v>
      </c>
      <c r="BG484" s="449">
        <f t="shared" si="412"/>
        <v>990.90250466666691</v>
      </c>
      <c r="BH484" s="400"/>
      <c r="BI484" s="449">
        <f>SUM('FY19 Staffing V1-1 (3)'!$W$293:$W$294,'FY19 Staffing V1-1 (3)'!$W$298,'FY19 Staffing V1-1 (3)'!$W$300)/12</f>
        <v>990.90250466666691</v>
      </c>
      <c r="BJ484" s="449">
        <f>SUM('FY19 Staffing V1-1 (3)'!$W$293:$W$294,'FY19 Staffing V1-1 (3)'!$W$298,'FY19 Staffing V1-1 (3)'!$W$300)/12</f>
        <v>990.90250466666691</v>
      </c>
      <c r="BK484" s="449">
        <f>SUM('FY19 Staffing V1-1 (3)'!$W$293:$W$294,'FY19 Staffing V1-1 (3)'!$W$298,'FY19 Staffing V1-1 (3)'!$W$300)/12</f>
        <v>990.90250466666691</v>
      </c>
      <c r="BL484" s="449">
        <f>SUM('FY19 Staffing V1-1 (3)'!$W$293:$W$294,'FY19 Staffing V1-1 (3)'!$W$298,'FY19 Staffing V1-1 (3)'!$W$300)/12</f>
        <v>990.90250466666691</v>
      </c>
      <c r="BM484" s="449">
        <f>SUM('FY19 Staffing V1-1 (3)'!$W$293:$W$294,'FY19 Staffing V1-1 (3)'!$W$298,'FY19 Staffing V1-1 (3)'!$W$300)/12</f>
        <v>990.90250466666691</v>
      </c>
      <c r="BN484" s="449">
        <f>SUM('FY19 Staffing V1-1 (3)'!$W$293:$W$294,'FY19 Staffing V1-1 (3)'!$W$298,'FY19 Staffing V1-1 (3)'!$W$300)/12</f>
        <v>990.90250466666691</v>
      </c>
      <c r="BO484" s="449">
        <f>SUM('FY19 Staffing V1-1 (3)'!$W$293:$W$294,'FY19 Staffing V1-1 (3)'!$W$298,'FY19 Staffing V1-1 (3)'!$W$300)/12</f>
        <v>990.90250466666691</v>
      </c>
      <c r="BP484" s="449">
        <f>SUM('FY19 Staffing V1-1 (3)'!$W$293:$W$294,'FY19 Staffing V1-1 (3)'!$W$298,'FY19 Staffing V1-1 (3)'!$W$300)/12</f>
        <v>990.90250466666691</v>
      </c>
      <c r="BQ484" s="449">
        <f>SUM('FY19 Staffing V1-1 (3)'!$W$293:$W$294,'FY19 Staffing V1-1 (3)'!$W$298,'FY19 Staffing V1-1 (3)'!$W$300)/12</f>
        <v>990.90250466666691</v>
      </c>
      <c r="BR484" s="449">
        <f>SUM('FY19 Staffing V1-1 (3)'!$W$293:$W$294,'FY19 Staffing V1-1 (3)'!$W$298,'FY19 Staffing V1-1 (3)'!$W$300)/12</f>
        <v>990.90250466666691</v>
      </c>
      <c r="BS484" s="449">
        <f>SUM('FY19 Staffing V1-1 (3)'!$W$293:$W$294,'FY19 Staffing V1-1 (3)'!$W$298,'FY19 Staffing V1-1 (3)'!$W$300)/12</f>
        <v>990.90250466666691</v>
      </c>
      <c r="BT484" s="449">
        <f>SUM('FY19 Staffing V1-1 (3)'!$W$293:$W$294,'FY19 Staffing V1-1 (3)'!$W$298,'FY19 Staffing V1-1 (3)'!$W$300)/12</f>
        <v>990.90250466666691</v>
      </c>
    </row>
    <row r="485" spans="1:72" ht="14.25" hidden="1" customHeight="1" x14ac:dyDescent="0.25">
      <c r="A485" s="502" t="s">
        <v>822</v>
      </c>
      <c r="B485" s="502" t="s">
        <v>823</v>
      </c>
      <c r="C485" s="541"/>
      <c r="D485" s="500">
        <f t="shared" si="398"/>
        <v>0</v>
      </c>
      <c r="E485" s="449">
        <v>0</v>
      </c>
      <c r="F485" s="449">
        <f t="shared" si="399"/>
        <v>0</v>
      </c>
      <c r="G485" s="421">
        <f t="shared" si="400"/>
        <v>0</v>
      </c>
      <c r="H485" s="449">
        <v>0</v>
      </c>
      <c r="I485" s="449">
        <f t="shared" si="401"/>
        <v>0</v>
      </c>
      <c r="J485" s="426">
        <f t="shared" si="402"/>
        <v>0</v>
      </c>
      <c r="K485" s="421"/>
      <c r="L485" s="449">
        <v>0</v>
      </c>
      <c r="M485" s="449">
        <v>0</v>
      </c>
      <c r="N485" s="449">
        <v>0</v>
      </c>
      <c r="O485" s="449">
        <v>0</v>
      </c>
      <c r="P485" s="449">
        <v>0</v>
      </c>
      <c r="Q485" s="449">
        <v>0</v>
      </c>
      <c r="R485" s="449">
        <f>($H485-SUM($L485:Q485))/R$694</f>
        <v>0</v>
      </c>
      <c r="S485" s="449">
        <f>($H485-SUM($L485:R485))/S$694</f>
        <v>0</v>
      </c>
      <c r="T485" s="449">
        <f>($H485-SUM($L485:S485))/T$694</f>
        <v>0</v>
      </c>
      <c r="U485" s="449">
        <f>($H485-SUM($L485:T485))/U$694</f>
        <v>0</v>
      </c>
      <c r="V485" s="449">
        <f>($H485-SUM($L485:U485))/V$694</f>
        <v>0</v>
      </c>
      <c r="W485" s="449">
        <f>($H485-SUM($L485:V485))/W$694</f>
        <v>0</v>
      </c>
      <c r="X485" s="449"/>
      <c r="Y485" s="449">
        <f t="shared" si="403"/>
        <v>0</v>
      </c>
      <c r="Z485" s="531"/>
      <c r="AA485" s="449">
        <f t="shared" si="404"/>
        <v>0</v>
      </c>
      <c r="AB485" s="449">
        <f t="shared" si="404"/>
        <v>0</v>
      </c>
      <c r="AC485" s="449">
        <f t="shared" si="404"/>
        <v>0</v>
      </c>
      <c r="AD485" s="449">
        <f t="shared" si="404"/>
        <v>0</v>
      </c>
      <c r="AE485" s="449">
        <f t="shared" si="404"/>
        <v>0</v>
      </c>
      <c r="AF485" s="449">
        <f t="shared" si="404"/>
        <v>0</v>
      </c>
      <c r="AG485" s="449">
        <f t="shared" si="404"/>
        <v>0</v>
      </c>
      <c r="AH485" s="449">
        <f t="shared" si="404"/>
        <v>0</v>
      </c>
      <c r="AI485" s="449">
        <f t="shared" si="404"/>
        <v>0</v>
      </c>
      <c r="AJ485" s="449">
        <f t="shared" si="404"/>
        <v>0</v>
      </c>
      <c r="AK485" s="449">
        <f t="shared" si="404"/>
        <v>0</v>
      </c>
      <c r="AL485" s="449">
        <f t="shared" si="404"/>
        <v>0</v>
      </c>
      <c r="AN485" s="500">
        <f t="shared" si="405"/>
        <v>0</v>
      </c>
      <c r="AO485" s="449">
        <f t="shared" si="406"/>
        <v>0</v>
      </c>
      <c r="AP485" s="449">
        <f t="shared" si="407"/>
        <v>0</v>
      </c>
      <c r="AQ485" s="453" t="str">
        <f t="shared" si="408"/>
        <v>-</v>
      </c>
      <c r="AR485" s="449">
        <f t="shared" si="409"/>
        <v>0</v>
      </c>
      <c r="AS485" s="449">
        <f t="shared" si="410"/>
        <v>0</v>
      </c>
      <c r="AT485" s="426">
        <f t="shared" si="411"/>
        <v>0</v>
      </c>
      <c r="AU485" s="421"/>
      <c r="AV485" s="449">
        <f t="shared" si="412"/>
        <v>0</v>
      </c>
      <c r="AW485" s="449">
        <f t="shared" si="412"/>
        <v>0</v>
      </c>
      <c r="AX485" s="449">
        <f t="shared" si="412"/>
        <v>0</v>
      </c>
      <c r="AY485" s="449">
        <f t="shared" si="412"/>
        <v>0</v>
      </c>
      <c r="AZ485" s="449">
        <f t="shared" si="412"/>
        <v>0</v>
      </c>
      <c r="BA485" s="449">
        <f t="shared" si="412"/>
        <v>0</v>
      </c>
      <c r="BB485" s="449">
        <f t="shared" si="412"/>
        <v>0</v>
      </c>
      <c r="BC485" s="449">
        <f t="shared" si="412"/>
        <v>0</v>
      </c>
      <c r="BD485" s="449">
        <f t="shared" si="412"/>
        <v>0</v>
      </c>
      <c r="BE485" s="449">
        <f t="shared" si="412"/>
        <v>0</v>
      </c>
      <c r="BF485" s="449">
        <f t="shared" si="412"/>
        <v>0</v>
      </c>
      <c r="BG485" s="449">
        <f t="shared" si="412"/>
        <v>0</v>
      </c>
      <c r="BH485" s="400"/>
      <c r="BI485" s="449">
        <v>0</v>
      </c>
      <c r="BJ485" s="449">
        <v>0</v>
      </c>
      <c r="BK485" s="449">
        <v>0</v>
      </c>
      <c r="BL485" s="449">
        <v>0</v>
      </c>
      <c r="BM485" s="449">
        <v>0</v>
      </c>
      <c r="BN485" s="449">
        <v>0</v>
      </c>
      <c r="BO485" s="449">
        <v>0</v>
      </c>
      <c r="BP485" s="449">
        <v>0</v>
      </c>
      <c r="BQ485" s="449">
        <v>0</v>
      </c>
      <c r="BR485" s="449">
        <v>0</v>
      </c>
      <c r="BS485" s="449">
        <v>0</v>
      </c>
      <c r="BT485" s="449">
        <v>0</v>
      </c>
    </row>
    <row r="486" spans="1:72" s="633" customFormat="1" ht="14.25" hidden="1" customHeight="1" x14ac:dyDescent="0.25">
      <c r="A486" s="502" t="s">
        <v>824</v>
      </c>
      <c r="B486" s="502" t="s">
        <v>825</v>
      </c>
      <c r="C486" s="541"/>
      <c r="D486" s="500">
        <f t="shared" si="398"/>
        <v>0</v>
      </c>
      <c r="E486" s="449">
        <v>0</v>
      </c>
      <c r="F486" s="449">
        <f t="shared" si="399"/>
        <v>0</v>
      </c>
      <c r="G486" s="421">
        <f t="shared" si="400"/>
        <v>0</v>
      </c>
      <c r="H486" s="449">
        <v>0</v>
      </c>
      <c r="I486" s="449">
        <f t="shared" si="401"/>
        <v>0</v>
      </c>
      <c r="J486" s="426">
        <f t="shared" si="402"/>
        <v>0</v>
      </c>
      <c r="K486" s="421"/>
      <c r="L486" s="449">
        <v>0</v>
      </c>
      <c r="M486" s="449">
        <v>0</v>
      </c>
      <c r="N486" s="449">
        <v>0</v>
      </c>
      <c r="O486" s="449">
        <v>0</v>
      </c>
      <c r="P486" s="449">
        <v>0</v>
      </c>
      <c r="Q486" s="449">
        <v>0</v>
      </c>
      <c r="R486" s="449">
        <f>($H486-SUM($L486:Q486))/R$694</f>
        <v>0</v>
      </c>
      <c r="S486" s="449">
        <f>($H486-SUM($L486:R486))/S$694</f>
        <v>0</v>
      </c>
      <c r="T486" s="449">
        <f>($H486-SUM($L486:S486))/T$694</f>
        <v>0</v>
      </c>
      <c r="U486" s="449">
        <f>($H486-SUM($L486:T486))/U$694</f>
        <v>0</v>
      </c>
      <c r="V486" s="449">
        <f>($H486-SUM($L486:U486))/V$694</f>
        <v>0</v>
      </c>
      <c r="W486" s="449">
        <f>($H486-SUM($L486:V486))/W$694</f>
        <v>0</v>
      </c>
      <c r="X486" s="449"/>
      <c r="Y486" s="449">
        <f t="shared" si="403"/>
        <v>0</v>
      </c>
      <c r="Z486" s="531"/>
      <c r="AA486" s="449">
        <f t="shared" si="404"/>
        <v>0</v>
      </c>
      <c r="AB486" s="449">
        <f t="shared" si="404"/>
        <v>0</v>
      </c>
      <c r="AC486" s="449">
        <f t="shared" si="404"/>
        <v>0</v>
      </c>
      <c r="AD486" s="449">
        <f t="shared" si="404"/>
        <v>0</v>
      </c>
      <c r="AE486" s="449">
        <f t="shared" si="404"/>
        <v>0</v>
      </c>
      <c r="AF486" s="449">
        <f t="shared" si="404"/>
        <v>0</v>
      </c>
      <c r="AG486" s="449">
        <f t="shared" si="404"/>
        <v>0</v>
      </c>
      <c r="AH486" s="449">
        <f t="shared" si="404"/>
        <v>0</v>
      </c>
      <c r="AI486" s="449">
        <f t="shared" si="404"/>
        <v>0</v>
      </c>
      <c r="AJ486" s="449">
        <f t="shared" si="404"/>
        <v>0</v>
      </c>
      <c r="AK486" s="449">
        <f t="shared" si="404"/>
        <v>0</v>
      </c>
      <c r="AL486" s="449">
        <f t="shared" si="404"/>
        <v>0</v>
      </c>
      <c r="AN486" s="500">
        <f t="shared" si="405"/>
        <v>0</v>
      </c>
      <c r="AO486" s="449">
        <f t="shared" si="406"/>
        <v>0</v>
      </c>
      <c r="AP486" s="449">
        <f t="shared" si="407"/>
        <v>0</v>
      </c>
      <c r="AQ486" s="453" t="str">
        <f t="shared" si="408"/>
        <v>-</v>
      </c>
      <c r="AR486" s="449">
        <f t="shared" si="409"/>
        <v>0</v>
      </c>
      <c r="AS486" s="449">
        <f t="shared" si="410"/>
        <v>0</v>
      </c>
      <c r="AT486" s="426">
        <f t="shared" si="411"/>
        <v>0</v>
      </c>
      <c r="AU486" s="421"/>
      <c r="AV486" s="449">
        <f t="shared" si="412"/>
        <v>0</v>
      </c>
      <c r="AW486" s="449">
        <f t="shared" si="412"/>
        <v>0</v>
      </c>
      <c r="AX486" s="449">
        <f t="shared" si="412"/>
        <v>0</v>
      </c>
      <c r="AY486" s="449">
        <f t="shared" si="412"/>
        <v>0</v>
      </c>
      <c r="AZ486" s="449">
        <f t="shared" si="412"/>
        <v>0</v>
      </c>
      <c r="BA486" s="449">
        <f t="shared" si="412"/>
        <v>0</v>
      </c>
      <c r="BB486" s="449">
        <f t="shared" si="412"/>
        <v>0</v>
      </c>
      <c r="BC486" s="449">
        <f t="shared" si="412"/>
        <v>0</v>
      </c>
      <c r="BD486" s="449">
        <f t="shared" si="412"/>
        <v>0</v>
      </c>
      <c r="BE486" s="449">
        <f t="shared" si="412"/>
        <v>0</v>
      </c>
      <c r="BF486" s="449">
        <f t="shared" si="412"/>
        <v>0</v>
      </c>
      <c r="BG486" s="449">
        <f t="shared" si="412"/>
        <v>0</v>
      </c>
      <c r="BH486" s="400"/>
      <c r="BI486" s="449">
        <v>0</v>
      </c>
      <c r="BJ486" s="449">
        <v>0</v>
      </c>
      <c r="BK486" s="449">
        <v>0</v>
      </c>
      <c r="BL486" s="449">
        <v>0</v>
      </c>
      <c r="BM486" s="449">
        <v>0</v>
      </c>
      <c r="BN486" s="449">
        <v>0</v>
      </c>
      <c r="BO486" s="449">
        <v>0</v>
      </c>
      <c r="BP486" s="449">
        <v>0</v>
      </c>
      <c r="BQ486" s="449">
        <v>0</v>
      </c>
      <c r="BR486" s="449">
        <v>0</v>
      </c>
      <c r="BS486" s="449">
        <v>0</v>
      </c>
      <c r="BT486" s="449">
        <v>0</v>
      </c>
    </row>
    <row r="487" spans="1:72" ht="15" customHeight="1" x14ac:dyDescent="0.25">
      <c r="A487" s="502" t="s">
        <v>826</v>
      </c>
      <c r="B487" s="502" t="s">
        <v>827</v>
      </c>
      <c r="C487" s="541"/>
      <c r="D487" s="500">
        <f t="shared" si="398"/>
        <v>6203</v>
      </c>
      <c r="E487" s="449">
        <v>3627</v>
      </c>
      <c r="F487" s="449">
        <f t="shared" si="399"/>
        <v>2576</v>
      </c>
      <c r="G487" s="421">
        <f t="shared" si="400"/>
        <v>0.71022883926109737</v>
      </c>
      <c r="H487" s="449">
        <v>6203</v>
      </c>
      <c r="I487" s="449">
        <f t="shared" si="401"/>
        <v>0</v>
      </c>
      <c r="J487" s="426">
        <f t="shared" si="402"/>
        <v>0</v>
      </c>
      <c r="K487" s="421"/>
      <c r="L487" s="449">
        <v>280.54000000000002</v>
      </c>
      <c r="M487" s="449">
        <v>532.66000000000008</v>
      </c>
      <c r="N487" s="449">
        <v>414.71000000000004</v>
      </c>
      <c r="O487" s="449">
        <v>485.28999999999996</v>
      </c>
      <c r="P487" s="449">
        <v>326.69000000000005</v>
      </c>
      <c r="Q487" s="449">
        <v>397.99</v>
      </c>
      <c r="R487" s="449">
        <f>($H487-SUM($L487:Q487))/R$694</f>
        <v>627.52</v>
      </c>
      <c r="S487" s="449">
        <f>($H487-SUM($L487:R487))/S$694</f>
        <v>627.52</v>
      </c>
      <c r="T487" s="449">
        <f>($H487-SUM($L487:S487))/T$694</f>
        <v>627.52</v>
      </c>
      <c r="U487" s="449">
        <f>($H487-SUM($L487:T487))/U$694</f>
        <v>627.51999999999987</v>
      </c>
      <c r="V487" s="449">
        <f>($H487-SUM($L487:U487))/V$694</f>
        <v>627.52</v>
      </c>
      <c r="W487" s="449">
        <f>($H487-SUM($L487:V487))/W$694</f>
        <v>627.52000000000044</v>
      </c>
      <c r="X487" s="449"/>
      <c r="Y487" s="449">
        <f t="shared" si="403"/>
        <v>6203</v>
      </c>
      <c r="Z487" s="531"/>
      <c r="AA487" s="449">
        <f t="shared" si="404"/>
        <v>516.91666666666663</v>
      </c>
      <c r="AB487" s="449">
        <f t="shared" si="404"/>
        <v>516.91666666666663</v>
      </c>
      <c r="AC487" s="449">
        <f t="shared" si="404"/>
        <v>516.91666666666663</v>
      </c>
      <c r="AD487" s="449">
        <f t="shared" si="404"/>
        <v>516.91666666666663</v>
      </c>
      <c r="AE487" s="449">
        <f t="shared" si="404"/>
        <v>516.91666666666663</v>
      </c>
      <c r="AF487" s="449">
        <f t="shared" si="404"/>
        <v>516.91666666666663</v>
      </c>
      <c r="AG487" s="449">
        <f t="shared" si="404"/>
        <v>516.91666666666663</v>
      </c>
      <c r="AH487" s="449">
        <f t="shared" si="404"/>
        <v>516.91666666666663</v>
      </c>
      <c r="AI487" s="449">
        <f t="shared" si="404"/>
        <v>516.91666666666663</v>
      </c>
      <c r="AJ487" s="449">
        <f t="shared" si="404"/>
        <v>516.91666666666663</v>
      </c>
      <c r="AK487" s="449">
        <f t="shared" si="404"/>
        <v>516.91666666666663</v>
      </c>
      <c r="AL487" s="449">
        <f t="shared" si="404"/>
        <v>516.91666666666663</v>
      </c>
      <c r="AN487" s="500">
        <f t="shared" si="405"/>
        <v>6203</v>
      </c>
      <c r="AO487" s="449">
        <f t="shared" si="406"/>
        <v>3285.4600000000005</v>
      </c>
      <c r="AP487" s="449">
        <f t="shared" si="407"/>
        <v>-2917.5399999999995</v>
      </c>
      <c r="AQ487" s="453">
        <f t="shared" si="408"/>
        <v>-0.47034338223440264</v>
      </c>
      <c r="AR487" s="449">
        <f t="shared" si="409"/>
        <v>3285.4600000000005</v>
      </c>
      <c r="AS487" s="449">
        <f t="shared" si="410"/>
        <v>0</v>
      </c>
      <c r="AT487" s="426">
        <f t="shared" si="411"/>
        <v>0</v>
      </c>
      <c r="AU487" s="421"/>
      <c r="AV487" s="449">
        <f t="shared" si="412"/>
        <v>273.78833333333336</v>
      </c>
      <c r="AW487" s="449">
        <f t="shared" si="412"/>
        <v>273.78833333333336</v>
      </c>
      <c r="AX487" s="449">
        <f t="shared" si="412"/>
        <v>273.78833333333336</v>
      </c>
      <c r="AY487" s="449">
        <f t="shared" si="412"/>
        <v>273.78833333333336</v>
      </c>
      <c r="AZ487" s="449">
        <f t="shared" si="412"/>
        <v>273.78833333333336</v>
      </c>
      <c r="BA487" s="449">
        <f t="shared" si="412"/>
        <v>273.78833333333336</v>
      </c>
      <c r="BB487" s="449">
        <f t="shared" si="412"/>
        <v>273.78833333333336</v>
      </c>
      <c r="BC487" s="449">
        <f t="shared" si="412"/>
        <v>273.78833333333336</v>
      </c>
      <c r="BD487" s="449">
        <f t="shared" si="412"/>
        <v>273.78833333333336</v>
      </c>
      <c r="BE487" s="449">
        <f t="shared" si="412"/>
        <v>273.78833333333336</v>
      </c>
      <c r="BF487" s="449">
        <f t="shared" si="412"/>
        <v>273.78833333333336</v>
      </c>
      <c r="BG487" s="449">
        <f t="shared" si="412"/>
        <v>273.78833333333336</v>
      </c>
      <c r="BH487" s="400"/>
      <c r="BI487" s="449">
        <f>SUM('FY19 Staffing V1-1 (3)'!$S$295:$S$297,'FY19 Staffing V1-1 (3)'!$S$299)/12</f>
        <v>273.78833333333336</v>
      </c>
      <c r="BJ487" s="449">
        <f>SUM('FY19 Staffing V1-1 (3)'!$S$295:$S$297,'FY19 Staffing V1-1 (3)'!$S$299)/12</f>
        <v>273.78833333333336</v>
      </c>
      <c r="BK487" s="449">
        <f>SUM('FY19 Staffing V1-1 (3)'!$S$295:$S$297,'FY19 Staffing V1-1 (3)'!$S$299)/12</f>
        <v>273.78833333333336</v>
      </c>
      <c r="BL487" s="449">
        <f>SUM('FY19 Staffing V1-1 (3)'!$S$295:$S$297,'FY19 Staffing V1-1 (3)'!$S$299)/12</f>
        <v>273.78833333333336</v>
      </c>
      <c r="BM487" s="449">
        <f>SUM('FY19 Staffing V1-1 (3)'!$S$295:$S$297,'FY19 Staffing V1-1 (3)'!$S$299)/12</f>
        <v>273.78833333333336</v>
      </c>
      <c r="BN487" s="449">
        <f>SUM('FY19 Staffing V1-1 (3)'!$S$295:$S$297,'FY19 Staffing V1-1 (3)'!$S$299)/12</f>
        <v>273.78833333333336</v>
      </c>
      <c r="BO487" s="449">
        <f>SUM('FY19 Staffing V1-1 (3)'!$S$295:$S$297,'FY19 Staffing V1-1 (3)'!$S$299)/12</f>
        <v>273.78833333333336</v>
      </c>
      <c r="BP487" s="449">
        <f>SUM('FY19 Staffing V1-1 (3)'!$S$295:$S$297,'FY19 Staffing V1-1 (3)'!$S$299)/12</f>
        <v>273.78833333333336</v>
      </c>
      <c r="BQ487" s="449">
        <f>SUM('FY19 Staffing V1-1 (3)'!$S$295:$S$297,'FY19 Staffing V1-1 (3)'!$S$299)/12</f>
        <v>273.78833333333336</v>
      </c>
      <c r="BR487" s="449">
        <f>SUM('FY19 Staffing V1-1 (3)'!$S$295:$S$297,'FY19 Staffing V1-1 (3)'!$S$299)/12</f>
        <v>273.78833333333336</v>
      </c>
      <c r="BS487" s="449">
        <f>SUM('FY19 Staffing V1-1 (3)'!$S$295:$S$297,'FY19 Staffing V1-1 (3)'!$S$299)/12</f>
        <v>273.78833333333336</v>
      </c>
      <c r="BT487" s="449">
        <f>SUM('FY19 Staffing V1-1 (3)'!$S$295:$S$297,'FY19 Staffing V1-1 (3)'!$S$299)/12</f>
        <v>273.78833333333336</v>
      </c>
    </row>
    <row r="488" spans="1:72" ht="15" customHeight="1" x14ac:dyDescent="0.25">
      <c r="A488" s="502" t="s">
        <v>828</v>
      </c>
      <c r="B488" s="502" t="s">
        <v>829</v>
      </c>
      <c r="C488" s="541"/>
      <c r="D488" s="500">
        <f t="shared" si="398"/>
        <v>0</v>
      </c>
      <c r="E488" s="449">
        <v>2576</v>
      </c>
      <c r="F488" s="449">
        <f t="shared" si="399"/>
        <v>-2576</v>
      </c>
      <c r="G488" s="421">
        <f t="shared" si="400"/>
        <v>-1</v>
      </c>
      <c r="H488" s="449">
        <v>0</v>
      </c>
      <c r="I488" s="449">
        <f t="shared" si="401"/>
        <v>0</v>
      </c>
      <c r="J488" s="426">
        <f t="shared" si="402"/>
        <v>0</v>
      </c>
      <c r="K488" s="421"/>
      <c r="L488" s="449">
        <v>0</v>
      </c>
      <c r="M488" s="449">
        <v>0</v>
      </c>
      <c r="N488" s="449">
        <v>0</v>
      </c>
      <c r="O488" s="449">
        <v>0</v>
      </c>
      <c r="P488" s="449">
        <v>0</v>
      </c>
      <c r="Q488" s="449">
        <v>0</v>
      </c>
      <c r="R488" s="449">
        <f>($H488-SUM($L488:Q488))/R$694</f>
        <v>0</v>
      </c>
      <c r="S488" s="449">
        <f>($H488-SUM($L488:R488))/S$694</f>
        <v>0</v>
      </c>
      <c r="T488" s="449">
        <f>($H488-SUM($L488:S488))/T$694</f>
        <v>0</v>
      </c>
      <c r="U488" s="449">
        <f>($H488-SUM($L488:T488))/U$694</f>
        <v>0</v>
      </c>
      <c r="V488" s="449">
        <f>($H488-SUM($L488:U488))/V$694</f>
        <v>0</v>
      </c>
      <c r="W488" s="449">
        <f>($H488-SUM($L488:V488))/W$694</f>
        <v>0</v>
      </c>
      <c r="X488" s="449"/>
      <c r="Y488" s="449">
        <f t="shared" si="403"/>
        <v>0</v>
      </c>
      <c r="Z488" s="531"/>
      <c r="AA488" s="449">
        <f t="shared" si="404"/>
        <v>0</v>
      </c>
      <c r="AB488" s="449">
        <f t="shared" si="404"/>
        <v>0</v>
      </c>
      <c r="AC488" s="449">
        <f t="shared" si="404"/>
        <v>0</v>
      </c>
      <c r="AD488" s="449">
        <f t="shared" si="404"/>
        <v>0</v>
      </c>
      <c r="AE488" s="449">
        <f t="shared" si="404"/>
        <v>0</v>
      </c>
      <c r="AF488" s="449">
        <f t="shared" si="404"/>
        <v>0</v>
      </c>
      <c r="AG488" s="449">
        <f t="shared" si="404"/>
        <v>0</v>
      </c>
      <c r="AH488" s="449">
        <f t="shared" si="404"/>
        <v>0</v>
      </c>
      <c r="AI488" s="449">
        <f t="shared" si="404"/>
        <v>0</v>
      </c>
      <c r="AJ488" s="449">
        <f t="shared" si="404"/>
        <v>0</v>
      </c>
      <c r="AK488" s="449">
        <f t="shared" si="404"/>
        <v>0</v>
      </c>
      <c r="AL488" s="449">
        <f t="shared" si="404"/>
        <v>0</v>
      </c>
      <c r="AN488" s="500">
        <f t="shared" si="405"/>
        <v>0</v>
      </c>
      <c r="AO488" s="449">
        <f t="shared" si="406"/>
        <v>3342.24</v>
      </c>
      <c r="AP488" s="449">
        <f t="shared" si="407"/>
        <v>3342.24</v>
      </c>
      <c r="AQ488" s="453" t="str">
        <f t="shared" si="408"/>
        <v>-</v>
      </c>
      <c r="AR488" s="449">
        <f t="shared" si="409"/>
        <v>3342.24</v>
      </c>
      <c r="AS488" s="449">
        <f t="shared" si="410"/>
        <v>0</v>
      </c>
      <c r="AT488" s="426">
        <f t="shared" si="411"/>
        <v>0</v>
      </c>
      <c r="AU488" s="421"/>
      <c r="AV488" s="449">
        <f t="shared" si="412"/>
        <v>278.52</v>
      </c>
      <c r="AW488" s="449">
        <f t="shared" si="412"/>
        <v>278.52</v>
      </c>
      <c r="AX488" s="449">
        <f t="shared" si="412"/>
        <v>278.52</v>
      </c>
      <c r="AY488" s="449">
        <f t="shared" si="412"/>
        <v>278.52</v>
      </c>
      <c r="AZ488" s="449">
        <f t="shared" si="412"/>
        <v>278.52</v>
      </c>
      <c r="BA488" s="449">
        <f t="shared" si="412"/>
        <v>278.52</v>
      </c>
      <c r="BB488" s="449">
        <f t="shared" si="412"/>
        <v>278.52</v>
      </c>
      <c r="BC488" s="449">
        <f t="shared" si="412"/>
        <v>278.52</v>
      </c>
      <c r="BD488" s="449">
        <f t="shared" si="412"/>
        <v>278.52</v>
      </c>
      <c r="BE488" s="449">
        <f t="shared" si="412"/>
        <v>278.52</v>
      </c>
      <c r="BF488" s="449">
        <f t="shared" si="412"/>
        <v>278.52</v>
      </c>
      <c r="BG488" s="449">
        <f t="shared" si="412"/>
        <v>278.52</v>
      </c>
      <c r="BH488" s="400"/>
      <c r="BI488" s="449">
        <f>SUM('FY19 Staffing V1-1 (3)'!$S$293:$S$294,'FY19 Staffing V1-1 (3)'!$S$298,'FY19 Staffing V1-1 (3)'!$S$300)/12</f>
        <v>278.52</v>
      </c>
      <c r="BJ488" s="449">
        <f>SUM('FY19 Staffing V1-1 (3)'!$S$293:$S$294,'FY19 Staffing V1-1 (3)'!$S$298,'FY19 Staffing V1-1 (3)'!$S$300)/12</f>
        <v>278.52</v>
      </c>
      <c r="BK488" s="449">
        <f>SUM('FY19 Staffing V1-1 (3)'!$S$293:$S$294,'FY19 Staffing V1-1 (3)'!$S$298,'FY19 Staffing V1-1 (3)'!$S$300)/12</f>
        <v>278.52</v>
      </c>
      <c r="BL488" s="449">
        <f>SUM('FY19 Staffing V1-1 (3)'!$S$293:$S$294,'FY19 Staffing V1-1 (3)'!$S$298,'FY19 Staffing V1-1 (3)'!$S$300)/12</f>
        <v>278.52</v>
      </c>
      <c r="BM488" s="449">
        <f>SUM('FY19 Staffing V1-1 (3)'!$S$293:$S$294,'FY19 Staffing V1-1 (3)'!$S$298,'FY19 Staffing V1-1 (3)'!$S$300)/12</f>
        <v>278.52</v>
      </c>
      <c r="BN488" s="449">
        <f>SUM('FY19 Staffing V1-1 (3)'!$S$293:$S$294,'FY19 Staffing V1-1 (3)'!$S$298,'FY19 Staffing V1-1 (3)'!$S$300)/12</f>
        <v>278.52</v>
      </c>
      <c r="BO488" s="449">
        <f>SUM('FY19 Staffing V1-1 (3)'!$S$293:$S$294,'FY19 Staffing V1-1 (3)'!$S$298,'FY19 Staffing V1-1 (3)'!$S$300)/12</f>
        <v>278.52</v>
      </c>
      <c r="BP488" s="449">
        <f>SUM('FY19 Staffing V1-1 (3)'!$S$293:$S$294,'FY19 Staffing V1-1 (3)'!$S$298,'FY19 Staffing V1-1 (3)'!$S$300)/12</f>
        <v>278.52</v>
      </c>
      <c r="BQ488" s="449">
        <f>SUM('FY19 Staffing V1-1 (3)'!$S$293:$S$294,'FY19 Staffing V1-1 (3)'!$S$298,'FY19 Staffing V1-1 (3)'!$S$300)/12</f>
        <v>278.52</v>
      </c>
      <c r="BR488" s="449">
        <f>SUM('FY19 Staffing V1-1 (3)'!$S$293:$S$294,'FY19 Staffing V1-1 (3)'!$S$298,'FY19 Staffing V1-1 (3)'!$S$300)/12</f>
        <v>278.52</v>
      </c>
      <c r="BS488" s="449">
        <f>SUM('FY19 Staffing V1-1 (3)'!$S$293:$S$294,'FY19 Staffing V1-1 (3)'!$S$298,'FY19 Staffing V1-1 (3)'!$S$300)/12</f>
        <v>278.52</v>
      </c>
      <c r="BT488" s="449">
        <f>SUM('FY19 Staffing V1-1 (3)'!$S$293:$S$294,'FY19 Staffing V1-1 (3)'!$S$298,'FY19 Staffing V1-1 (3)'!$S$300)/12</f>
        <v>278.52</v>
      </c>
    </row>
    <row r="489" spans="1:72" ht="15" customHeight="1" x14ac:dyDescent="0.25">
      <c r="A489" s="502" t="s">
        <v>830</v>
      </c>
      <c r="B489" s="537" t="s">
        <v>831</v>
      </c>
      <c r="C489" s="541"/>
      <c r="D489" s="500">
        <f t="shared" si="398"/>
        <v>0</v>
      </c>
      <c r="E489" s="449">
        <v>0</v>
      </c>
      <c r="F489" s="449">
        <f t="shared" si="399"/>
        <v>0</v>
      </c>
      <c r="G489" s="421">
        <f t="shared" si="400"/>
        <v>0</v>
      </c>
      <c r="H489" s="449">
        <v>0</v>
      </c>
      <c r="I489" s="449">
        <f t="shared" si="401"/>
        <v>0</v>
      </c>
      <c r="J489" s="426">
        <f t="shared" si="402"/>
        <v>0</v>
      </c>
      <c r="K489" s="421"/>
      <c r="L489" s="449">
        <v>0</v>
      </c>
      <c r="M489" s="449">
        <v>0</v>
      </c>
      <c r="N489" s="449">
        <v>0</v>
      </c>
      <c r="O489" s="449">
        <v>0</v>
      </c>
      <c r="P489" s="449">
        <v>0</v>
      </c>
      <c r="Q489" s="449">
        <v>0</v>
      </c>
      <c r="R489" s="449">
        <f>($H489-SUM($L489:Q489))/R$694</f>
        <v>0</v>
      </c>
      <c r="S489" s="449">
        <f>($H489-SUM($L489:R489))/S$694</f>
        <v>0</v>
      </c>
      <c r="T489" s="449">
        <f>($H489-SUM($L489:S489))/T$694</f>
        <v>0</v>
      </c>
      <c r="U489" s="449">
        <f>($H489-SUM($L489:T489))/U$694</f>
        <v>0</v>
      </c>
      <c r="V489" s="449">
        <f>($H489-SUM($L489:U489))/V$694</f>
        <v>0</v>
      </c>
      <c r="W489" s="449">
        <f>($H489-SUM($L489:V489))/W$694</f>
        <v>0</v>
      </c>
      <c r="X489" s="449"/>
      <c r="Y489" s="449">
        <f t="shared" si="403"/>
        <v>0</v>
      </c>
      <c r="Z489" s="531"/>
      <c r="AA489" s="449">
        <f t="shared" si="404"/>
        <v>0</v>
      </c>
      <c r="AB489" s="449">
        <f t="shared" si="404"/>
        <v>0</v>
      </c>
      <c r="AC489" s="449">
        <f t="shared" si="404"/>
        <v>0</v>
      </c>
      <c r="AD489" s="449">
        <f t="shared" si="404"/>
        <v>0</v>
      </c>
      <c r="AE489" s="449">
        <f t="shared" si="404"/>
        <v>0</v>
      </c>
      <c r="AF489" s="449">
        <f t="shared" si="404"/>
        <v>0</v>
      </c>
      <c r="AG489" s="449">
        <f t="shared" si="404"/>
        <v>0</v>
      </c>
      <c r="AH489" s="449">
        <f t="shared" si="404"/>
        <v>0</v>
      </c>
      <c r="AI489" s="449">
        <f t="shared" si="404"/>
        <v>0</v>
      </c>
      <c r="AJ489" s="449">
        <f t="shared" si="404"/>
        <v>0</v>
      </c>
      <c r="AK489" s="449">
        <f t="shared" si="404"/>
        <v>0</v>
      </c>
      <c r="AL489" s="449">
        <f t="shared" si="404"/>
        <v>0</v>
      </c>
      <c r="AN489" s="500">
        <f t="shared" si="405"/>
        <v>0</v>
      </c>
      <c r="AO489" s="449">
        <f t="shared" si="406"/>
        <v>54105.899999999987</v>
      </c>
      <c r="AP489" s="449">
        <f t="shared" si="407"/>
        <v>54105.899999999987</v>
      </c>
      <c r="AQ489" s="453" t="str">
        <f t="shared" si="408"/>
        <v>-</v>
      </c>
      <c r="AR489" s="449">
        <f t="shared" si="409"/>
        <v>54105.899999999987</v>
      </c>
      <c r="AS489" s="449">
        <f t="shared" si="410"/>
        <v>0</v>
      </c>
      <c r="AT489" s="426">
        <f t="shared" si="411"/>
        <v>0</v>
      </c>
      <c r="AU489" s="421"/>
      <c r="AV489" s="449">
        <f t="shared" si="412"/>
        <v>4508.8249999999998</v>
      </c>
      <c r="AW489" s="449">
        <f t="shared" si="412"/>
        <v>4508.8249999999998</v>
      </c>
      <c r="AX489" s="449">
        <f t="shared" si="412"/>
        <v>4508.8249999999998</v>
      </c>
      <c r="AY489" s="449">
        <f t="shared" si="412"/>
        <v>4508.8249999999998</v>
      </c>
      <c r="AZ489" s="449">
        <f t="shared" si="412"/>
        <v>4508.8249999999998</v>
      </c>
      <c r="BA489" s="449">
        <f t="shared" si="412"/>
        <v>4508.8249999999998</v>
      </c>
      <c r="BB489" s="449">
        <f t="shared" si="412"/>
        <v>4508.8249999999998</v>
      </c>
      <c r="BC489" s="449">
        <f t="shared" si="412"/>
        <v>4508.8249999999998</v>
      </c>
      <c r="BD489" s="449">
        <f t="shared" si="412"/>
        <v>4508.8249999999998</v>
      </c>
      <c r="BE489" s="449">
        <f t="shared" si="412"/>
        <v>4508.8249999999998</v>
      </c>
      <c r="BF489" s="449">
        <f t="shared" si="412"/>
        <v>4508.8249999999998</v>
      </c>
      <c r="BG489" s="449">
        <f t="shared" si="412"/>
        <v>4508.8249999999998</v>
      </c>
      <c r="BH489" s="400"/>
      <c r="BI489" s="449">
        <f>SUM('FY19 Staffing V1-1 (3)'!$P$292)/12</f>
        <v>4508.8249999999998</v>
      </c>
      <c r="BJ489" s="449">
        <f>SUM('FY19 Staffing V1-1 (3)'!$P$292)/12</f>
        <v>4508.8249999999998</v>
      </c>
      <c r="BK489" s="449">
        <f>SUM('FY19 Staffing V1-1 (3)'!$P$292)/12</f>
        <v>4508.8249999999998</v>
      </c>
      <c r="BL489" s="449">
        <f>SUM('FY19 Staffing V1-1 (3)'!$P$292)/12</f>
        <v>4508.8249999999998</v>
      </c>
      <c r="BM489" s="449">
        <f>SUM('FY19 Staffing V1-1 (3)'!$P$292)/12</f>
        <v>4508.8249999999998</v>
      </c>
      <c r="BN489" s="449">
        <f>SUM('FY19 Staffing V1-1 (3)'!$P$292)/12</f>
        <v>4508.8249999999998</v>
      </c>
      <c r="BO489" s="449">
        <f>SUM('FY19 Staffing V1-1 (3)'!$P$292)/12</f>
        <v>4508.8249999999998</v>
      </c>
      <c r="BP489" s="449">
        <f>SUM('FY19 Staffing V1-1 (3)'!$P$292)/12</f>
        <v>4508.8249999999998</v>
      </c>
      <c r="BQ489" s="449">
        <f>SUM('FY19 Staffing V1-1 (3)'!$P$292)/12</f>
        <v>4508.8249999999998</v>
      </c>
      <c r="BR489" s="449">
        <f>SUM('FY19 Staffing V1-1 (3)'!$P$292)/12</f>
        <v>4508.8249999999998</v>
      </c>
      <c r="BS489" s="449">
        <f>SUM('FY19 Staffing V1-1 (3)'!$P$292)/12</f>
        <v>4508.8249999999998</v>
      </c>
      <c r="BT489" s="449">
        <f>SUM('FY19 Staffing V1-1 (3)'!$P$292)/12</f>
        <v>4508.8249999999998</v>
      </c>
    </row>
    <row r="490" spans="1:72" ht="15" customHeight="1" x14ac:dyDescent="0.25">
      <c r="A490" s="537" t="s">
        <v>832</v>
      </c>
      <c r="B490" s="537" t="s">
        <v>833</v>
      </c>
      <c r="C490" s="541"/>
      <c r="D490" s="500">
        <f t="shared" si="398"/>
        <v>0</v>
      </c>
      <c r="E490" s="449">
        <v>0</v>
      </c>
      <c r="F490" s="449">
        <f t="shared" si="399"/>
        <v>0</v>
      </c>
      <c r="G490" s="421">
        <f t="shared" si="400"/>
        <v>0</v>
      </c>
      <c r="H490" s="449">
        <v>0</v>
      </c>
      <c r="I490" s="449">
        <f t="shared" si="401"/>
        <v>0</v>
      </c>
      <c r="J490" s="426">
        <f t="shared" si="402"/>
        <v>0</v>
      </c>
      <c r="K490" s="421"/>
      <c r="L490" s="449">
        <v>0</v>
      </c>
      <c r="M490" s="449">
        <v>0</v>
      </c>
      <c r="N490" s="449">
        <v>0</v>
      </c>
      <c r="O490" s="449">
        <v>0</v>
      </c>
      <c r="P490" s="449">
        <v>0</v>
      </c>
      <c r="Q490" s="449">
        <v>0</v>
      </c>
      <c r="R490" s="449">
        <f>($H490-SUM($L490:Q490))/R$694</f>
        <v>0</v>
      </c>
      <c r="S490" s="449">
        <f>($H490-SUM($L490:R490))/S$694</f>
        <v>0</v>
      </c>
      <c r="T490" s="449">
        <f>($H490-SUM($L490:S490))/T$694</f>
        <v>0</v>
      </c>
      <c r="U490" s="449">
        <f>($H490-SUM($L490:T490))/U$694</f>
        <v>0</v>
      </c>
      <c r="V490" s="449">
        <f>($H490-SUM($L490:U490))/V$694</f>
        <v>0</v>
      </c>
      <c r="W490" s="449">
        <f>($H490-SUM($L490:V490))/W$694</f>
        <v>0</v>
      </c>
      <c r="X490" s="449"/>
      <c r="Y490" s="449">
        <f t="shared" si="403"/>
        <v>0</v>
      </c>
      <c r="Z490" s="531"/>
      <c r="AA490" s="449">
        <f t="shared" si="404"/>
        <v>0</v>
      </c>
      <c r="AB490" s="449">
        <f t="shared" si="404"/>
        <v>0</v>
      </c>
      <c r="AC490" s="449">
        <f t="shared" si="404"/>
        <v>0</v>
      </c>
      <c r="AD490" s="449">
        <f t="shared" si="404"/>
        <v>0</v>
      </c>
      <c r="AE490" s="449">
        <f t="shared" si="404"/>
        <v>0</v>
      </c>
      <c r="AF490" s="449">
        <f t="shared" si="404"/>
        <v>0</v>
      </c>
      <c r="AG490" s="449">
        <f t="shared" si="404"/>
        <v>0</v>
      </c>
      <c r="AH490" s="449">
        <f t="shared" si="404"/>
        <v>0</v>
      </c>
      <c r="AI490" s="449">
        <f t="shared" si="404"/>
        <v>0</v>
      </c>
      <c r="AJ490" s="449">
        <f t="shared" si="404"/>
        <v>0</v>
      </c>
      <c r="AK490" s="449">
        <f t="shared" si="404"/>
        <v>0</v>
      </c>
      <c r="AL490" s="449">
        <f t="shared" si="404"/>
        <v>0</v>
      </c>
      <c r="AN490" s="500">
        <f>SUM(L490:W490)</f>
        <v>0</v>
      </c>
      <c r="AO490" s="449">
        <f>SUM(BI490:BT490)</f>
        <v>3000</v>
      </c>
      <c r="AP490" s="449">
        <f t="shared" si="407"/>
        <v>3000</v>
      </c>
      <c r="AQ490" s="453" t="str">
        <f t="shared" si="408"/>
        <v>-</v>
      </c>
      <c r="AR490" s="449">
        <f t="shared" si="409"/>
        <v>3000</v>
      </c>
      <c r="AS490" s="449">
        <f t="shared" si="410"/>
        <v>0</v>
      </c>
      <c r="AT490" s="426">
        <f t="shared" si="411"/>
        <v>0</v>
      </c>
      <c r="AU490" s="421"/>
      <c r="AV490" s="449">
        <f t="shared" si="412"/>
        <v>0</v>
      </c>
      <c r="AW490" s="449">
        <f t="shared" si="412"/>
        <v>0</v>
      </c>
      <c r="AX490" s="449">
        <f t="shared" si="412"/>
        <v>0</v>
      </c>
      <c r="AY490" s="449">
        <f t="shared" si="412"/>
        <v>3000</v>
      </c>
      <c r="AZ490" s="449">
        <f t="shared" si="412"/>
        <v>0</v>
      </c>
      <c r="BA490" s="449">
        <f t="shared" si="412"/>
        <v>0</v>
      </c>
      <c r="BB490" s="449">
        <f t="shared" si="412"/>
        <v>0</v>
      </c>
      <c r="BC490" s="449">
        <f t="shared" si="412"/>
        <v>0</v>
      </c>
      <c r="BD490" s="449">
        <f t="shared" si="412"/>
        <v>0</v>
      </c>
      <c r="BE490" s="449">
        <f t="shared" si="412"/>
        <v>0</v>
      </c>
      <c r="BF490" s="449">
        <f t="shared" si="412"/>
        <v>0</v>
      </c>
      <c r="BG490" s="449">
        <f t="shared" si="412"/>
        <v>0</v>
      </c>
      <c r="BH490" s="400"/>
      <c r="BI490" s="449">
        <v>0</v>
      </c>
      <c r="BJ490" s="449">
        <v>0</v>
      </c>
      <c r="BK490" s="449">
        <v>0</v>
      </c>
      <c r="BL490" s="449">
        <f>SUM('FY19 Staffing V1-1 (3)'!$J$292)</f>
        <v>3000</v>
      </c>
      <c r="BM490" s="449">
        <v>0</v>
      </c>
      <c r="BN490" s="449">
        <v>0</v>
      </c>
      <c r="BO490" s="449">
        <v>0</v>
      </c>
      <c r="BP490" s="449">
        <v>0</v>
      </c>
      <c r="BQ490" s="449">
        <v>0</v>
      </c>
      <c r="BR490" s="449">
        <v>0</v>
      </c>
      <c r="BS490" s="449">
        <v>0</v>
      </c>
      <c r="BT490" s="449">
        <v>0</v>
      </c>
    </row>
    <row r="491" spans="1:72" ht="15" customHeight="1" x14ac:dyDescent="0.25">
      <c r="A491" s="540" t="s">
        <v>834</v>
      </c>
      <c r="B491" s="537" t="s">
        <v>835</v>
      </c>
      <c r="C491" s="541"/>
      <c r="D491" s="500">
        <f t="shared" si="398"/>
        <v>0</v>
      </c>
      <c r="E491" s="449">
        <v>0</v>
      </c>
      <c r="F491" s="449">
        <f t="shared" si="399"/>
        <v>0</v>
      </c>
      <c r="G491" s="421">
        <f t="shared" si="400"/>
        <v>0</v>
      </c>
      <c r="H491" s="449">
        <v>0</v>
      </c>
      <c r="I491" s="449">
        <f t="shared" si="401"/>
        <v>0</v>
      </c>
      <c r="J491" s="426">
        <f t="shared" si="402"/>
        <v>0</v>
      </c>
      <c r="K491" s="421"/>
      <c r="L491" s="449">
        <v>0</v>
      </c>
      <c r="M491" s="449">
        <v>0</v>
      </c>
      <c r="N491" s="449">
        <v>0</v>
      </c>
      <c r="O491" s="449">
        <v>0</v>
      </c>
      <c r="P491" s="449">
        <v>0</v>
      </c>
      <c r="Q491" s="449">
        <v>0</v>
      </c>
      <c r="R491" s="449">
        <f>($H491-SUM($L491:Q491))/R$694</f>
        <v>0</v>
      </c>
      <c r="S491" s="449">
        <f>($H491-SUM($L491:R491))/S$694</f>
        <v>0</v>
      </c>
      <c r="T491" s="449">
        <f>($H491-SUM($L491:S491))/T$694</f>
        <v>0</v>
      </c>
      <c r="U491" s="449">
        <f>($H491-SUM($L491:T491))/U$694</f>
        <v>0</v>
      </c>
      <c r="V491" s="449">
        <f>($H491-SUM($L491:U491))/V$694</f>
        <v>0</v>
      </c>
      <c r="W491" s="449">
        <f>($H491-SUM($L491:V491))/W$694</f>
        <v>0</v>
      </c>
      <c r="X491" s="449"/>
      <c r="Y491" s="449">
        <f t="shared" si="403"/>
        <v>0</v>
      </c>
      <c r="Z491" s="449"/>
      <c r="AA491" s="449">
        <f t="shared" si="404"/>
        <v>0</v>
      </c>
      <c r="AB491" s="449">
        <f t="shared" si="404"/>
        <v>0</v>
      </c>
      <c r="AC491" s="449">
        <f t="shared" si="404"/>
        <v>0</v>
      </c>
      <c r="AD491" s="449">
        <f t="shared" si="404"/>
        <v>0</v>
      </c>
      <c r="AE491" s="449">
        <f t="shared" si="404"/>
        <v>0</v>
      </c>
      <c r="AF491" s="449">
        <f t="shared" si="404"/>
        <v>0</v>
      </c>
      <c r="AG491" s="449">
        <f t="shared" si="404"/>
        <v>0</v>
      </c>
      <c r="AH491" s="449">
        <f t="shared" si="404"/>
        <v>0</v>
      </c>
      <c r="AI491" s="449">
        <f t="shared" si="404"/>
        <v>0</v>
      </c>
      <c r="AJ491" s="449">
        <f t="shared" si="404"/>
        <v>0</v>
      </c>
      <c r="AK491" s="449">
        <f t="shared" si="404"/>
        <v>0</v>
      </c>
      <c r="AL491" s="449">
        <f t="shared" si="404"/>
        <v>0</v>
      </c>
      <c r="AN491" s="500">
        <f t="shared" si="405"/>
        <v>0</v>
      </c>
      <c r="AO491" s="449">
        <f t="shared" si="406"/>
        <v>5760.1100000000006</v>
      </c>
      <c r="AP491" s="449">
        <f t="shared" si="407"/>
        <v>5760.1100000000006</v>
      </c>
      <c r="AQ491" s="453" t="str">
        <f t="shared" si="408"/>
        <v>-</v>
      </c>
      <c r="AR491" s="449">
        <f t="shared" si="409"/>
        <v>5760.1100000000006</v>
      </c>
      <c r="AS491" s="449">
        <f t="shared" si="410"/>
        <v>0</v>
      </c>
      <c r="AT491" s="426">
        <f t="shared" si="411"/>
        <v>0</v>
      </c>
      <c r="AU491" s="421"/>
      <c r="AV491" s="449">
        <f t="shared" si="412"/>
        <v>480.00916666666672</v>
      </c>
      <c r="AW491" s="449">
        <f t="shared" si="412"/>
        <v>480.00916666666672</v>
      </c>
      <c r="AX491" s="449">
        <f t="shared" si="412"/>
        <v>480.00916666666672</v>
      </c>
      <c r="AY491" s="449">
        <f t="shared" si="412"/>
        <v>480.00916666666672</v>
      </c>
      <c r="AZ491" s="449">
        <f t="shared" si="412"/>
        <v>480.00916666666672</v>
      </c>
      <c r="BA491" s="449">
        <f t="shared" si="412"/>
        <v>480.00916666666672</v>
      </c>
      <c r="BB491" s="449">
        <f t="shared" si="412"/>
        <v>480.00916666666672</v>
      </c>
      <c r="BC491" s="449">
        <f t="shared" si="412"/>
        <v>480.00916666666672</v>
      </c>
      <c r="BD491" s="449">
        <f t="shared" si="412"/>
        <v>480.00916666666672</v>
      </c>
      <c r="BE491" s="449">
        <f t="shared" si="412"/>
        <v>480.00916666666672</v>
      </c>
      <c r="BF491" s="449">
        <f t="shared" si="412"/>
        <v>480.00916666666672</v>
      </c>
      <c r="BG491" s="449">
        <f t="shared" si="412"/>
        <v>480.00916666666672</v>
      </c>
      <c r="BH491" s="400"/>
      <c r="BI491" s="449">
        <f>SUM('FY19 Staffing V1-1 (3)'!$Q$292:$R$292,'FY19 Staffing V1-1 (3)'!$T$292:$U$292)/12</f>
        <v>480.00916666666672</v>
      </c>
      <c r="BJ491" s="449">
        <f>SUM('FY19 Staffing V1-1 (3)'!$Q$292:$R$292,'FY19 Staffing V1-1 (3)'!$T$292:$U$292)/12</f>
        <v>480.00916666666672</v>
      </c>
      <c r="BK491" s="449">
        <f>SUM('FY19 Staffing V1-1 (3)'!$Q$292:$R$292,'FY19 Staffing V1-1 (3)'!$T$292:$U$292)/12</f>
        <v>480.00916666666672</v>
      </c>
      <c r="BL491" s="449">
        <f>SUM('FY19 Staffing V1-1 (3)'!$Q$292:$R$292,'FY19 Staffing V1-1 (3)'!$T$292:$U$292)/12</f>
        <v>480.00916666666672</v>
      </c>
      <c r="BM491" s="449">
        <f>SUM('FY19 Staffing V1-1 (3)'!$Q$292:$R$292,'FY19 Staffing V1-1 (3)'!$T$292:$U$292)/12</f>
        <v>480.00916666666672</v>
      </c>
      <c r="BN491" s="449">
        <f>SUM('FY19 Staffing V1-1 (3)'!$Q$292:$R$292,'FY19 Staffing V1-1 (3)'!$T$292:$U$292)/12</f>
        <v>480.00916666666672</v>
      </c>
      <c r="BO491" s="449">
        <f>SUM('FY19 Staffing V1-1 (3)'!$Q$292:$R$292,'FY19 Staffing V1-1 (3)'!$T$292:$U$292)/12</f>
        <v>480.00916666666672</v>
      </c>
      <c r="BP491" s="449">
        <f>SUM('FY19 Staffing V1-1 (3)'!$Q$292:$R$292,'FY19 Staffing V1-1 (3)'!$T$292:$U$292)/12</f>
        <v>480.00916666666672</v>
      </c>
      <c r="BQ491" s="449">
        <f>SUM('FY19 Staffing V1-1 (3)'!$Q$292:$R$292,'FY19 Staffing V1-1 (3)'!$T$292:$U$292)/12</f>
        <v>480.00916666666672</v>
      </c>
      <c r="BR491" s="449">
        <f>SUM('FY19 Staffing V1-1 (3)'!$Q$292:$R$292,'FY19 Staffing V1-1 (3)'!$T$292:$U$292)/12</f>
        <v>480.00916666666672</v>
      </c>
      <c r="BS491" s="449">
        <f>SUM('FY19 Staffing V1-1 (3)'!$Q$292:$R$292,'FY19 Staffing V1-1 (3)'!$T$292:$U$292)/12</f>
        <v>480.00916666666672</v>
      </c>
      <c r="BT491" s="449">
        <f>SUM('FY19 Staffing V1-1 (3)'!$Q$292:$R$292,'FY19 Staffing V1-1 (3)'!$T$292:$U$292)/12</f>
        <v>480.00916666666672</v>
      </c>
    </row>
    <row r="492" spans="1:72" ht="15" customHeight="1" x14ac:dyDescent="0.25">
      <c r="A492" s="540" t="s">
        <v>836</v>
      </c>
      <c r="B492" s="537" t="s">
        <v>837</v>
      </c>
      <c r="C492" s="541"/>
      <c r="D492" s="500">
        <f t="shared" si="398"/>
        <v>0</v>
      </c>
      <c r="E492" s="449">
        <v>0</v>
      </c>
      <c r="F492" s="449">
        <f t="shared" si="399"/>
        <v>0</v>
      </c>
      <c r="G492" s="421">
        <f t="shared" si="400"/>
        <v>0</v>
      </c>
      <c r="H492" s="449">
        <v>0</v>
      </c>
      <c r="I492" s="449">
        <f t="shared" si="401"/>
        <v>0</v>
      </c>
      <c r="J492" s="426">
        <f t="shared" si="402"/>
        <v>0</v>
      </c>
      <c r="K492" s="421"/>
      <c r="L492" s="449">
        <v>0</v>
      </c>
      <c r="M492" s="449">
        <v>0</v>
      </c>
      <c r="N492" s="449">
        <v>0</v>
      </c>
      <c r="O492" s="449">
        <v>0</v>
      </c>
      <c r="P492" s="449">
        <v>0</v>
      </c>
      <c r="Q492" s="449">
        <v>0</v>
      </c>
      <c r="R492" s="449">
        <f>($H492-SUM($L492:Q492))/R$694</f>
        <v>0</v>
      </c>
      <c r="S492" s="449">
        <f>($H492-SUM($L492:R492))/S$694</f>
        <v>0</v>
      </c>
      <c r="T492" s="449">
        <f>($H492-SUM($L492:S492))/T$694</f>
        <v>0</v>
      </c>
      <c r="U492" s="449">
        <f>($H492-SUM($L492:T492))/U$694</f>
        <v>0</v>
      </c>
      <c r="V492" s="449">
        <f>($H492-SUM($L492:U492))/V$694</f>
        <v>0</v>
      </c>
      <c r="W492" s="449">
        <f>($H492-SUM($L492:V492))/W$694</f>
        <v>0</v>
      </c>
      <c r="X492" s="449"/>
      <c r="Y492" s="449">
        <f t="shared" si="403"/>
        <v>0</v>
      </c>
      <c r="Z492" s="449"/>
      <c r="AA492" s="449">
        <f t="shared" si="404"/>
        <v>0</v>
      </c>
      <c r="AB492" s="449">
        <f t="shared" si="404"/>
        <v>0</v>
      </c>
      <c r="AC492" s="449">
        <f t="shared" si="404"/>
        <v>0</v>
      </c>
      <c r="AD492" s="449">
        <f t="shared" si="404"/>
        <v>0</v>
      </c>
      <c r="AE492" s="449">
        <f t="shared" si="404"/>
        <v>0</v>
      </c>
      <c r="AF492" s="449">
        <f t="shared" si="404"/>
        <v>0</v>
      </c>
      <c r="AG492" s="449">
        <f t="shared" si="404"/>
        <v>0</v>
      </c>
      <c r="AH492" s="449">
        <f t="shared" si="404"/>
        <v>0</v>
      </c>
      <c r="AI492" s="449">
        <f t="shared" si="404"/>
        <v>0</v>
      </c>
      <c r="AJ492" s="449">
        <f t="shared" si="404"/>
        <v>0</v>
      </c>
      <c r="AK492" s="449">
        <f t="shared" si="404"/>
        <v>0</v>
      </c>
      <c r="AL492" s="449">
        <f t="shared" si="404"/>
        <v>0</v>
      </c>
      <c r="AN492" s="500">
        <f t="shared" si="405"/>
        <v>0</v>
      </c>
      <c r="AO492" s="449">
        <f t="shared" si="406"/>
        <v>8256.5603400000018</v>
      </c>
      <c r="AP492" s="449">
        <f t="shared" si="407"/>
        <v>8256.5603400000018</v>
      </c>
      <c r="AQ492" s="453" t="str">
        <f t="shared" si="408"/>
        <v>-</v>
      </c>
      <c r="AR492" s="449">
        <f t="shared" si="409"/>
        <v>8256.5603400000018</v>
      </c>
      <c r="AS492" s="449">
        <f t="shared" si="410"/>
        <v>0</v>
      </c>
      <c r="AT492" s="426">
        <f t="shared" si="411"/>
        <v>0</v>
      </c>
      <c r="AU492" s="421"/>
      <c r="AV492" s="449">
        <f t="shared" si="412"/>
        <v>688.04669500000011</v>
      </c>
      <c r="AW492" s="449">
        <f t="shared" si="412"/>
        <v>688.04669500000011</v>
      </c>
      <c r="AX492" s="449">
        <f t="shared" si="412"/>
        <v>688.04669500000011</v>
      </c>
      <c r="AY492" s="449">
        <f t="shared" si="412"/>
        <v>688.04669500000011</v>
      </c>
      <c r="AZ492" s="449">
        <f t="shared" si="412"/>
        <v>688.04669500000011</v>
      </c>
      <c r="BA492" s="449">
        <f t="shared" si="412"/>
        <v>688.04669500000011</v>
      </c>
      <c r="BB492" s="449">
        <f t="shared" si="412"/>
        <v>688.04669500000011</v>
      </c>
      <c r="BC492" s="449">
        <f t="shared" si="412"/>
        <v>688.04669500000011</v>
      </c>
      <c r="BD492" s="449">
        <f t="shared" si="412"/>
        <v>688.04669500000011</v>
      </c>
      <c r="BE492" s="449">
        <f t="shared" si="412"/>
        <v>688.04669500000011</v>
      </c>
      <c r="BF492" s="449">
        <f t="shared" si="412"/>
        <v>688.04669500000011</v>
      </c>
      <c r="BG492" s="449">
        <f t="shared" si="412"/>
        <v>688.04669500000011</v>
      </c>
      <c r="BH492" s="400"/>
      <c r="BI492" s="449">
        <f>SUM('FY19 Staffing V1-1 (3)'!$W$292)/12</f>
        <v>688.04669500000011</v>
      </c>
      <c r="BJ492" s="449">
        <f>SUM('FY19 Staffing V1-1 (3)'!$W$292)/12</f>
        <v>688.04669500000011</v>
      </c>
      <c r="BK492" s="449">
        <f>SUM('FY19 Staffing V1-1 (3)'!$W$292)/12</f>
        <v>688.04669500000011</v>
      </c>
      <c r="BL492" s="449">
        <f>SUM('FY19 Staffing V1-1 (3)'!$W$292)/12</f>
        <v>688.04669500000011</v>
      </c>
      <c r="BM492" s="449">
        <f>SUM('FY19 Staffing V1-1 (3)'!$W$292)/12</f>
        <v>688.04669500000011</v>
      </c>
      <c r="BN492" s="449">
        <f>SUM('FY19 Staffing V1-1 (3)'!$W$292)/12</f>
        <v>688.04669500000011</v>
      </c>
      <c r="BO492" s="449">
        <f>SUM('FY19 Staffing V1-1 (3)'!$W$292)/12</f>
        <v>688.04669500000011</v>
      </c>
      <c r="BP492" s="449">
        <f>SUM('FY19 Staffing V1-1 (3)'!$W$292)/12</f>
        <v>688.04669500000011</v>
      </c>
      <c r="BQ492" s="449">
        <f>SUM('FY19 Staffing V1-1 (3)'!$W$292)/12</f>
        <v>688.04669500000011</v>
      </c>
      <c r="BR492" s="449">
        <f>SUM('FY19 Staffing V1-1 (3)'!$W$292)/12</f>
        <v>688.04669500000011</v>
      </c>
      <c r="BS492" s="449">
        <f>SUM('FY19 Staffing V1-1 (3)'!$W$292)/12</f>
        <v>688.04669500000011</v>
      </c>
      <c r="BT492" s="449">
        <f>SUM('FY19 Staffing V1-1 (3)'!$W$292)/12</f>
        <v>688.04669500000011</v>
      </c>
    </row>
    <row r="493" spans="1:72" ht="15" customHeight="1" x14ac:dyDescent="0.25">
      <c r="A493" s="540" t="s">
        <v>838</v>
      </c>
      <c r="B493" s="537" t="s">
        <v>839</v>
      </c>
      <c r="C493" s="541"/>
      <c r="D493" s="500">
        <f t="shared" si="398"/>
        <v>0</v>
      </c>
      <c r="E493" s="449">
        <v>0</v>
      </c>
      <c r="F493" s="449">
        <f t="shared" si="399"/>
        <v>0</v>
      </c>
      <c r="G493" s="421">
        <f t="shared" si="400"/>
        <v>0</v>
      </c>
      <c r="H493" s="449">
        <v>0</v>
      </c>
      <c r="I493" s="449">
        <f t="shared" si="401"/>
        <v>0</v>
      </c>
      <c r="J493" s="426">
        <f t="shared" si="402"/>
        <v>0</v>
      </c>
      <c r="K493" s="421"/>
      <c r="L493" s="449">
        <v>0</v>
      </c>
      <c r="M493" s="449">
        <v>0</v>
      </c>
      <c r="N493" s="449">
        <v>0</v>
      </c>
      <c r="O493" s="449">
        <v>0</v>
      </c>
      <c r="P493" s="449">
        <v>0</v>
      </c>
      <c r="Q493" s="449">
        <v>0</v>
      </c>
      <c r="R493" s="449">
        <f>($H493-SUM($L493:Q493))/R$694</f>
        <v>0</v>
      </c>
      <c r="S493" s="449">
        <f>($H493-SUM($L493:R493))/S$694</f>
        <v>0</v>
      </c>
      <c r="T493" s="449">
        <f>($H493-SUM($L493:S493))/T$694</f>
        <v>0</v>
      </c>
      <c r="U493" s="449">
        <f>($H493-SUM($L493:T493))/U$694</f>
        <v>0</v>
      </c>
      <c r="V493" s="449">
        <f>($H493-SUM($L493:U493))/V$694</f>
        <v>0</v>
      </c>
      <c r="W493" s="449">
        <f>($H493-SUM($L493:V493))/W$694</f>
        <v>0</v>
      </c>
      <c r="X493" s="449"/>
      <c r="Y493" s="449">
        <f t="shared" si="403"/>
        <v>0</v>
      </c>
      <c r="Z493" s="449"/>
      <c r="AA493" s="449">
        <f t="shared" ref="AA493:AL510" si="413">IFERROR($H493/12,0)</f>
        <v>0</v>
      </c>
      <c r="AB493" s="449">
        <f t="shared" si="413"/>
        <v>0</v>
      </c>
      <c r="AC493" s="449">
        <f t="shared" si="413"/>
        <v>0</v>
      </c>
      <c r="AD493" s="449">
        <f t="shared" si="413"/>
        <v>0</v>
      </c>
      <c r="AE493" s="449">
        <f t="shared" si="413"/>
        <v>0</v>
      </c>
      <c r="AF493" s="449">
        <f t="shared" si="413"/>
        <v>0</v>
      </c>
      <c r="AG493" s="449">
        <f t="shared" si="413"/>
        <v>0</v>
      </c>
      <c r="AH493" s="449">
        <f t="shared" si="413"/>
        <v>0</v>
      </c>
      <c r="AI493" s="449">
        <f t="shared" si="413"/>
        <v>0</v>
      </c>
      <c r="AJ493" s="449">
        <f t="shared" si="413"/>
        <v>0</v>
      </c>
      <c r="AK493" s="449">
        <f t="shared" si="413"/>
        <v>0</v>
      </c>
      <c r="AL493" s="449">
        <f t="shared" si="413"/>
        <v>0</v>
      </c>
      <c r="AN493" s="500">
        <f t="shared" si="405"/>
        <v>0</v>
      </c>
      <c r="AO493" s="449">
        <f t="shared" si="406"/>
        <v>2164.2399999999993</v>
      </c>
      <c r="AP493" s="449">
        <f t="shared" si="407"/>
        <v>2164.2399999999993</v>
      </c>
      <c r="AQ493" s="453" t="str">
        <f t="shared" si="408"/>
        <v>-</v>
      </c>
      <c r="AR493" s="449">
        <f t="shared" si="409"/>
        <v>2164.2399999999993</v>
      </c>
      <c r="AS493" s="449">
        <f t="shared" si="410"/>
        <v>0</v>
      </c>
      <c r="AT493" s="426">
        <f t="shared" si="411"/>
        <v>0</v>
      </c>
      <c r="AU493" s="421"/>
      <c r="AV493" s="449">
        <f t="shared" si="412"/>
        <v>180.35333333333332</v>
      </c>
      <c r="AW493" s="449">
        <f t="shared" si="412"/>
        <v>180.35333333333332</v>
      </c>
      <c r="AX493" s="449">
        <f t="shared" si="412"/>
        <v>180.35333333333332</v>
      </c>
      <c r="AY493" s="449">
        <f t="shared" si="412"/>
        <v>180.35333333333332</v>
      </c>
      <c r="AZ493" s="449">
        <f t="shared" si="412"/>
        <v>180.35333333333332</v>
      </c>
      <c r="BA493" s="449">
        <f t="shared" si="412"/>
        <v>180.35333333333332</v>
      </c>
      <c r="BB493" s="449">
        <f t="shared" si="412"/>
        <v>180.35333333333332</v>
      </c>
      <c r="BC493" s="449">
        <f t="shared" si="412"/>
        <v>180.35333333333332</v>
      </c>
      <c r="BD493" s="449">
        <f t="shared" si="412"/>
        <v>180.35333333333332</v>
      </c>
      <c r="BE493" s="449">
        <f t="shared" si="412"/>
        <v>180.35333333333332</v>
      </c>
      <c r="BF493" s="449">
        <f t="shared" si="412"/>
        <v>180.35333333333332</v>
      </c>
      <c r="BG493" s="449">
        <f t="shared" si="412"/>
        <v>180.35333333333332</v>
      </c>
      <c r="BH493" s="400"/>
      <c r="BI493" s="449">
        <f>SUM('FY19 Staffing V1-1 (3)'!$S$292)/12</f>
        <v>180.35333333333332</v>
      </c>
      <c r="BJ493" s="449">
        <f>SUM('FY19 Staffing V1-1 (3)'!$S$292)/12</f>
        <v>180.35333333333332</v>
      </c>
      <c r="BK493" s="449">
        <f>SUM('FY19 Staffing V1-1 (3)'!$S$292)/12</f>
        <v>180.35333333333332</v>
      </c>
      <c r="BL493" s="449">
        <f>SUM('FY19 Staffing V1-1 (3)'!$S$292)/12</f>
        <v>180.35333333333332</v>
      </c>
      <c r="BM493" s="449">
        <f>SUM('FY19 Staffing V1-1 (3)'!$S$292)/12</f>
        <v>180.35333333333332</v>
      </c>
      <c r="BN493" s="449">
        <f>SUM('FY19 Staffing V1-1 (3)'!$S$292)/12</f>
        <v>180.35333333333332</v>
      </c>
      <c r="BO493" s="449">
        <f>SUM('FY19 Staffing V1-1 (3)'!$S$292)/12</f>
        <v>180.35333333333332</v>
      </c>
      <c r="BP493" s="449">
        <f>SUM('FY19 Staffing V1-1 (3)'!$S$292)/12</f>
        <v>180.35333333333332</v>
      </c>
      <c r="BQ493" s="449">
        <f>SUM('FY19 Staffing V1-1 (3)'!$S$292)/12</f>
        <v>180.35333333333332</v>
      </c>
      <c r="BR493" s="449">
        <f>SUM('FY19 Staffing V1-1 (3)'!$S$292)/12</f>
        <v>180.35333333333332</v>
      </c>
      <c r="BS493" s="449">
        <f>SUM('FY19 Staffing V1-1 (3)'!$S$292)/12</f>
        <v>180.35333333333332</v>
      </c>
      <c r="BT493" s="449">
        <f>SUM('FY19 Staffing V1-1 (3)'!$S$292)/12</f>
        <v>180.35333333333332</v>
      </c>
    </row>
    <row r="494" spans="1:72" ht="15" customHeight="1" x14ac:dyDescent="0.25">
      <c r="A494" s="537" t="s">
        <v>840</v>
      </c>
      <c r="B494" s="537" t="s">
        <v>841</v>
      </c>
      <c r="C494" s="541"/>
      <c r="D494" s="500">
        <f t="shared" si="398"/>
        <v>0</v>
      </c>
      <c r="E494" s="449">
        <v>0</v>
      </c>
      <c r="F494" s="449">
        <f t="shared" si="399"/>
        <v>0</v>
      </c>
      <c r="G494" s="421">
        <f t="shared" si="400"/>
        <v>0</v>
      </c>
      <c r="H494" s="449">
        <v>0</v>
      </c>
      <c r="I494" s="449">
        <f t="shared" si="401"/>
        <v>0</v>
      </c>
      <c r="J494" s="426">
        <f t="shared" si="402"/>
        <v>0</v>
      </c>
      <c r="K494" s="421"/>
      <c r="L494" s="449">
        <v>0</v>
      </c>
      <c r="M494" s="449">
        <v>0</v>
      </c>
      <c r="N494" s="449">
        <v>0</v>
      </c>
      <c r="O494" s="449">
        <v>0</v>
      </c>
      <c r="P494" s="449">
        <v>0</v>
      </c>
      <c r="Q494" s="449">
        <v>0</v>
      </c>
      <c r="R494" s="449">
        <f>($H494-SUM($L494:Q494))/R$694</f>
        <v>0</v>
      </c>
      <c r="S494" s="449">
        <f>($H494-SUM($L494:R494))/S$694</f>
        <v>0</v>
      </c>
      <c r="T494" s="449">
        <f>($H494-SUM($L494:S494))/T$694</f>
        <v>0</v>
      </c>
      <c r="U494" s="449">
        <f>($H494-SUM($L494:T494))/U$694</f>
        <v>0</v>
      </c>
      <c r="V494" s="449">
        <f>($H494-SUM($L494:U494))/V$694</f>
        <v>0</v>
      </c>
      <c r="W494" s="449">
        <f>($H494-SUM($L494:V494))/W$694</f>
        <v>0</v>
      </c>
      <c r="X494" s="449"/>
      <c r="Y494" s="449">
        <f t="shared" si="403"/>
        <v>0</v>
      </c>
      <c r="Z494" s="531"/>
      <c r="AA494" s="449">
        <f t="shared" si="413"/>
        <v>0</v>
      </c>
      <c r="AB494" s="449">
        <f t="shared" si="413"/>
        <v>0</v>
      </c>
      <c r="AC494" s="449">
        <f t="shared" si="413"/>
        <v>0</v>
      </c>
      <c r="AD494" s="449">
        <f t="shared" si="413"/>
        <v>0</v>
      </c>
      <c r="AE494" s="449">
        <f t="shared" si="413"/>
        <v>0</v>
      </c>
      <c r="AF494" s="449">
        <f t="shared" si="413"/>
        <v>0</v>
      </c>
      <c r="AG494" s="449">
        <f t="shared" si="413"/>
        <v>0</v>
      </c>
      <c r="AH494" s="449">
        <f t="shared" si="413"/>
        <v>0</v>
      </c>
      <c r="AI494" s="449">
        <f t="shared" si="413"/>
        <v>0</v>
      </c>
      <c r="AJ494" s="449">
        <f t="shared" si="413"/>
        <v>0</v>
      </c>
      <c r="AK494" s="449">
        <f t="shared" si="413"/>
        <v>0</v>
      </c>
      <c r="AL494" s="449">
        <f t="shared" si="413"/>
        <v>0</v>
      </c>
      <c r="AN494" s="500">
        <f>SUM(L494:W494)</f>
        <v>0</v>
      </c>
      <c r="AO494" s="449">
        <f>SUM(BI494:BT494)</f>
        <v>0</v>
      </c>
      <c r="AP494" s="449">
        <f t="shared" si="407"/>
        <v>0</v>
      </c>
      <c r="AQ494" s="453" t="str">
        <f t="shared" si="408"/>
        <v>-</v>
      </c>
      <c r="AR494" s="449">
        <f t="shared" si="409"/>
        <v>0</v>
      </c>
      <c r="AS494" s="449">
        <f t="shared" si="410"/>
        <v>0</v>
      </c>
      <c r="AT494" s="426">
        <f t="shared" si="411"/>
        <v>0</v>
      </c>
      <c r="AU494" s="421"/>
      <c r="AV494" s="449">
        <f t="shared" si="412"/>
        <v>0</v>
      </c>
      <c r="AW494" s="449">
        <f t="shared" si="412"/>
        <v>0</v>
      </c>
      <c r="AX494" s="449">
        <f t="shared" si="412"/>
        <v>0</v>
      </c>
      <c r="AY494" s="449">
        <f t="shared" si="412"/>
        <v>0</v>
      </c>
      <c r="AZ494" s="449">
        <f t="shared" si="412"/>
        <v>0</v>
      </c>
      <c r="BA494" s="449">
        <f t="shared" si="412"/>
        <v>0</v>
      </c>
      <c r="BB494" s="449">
        <f t="shared" si="412"/>
        <v>0</v>
      </c>
      <c r="BC494" s="449">
        <f t="shared" si="412"/>
        <v>0</v>
      </c>
      <c r="BD494" s="449">
        <f t="shared" si="412"/>
        <v>0</v>
      </c>
      <c r="BE494" s="449">
        <f t="shared" si="412"/>
        <v>0</v>
      </c>
      <c r="BF494" s="449">
        <f t="shared" si="412"/>
        <v>0</v>
      </c>
      <c r="BG494" s="449">
        <f t="shared" si="412"/>
        <v>0</v>
      </c>
      <c r="BH494" s="400"/>
      <c r="BI494" s="449">
        <v>0</v>
      </c>
      <c r="BJ494" s="449">
        <v>0</v>
      </c>
      <c r="BK494" s="449">
        <v>0</v>
      </c>
      <c r="BL494" s="449">
        <v>0</v>
      </c>
      <c r="BM494" s="449">
        <v>0</v>
      </c>
      <c r="BN494" s="449">
        <v>0</v>
      </c>
      <c r="BO494" s="449">
        <v>0</v>
      </c>
      <c r="BP494" s="449">
        <v>0</v>
      </c>
      <c r="BQ494" s="449">
        <v>0</v>
      </c>
      <c r="BR494" s="449">
        <v>0</v>
      </c>
      <c r="BS494" s="449">
        <v>0</v>
      </c>
      <c r="BT494" s="449">
        <v>0</v>
      </c>
    </row>
    <row r="495" spans="1:72" ht="15" customHeight="1" x14ac:dyDescent="0.25">
      <c r="A495" s="537" t="s">
        <v>842</v>
      </c>
      <c r="B495" s="537" t="s">
        <v>843</v>
      </c>
      <c r="C495" s="541"/>
      <c r="D495" s="500">
        <f t="shared" si="398"/>
        <v>0</v>
      </c>
      <c r="E495" s="449">
        <v>0</v>
      </c>
      <c r="F495" s="449">
        <f t="shared" si="399"/>
        <v>0</v>
      </c>
      <c r="G495" s="421">
        <f t="shared" si="400"/>
        <v>0</v>
      </c>
      <c r="H495" s="449">
        <v>0</v>
      </c>
      <c r="I495" s="449">
        <f t="shared" si="401"/>
        <v>0</v>
      </c>
      <c r="J495" s="426">
        <f t="shared" si="402"/>
        <v>0</v>
      </c>
      <c r="K495" s="421"/>
      <c r="L495" s="449">
        <v>0</v>
      </c>
      <c r="M495" s="449">
        <v>0</v>
      </c>
      <c r="N495" s="449">
        <v>0</v>
      </c>
      <c r="O495" s="449">
        <v>0</v>
      </c>
      <c r="P495" s="449">
        <v>0</v>
      </c>
      <c r="Q495" s="449">
        <v>0</v>
      </c>
      <c r="R495" s="449">
        <f>($H495-SUM($L495:Q495))/R$694</f>
        <v>0</v>
      </c>
      <c r="S495" s="449">
        <f>($H495-SUM($L495:R495))/S$694</f>
        <v>0</v>
      </c>
      <c r="T495" s="449">
        <f>($H495-SUM($L495:S495))/T$694</f>
        <v>0</v>
      </c>
      <c r="U495" s="449">
        <f>($H495-SUM($L495:T495))/U$694</f>
        <v>0</v>
      </c>
      <c r="V495" s="449">
        <f>($H495-SUM($L495:U495))/V$694</f>
        <v>0</v>
      </c>
      <c r="W495" s="449">
        <f>($H495-SUM($L495:V495))/W$694</f>
        <v>0</v>
      </c>
      <c r="X495" s="449"/>
      <c r="Y495" s="449">
        <f t="shared" si="403"/>
        <v>0</v>
      </c>
      <c r="Z495" s="531"/>
      <c r="AA495" s="449">
        <f t="shared" si="413"/>
        <v>0</v>
      </c>
      <c r="AB495" s="449">
        <f t="shared" si="413"/>
        <v>0</v>
      </c>
      <c r="AC495" s="449">
        <f t="shared" si="413"/>
        <v>0</v>
      </c>
      <c r="AD495" s="449">
        <f t="shared" si="413"/>
        <v>0</v>
      </c>
      <c r="AE495" s="449">
        <f t="shared" si="413"/>
        <v>0</v>
      </c>
      <c r="AF495" s="449">
        <f t="shared" si="413"/>
        <v>0</v>
      </c>
      <c r="AG495" s="449">
        <f t="shared" si="413"/>
        <v>0</v>
      </c>
      <c r="AH495" s="449">
        <f t="shared" si="413"/>
        <v>0</v>
      </c>
      <c r="AI495" s="449">
        <f t="shared" si="413"/>
        <v>0</v>
      </c>
      <c r="AJ495" s="449">
        <f t="shared" si="413"/>
        <v>0</v>
      </c>
      <c r="AK495" s="449">
        <f t="shared" si="413"/>
        <v>0</v>
      </c>
      <c r="AL495" s="449">
        <f t="shared" si="413"/>
        <v>0</v>
      </c>
      <c r="AN495" s="500">
        <f>SUM(L495:W495)</f>
        <v>0</v>
      </c>
      <c r="AO495" s="449">
        <f>SUM(BI495:BT495)</f>
        <v>0</v>
      </c>
      <c r="AP495" s="449">
        <f t="shared" si="407"/>
        <v>0</v>
      </c>
      <c r="AQ495" s="453" t="str">
        <f t="shared" si="408"/>
        <v>-</v>
      </c>
      <c r="AR495" s="449">
        <f t="shared" si="409"/>
        <v>0</v>
      </c>
      <c r="AS495" s="449">
        <f t="shared" si="410"/>
        <v>0</v>
      </c>
      <c r="AT495" s="426">
        <f t="shared" si="411"/>
        <v>0</v>
      </c>
      <c r="AU495" s="421"/>
      <c r="AV495" s="449">
        <f t="shared" si="412"/>
        <v>0</v>
      </c>
      <c r="AW495" s="449">
        <f t="shared" si="412"/>
        <v>0</v>
      </c>
      <c r="AX495" s="449">
        <f t="shared" si="412"/>
        <v>0</v>
      </c>
      <c r="AY495" s="449">
        <f t="shared" si="412"/>
        <v>0</v>
      </c>
      <c r="AZ495" s="449">
        <f t="shared" si="412"/>
        <v>0</v>
      </c>
      <c r="BA495" s="449">
        <f t="shared" si="412"/>
        <v>0</v>
      </c>
      <c r="BB495" s="449">
        <f t="shared" si="412"/>
        <v>0</v>
      </c>
      <c r="BC495" s="449">
        <f t="shared" si="412"/>
        <v>0</v>
      </c>
      <c r="BD495" s="449">
        <f t="shared" si="412"/>
        <v>0</v>
      </c>
      <c r="BE495" s="449">
        <f t="shared" si="412"/>
        <v>0</v>
      </c>
      <c r="BF495" s="449">
        <f t="shared" si="412"/>
        <v>0</v>
      </c>
      <c r="BG495" s="449">
        <f t="shared" si="412"/>
        <v>0</v>
      </c>
      <c r="BH495" s="400"/>
      <c r="BI495" s="449">
        <v>0</v>
      </c>
      <c r="BJ495" s="449">
        <v>0</v>
      </c>
      <c r="BK495" s="449">
        <v>0</v>
      </c>
      <c r="BL495" s="449">
        <v>0</v>
      </c>
      <c r="BM495" s="449">
        <v>0</v>
      </c>
      <c r="BN495" s="449">
        <v>0</v>
      </c>
      <c r="BO495" s="449">
        <v>0</v>
      </c>
      <c r="BP495" s="449">
        <v>0</v>
      </c>
      <c r="BQ495" s="449">
        <v>0</v>
      </c>
      <c r="BR495" s="449">
        <v>0</v>
      </c>
      <c r="BS495" s="449">
        <v>0</v>
      </c>
      <c r="BT495" s="449">
        <v>0</v>
      </c>
    </row>
    <row r="496" spans="1:72" ht="15" customHeight="1" x14ac:dyDescent="0.25">
      <c r="A496" s="617" t="s">
        <v>844</v>
      </c>
      <c r="B496" s="537" t="s">
        <v>845</v>
      </c>
      <c r="C496" s="541"/>
      <c r="D496" s="500">
        <f t="shared" si="398"/>
        <v>0</v>
      </c>
      <c r="E496" s="449">
        <v>0</v>
      </c>
      <c r="F496" s="449">
        <f t="shared" si="399"/>
        <v>0</v>
      </c>
      <c r="G496" s="421">
        <f t="shared" si="400"/>
        <v>0</v>
      </c>
      <c r="H496" s="449">
        <v>0</v>
      </c>
      <c r="I496" s="449">
        <f t="shared" si="401"/>
        <v>0</v>
      </c>
      <c r="J496" s="426">
        <f t="shared" si="402"/>
        <v>0</v>
      </c>
      <c r="K496" s="421"/>
      <c r="L496" s="449">
        <v>0</v>
      </c>
      <c r="M496" s="449">
        <v>0</v>
      </c>
      <c r="N496" s="449">
        <v>0</v>
      </c>
      <c r="O496" s="449">
        <v>0</v>
      </c>
      <c r="P496" s="449">
        <v>0</v>
      </c>
      <c r="Q496" s="449">
        <v>0</v>
      </c>
      <c r="R496" s="449">
        <f>($H496-SUM($L496:Q496))/R$694</f>
        <v>0</v>
      </c>
      <c r="S496" s="449">
        <f>($H496-SUM($L496:R496))/S$694</f>
        <v>0</v>
      </c>
      <c r="T496" s="449">
        <f>($H496-SUM($L496:S496))/T$694</f>
        <v>0</v>
      </c>
      <c r="U496" s="449">
        <f>($H496-SUM($L496:T496))/U$694</f>
        <v>0</v>
      </c>
      <c r="V496" s="449">
        <f>($H496-SUM($L496:U496))/V$694</f>
        <v>0</v>
      </c>
      <c r="W496" s="449">
        <f>($H496-SUM($L496:V496))/W$694</f>
        <v>0</v>
      </c>
      <c r="X496" s="449"/>
      <c r="Y496" s="449">
        <f t="shared" si="403"/>
        <v>0</v>
      </c>
      <c r="Z496" s="449"/>
      <c r="AA496" s="449">
        <f t="shared" si="413"/>
        <v>0</v>
      </c>
      <c r="AB496" s="449">
        <f t="shared" si="413"/>
        <v>0</v>
      </c>
      <c r="AC496" s="449">
        <f t="shared" si="413"/>
        <v>0</v>
      </c>
      <c r="AD496" s="449">
        <f t="shared" si="413"/>
        <v>0</v>
      </c>
      <c r="AE496" s="449">
        <f t="shared" si="413"/>
        <v>0</v>
      </c>
      <c r="AF496" s="449">
        <f t="shared" si="413"/>
        <v>0</v>
      </c>
      <c r="AG496" s="449">
        <f t="shared" si="413"/>
        <v>0</v>
      </c>
      <c r="AH496" s="449">
        <f t="shared" si="413"/>
        <v>0</v>
      </c>
      <c r="AI496" s="449">
        <f t="shared" si="413"/>
        <v>0</v>
      </c>
      <c r="AJ496" s="449">
        <f t="shared" si="413"/>
        <v>0</v>
      </c>
      <c r="AK496" s="449">
        <f t="shared" si="413"/>
        <v>0</v>
      </c>
      <c r="AL496" s="449">
        <f t="shared" si="413"/>
        <v>0</v>
      </c>
      <c r="AN496" s="500">
        <f>SUM(L496:W496)</f>
        <v>0</v>
      </c>
      <c r="AO496" s="449">
        <f>SUM(BI496:BT496)</f>
        <v>0</v>
      </c>
      <c r="AP496" s="449">
        <f t="shared" si="407"/>
        <v>0</v>
      </c>
      <c r="AQ496" s="453" t="str">
        <f t="shared" si="408"/>
        <v>-</v>
      </c>
      <c r="AR496" s="449">
        <f t="shared" si="409"/>
        <v>0</v>
      </c>
      <c r="AS496" s="449">
        <f t="shared" si="410"/>
        <v>0</v>
      </c>
      <c r="AT496" s="426">
        <f t="shared" si="411"/>
        <v>0</v>
      </c>
      <c r="AU496" s="421"/>
      <c r="AV496" s="449">
        <f t="shared" si="412"/>
        <v>0</v>
      </c>
      <c r="AW496" s="449">
        <f t="shared" si="412"/>
        <v>0</v>
      </c>
      <c r="AX496" s="449">
        <f t="shared" si="412"/>
        <v>0</v>
      </c>
      <c r="AY496" s="449">
        <f t="shared" si="412"/>
        <v>0</v>
      </c>
      <c r="AZ496" s="449">
        <f t="shared" si="412"/>
        <v>0</v>
      </c>
      <c r="BA496" s="449">
        <f t="shared" si="412"/>
        <v>0</v>
      </c>
      <c r="BB496" s="449">
        <f t="shared" si="412"/>
        <v>0</v>
      </c>
      <c r="BC496" s="449">
        <f t="shared" si="412"/>
        <v>0</v>
      </c>
      <c r="BD496" s="449">
        <f t="shared" si="412"/>
        <v>0</v>
      </c>
      <c r="BE496" s="449">
        <f t="shared" si="412"/>
        <v>0</v>
      </c>
      <c r="BF496" s="449">
        <f t="shared" si="412"/>
        <v>0</v>
      </c>
      <c r="BG496" s="449">
        <f t="shared" si="412"/>
        <v>0</v>
      </c>
      <c r="BH496" s="400"/>
      <c r="BI496" s="449">
        <v>0</v>
      </c>
      <c r="BJ496" s="449">
        <v>0</v>
      </c>
      <c r="BK496" s="449">
        <v>0</v>
      </c>
      <c r="BL496" s="449">
        <v>0</v>
      </c>
      <c r="BM496" s="449">
        <v>0</v>
      </c>
      <c r="BN496" s="449">
        <v>0</v>
      </c>
      <c r="BO496" s="449">
        <v>0</v>
      </c>
      <c r="BP496" s="449">
        <v>0</v>
      </c>
      <c r="BQ496" s="449">
        <v>0</v>
      </c>
      <c r="BR496" s="449">
        <v>0</v>
      </c>
      <c r="BS496" s="449">
        <v>0</v>
      </c>
      <c r="BT496" s="449">
        <v>0</v>
      </c>
    </row>
    <row r="497" spans="1:72" ht="15" customHeight="1" x14ac:dyDescent="0.25">
      <c r="A497" s="617" t="s">
        <v>846</v>
      </c>
      <c r="B497" s="537" t="s">
        <v>847</v>
      </c>
      <c r="C497" s="541"/>
      <c r="D497" s="500">
        <f t="shared" si="398"/>
        <v>0</v>
      </c>
      <c r="E497" s="449">
        <v>0</v>
      </c>
      <c r="F497" s="449">
        <f t="shared" si="399"/>
        <v>0</v>
      </c>
      <c r="G497" s="421">
        <f t="shared" si="400"/>
        <v>0</v>
      </c>
      <c r="H497" s="449">
        <v>0</v>
      </c>
      <c r="I497" s="449">
        <f t="shared" si="401"/>
        <v>0</v>
      </c>
      <c r="J497" s="426">
        <f t="shared" si="402"/>
        <v>0</v>
      </c>
      <c r="K497" s="421"/>
      <c r="L497" s="449">
        <v>0</v>
      </c>
      <c r="M497" s="449">
        <v>0</v>
      </c>
      <c r="N497" s="449">
        <v>0</v>
      </c>
      <c r="O497" s="449">
        <v>0</v>
      </c>
      <c r="P497" s="449">
        <v>0</v>
      </c>
      <c r="Q497" s="449">
        <v>0</v>
      </c>
      <c r="R497" s="449">
        <f>($H497-SUM($L497:Q497))/R$694</f>
        <v>0</v>
      </c>
      <c r="S497" s="449">
        <f>($H497-SUM($L497:R497))/S$694</f>
        <v>0</v>
      </c>
      <c r="T497" s="449">
        <f>($H497-SUM($L497:S497))/T$694</f>
        <v>0</v>
      </c>
      <c r="U497" s="449">
        <f>($H497-SUM($L497:T497))/U$694</f>
        <v>0</v>
      </c>
      <c r="V497" s="449">
        <f>($H497-SUM($L497:U497))/V$694</f>
        <v>0</v>
      </c>
      <c r="W497" s="449">
        <f>($H497-SUM($L497:V497))/W$694</f>
        <v>0</v>
      </c>
      <c r="X497" s="449"/>
      <c r="Y497" s="449">
        <f t="shared" si="403"/>
        <v>0</v>
      </c>
      <c r="Z497" s="449"/>
      <c r="AA497" s="449">
        <f t="shared" si="413"/>
        <v>0</v>
      </c>
      <c r="AB497" s="449">
        <f t="shared" si="413"/>
        <v>0</v>
      </c>
      <c r="AC497" s="449">
        <f t="shared" si="413"/>
        <v>0</v>
      </c>
      <c r="AD497" s="449">
        <f t="shared" si="413"/>
        <v>0</v>
      </c>
      <c r="AE497" s="449">
        <f t="shared" si="413"/>
        <v>0</v>
      </c>
      <c r="AF497" s="449">
        <f t="shared" si="413"/>
        <v>0</v>
      </c>
      <c r="AG497" s="449">
        <f t="shared" si="413"/>
        <v>0</v>
      </c>
      <c r="AH497" s="449">
        <f t="shared" si="413"/>
        <v>0</v>
      </c>
      <c r="AI497" s="449">
        <f t="shared" si="413"/>
        <v>0</v>
      </c>
      <c r="AJ497" s="449">
        <f t="shared" si="413"/>
        <v>0</v>
      </c>
      <c r="AK497" s="449">
        <f t="shared" si="413"/>
        <v>0</v>
      </c>
      <c r="AL497" s="449">
        <f t="shared" si="413"/>
        <v>0</v>
      </c>
      <c r="AN497" s="500">
        <f>SUM(L497:W497)</f>
        <v>0</v>
      </c>
      <c r="AO497" s="449">
        <f>SUM(BI497:BT497)</f>
        <v>0</v>
      </c>
      <c r="AP497" s="449">
        <f t="shared" si="407"/>
        <v>0</v>
      </c>
      <c r="AQ497" s="453" t="str">
        <f t="shared" si="408"/>
        <v>-</v>
      </c>
      <c r="AR497" s="449">
        <f t="shared" si="409"/>
        <v>0</v>
      </c>
      <c r="AS497" s="449">
        <f t="shared" si="410"/>
        <v>0</v>
      </c>
      <c r="AT497" s="426">
        <f t="shared" si="411"/>
        <v>0</v>
      </c>
      <c r="AU497" s="421"/>
      <c r="AV497" s="449">
        <f t="shared" si="412"/>
        <v>0</v>
      </c>
      <c r="AW497" s="449">
        <f t="shared" si="412"/>
        <v>0</v>
      </c>
      <c r="AX497" s="449">
        <f t="shared" si="412"/>
        <v>0</v>
      </c>
      <c r="AY497" s="449">
        <f t="shared" si="412"/>
        <v>0</v>
      </c>
      <c r="AZ497" s="449">
        <f t="shared" si="412"/>
        <v>0</v>
      </c>
      <c r="BA497" s="449">
        <f t="shared" si="412"/>
        <v>0</v>
      </c>
      <c r="BB497" s="449">
        <f t="shared" si="412"/>
        <v>0</v>
      </c>
      <c r="BC497" s="449">
        <f t="shared" si="412"/>
        <v>0</v>
      </c>
      <c r="BD497" s="449">
        <f t="shared" si="412"/>
        <v>0</v>
      </c>
      <c r="BE497" s="449">
        <f t="shared" si="412"/>
        <v>0</v>
      </c>
      <c r="BF497" s="449">
        <f t="shared" si="412"/>
        <v>0</v>
      </c>
      <c r="BG497" s="449">
        <f t="shared" si="412"/>
        <v>0</v>
      </c>
      <c r="BH497" s="400"/>
      <c r="BI497" s="449">
        <v>0</v>
      </c>
      <c r="BJ497" s="449">
        <v>0</v>
      </c>
      <c r="BK497" s="449">
        <v>0</v>
      </c>
      <c r="BL497" s="449">
        <v>0</v>
      </c>
      <c r="BM497" s="449">
        <v>0</v>
      </c>
      <c r="BN497" s="449">
        <v>0</v>
      </c>
      <c r="BO497" s="449">
        <v>0</v>
      </c>
      <c r="BP497" s="449">
        <v>0</v>
      </c>
      <c r="BQ497" s="449">
        <v>0</v>
      </c>
      <c r="BR497" s="449">
        <v>0</v>
      </c>
      <c r="BS497" s="449">
        <v>0</v>
      </c>
      <c r="BT497" s="449">
        <v>0</v>
      </c>
    </row>
    <row r="498" spans="1:72" ht="15" customHeight="1" x14ac:dyDescent="0.25">
      <c r="A498" s="617" t="s">
        <v>848</v>
      </c>
      <c r="B498" s="537" t="s">
        <v>849</v>
      </c>
      <c r="C498" s="541"/>
      <c r="D498" s="500">
        <f t="shared" si="398"/>
        <v>0</v>
      </c>
      <c r="E498" s="449">
        <v>0</v>
      </c>
      <c r="F498" s="449">
        <f t="shared" si="399"/>
        <v>0</v>
      </c>
      <c r="G498" s="421">
        <f t="shared" si="400"/>
        <v>0</v>
      </c>
      <c r="H498" s="449">
        <v>0</v>
      </c>
      <c r="I498" s="449">
        <f t="shared" si="401"/>
        <v>0</v>
      </c>
      <c r="J498" s="426">
        <f t="shared" si="402"/>
        <v>0</v>
      </c>
      <c r="K498" s="421"/>
      <c r="L498" s="449">
        <v>0</v>
      </c>
      <c r="M498" s="449">
        <v>0</v>
      </c>
      <c r="N498" s="449">
        <v>0</v>
      </c>
      <c r="O498" s="449">
        <v>0</v>
      </c>
      <c r="P498" s="449">
        <v>0</v>
      </c>
      <c r="Q498" s="449">
        <v>0</v>
      </c>
      <c r="R498" s="449">
        <f>($H498-SUM($L498:Q498))/R$694</f>
        <v>0</v>
      </c>
      <c r="S498" s="449">
        <f>($H498-SUM($L498:R498))/S$694</f>
        <v>0</v>
      </c>
      <c r="T498" s="449">
        <f>($H498-SUM($L498:S498))/T$694</f>
        <v>0</v>
      </c>
      <c r="U498" s="449">
        <f>($H498-SUM($L498:T498))/U$694</f>
        <v>0</v>
      </c>
      <c r="V498" s="449">
        <f>($H498-SUM($L498:U498))/V$694</f>
        <v>0</v>
      </c>
      <c r="W498" s="449">
        <f>($H498-SUM($L498:V498))/W$694</f>
        <v>0</v>
      </c>
      <c r="X498" s="449"/>
      <c r="Y498" s="449">
        <f t="shared" si="403"/>
        <v>0</v>
      </c>
      <c r="Z498" s="449"/>
      <c r="AA498" s="449">
        <f t="shared" si="413"/>
        <v>0</v>
      </c>
      <c r="AB498" s="449">
        <f t="shared" si="413"/>
        <v>0</v>
      </c>
      <c r="AC498" s="449">
        <f t="shared" si="413"/>
        <v>0</v>
      </c>
      <c r="AD498" s="449">
        <f t="shared" si="413"/>
        <v>0</v>
      </c>
      <c r="AE498" s="449">
        <f t="shared" si="413"/>
        <v>0</v>
      </c>
      <c r="AF498" s="449">
        <f t="shared" si="413"/>
        <v>0</v>
      </c>
      <c r="AG498" s="449">
        <f t="shared" si="413"/>
        <v>0</v>
      </c>
      <c r="AH498" s="449">
        <f t="shared" si="413"/>
        <v>0</v>
      </c>
      <c r="AI498" s="449">
        <f t="shared" si="413"/>
        <v>0</v>
      </c>
      <c r="AJ498" s="449">
        <f t="shared" si="413"/>
        <v>0</v>
      </c>
      <c r="AK498" s="449">
        <f t="shared" si="413"/>
        <v>0</v>
      </c>
      <c r="AL498" s="449">
        <f t="shared" si="413"/>
        <v>0</v>
      </c>
      <c r="AN498" s="500">
        <f>SUM(L498:W498)</f>
        <v>0</v>
      </c>
      <c r="AO498" s="449">
        <f>SUM(BI498:BT498)</f>
        <v>0</v>
      </c>
      <c r="AP498" s="449">
        <f t="shared" si="407"/>
        <v>0</v>
      </c>
      <c r="AQ498" s="453" t="str">
        <f t="shared" si="408"/>
        <v>-</v>
      </c>
      <c r="AR498" s="449">
        <f t="shared" si="409"/>
        <v>0</v>
      </c>
      <c r="AS498" s="449">
        <f t="shared" si="410"/>
        <v>0</v>
      </c>
      <c r="AT498" s="426">
        <f t="shared" si="411"/>
        <v>0</v>
      </c>
      <c r="AU498" s="421"/>
      <c r="AV498" s="449">
        <f t="shared" si="412"/>
        <v>0</v>
      </c>
      <c r="AW498" s="449">
        <f t="shared" si="412"/>
        <v>0</v>
      </c>
      <c r="AX498" s="449">
        <f t="shared" si="412"/>
        <v>0</v>
      </c>
      <c r="AY498" s="449">
        <f t="shared" ref="AY498:BG513" si="414">BL498</f>
        <v>0</v>
      </c>
      <c r="AZ498" s="449">
        <f t="shared" si="414"/>
        <v>0</v>
      </c>
      <c r="BA498" s="449">
        <f t="shared" si="414"/>
        <v>0</v>
      </c>
      <c r="BB498" s="449">
        <f t="shared" si="414"/>
        <v>0</v>
      </c>
      <c r="BC498" s="449">
        <f t="shared" si="414"/>
        <v>0</v>
      </c>
      <c r="BD498" s="449">
        <f t="shared" si="414"/>
        <v>0</v>
      </c>
      <c r="BE498" s="449">
        <f t="shared" si="414"/>
        <v>0</v>
      </c>
      <c r="BF498" s="449">
        <f t="shared" si="414"/>
        <v>0</v>
      </c>
      <c r="BG498" s="449">
        <f t="shared" si="414"/>
        <v>0</v>
      </c>
      <c r="BH498" s="400"/>
      <c r="BI498" s="449">
        <v>0</v>
      </c>
      <c r="BJ498" s="449">
        <v>0</v>
      </c>
      <c r="BK498" s="449">
        <v>0</v>
      </c>
      <c r="BL498" s="449">
        <v>0</v>
      </c>
      <c r="BM498" s="449">
        <v>0</v>
      </c>
      <c r="BN498" s="449">
        <v>0</v>
      </c>
      <c r="BO498" s="449">
        <v>0</v>
      </c>
      <c r="BP498" s="449">
        <v>0</v>
      </c>
      <c r="BQ498" s="449">
        <v>0</v>
      </c>
      <c r="BR498" s="449">
        <v>0</v>
      </c>
      <c r="BS498" s="449">
        <v>0</v>
      </c>
      <c r="BT498" s="449">
        <v>0</v>
      </c>
    </row>
    <row r="499" spans="1:72" ht="15" customHeight="1" x14ac:dyDescent="0.25">
      <c r="A499" s="502" t="s">
        <v>850</v>
      </c>
      <c r="B499" s="502" t="s">
        <v>851</v>
      </c>
      <c r="C499" s="538"/>
      <c r="D499" s="500">
        <f t="shared" si="398"/>
        <v>48000</v>
      </c>
      <c r="E499" s="449">
        <v>41940</v>
      </c>
      <c r="F499" s="449">
        <f t="shared" si="399"/>
        <v>6060</v>
      </c>
      <c r="G499" s="421">
        <f t="shared" si="400"/>
        <v>0.14449213161659513</v>
      </c>
      <c r="H499" s="449">
        <v>48000</v>
      </c>
      <c r="I499" s="449">
        <f t="shared" si="401"/>
        <v>0</v>
      </c>
      <c r="J499" s="426">
        <f t="shared" si="402"/>
        <v>0</v>
      </c>
      <c r="K499" s="421"/>
      <c r="L499" s="449">
        <v>0</v>
      </c>
      <c r="M499" s="449">
        <v>0</v>
      </c>
      <c r="N499" s="449">
        <v>0</v>
      </c>
      <c r="O499" s="449">
        <v>0</v>
      </c>
      <c r="P499" s="449">
        <v>0</v>
      </c>
      <c r="Q499" s="449">
        <v>0</v>
      </c>
      <c r="R499" s="449">
        <f>($H499-SUM($L499:Q499))/R$694</f>
        <v>8000</v>
      </c>
      <c r="S499" s="449">
        <f>($H499-SUM($L499:R499))/S$694</f>
        <v>8000</v>
      </c>
      <c r="T499" s="449">
        <f>($H499-SUM($L499:S499))/T$694</f>
        <v>8000</v>
      </c>
      <c r="U499" s="449">
        <f>($H499-SUM($L499:T499))/U$694</f>
        <v>8000</v>
      </c>
      <c r="V499" s="449">
        <f>($H499-SUM($L499:U499))/V$694</f>
        <v>8000</v>
      </c>
      <c r="W499" s="449">
        <f>($H499-SUM($L499:V499))/W$694</f>
        <v>8000</v>
      </c>
      <c r="X499" s="449"/>
      <c r="Y499" s="449">
        <f t="shared" si="403"/>
        <v>48000</v>
      </c>
      <c r="Z499" s="531"/>
      <c r="AA499" s="449">
        <f t="shared" si="413"/>
        <v>4000</v>
      </c>
      <c r="AB499" s="449">
        <f t="shared" si="413"/>
        <v>4000</v>
      </c>
      <c r="AC499" s="449">
        <f t="shared" si="413"/>
        <v>4000</v>
      </c>
      <c r="AD499" s="449">
        <f t="shared" si="413"/>
        <v>4000</v>
      </c>
      <c r="AE499" s="449">
        <f t="shared" si="413"/>
        <v>4000</v>
      </c>
      <c r="AF499" s="449">
        <f t="shared" si="413"/>
        <v>4000</v>
      </c>
      <c r="AG499" s="449">
        <f t="shared" si="413"/>
        <v>4000</v>
      </c>
      <c r="AH499" s="449">
        <f t="shared" si="413"/>
        <v>4000</v>
      </c>
      <c r="AI499" s="449">
        <f t="shared" si="413"/>
        <v>4000</v>
      </c>
      <c r="AJ499" s="449">
        <f t="shared" si="413"/>
        <v>4000</v>
      </c>
      <c r="AK499" s="449">
        <f t="shared" si="413"/>
        <v>4000</v>
      </c>
      <c r="AL499" s="449">
        <f t="shared" si="413"/>
        <v>4000</v>
      </c>
      <c r="AN499" s="500">
        <f t="shared" si="405"/>
        <v>48000</v>
      </c>
      <c r="AO499" s="449">
        <f t="shared" si="406"/>
        <v>29664</v>
      </c>
      <c r="AP499" s="449">
        <f t="shared" si="407"/>
        <v>-18336</v>
      </c>
      <c r="AQ499" s="453">
        <f t="shared" si="408"/>
        <v>-0.38200000000000001</v>
      </c>
      <c r="AR499" s="449">
        <f t="shared" si="409"/>
        <v>29664</v>
      </c>
      <c r="AS499" s="449">
        <f t="shared" si="410"/>
        <v>0</v>
      </c>
      <c r="AT499" s="426">
        <f t="shared" si="411"/>
        <v>0</v>
      </c>
      <c r="AU499" s="421"/>
      <c r="AV499" s="449">
        <f t="shared" ref="AV499:BG525" si="415">BI499</f>
        <v>2472</v>
      </c>
      <c r="AW499" s="449">
        <f t="shared" si="415"/>
        <v>2472</v>
      </c>
      <c r="AX499" s="449">
        <f t="shared" si="415"/>
        <v>2472</v>
      </c>
      <c r="AY499" s="449">
        <f t="shared" si="414"/>
        <v>2472</v>
      </c>
      <c r="AZ499" s="449">
        <f t="shared" si="414"/>
        <v>2472</v>
      </c>
      <c r="BA499" s="449">
        <f t="shared" si="414"/>
        <v>2472</v>
      </c>
      <c r="BB499" s="449">
        <f t="shared" si="414"/>
        <v>2472</v>
      </c>
      <c r="BC499" s="449">
        <f t="shared" si="414"/>
        <v>2472</v>
      </c>
      <c r="BD499" s="449">
        <f t="shared" si="414"/>
        <v>2472</v>
      </c>
      <c r="BE499" s="449">
        <f t="shared" si="414"/>
        <v>2472</v>
      </c>
      <c r="BF499" s="449">
        <f t="shared" si="414"/>
        <v>2472</v>
      </c>
      <c r="BG499" s="449">
        <f t="shared" si="414"/>
        <v>2472</v>
      </c>
      <c r="BH499" s="400"/>
      <c r="BI499" s="449">
        <f t="shared" ref="BI499:BT499" si="416">IFERROR(($H499*1.03)/12,0)*0.6</f>
        <v>2472</v>
      </c>
      <c r="BJ499" s="449">
        <f t="shared" si="416"/>
        <v>2472</v>
      </c>
      <c r="BK499" s="449">
        <f t="shared" si="416"/>
        <v>2472</v>
      </c>
      <c r="BL499" s="449">
        <f t="shared" si="416"/>
        <v>2472</v>
      </c>
      <c r="BM499" s="449">
        <f t="shared" si="416"/>
        <v>2472</v>
      </c>
      <c r="BN499" s="449">
        <f t="shared" si="416"/>
        <v>2472</v>
      </c>
      <c r="BO499" s="449">
        <f t="shared" si="416"/>
        <v>2472</v>
      </c>
      <c r="BP499" s="449">
        <f t="shared" si="416"/>
        <v>2472</v>
      </c>
      <c r="BQ499" s="449">
        <f t="shared" si="416"/>
        <v>2472</v>
      </c>
      <c r="BR499" s="449">
        <f t="shared" si="416"/>
        <v>2472</v>
      </c>
      <c r="BS499" s="449">
        <f t="shared" si="416"/>
        <v>2472</v>
      </c>
      <c r="BT499" s="449">
        <f t="shared" si="416"/>
        <v>2472</v>
      </c>
    </row>
    <row r="500" spans="1:72" ht="15" customHeight="1" x14ac:dyDescent="0.25">
      <c r="A500" s="537" t="s">
        <v>852</v>
      </c>
      <c r="B500" s="537" t="s">
        <v>853</v>
      </c>
      <c r="C500" s="541"/>
      <c r="D500" s="500">
        <f>SUM(L500:W500)</f>
        <v>0</v>
      </c>
      <c r="E500" s="449">
        <v>0</v>
      </c>
      <c r="F500" s="449">
        <f t="shared" si="399"/>
        <v>0</v>
      </c>
      <c r="G500" s="421">
        <f t="shared" si="400"/>
        <v>0</v>
      </c>
      <c r="H500" s="449">
        <v>0</v>
      </c>
      <c r="I500" s="449">
        <f t="shared" si="401"/>
        <v>0</v>
      </c>
      <c r="J500" s="426">
        <f t="shared" si="402"/>
        <v>0</v>
      </c>
      <c r="K500" s="421"/>
      <c r="L500" s="449">
        <v>0</v>
      </c>
      <c r="M500" s="449">
        <v>0</v>
      </c>
      <c r="N500" s="449">
        <v>0</v>
      </c>
      <c r="O500" s="449">
        <v>0</v>
      </c>
      <c r="P500" s="449">
        <v>0</v>
      </c>
      <c r="Q500" s="449">
        <v>0</v>
      </c>
      <c r="R500" s="449">
        <f>($H500-SUM($L500:Q500))/R$694</f>
        <v>0</v>
      </c>
      <c r="S500" s="449">
        <f>($H500-SUM($L500:R500))/S$694</f>
        <v>0</v>
      </c>
      <c r="T500" s="449">
        <f>($H500-SUM($L500:S500))/T$694</f>
        <v>0</v>
      </c>
      <c r="U500" s="449">
        <f>($H500-SUM($L500:T500))/U$694</f>
        <v>0</v>
      </c>
      <c r="V500" s="449">
        <f>($H500-SUM($L500:U500))/V$694</f>
        <v>0</v>
      </c>
      <c r="W500" s="449">
        <f>($H500-SUM($L500:V500))/W$694</f>
        <v>0</v>
      </c>
      <c r="X500" s="449"/>
      <c r="Y500" s="449">
        <f t="shared" si="403"/>
        <v>0</v>
      </c>
      <c r="Z500" s="449"/>
      <c r="AA500" s="449">
        <f t="shared" si="413"/>
        <v>0</v>
      </c>
      <c r="AB500" s="449">
        <f t="shared" si="413"/>
        <v>0</v>
      </c>
      <c r="AC500" s="449">
        <f t="shared" si="413"/>
        <v>0</v>
      </c>
      <c r="AD500" s="449">
        <f t="shared" si="413"/>
        <v>0</v>
      </c>
      <c r="AE500" s="449">
        <f t="shared" si="413"/>
        <v>0</v>
      </c>
      <c r="AF500" s="449">
        <f t="shared" si="413"/>
        <v>0</v>
      </c>
      <c r="AG500" s="449">
        <f t="shared" si="413"/>
        <v>0</v>
      </c>
      <c r="AH500" s="449">
        <f t="shared" si="413"/>
        <v>0</v>
      </c>
      <c r="AI500" s="449">
        <f t="shared" si="413"/>
        <v>0</v>
      </c>
      <c r="AJ500" s="449">
        <f t="shared" si="413"/>
        <v>0</v>
      </c>
      <c r="AK500" s="449">
        <f t="shared" si="413"/>
        <v>0</v>
      </c>
      <c r="AL500" s="449">
        <f t="shared" si="413"/>
        <v>0</v>
      </c>
      <c r="AN500" s="500">
        <f>SUM(L500:W500)</f>
        <v>0</v>
      </c>
      <c r="AO500" s="449">
        <f>SUM(BI500:BT500)</f>
        <v>19776</v>
      </c>
      <c r="AP500" s="449">
        <f t="shared" si="407"/>
        <v>19776</v>
      </c>
      <c r="AQ500" s="453" t="str">
        <f t="shared" si="408"/>
        <v>-</v>
      </c>
      <c r="AR500" s="449">
        <f t="shared" si="409"/>
        <v>19776</v>
      </c>
      <c r="AS500" s="449">
        <f t="shared" si="410"/>
        <v>0</v>
      </c>
      <c r="AT500" s="426">
        <f t="shared" si="411"/>
        <v>0</v>
      </c>
      <c r="AU500" s="421"/>
      <c r="AV500" s="449">
        <f t="shared" si="415"/>
        <v>1648</v>
      </c>
      <c r="AW500" s="449">
        <f t="shared" si="415"/>
        <v>1648</v>
      </c>
      <c r="AX500" s="449">
        <f t="shared" si="415"/>
        <v>1648</v>
      </c>
      <c r="AY500" s="449">
        <f t="shared" si="414"/>
        <v>1648</v>
      </c>
      <c r="AZ500" s="449">
        <f t="shared" si="414"/>
        <v>1648</v>
      </c>
      <c r="BA500" s="449">
        <f t="shared" si="414"/>
        <v>1648</v>
      </c>
      <c r="BB500" s="449">
        <f t="shared" si="414"/>
        <v>1648</v>
      </c>
      <c r="BC500" s="449">
        <f t="shared" si="414"/>
        <v>1648</v>
      </c>
      <c r="BD500" s="449">
        <f t="shared" si="414"/>
        <v>1648</v>
      </c>
      <c r="BE500" s="449">
        <f t="shared" si="414"/>
        <v>1648</v>
      </c>
      <c r="BF500" s="449">
        <f t="shared" si="414"/>
        <v>1648</v>
      </c>
      <c r="BG500" s="449">
        <f t="shared" si="414"/>
        <v>1648</v>
      </c>
      <c r="BH500" s="400"/>
      <c r="BI500" s="449">
        <f t="shared" ref="BI500:BT500" si="417">IFERROR(($H499*1.03)/12,0)*0.4</f>
        <v>1648</v>
      </c>
      <c r="BJ500" s="449">
        <f t="shared" si="417"/>
        <v>1648</v>
      </c>
      <c r="BK500" s="449">
        <f t="shared" si="417"/>
        <v>1648</v>
      </c>
      <c r="BL500" s="449">
        <f t="shared" si="417"/>
        <v>1648</v>
      </c>
      <c r="BM500" s="449">
        <f t="shared" si="417"/>
        <v>1648</v>
      </c>
      <c r="BN500" s="449">
        <f t="shared" si="417"/>
        <v>1648</v>
      </c>
      <c r="BO500" s="449">
        <f t="shared" si="417"/>
        <v>1648</v>
      </c>
      <c r="BP500" s="449">
        <f t="shared" si="417"/>
        <v>1648</v>
      </c>
      <c r="BQ500" s="449">
        <f t="shared" si="417"/>
        <v>1648</v>
      </c>
      <c r="BR500" s="449">
        <f t="shared" si="417"/>
        <v>1648</v>
      </c>
      <c r="BS500" s="449">
        <f t="shared" si="417"/>
        <v>1648</v>
      </c>
      <c r="BT500" s="449">
        <f t="shared" si="417"/>
        <v>1648</v>
      </c>
    </row>
    <row r="501" spans="1:72" ht="15" customHeight="1" x14ac:dyDescent="0.25">
      <c r="A501" s="502" t="s">
        <v>854</v>
      </c>
      <c r="B501" s="502" t="s">
        <v>855</v>
      </c>
      <c r="C501" s="538"/>
      <c r="D501" s="500">
        <f t="shared" si="398"/>
        <v>12000</v>
      </c>
      <c r="E501" s="449">
        <v>15000</v>
      </c>
      <c r="F501" s="449">
        <f t="shared" si="399"/>
        <v>-3000</v>
      </c>
      <c r="G501" s="421">
        <f t="shared" si="400"/>
        <v>-0.2</v>
      </c>
      <c r="H501" s="449">
        <v>12000</v>
      </c>
      <c r="I501" s="449">
        <f t="shared" si="401"/>
        <v>0</v>
      </c>
      <c r="J501" s="426">
        <f t="shared" si="402"/>
        <v>0</v>
      </c>
      <c r="K501" s="421"/>
      <c r="L501" s="449">
        <v>0</v>
      </c>
      <c r="M501" s="449">
        <v>1035.68</v>
      </c>
      <c r="N501" s="449">
        <v>0</v>
      </c>
      <c r="O501" s="449">
        <v>0</v>
      </c>
      <c r="P501" s="449">
        <v>1918.3499999999997</v>
      </c>
      <c r="Q501" s="449">
        <v>0</v>
      </c>
      <c r="R501" s="449">
        <f>($H501-SUM($L501:Q501))/R$694</f>
        <v>1507.6616666666669</v>
      </c>
      <c r="S501" s="449">
        <f>($H501-SUM($L501:R501))/S$694</f>
        <v>1507.6616666666666</v>
      </c>
      <c r="T501" s="449">
        <f>($H501-SUM($L501:S501))/T$694</f>
        <v>1507.6616666666666</v>
      </c>
      <c r="U501" s="449">
        <f>($H501-SUM($L501:T501))/U$694</f>
        <v>1507.6616666666666</v>
      </c>
      <c r="V501" s="449">
        <f>($H501-SUM($L501:U501))/V$694</f>
        <v>1507.6616666666669</v>
      </c>
      <c r="W501" s="449">
        <f>($H501-SUM($L501:V501))/W$694</f>
        <v>1507.6616666666669</v>
      </c>
      <c r="X501" s="449"/>
      <c r="Y501" s="449">
        <f t="shared" si="403"/>
        <v>12000</v>
      </c>
      <c r="Z501" s="531"/>
      <c r="AA501" s="449">
        <f t="shared" si="413"/>
        <v>1000</v>
      </c>
      <c r="AB501" s="449">
        <f t="shared" si="413"/>
        <v>1000</v>
      </c>
      <c r="AC501" s="449">
        <f t="shared" si="413"/>
        <v>1000</v>
      </c>
      <c r="AD501" s="449">
        <f t="shared" si="413"/>
        <v>1000</v>
      </c>
      <c r="AE501" s="449">
        <f t="shared" si="413"/>
        <v>1000</v>
      </c>
      <c r="AF501" s="449">
        <f t="shared" si="413"/>
        <v>1000</v>
      </c>
      <c r="AG501" s="449">
        <f t="shared" si="413"/>
        <v>1000</v>
      </c>
      <c r="AH501" s="449">
        <f t="shared" si="413"/>
        <v>1000</v>
      </c>
      <c r="AI501" s="449">
        <f t="shared" si="413"/>
        <v>1000</v>
      </c>
      <c r="AJ501" s="449">
        <f t="shared" si="413"/>
        <v>1000</v>
      </c>
      <c r="AK501" s="449">
        <f t="shared" si="413"/>
        <v>1000</v>
      </c>
      <c r="AL501" s="449">
        <f t="shared" si="413"/>
        <v>1000</v>
      </c>
      <c r="AN501" s="500">
        <f t="shared" si="405"/>
        <v>12000</v>
      </c>
      <c r="AO501" s="449">
        <f t="shared" si="406"/>
        <v>7416</v>
      </c>
      <c r="AP501" s="449">
        <f t="shared" si="407"/>
        <v>-4584</v>
      </c>
      <c r="AQ501" s="453">
        <f t="shared" si="408"/>
        <v>-0.38200000000000001</v>
      </c>
      <c r="AR501" s="449">
        <f t="shared" si="409"/>
        <v>7416</v>
      </c>
      <c r="AS501" s="449">
        <f t="shared" si="410"/>
        <v>0</v>
      </c>
      <c r="AT501" s="426">
        <f t="shared" si="411"/>
        <v>0</v>
      </c>
      <c r="AU501" s="421"/>
      <c r="AV501" s="449">
        <f t="shared" si="415"/>
        <v>618</v>
      </c>
      <c r="AW501" s="449">
        <f t="shared" si="415"/>
        <v>618</v>
      </c>
      <c r="AX501" s="449">
        <f t="shared" si="415"/>
        <v>618</v>
      </c>
      <c r="AY501" s="449">
        <f t="shared" si="414"/>
        <v>618</v>
      </c>
      <c r="AZ501" s="449">
        <f t="shared" si="414"/>
        <v>618</v>
      </c>
      <c r="BA501" s="449">
        <f t="shared" si="414"/>
        <v>618</v>
      </c>
      <c r="BB501" s="449">
        <f t="shared" si="414"/>
        <v>618</v>
      </c>
      <c r="BC501" s="449">
        <f t="shared" si="414"/>
        <v>618</v>
      </c>
      <c r="BD501" s="449">
        <f t="shared" si="414"/>
        <v>618</v>
      </c>
      <c r="BE501" s="449">
        <f t="shared" si="414"/>
        <v>618</v>
      </c>
      <c r="BF501" s="449">
        <f t="shared" si="414"/>
        <v>618</v>
      </c>
      <c r="BG501" s="449">
        <f t="shared" si="414"/>
        <v>618</v>
      </c>
      <c r="BH501" s="400"/>
      <c r="BI501" s="449">
        <f t="shared" ref="BI501:BT501" si="418">IFERROR(($H501*1.03)/12,0)*0.6</f>
        <v>618</v>
      </c>
      <c r="BJ501" s="449">
        <f t="shared" si="418"/>
        <v>618</v>
      </c>
      <c r="BK501" s="449">
        <f t="shared" si="418"/>
        <v>618</v>
      </c>
      <c r="BL501" s="449">
        <f t="shared" si="418"/>
        <v>618</v>
      </c>
      <c r="BM501" s="449">
        <f t="shared" si="418"/>
        <v>618</v>
      </c>
      <c r="BN501" s="449">
        <f t="shared" si="418"/>
        <v>618</v>
      </c>
      <c r="BO501" s="449">
        <f t="shared" si="418"/>
        <v>618</v>
      </c>
      <c r="BP501" s="449">
        <f t="shared" si="418"/>
        <v>618</v>
      </c>
      <c r="BQ501" s="449">
        <f t="shared" si="418"/>
        <v>618</v>
      </c>
      <c r="BR501" s="449">
        <f t="shared" si="418"/>
        <v>618</v>
      </c>
      <c r="BS501" s="449">
        <f t="shared" si="418"/>
        <v>618</v>
      </c>
      <c r="BT501" s="449">
        <f t="shared" si="418"/>
        <v>618</v>
      </c>
    </row>
    <row r="502" spans="1:72" ht="15" customHeight="1" x14ac:dyDescent="0.25">
      <c r="A502" s="537" t="s">
        <v>856</v>
      </c>
      <c r="B502" s="537" t="s">
        <v>857</v>
      </c>
      <c r="C502" s="541"/>
      <c r="D502" s="500">
        <f t="shared" si="398"/>
        <v>0</v>
      </c>
      <c r="E502" s="449">
        <v>0</v>
      </c>
      <c r="F502" s="449">
        <f t="shared" si="399"/>
        <v>0</v>
      </c>
      <c r="G502" s="421">
        <f t="shared" si="400"/>
        <v>0</v>
      </c>
      <c r="H502" s="449">
        <v>0</v>
      </c>
      <c r="I502" s="449">
        <f t="shared" si="401"/>
        <v>0</v>
      </c>
      <c r="J502" s="426">
        <f t="shared" si="402"/>
        <v>0</v>
      </c>
      <c r="K502" s="421"/>
      <c r="L502" s="449">
        <v>0</v>
      </c>
      <c r="M502" s="449">
        <v>0</v>
      </c>
      <c r="N502" s="449">
        <v>0</v>
      </c>
      <c r="O502" s="449">
        <v>0</v>
      </c>
      <c r="P502" s="449">
        <v>0</v>
      </c>
      <c r="Q502" s="449">
        <v>0</v>
      </c>
      <c r="R502" s="449">
        <f>($H502-SUM($L502:Q502))/R$694</f>
        <v>0</v>
      </c>
      <c r="S502" s="449">
        <f>($H502-SUM($L502:R502))/S$694</f>
        <v>0</v>
      </c>
      <c r="T502" s="449">
        <f>($H502-SUM($L502:S502))/T$694</f>
        <v>0</v>
      </c>
      <c r="U502" s="449">
        <f>($H502-SUM($L502:T502))/U$694</f>
        <v>0</v>
      </c>
      <c r="V502" s="449">
        <f>($H502-SUM($L502:U502))/V$694</f>
        <v>0</v>
      </c>
      <c r="W502" s="449">
        <f>($H502-SUM($L502:V502))/W$694</f>
        <v>0</v>
      </c>
      <c r="X502" s="449"/>
      <c r="Y502" s="449">
        <f t="shared" si="403"/>
        <v>0</v>
      </c>
      <c r="Z502" s="449"/>
      <c r="AA502" s="449">
        <f t="shared" si="413"/>
        <v>0</v>
      </c>
      <c r="AB502" s="449">
        <f t="shared" si="413"/>
        <v>0</v>
      </c>
      <c r="AC502" s="449">
        <f t="shared" si="413"/>
        <v>0</v>
      </c>
      <c r="AD502" s="449">
        <f t="shared" si="413"/>
        <v>0</v>
      </c>
      <c r="AE502" s="449">
        <f t="shared" si="413"/>
        <v>0</v>
      </c>
      <c r="AF502" s="449">
        <f t="shared" si="413"/>
        <v>0</v>
      </c>
      <c r="AG502" s="449">
        <f t="shared" si="413"/>
        <v>0</v>
      </c>
      <c r="AH502" s="449">
        <f t="shared" si="413"/>
        <v>0</v>
      </c>
      <c r="AI502" s="449">
        <f t="shared" si="413"/>
        <v>0</v>
      </c>
      <c r="AJ502" s="449">
        <f t="shared" si="413"/>
        <v>0</v>
      </c>
      <c r="AK502" s="449">
        <f t="shared" si="413"/>
        <v>0</v>
      </c>
      <c r="AL502" s="449">
        <f t="shared" si="413"/>
        <v>0</v>
      </c>
      <c r="AN502" s="500">
        <f t="shared" si="405"/>
        <v>0</v>
      </c>
      <c r="AO502" s="449">
        <f t="shared" si="406"/>
        <v>4944</v>
      </c>
      <c r="AP502" s="449">
        <f t="shared" si="407"/>
        <v>4944</v>
      </c>
      <c r="AQ502" s="453" t="str">
        <f t="shared" si="408"/>
        <v>-</v>
      </c>
      <c r="AR502" s="449">
        <f t="shared" si="409"/>
        <v>4944</v>
      </c>
      <c r="AS502" s="449">
        <f t="shared" si="410"/>
        <v>0</v>
      </c>
      <c r="AT502" s="426">
        <f t="shared" si="411"/>
        <v>0</v>
      </c>
      <c r="AU502" s="421"/>
      <c r="AV502" s="449">
        <f t="shared" si="415"/>
        <v>412</v>
      </c>
      <c r="AW502" s="449">
        <f t="shared" si="415"/>
        <v>412</v>
      </c>
      <c r="AX502" s="449">
        <f t="shared" si="415"/>
        <v>412</v>
      </c>
      <c r="AY502" s="449">
        <f t="shared" si="414"/>
        <v>412</v>
      </c>
      <c r="AZ502" s="449">
        <f t="shared" si="414"/>
        <v>412</v>
      </c>
      <c r="BA502" s="449">
        <f t="shared" si="414"/>
        <v>412</v>
      </c>
      <c r="BB502" s="449">
        <f t="shared" si="414"/>
        <v>412</v>
      </c>
      <c r="BC502" s="449">
        <f t="shared" si="414"/>
        <v>412</v>
      </c>
      <c r="BD502" s="449">
        <f t="shared" si="414"/>
        <v>412</v>
      </c>
      <c r="BE502" s="449">
        <f t="shared" si="414"/>
        <v>412</v>
      </c>
      <c r="BF502" s="449">
        <f t="shared" si="414"/>
        <v>412</v>
      </c>
      <c r="BG502" s="449">
        <f t="shared" si="414"/>
        <v>412</v>
      </c>
      <c r="BH502" s="400"/>
      <c r="BI502" s="449">
        <f t="shared" ref="BI502:BT502" si="419">IFERROR(($H501*1.03)/12,0)*0.4</f>
        <v>412</v>
      </c>
      <c r="BJ502" s="449">
        <f t="shared" si="419"/>
        <v>412</v>
      </c>
      <c r="BK502" s="449">
        <f t="shared" si="419"/>
        <v>412</v>
      </c>
      <c r="BL502" s="449">
        <f t="shared" si="419"/>
        <v>412</v>
      </c>
      <c r="BM502" s="449">
        <f t="shared" si="419"/>
        <v>412</v>
      </c>
      <c r="BN502" s="449">
        <f t="shared" si="419"/>
        <v>412</v>
      </c>
      <c r="BO502" s="449">
        <f t="shared" si="419"/>
        <v>412</v>
      </c>
      <c r="BP502" s="449">
        <f t="shared" si="419"/>
        <v>412</v>
      </c>
      <c r="BQ502" s="449">
        <f t="shared" si="419"/>
        <v>412</v>
      </c>
      <c r="BR502" s="449">
        <f t="shared" si="419"/>
        <v>412</v>
      </c>
      <c r="BS502" s="449">
        <f t="shared" si="419"/>
        <v>412</v>
      </c>
      <c r="BT502" s="449">
        <f t="shared" si="419"/>
        <v>412</v>
      </c>
    </row>
    <row r="503" spans="1:72" ht="15" x14ac:dyDescent="0.25">
      <c r="A503" s="502" t="s">
        <v>858</v>
      </c>
      <c r="B503" s="502" t="s">
        <v>859</v>
      </c>
      <c r="C503" s="538"/>
      <c r="D503" s="500">
        <f t="shared" si="398"/>
        <v>11500</v>
      </c>
      <c r="E503" s="449">
        <v>10000</v>
      </c>
      <c r="F503" s="449">
        <f t="shared" si="399"/>
        <v>1500</v>
      </c>
      <c r="G503" s="421">
        <f t="shared" si="400"/>
        <v>0.15</v>
      </c>
      <c r="H503" s="449">
        <v>11500</v>
      </c>
      <c r="I503" s="449">
        <f t="shared" si="401"/>
        <v>0</v>
      </c>
      <c r="J503" s="426">
        <f t="shared" si="402"/>
        <v>0</v>
      </c>
      <c r="K503" s="421"/>
      <c r="L503" s="449">
        <v>0</v>
      </c>
      <c r="M503" s="449">
        <v>0</v>
      </c>
      <c r="N503" s="449">
        <v>0</v>
      </c>
      <c r="O503" s="449">
        <v>0</v>
      </c>
      <c r="P503" s="449">
        <v>0</v>
      </c>
      <c r="Q503" s="449">
        <v>170</v>
      </c>
      <c r="R503" s="449">
        <f>($H503-SUM($L503:Q503))/R$694</f>
        <v>1888.3333333333333</v>
      </c>
      <c r="S503" s="449">
        <f>($H503-SUM($L503:R503))/S$694</f>
        <v>1888.3333333333335</v>
      </c>
      <c r="T503" s="449">
        <f>($H503-SUM($L503:S503))/T$694</f>
        <v>1888.3333333333335</v>
      </c>
      <c r="U503" s="449">
        <f>($H503-SUM($L503:T503))/U$694</f>
        <v>1888.3333333333333</v>
      </c>
      <c r="V503" s="449">
        <f>($H503-SUM($L503:U503))/V$694</f>
        <v>1888.3333333333335</v>
      </c>
      <c r="W503" s="449">
        <f>($H503-SUM($L503:V503))/W$694</f>
        <v>1888.3333333333339</v>
      </c>
      <c r="X503" s="449"/>
      <c r="Y503" s="449">
        <f t="shared" si="403"/>
        <v>11500</v>
      </c>
      <c r="Z503" s="531"/>
      <c r="AA503" s="449">
        <f t="shared" si="413"/>
        <v>958.33333333333337</v>
      </c>
      <c r="AB503" s="449">
        <f t="shared" si="413"/>
        <v>958.33333333333337</v>
      </c>
      <c r="AC503" s="449">
        <f t="shared" si="413"/>
        <v>958.33333333333337</v>
      </c>
      <c r="AD503" s="449">
        <f t="shared" si="413"/>
        <v>958.33333333333337</v>
      </c>
      <c r="AE503" s="449">
        <f t="shared" si="413"/>
        <v>958.33333333333337</v>
      </c>
      <c r="AF503" s="449">
        <f t="shared" si="413"/>
        <v>958.33333333333337</v>
      </c>
      <c r="AG503" s="449">
        <f t="shared" si="413"/>
        <v>958.33333333333337</v>
      </c>
      <c r="AH503" s="449">
        <f t="shared" si="413"/>
        <v>958.33333333333337</v>
      </c>
      <c r="AI503" s="449">
        <f t="shared" si="413"/>
        <v>958.33333333333337</v>
      </c>
      <c r="AJ503" s="449">
        <f t="shared" si="413"/>
        <v>958.33333333333337</v>
      </c>
      <c r="AK503" s="449">
        <f t="shared" si="413"/>
        <v>958.33333333333337</v>
      </c>
      <c r="AL503" s="449">
        <f t="shared" si="413"/>
        <v>958.33333333333337</v>
      </c>
      <c r="AN503" s="500">
        <f t="shared" si="405"/>
        <v>11500</v>
      </c>
      <c r="AO503" s="449">
        <f t="shared" si="406"/>
        <v>11845.000000000002</v>
      </c>
      <c r="AP503" s="449">
        <f t="shared" si="407"/>
        <v>345.00000000000182</v>
      </c>
      <c r="AQ503" s="453">
        <f t="shared" si="408"/>
        <v>3.0000000000000158E-2</v>
      </c>
      <c r="AR503" s="449">
        <f t="shared" si="409"/>
        <v>11845.000000000002</v>
      </c>
      <c r="AS503" s="449">
        <f t="shared" si="410"/>
        <v>0</v>
      </c>
      <c r="AT503" s="426">
        <f t="shared" si="411"/>
        <v>0</v>
      </c>
      <c r="AU503" s="421"/>
      <c r="AV503" s="449">
        <f t="shared" si="415"/>
        <v>987.08333333333337</v>
      </c>
      <c r="AW503" s="449">
        <f t="shared" si="415"/>
        <v>987.08333333333337</v>
      </c>
      <c r="AX503" s="449">
        <f t="shared" si="415"/>
        <v>987.08333333333337</v>
      </c>
      <c r="AY503" s="449">
        <f t="shared" si="414"/>
        <v>987.08333333333337</v>
      </c>
      <c r="AZ503" s="449">
        <f t="shared" si="414"/>
        <v>987.08333333333337</v>
      </c>
      <c r="BA503" s="449">
        <f t="shared" si="414"/>
        <v>987.08333333333337</v>
      </c>
      <c r="BB503" s="449">
        <f t="shared" si="414"/>
        <v>987.08333333333337</v>
      </c>
      <c r="BC503" s="449">
        <f t="shared" si="414"/>
        <v>987.08333333333337</v>
      </c>
      <c r="BD503" s="449">
        <f t="shared" si="414"/>
        <v>987.08333333333337</v>
      </c>
      <c r="BE503" s="449">
        <f t="shared" si="414"/>
        <v>987.08333333333337</v>
      </c>
      <c r="BF503" s="449">
        <f t="shared" si="414"/>
        <v>987.08333333333337</v>
      </c>
      <c r="BG503" s="449">
        <f t="shared" si="414"/>
        <v>987.08333333333337</v>
      </c>
      <c r="BH503" s="400"/>
      <c r="BI503" s="449">
        <f t="shared" ref="BI503:BT503" si="420">IFERROR(($H503*1.03)/12,0)</f>
        <v>987.08333333333337</v>
      </c>
      <c r="BJ503" s="449">
        <f t="shared" si="420"/>
        <v>987.08333333333337</v>
      </c>
      <c r="BK503" s="449">
        <f t="shared" si="420"/>
        <v>987.08333333333337</v>
      </c>
      <c r="BL503" s="449">
        <f t="shared" si="420"/>
        <v>987.08333333333337</v>
      </c>
      <c r="BM503" s="449">
        <f t="shared" si="420"/>
        <v>987.08333333333337</v>
      </c>
      <c r="BN503" s="449">
        <f t="shared" si="420"/>
        <v>987.08333333333337</v>
      </c>
      <c r="BO503" s="449">
        <f t="shared" si="420"/>
        <v>987.08333333333337</v>
      </c>
      <c r="BP503" s="449">
        <f t="shared" si="420"/>
        <v>987.08333333333337</v>
      </c>
      <c r="BQ503" s="449">
        <f t="shared" si="420"/>
        <v>987.08333333333337</v>
      </c>
      <c r="BR503" s="449">
        <f t="shared" si="420"/>
        <v>987.08333333333337</v>
      </c>
      <c r="BS503" s="449">
        <f t="shared" si="420"/>
        <v>987.08333333333337</v>
      </c>
      <c r="BT503" s="449">
        <f t="shared" si="420"/>
        <v>987.08333333333337</v>
      </c>
    </row>
    <row r="504" spans="1:72" ht="15" x14ac:dyDescent="0.25">
      <c r="A504" s="502" t="s">
        <v>860</v>
      </c>
      <c r="B504" s="502" t="s">
        <v>861</v>
      </c>
      <c r="C504" s="538"/>
      <c r="D504" s="500">
        <f t="shared" si="398"/>
        <v>5345</v>
      </c>
      <c r="E504" s="449">
        <v>2200</v>
      </c>
      <c r="F504" s="449">
        <f t="shared" si="399"/>
        <v>3145</v>
      </c>
      <c r="G504" s="421">
        <f t="shared" si="400"/>
        <v>1.4295454545454545</v>
      </c>
      <c r="H504" s="449">
        <v>2200</v>
      </c>
      <c r="I504" s="449">
        <f t="shared" si="401"/>
        <v>3145</v>
      </c>
      <c r="J504" s="426">
        <f t="shared" si="402"/>
        <v>1.4295454545454545</v>
      </c>
      <c r="K504" s="421"/>
      <c r="L504" s="449">
        <v>0</v>
      </c>
      <c r="M504" s="449">
        <v>5345</v>
      </c>
      <c r="N504" s="449">
        <v>0</v>
      </c>
      <c r="O504" s="449">
        <v>0</v>
      </c>
      <c r="P504" s="449">
        <v>0</v>
      </c>
      <c r="Q504" s="449">
        <v>0</v>
      </c>
      <c r="R504" s="449">
        <v>0</v>
      </c>
      <c r="S504" s="449">
        <v>0</v>
      </c>
      <c r="T504" s="449">
        <v>0</v>
      </c>
      <c r="U504" s="449">
        <v>0</v>
      </c>
      <c r="V504" s="449">
        <v>0</v>
      </c>
      <c r="W504" s="449">
        <v>0</v>
      </c>
      <c r="X504" s="449"/>
      <c r="Y504" s="449">
        <f t="shared" si="403"/>
        <v>5345</v>
      </c>
      <c r="Z504" s="531"/>
      <c r="AA504" s="449">
        <f t="shared" si="413"/>
        <v>183.33333333333334</v>
      </c>
      <c r="AB504" s="449">
        <f t="shared" si="413"/>
        <v>183.33333333333334</v>
      </c>
      <c r="AC504" s="449">
        <f t="shared" si="413"/>
        <v>183.33333333333334</v>
      </c>
      <c r="AD504" s="449">
        <f t="shared" si="413"/>
        <v>183.33333333333334</v>
      </c>
      <c r="AE504" s="449">
        <f t="shared" si="413"/>
        <v>183.33333333333334</v>
      </c>
      <c r="AF504" s="449">
        <f t="shared" si="413"/>
        <v>183.33333333333334</v>
      </c>
      <c r="AG504" s="449">
        <f t="shared" si="413"/>
        <v>183.33333333333334</v>
      </c>
      <c r="AH504" s="449">
        <f t="shared" si="413"/>
        <v>183.33333333333334</v>
      </c>
      <c r="AI504" s="449">
        <f t="shared" si="413"/>
        <v>183.33333333333334</v>
      </c>
      <c r="AJ504" s="449">
        <f t="shared" si="413"/>
        <v>183.33333333333334</v>
      </c>
      <c r="AK504" s="449">
        <f t="shared" si="413"/>
        <v>183.33333333333334</v>
      </c>
      <c r="AL504" s="449">
        <f t="shared" si="413"/>
        <v>183.33333333333334</v>
      </c>
      <c r="AN504" s="500">
        <f t="shared" si="405"/>
        <v>5345</v>
      </c>
      <c r="AO504" s="449">
        <f t="shared" si="406"/>
        <v>5505.3500000000022</v>
      </c>
      <c r="AP504" s="449">
        <f t="shared" si="407"/>
        <v>160.35000000000218</v>
      </c>
      <c r="AQ504" s="453">
        <f t="shared" si="408"/>
        <v>3.0000000000000408E-2</v>
      </c>
      <c r="AR504" s="449">
        <f t="shared" si="409"/>
        <v>5505.3500000000022</v>
      </c>
      <c r="AS504" s="449">
        <f t="shared" si="410"/>
        <v>0</v>
      </c>
      <c r="AT504" s="426">
        <f t="shared" si="411"/>
        <v>0</v>
      </c>
      <c r="AU504" s="421"/>
      <c r="AV504" s="449">
        <f t="shared" si="415"/>
        <v>458.7791666666667</v>
      </c>
      <c r="AW504" s="449">
        <f t="shared" si="415"/>
        <v>458.7791666666667</v>
      </c>
      <c r="AX504" s="449">
        <f t="shared" si="415"/>
        <v>458.7791666666667</v>
      </c>
      <c r="AY504" s="449">
        <f t="shared" si="414"/>
        <v>458.7791666666667</v>
      </c>
      <c r="AZ504" s="449">
        <f t="shared" si="414"/>
        <v>458.7791666666667</v>
      </c>
      <c r="BA504" s="449">
        <f t="shared" si="414"/>
        <v>458.7791666666667</v>
      </c>
      <c r="BB504" s="449">
        <f t="shared" si="414"/>
        <v>458.7791666666667</v>
      </c>
      <c r="BC504" s="449">
        <f t="shared" si="414"/>
        <v>458.7791666666667</v>
      </c>
      <c r="BD504" s="449">
        <f t="shared" si="414"/>
        <v>458.7791666666667</v>
      </c>
      <c r="BE504" s="449">
        <f t="shared" si="414"/>
        <v>458.7791666666667</v>
      </c>
      <c r="BF504" s="449">
        <f t="shared" si="414"/>
        <v>458.7791666666667</v>
      </c>
      <c r="BG504" s="449">
        <f t="shared" si="414"/>
        <v>458.7791666666667</v>
      </c>
      <c r="BH504" s="400"/>
      <c r="BI504" s="449">
        <f t="shared" ref="BI504:BT504" si="421">IFERROR(($D504*1.03)/12,0)</f>
        <v>458.7791666666667</v>
      </c>
      <c r="BJ504" s="449">
        <f t="shared" si="421"/>
        <v>458.7791666666667</v>
      </c>
      <c r="BK504" s="449">
        <f t="shared" si="421"/>
        <v>458.7791666666667</v>
      </c>
      <c r="BL504" s="449">
        <f t="shared" si="421"/>
        <v>458.7791666666667</v>
      </c>
      <c r="BM504" s="449">
        <f t="shared" si="421"/>
        <v>458.7791666666667</v>
      </c>
      <c r="BN504" s="449">
        <f t="shared" si="421"/>
        <v>458.7791666666667</v>
      </c>
      <c r="BO504" s="449">
        <f t="shared" si="421"/>
        <v>458.7791666666667</v>
      </c>
      <c r="BP504" s="449">
        <f t="shared" si="421"/>
        <v>458.7791666666667</v>
      </c>
      <c r="BQ504" s="449">
        <f t="shared" si="421"/>
        <v>458.7791666666667</v>
      </c>
      <c r="BR504" s="449">
        <f t="shared" si="421"/>
        <v>458.7791666666667</v>
      </c>
      <c r="BS504" s="449">
        <f t="shared" si="421"/>
        <v>458.7791666666667</v>
      </c>
      <c r="BT504" s="449">
        <f t="shared" si="421"/>
        <v>458.7791666666667</v>
      </c>
    </row>
    <row r="505" spans="1:72" ht="15" x14ac:dyDescent="0.25">
      <c r="A505" s="502" t="s">
        <v>862</v>
      </c>
      <c r="B505" s="502" t="s">
        <v>863</v>
      </c>
      <c r="C505" s="538"/>
      <c r="D505" s="500">
        <f t="shared" si="398"/>
        <v>25000</v>
      </c>
      <c r="E505" s="449">
        <v>25000</v>
      </c>
      <c r="F505" s="449">
        <f t="shared" si="399"/>
        <v>0</v>
      </c>
      <c r="G505" s="421">
        <f t="shared" si="400"/>
        <v>0</v>
      </c>
      <c r="H505" s="449">
        <v>25000</v>
      </c>
      <c r="I505" s="449">
        <f t="shared" si="401"/>
        <v>0</v>
      </c>
      <c r="J505" s="426">
        <f t="shared" si="402"/>
        <v>0</v>
      </c>
      <c r="K505" s="421"/>
      <c r="L505" s="449">
        <v>3450.35</v>
      </c>
      <c r="M505" s="449">
        <v>2342.4500000000003</v>
      </c>
      <c r="N505" s="449">
        <v>7035.9999999999991</v>
      </c>
      <c r="O505" s="449">
        <v>5777.8500000000022</v>
      </c>
      <c r="P505" s="449">
        <v>0</v>
      </c>
      <c r="Q505" s="449">
        <v>0</v>
      </c>
      <c r="R505" s="449">
        <f>($H505-SUM($L505:Q505))/R$694</f>
        <v>1065.5583333333332</v>
      </c>
      <c r="S505" s="449">
        <f>($H505-SUM($L505:R505))/S$694</f>
        <v>1065.5583333333329</v>
      </c>
      <c r="T505" s="449">
        <f>($H505-SUM($L505:S505))/T$694</f>
        <v>1065.5583333333325</v>
      </c>
      <c r="U505" s="449">
        <f>($H505-SUM($L505:T505))/U$694</f>
        <v>1065.5583333333318</v>
      </c>
      <c r="V505" s="449">
        <f>($H505-SUM($L505:U505))/V$694</f>
        <v>1065.5583333333325</v>
      </c>
      <c r="W505" s="449">
        <f>($H505-SUM($L505:V505))/W$694</f>
        <v>1065.5583333333343</v>
      </c>
      <c r="X505" s="449"/>
      <c r="Y505" s="449">
        <f t="shared" si="403"/>
        <v>25000</v>
      </c>
      <c r="Z505" s="531"/>
      <c r="AA505" s="449">
        <f t="shared" si="413"/>
        <v>2083.3333333333335</v>
      </c>
      <c r="AB505" s="449">
        <f t="shared" si="413"/>
        <v>2083.3333333333335</v>
      </c>
      <c r="AC505" s="449">
        <f t="shared" si="413"/>
        <v>2083.3333333333335</v>
      </c>
      <c r="AD505" s="449">
        <f t="shared" si="413"/>
        <v>2083.3333333333335</v>
      </c>
      <c r="AE505" s="449">
        <f t="shared" si="413"/>
        <v>2083.3333333333335</v>
      </c>
      <c r="AF505" s="449">
        <f t="shared" si="413"/>
        <v>2083.3333333333335</v>
      </c>
      <c r="AG505" s="449">
        <f t="shared" si="413"/>
        <v>2083.3333333333335</v>
      </c>
      <c r="AH505" s="449">
        <f t="shared" si="413"/>
        <v>2083.3333333333335</v>
      </c>
      <c r="AI505" s="449">
        <f t="shared" si="413"/>
        <v>2083.3333333333335</v>
      </c>
      <c r="AJ505" s="449">
        <f t="shared" si="413"/>
        <v>2083.3333333333335</v>
      </c>
      <c r="AK505" s="449">
        <f t="shared" si="413"/>
        <v>2083.3333333333335</v>
      </c>
      <c r="AL505" s="449">
        <f t="shared" si="413"/>
        <v>2083.3333333333335</v>
      </c>
      <c r="AN505" s="500">
        <f t="shared" si="405"/>
        <v>25000</v>
      </c>
      <c r="AO505" s="449">
        <f t="shared" si="406"/>
        <v>25749.999999999996</v>
      </c>
      <c r="AP505" s="449">
        <f t="shared" si="407"/>
        <v>749.99999999999636</v>
      </c>
      <c r="AQ505" s="453">
        <f t="shared" si="408"/>
        <v>2.9999999999999853E-2</v>
      </c>
      <c r="AR505" s="449">
        <f t="shared" si="409"/>
        <v>25749.999999999996</v>
      </c>
      <c r="AS505" s="449">
        <f t="shared" si="410"/>
        <v>0</v>
      </c>
      <c r="AT505" s="426">
        <f t="shared" si="411"/>
        <v>0</v>
      </c>
      <c r="AU505" s="421"/>
      <c r="AV505" s="449">
        <f t="shared" si="415"/>
        <v>2145.8333333333335</v>
      </c>
      <c r="AW505" s="449">
        <f t="shared" si="415"/>
        <v>2145.8333333333335</v>
      </c>
      <c r="AX505" s="449">
        <f t="shared" si="415"/>
        <v>2145.8333333333335</v>
      </c>
      <c r="AY505" s="449">
        <f t="shared" si="414"/>
        <v>2145.8333333333335</v>
      </c>
      <c r="AZ505" s="449">
        <f t="shared" si="414"/>
        <v>2145.8333333333335</v>
      </c>
      <c r="BA505" s="449">
        <f t="shared" si="414"/>
        <v>2145.8333333333335</v>
      </c>
      <c r="BB505" s="449">
        <f t="shared" si="414"/>
        <v>2145.8333333333335</v>
      </c>
      <c r="BC505" s="449">
        <f t="shared" si="414"/>
        <v>2145.8333333333335</v>
      </c>
      <c r="BD505" s="449">
        <f t="shared" si="414"/>
        <v>2145.8333333333335</v>
      </c>
      <c r="BE505" s="449">
        <f t="shared" si="414"/>
        <v>2145.8333333333335</v>
      </c>
      <c r="BF505" s="449">
        <f t="shared" si="414"/>
        <v>2145.8333333333335</v>
      </c>
      <c r="BG505" s="449">
        <f t="shared" si="414"/>
        <v>2145.8333333333335</v>
      </c>
      <c r="BH505" s="400"/>
      <c r="BI505" s="449">
        <f t="shared" ref="BI505:BT505" si="422">IFERROR(($H505*1.03)/12,0)</f>
        <v>2145.8333333333335</v>
      </c>
      <c r="BJ505" s="449">
        <f t="shared" si="422"/>
        <v>2145.8333333333335</v>
      </c>
      <c r="BK505" s="449">
        <f t="shared" si="422"/>
        <v>2145.8333333333335</v>
      </c>
      <c r="BL505" s="449">
        <f t="shared" si="422"/>
        <v>2145.8333333333335</v>
      </c>
      <c r="BM505" s="449">
        <f t="shared" si="422"/>
        <v>2145.8333333333335</v>
      </c>
      <c r="BN505" s="449">
        <f t="shared" si="422"/>
        <v>2145.8333333333335</v>
      </c>
      <c r="BO505" s="449">
        <f t="shared" si="422"/>
        <v>2145.8333333333335</v>
      </c>
      <c r="BP505" s="449">
        <f t="shared" si="422"/>
        <v>2145.8333333333335</v>
      </c>
      <c r="BQ505" s="449">
        <f t="shared" si="422"/>
        <v>2145.8333333333335</v>
      </c>
      <c r="BR505" s="449">
        <f t="shared" si="422"/>
        <v>2145.8333333333335</v>
      </c>
      <c r="BS505" s="449">
        <f t="shared" si="422"/>
        <v>2145.8333333333335</v>
      </c>
      <c r="BT505" s="449">
        <f t="shared" si="422"/>
        <v>2145.8333333333335</v>
      </c>
    </row>
    <row r="506" spans="1:72" ht="15" x14ac:dyDescent="0.25">
      <c r="A506" s="502" t="s">
        <v>864</v>
      </c>
      <c r="B506" s="502" t="s">
        <v>865</v>
      </c>
      <c r="C506" s="538"/>
      <c r="D506" s="500">
        <f t="shared" si="398"/>
        <v>70000</v>
      </c>
      <c r="E506" s="449">
        <v>70000</v>
      </c>
      <c r="F506" s="449">
        <f t="shared" si="399"/>
        <v>0</v>
      </c>
      <c r="G506" s="421">
        <f t="shared" si="400"/>
        <v>0</v>
      </c>
      <c r="H506" s="449">
        <v>70000</v>
      </c>
      <c r="I506" s="449">
        <f t="shared" si="401"/>
        <v>0</v>
      </c>
      <c r="J506" s="426">
        <f t="shared" si="402"/>
        <v>0</v>
      </c>
      <c r="K506" s="421"/>
      <c r="L506" s="449">
        <v>1469.49</v>
      </c>
      <c r="M506" s="449">
        <v>16462.11</v>
      </c>
      <c r="N506" s="449">
        <v>2281.0399999999972</v>
      </c>
      <c r="O506" s="449">
        <v>3396.6100000000006</v>
      </c>
      <c r="P506" s="449">
        <v>3157.0400000000009</v>
      </c>
      <c r="Q506" s="449">
        <v>598.80999999999767</v>
      </c>
      <c r="R506" s="449">
        <f>($H506-SUM($L506:Q506))/R$694</f>
        <v>7105.8166666666666</v>
      </c>
      <c r="S506" s="449">
        <f>($H506-SUM($L506:R506))/S$694</f>
        <v>7105.8166666666675</v>
      </c>
      <c r="T506" s="449">
        <f>($H506-SUM($L506:S506))/T$694</f>
        <v>7105.8166666666675</v>
      </c>
      <c r="U506" s="449">
        <f>($H506-SUM($L506:T506))/U$694</f>
        <v>7105.8166666666684</v>
      </c>
      <c r="V506" s="449">
        <f>($H506-SUM($L506:U506))/V$694</f>
        <v>7105.8166666666693</v>
      </c>
      <c r="W506" s="449">
        <f>($H506-SUM($L506:V506))/W$694</f>
        <v>7105.8166666666657</v>
      </c>
      <c r="X506" s="449"/>
      <c r="Y506" s="449">
        <f t="shared" si="403"/>
        <v>70000</v>
      </c>
      <c r="Z506" s="531"/>
      <c r="AA506" s="449">
        <f t="shared" si="413"/>
        <v>5833.333333333333</v>
      </c>
      <c r="AB506" s="449">
        <f t="shared" si="413"/>
        <v>5833.333333333333</v>
      </c>
      <c r="AC506" s="449">
        <f t="shared" si="413"/>
        <v>5833.333333333333</v>
      </c>
      <c r="AD506" s="449">
        <f t="shared" si="413"/>
        <v>5833.333333333333</v>
      </c>
      <c r="AE506" s="449">
        <f t="shared" si="413"/>
        <v>5833.333333333333</v>
      </c>
      <c r="AF506" s="449">
        <f t="shared" si="413"/>
        <v>5833.333333333333</v>
      </c>
      <c r="AG506" s="449">
        <f t="shared" si="413"/>
        <v>5833.333333333333</v>
      </c>
      <c r="AH506" s="449">
        <f t="shared" si="413"/>
        <v>5833.333333333333</v>
      </c>
      <c r="AI506" s="449">
        <f t="shared" si="413"/>
        <v>5833.333333333333</v>
      </c>
      <c r="AJ506" s="449">
        <f t="shared" si="413"/>
        <v>5833.333333333333</v>
      </c>
      <c r="AK506" s="449">
        <f t="shared" si="413"/>
        <v>5833.333333333333</v>
      </c>
      <c r="AL506" s="449">
        <f t="shared" si="413"/>
        <v>5833.333333333333</v>
      </c>
      <c r="AN506" s="500">
        <f t="shared" si="405"/>
        <v>70000</v>
      </c>
      <c r="AO506" s="449">
        <f t="shared" si="406"/>
        <v>43259.999999999993</v>
      </c>
      <c r="AP506" s="449">
        <f t="shared" si="407"/>
        <v>-26740.000000000007</v>
      </c>
      <c r="AQ506" s="453">
        <f t="shared" si="408"/>
        <v>-0.38200000000000012</v>
      </c>
      <c r="AR506" s="449">
        <f t="shared" si="409"/>
        <v>43259.999999999993</v>
      </c>
      <c r="AS506" s="449">
        <f t="shared" si="410"/>
        <v>0</v>
      </c>
      <c r="AT506" s="426">
        <f t="shared" si="411"/>
        <v>0</v>
      </c>
      <c r="AU506" s="421"/>
      <c r="AV506" s="449">
        <f t="shared" si="415"/>
        <v>3604.9999999999995</v>
      </c>
      <c r="AW506" s="449">
        <f t="shared" si="415"/>
        <v>3604.9999999999995</v>
      </c>
      <c r="AX506" s="449">
        <f t="shared" si="415"/>
        <v>3604.9999999999995</v>
      </c>
      <c r="AY506" s="449">
        <f t="shared" si="414"/>
        <v>3604.9999999999995</v>
      </c>
      <c r="AZ506" s="449">
        <f t="shared" si="414"/>
        <v>3604.9999999999995</v>
      </c>
      <c r="BA506" s="449">
        <f t="shared" si="414"/>
        <v>3604.9999999999995</v>
      </c>
      <c r="BB506" s="449">
        <f t="shared" si="414"/>
        <v>3604.9999999999995</v>
      </c>
      <c r="BC506" s="449">
        <f t="shared" si="414"/>
        <v>3604.9999999999995</v>
      </c>
      <c r="BD506" s="449">
        <f t="shared" si="414"/>
        <v>3604.9999999999995</v>
      </c>
      <c r="BE506" s="449">
        <f t="shared" si="414"/>
        <v>3604.9999999999995</v>
      </c>
      <c r="BF506" s="449">
        <f t="shared" si="414"/>
        <v>3604.9999999999995</v>
      </c>
      <c r="BG506" s="449">
        <f t="shared" si="414"/>
        <v>3604.9999999999995</v>
      </c>
      <c r="BH506" s="400"/>
      <c r="BI506" s="449">
        <f t="shared" ref="BI506:BT506" si="423">IFERROR(($H506*1.03)/12,0)*0.6</f>
        <v>3604.9999999999995</v>
      </c>
      <c r="BJ506" s="449">
        <f t="shared" si="423"/>
        <v>3604.9999999999995</v>
      </c>
      <c r="BK506" s="449">
        <f t="shared" si="423"/>
        <v>3604.9999999999995</v>
      </c>
      <c r="BL506" s="449">
        <f t="shared" si="423"/>
        <v>3604.9999999999995</v>
      </c>
      <c r="BM506" s="449">
        <f t="shared" si="423"/>
        <v>3604.9999999999995</v>
      </c>
      <c r="BN506" s="449">
        <f t="shared" si="423"/>
        <v>3604.9999999999995</v>
      </c>
      <c r="BO506" s="449">
        <f t="shared" si="423"/>
        <v>3604.9999999999995</v>
      </c>
      <c r="BP506" s="449">
        <f t="shared" si="423"/>
        <v>3604.9999999999995</v>
      </c>
      <c r="BQ506" s="449">
        <f t="shared" si="423"/>
        <v>3604.9999999999995</v>
      </c>
      <c r="BR506" s="449">
        <f t="shared" si="423"/>
        <v>3604.9999999999995</v>
      </c>
      <c r="BS506" s="449">
        <f t="shared" si="423"/>
        <v>3604.9999999999995</v>
      </c>
      <c r="BT506" s="449">
        <f t="shared" si="423"/>
        <v>3604.9999999999995</v>
      </c>
    </row>
    <row r="507" spans="1:72" ht="15" customHeight="1" x14ac:dyDescent="0.25">
      <c r="A507" s="537" t="s">
        <v>866</v>
      </c>
      <c r="B507" s="537" t="s">
        <v>867</v>
      </c>
      <c r="C507" s="541"/>
      <c r="D507" s="500">
        <f>SUM(L507:W507)</f>
        <v>0</v>
      </c>
      <c r="E507" s="449">
        <v>0</v>
      </c>
      <c r="F507" s="449">
        <f t="shared" si="399"/>
        <v>0</v>
      </c>
      <c r="G507" s="421">
        <f t="shared" si="400"/>
        <v>0</v>
      </c>
      <c r="H507" s="449">
        <v>0</v>
      </c>
      <c r="I507" s="449">
        <f t="shared" si="401"/>
        <v>0</v>
      </c>
      <c r="J507" s="426">
        <f t="shared" si="402"/>
        <v>0</v>
      </c>
      <c r="K507" s="421"/>
      <c r="L507" s="449">
        <v>0</v>
      </c>
      <c r="M507" s="449">
        <v>0</v>
      </c>
      <c r="N507" s="449">
        <v>0</v>
      </c>
      <c r="O507" s="449">
        <v>0</v>
      </c>
      <c r="P507" s="449">
        <v>0</v>
      </c>
      <c r="Q507" s="449">
        <v>0</v>
      </c>
      <c r="R507" s="449">
        <f>($H507-SUM($L507:Q507))/R$694</f>
        <v>0</v>
      </c>
      <c r="S507" s="449">
        <f>($H507-SUM($L507:R507))/S$694</f>
        <v>0</v>
      </c>
      <c r="T507" s="449">
        <f>($H507-SUM($L507:S507))/T$694</f>
        <v>0</v>
      </c>
      <c r="U507" s="449">
        <f>($H507-SUM($L507:T507))/U$694</f>
        <v>0</v>
      </c>
      <c r="V507" s="449">
        <f>($H507-SUM($L507:U507))/V$694</f>
        <v>0</v>
      </c>
      <c r="W507" s="449">
        <f>($H507-SUM($L507:V507))/W$694</f>
        <v>0</v>
      </c>
      <c r="X507" s="449"/>
      <c r="Y507" s="449">
        <f t="shared" si="403"/>
        <v>0</v>
      </c>
      <c r="Z507" s="449"/>
      <c r="AA507" s="449">
        <f t="shared" si="413"/>
        <v>0</v>
      </c>
      <c r="AB507" s="449">
        <f t="shared" si="413"/>
        <v>0</v>
      </c>
      <c r="AC507" s="449">
        <f t="shared" si="413"/>
        <v>0</v>
      </c>
      <c r="AD507" s="449">
        <f t="shared" si="413"/>
        <v>0</v>
      </c>
      <c r="AE507" s="449">
        <f t="shared" si="413"/>
        <v>0</v>
      </c>
      <c r="AF507" s="449">
        <f t="shared" si="413"/>
        <v>0</v>
      </c>
      <c r="AG507" s="449">
        <f t="shared" si="413"/>
        <v>0</v>
      </c>
      <c r="AH507" s="449">
        <f t="shared" si="413"/>
        <v>0</v>
      </c>
      <c r="AI507" s="449">
        <f t="shared" si="413"/>
        <v>0</v>
      </c>
      <c r="AJ507" s="449">
        <f t="shared" si="413"/>
        <v>0</v>
      </c>
      <c r="AK507" s="449">
        <f t="shared" si="413"/>
        <v>0</v>
      </c>
      <c r="AL507" s="449">
        <f t="shared" si="413"/>
        <v>0</v>
      </c>
      <c r="AN507" s="500">
        <f>SUM(L507:W507)</f>
        <v>0</v>
      </c>
      <c r="AO507" s="449">
        <f>SUM(BI507:BT507)</f>
        <v>28839.999999999996</v>
      </c>
      <c r="AP507" s="449">
        <f t="shared" si="407"/>
        <v>28839.999999999996</v>
      </c>
      <c r="AQ507" s="453" t="str">
        <f t="shared" si="408"/>
        <v>-</v>
      </c>
      <c r="AR507" s="449">
        <f t="shared" si="409"/>
        <v>28839.999999999996</v>
      </c>
      <c r="AS507" s="449">
        <f t="shared" si="410"/>
        <v>0</v>
      </c>
      <c r="AT507" s="426">
        <f t="shared" si="411"/>
        <v>0</v>
      </c>
      <c r="AU507" s="421"/>
      <c r="AV507" s="449">
        <f t="shared" si="415"/>
        <v>2403.3333333333335</v>
      </c>
      <c r="AW507" s="449">
        <f t="shared" si="415"/>
        <v>2403.3333333333335</v>
      </c>
      <c r="AX507" s="449">
        <f t="shared" si="415"/>
        <v>2403.3333333333335</v>
      </c>
      <c r="AY507" s="449">
        <f t="shared" si="414"/>
        <v>2403.3333333333335</v>
      </c>
      <c r="AZ507" s="449">
        <f t="shared" si="414"/>
        <v>2403.3333333333335</v>
      </c>
      <c r="BA507" s="449">
        <f t="shared" si="414"/>
        <v>2403.3333333333335</v>
      </c>
      <c r="BB507" s="449">
        <f t="shared" si="414"/>
        <v>2403.3333333333335</v>
      </c>
      <c r="BC507" s="449">
        <f t="shared" si="414"/>
        <v>2403.3333333333335</v>
      </c>
      <c r="BD507" s="449">
        <f t="shared" si="414"/>
        <v>2403.3333333333335</v>
      </c>
      <c r="BE507" s="449">
        <f t="shared" si="414"/>
        <v>2403.3333333333335</v>
      </c>
      <c r="BF507" s="449">
        <f t="shared" si="414"/>
        <v>2403.3333333333335</v>
      </c>
      <c r="BG507" s="449">
        <f t="shared" si="414"/>
        <v>2403.3333333333335</v>
      </c>
      <c r="BH507" s="400"/>
      <c r="BI507" s="449">
        <f t="shared" ref="BI507:BT507" si="424">IFERROR(($H506*1.03)/12,0)*0.4</f>
        <v>2403.3333333333335</v>
      </c>
      <c r="BJ507" s="449">
        <f t="shared" si="424"/>
        <v>2403.3333333333335</v>
      </c>
      <c r="BK507" s="449">
        <f t="shared" si="424"/>
        <v>2403.3333333333335</v>
      </c>
      <c r="BL507" s="449">
        <f t="shared" si="424"/>
        <v>2403.3333333333335</v>
      </c>
      <c r="BM507" s="449">
        <f t="shared" si="424"/>
        <v>2403.3333333333335</v>
      </c>
      <c r="BN507" s="449">
        <f t="shared" si="424"/>
        <v>2403.3333333333335</v>
      </c>
      <c r="BO507" s="449">
        <f t="shared" si="424"/>
        <v>2403.3333333333335</v>
      </c>
      <c r="BP507" s="449">
        <f t="shared" si="424"/>
        <v>2403.3333333333335</v>
      </c>
      <c r="BQ507" s="449">
        <f t="shared" si="424"/>
        <v>2403.3333333333335</v>
      </c>
      <c r="BR507" s="449">
        <f t="shared" si="424"/>
        <v>2403.3333333333335</v>
      </c>
      <c r="BS507" s="449">
        <f t="shared" si="424"/>
        <v>2403.3333333333335</v>
      </c>
      <c r="BT507" s="449">
        <f t="shared" si="424"/>
        <v>2403.3333333333335</v>
      </c>
    </row>
    <row r="508" spans="1:72" ht="15" x14ac:dyDescent="0.25">
      <c r="A508" s="502" t="s">
        <v>868</v>
      </c>
      <c r="B508" s="502" t="s">
        <v>869</v>
      </c>
      <c r="C508" s="538"/>
      <c r="D508" s="500">
        <f t="shared" si="398"/>
        <v>5000</v>
      </c>
      <c r="E508" s="449">
        <v>5000</v>
      </c>
      <c r="F508" s="449">
        <f t="shared" si="399"/>
        <v>0</v>
      </c>
      <c r="G508" s="421">
        <f t="shared" si="400"/>
        <v>0</v>
      </c>
      <c r="H508" s="449">
        <v>5000</v>
      </c>
      <c r="I508" s="449">
        <f t="shared" si="401"/>
        <v>0</v>
      </c>
      <c r="J508" s="426">
        <f t="shared" si="402"/>
        <v>0</v>
      </c>
      <c r="K508" s="421"/>
      <c r="L508" s="449">
        <v>0</v>
      </c>
      <c r="M508" s="449">
        <v>1109.0400000000081</v>
      </c>
      <c r="N508" s="449">
        <v>595.5</v>
      </c>
      <c r="O508" s="449">
        <v>1.4551915228366852E-11</v>
      </c>
      <c r="P508" s="449">
        <v>-1.4551915228366852E-11</v>
      </c>
      <c r="Q508" s="449">
        <v>-8.1854523159563541E-12</v>
      </c>
      <c r="R508" s="449">
        <f>($H508-SUM($L508:Q508))/R$694</f>
        <v>549.24333333333334</v>
      </c>
      <c r="S508" s="449">
        <f>($H508-SUM($L508:R508))/S$694</f>
        <v>549.24333333333334</v>
      </c>
      <c r="T508" s="449">
        <f>($H508-SUM($L508:S508))/T$694</f>
        <v>549.24333333333334</v>
      </c>
      <c r="U508" s="449">
        <f>($H508-SUM($L508:T508))/U$694</f>
        <v>549.24333333333334</v>
      </c>
      <c r="V508" s="449">
        <f>($H508-SUM($L508:U508))/V$694</f>
        <v>549.24333333333334</v>
      </c>
      <c r="W508" s="449">
        <f>($H508-SUM($L508:V508))/W$694</f>
        <v>549.24333333333379</v>
      </c>
      <c r="X508" s="449"/>
      <c r="Y508" s="449">
        <f t="shared" si="403"/>
        <v>5000</v>
      </c>
      <c r="Z508" s="531"/>
      <c r="AA508" s="449">
        <f t="shared" si="413"/>
        <v>416.66666666666669</v>
      </c>
      <c r="AB508" s="449">
        <f t="shared" si="413"/>
        <v>416.66666666666669</v>
      </c>
      <c r="AC508" s="449">
        <f t="shared" si="413"/>
        <v>416.66666666666669</v>
      </c>
      <c r="AD508" s="449">
        <f t="shared" si="413"/>
        <v>416.66666666666669</v>
      </c>
      <c r="AE508" s="449">
        <f t="shared" si="413"/>
        <v>416.66666666666669</v>
      </c>
      <c r="AF508" s="449">
        <f t="shared" si="413"/>
        <v>416.66666666666669</v>
      </c>
      <c r="AG508" s="449">
        <f t="shared" si="413"/>
        <v>416.66666666666669</v>
      </c>
      <c r="AH508" s="449">
        <f t="shared" si="413"/>
        <v>416.66666666666669</v>
      </c>
      <c r="AI508" s="449">
        <f t="shared" si="413"/>
        <v>416.66666666666669</v>
      </c>
      <c r="AJ508" s="449">
        <f t="shared" si="413"/>
        <v>416.66666666666669</v>
      </c>
      <c r="AK508" s="449">
        <f t="shared" si="413"/>
        <v>416.66666666666669</v>
      </c>
      <c r="AL508" s="449">
        <f t="shared" si="413"/>
        <v>416.66666666666669</v>
      </c>
      <c r="AN508" s="500">
        <f t="shared" si="405"/>
        <v>5000</v>
      </c>
      <c r="AO508" s="449">
        <f t="shared" si="406"/>
        <v>5150</v>
      </c>
      <c r="AP508" s="449">
        <f t="shared" si="407"/>
        <v>150</v>
      </c>
      <c r="AQ508" s="453">
        <f t="shared" si="408"/>
        <v>0.03</v>
      </c>
      <c r="AR508" s="449">
        <f t="shared" si="409"/>
        <v>5150</v>
      </c>
      <c r="AS508" s="449">
        <f t="shared" si="410"/>
        <v>0</v>
      </c>
      <c r="AT508" s="426">
        <f t="shared" si="411"/>
        <v>0</v>
      </c>
      <c r="AU508" s="421"/>
      <c r="AV508" s="449">
        <f t="shared" si="415"/>
        <v>429.16666666666669</v>
      </c>
      <c r="AW508" s="449">
        <f t="shared" si="415"/>
        <v>429.16666666666669</v>
      </c>
      <c r="AX508" s="449">
        <f t="shared" si="415"/>
        <v>429.16666666666669</v>
      </c>
      <c r="AY508" s="449">
        <f t="shared" si="414"/>
        <v>429.16666666666669</v>
      </c>
      <c r="AZ508" s="449">
        <f t="shared" si="414"/>
        <v>429.16666666666669</v>
      </c>
      <c r="BA508" s="449">
        <f t="shared" si="414"/>
        <v>429.16666666666669</v>
      </c>
      <c r="BB508" s="449">
        <f t="shared" si="414"/>
        <v>429.16666666666669</v>
      </c>
      <c r="BC508" s="449">
        <f t="shared" si="414"/>
        <v>429.16666666666669</v>
      </c>
      <c r="BD508" s="449">
        <f t="shared" si="414"/>
        <v>429.16666666666669</v>
      </c>
      <c r="BE508" s="449">
        <f t="shared" si="414"/>
        <v>429.16666666666669</v>
      </c>
      <c r="BF508" s="449">
        <f t="shared" si="414"/>
        <v>429.16666666666669</v>
      </c>
      <c r="BG508" s="449">
        <f t="shared" si="414"/>
        <v>429.16666666666669</v>
      </c>
      <c r="BH508" s="400"/>
      <c r="BI508" s="449">
        <f t="shared" ref="BI508:BT508" si="425">IFERROR(($H508*1.03)/12,0)</f>
        <v>429.16666666666669</v>
      </c>
      <c r="BJ508" s="449">
        <f t="shared" si="425"/>
        <v>429.16666666666669</v>
      </c>
      <c r="BK508" s="449">
        <f t="shared" si="425"/>
        <v>429.16666666666669</v>
      </c>
      <c r="BL508" s="449">
        <f t="shared" si="425"/>
        <v>429.16666666666669</v>
      </c>
      <c r="BM508" s="449">
        <f t="shared" si="425"/>
        <v>429.16666666666669</v>
      </c>
      <c r="BN508" s="449">
        <f t="shared" si="425"/>
        <v>429.16666666666669</v>
      </c>
      <c r="BO508" s="449">
        <f t="shared" si="425"/>
        <v>429.16666666666669</v>
      </c>
      <c r="BP508" s="449">
        <f t="shared" si="425"/>
        <v>429.16666666666669</v>
      </c>
      <c r="BQ508" s="449">
        <f t="shared" si="425"/>
        <v>429.16666666666669</v>
      </c>
      <c r="BR508" s="449">
        <f t="shared" si="425"/>
        <v>429.16666666666669</v>
      </c>
      <c r="BS508" s="449">
        <f t="shared" si="425"/>
        <v>429.16666666666669</v>
      </c>
      <c r="BT508" s="449">
        <f t="shared" si="425"/>
        <v>429.16666666666669</v>
      </c>
    </row>
    <row r="509" spans="1:72" ht="13.5" customHeight="1" x14ac:dyDescent="0.25">
      <c r="A509" s="502" t="s">
        <v>870</v>
      </c>
      <c r="B509" s="502" t="s">
        <v>871</v>
      </c>
      <c r="C509" s="602"/>
      <c r="D509" s="500">
        <f t="shared" si="398"/>
        <v>979728</v>
      </c>
      <c r="E509" s="449">
        <v>1107132</v>
      </c>
      <c r="F509" s="449">
        <f t="shared" si="399"/>
        <v>-127404</v>
      </c>
      <c r="G509" s="421">
        <f t="shared" si="400"/>
        <v>-0.11507570912953469</v>
      </c>
      <c r="H509" s="449">
        <v>979728</v>
      </c>
      <c r="I509" s="449">
        <f t="shared" si="401"/>
        <v>0</v>
      </c>
      <c r="J509" s="426">
        <f t="shared" si="402"/>
        <v>0</v>
      </c>
      <c r="K509" s="421"/>
      <c r="L509" s="449">
        <v>77047.839999999997</v>
      </c>
      <c r="M509" s="449">
        <v>24086.059999999998</v>
      </c>
      <c r="N509" s="449">
        <v>50566.950000000012</v>
      </c>
      <c r="O509" s="449">
        <v>50566.949999999983</v>
      </c>
      <c r="P509" s="449">
        <v>50566.950000000012</v>
      </c>
      <c r="Q509" s="449">
        <v>123596.23999999993</v>
      </c>
      <c r="R509" s="449">
        <f>($H509-SUM($L509:Q509))/R$694</f>
        <v>100549.50166666666</v>
      </c>
      <c r="S509" s="449">
        <f>($H509-SUM($L509:R509))/S$694</f>
        <v>100549.50166666668</v>
      </c>
      <c r="T509" s="449">
        <f>($H509-SUM($L509:S509))/T$694</f>
        <v>100549.50166666668</v>
      </c>
      <c r="U509" s="449">
        <f>($H509-SUM($L509:T509))/U$694</f>
        <v>100549.50166666666</v>
      </c>
      <c r="V509" s="449">
        <f>($H509-SUM($L509:U509))/V$694</f>
        <v>100549.50166666665</v>
      </c>
      <c r="W509" s="449">
        <f>($H509-SUM($L509:V509))/W$694</f>
        <v>100549.50166666671</v>
      </c>
      <c r="X509" s="449"/>
      <c r="Y509" s="449">
        <f t="shared" si="403"/>
        <v>979728</v>
      </c>
      <c r="Z509" s="501"/>
      <c r="AA509" s="449">
        <f t="shared" si="413"/>
        <v>81644</v>
      </c>
      <c r="AB509" s="449">
        <f t="shared" si="413"/>
        <v>81644</v>
      </c>
      <c r="AC509" s="449">
        <f t="shared" si="413"/>
        <v>81644</v>
      </c>
      <c r="AD509" s="449">
        <f t="shared" si="413"/>
        <v>81644</v>
      </c>
      <c r="AE509" s="449">
        <f t="shared" si="413"/>
        <v>81644</v>
      </c>
      <c r="AF509" s="449">
        <f t="shared" si="413"/>
        <v>81644</v>
      </c>
      <c r="AG509" s="449">
        <f t="shared" si="413"/>
        <v>81644</v>
      </c>
      <c r="AH509" s="449">
        <f t="shared" si="413"/>
        <v>81644</v>
      </c>
      <c r="AI509" s="449">
        <f t="shared" si="413"/>
        <v>81644</v>
      </c>
      <c r="AJ509" s="449">
        <f t="shared" si="413"/>
        <v>81644</v>
      </c>
      <c r="AK509" s="449">
        <f t="shared" si="413"/>
        <v>81644</v>
      </c>
      <c r="AL509" s="449">
        <f t="shared" si="413"/>
        <v>81644</v>
      </c>
      <c r="AN509" s="500">
        <f t="shared" si="405"/>
        <v>979728</v>
      </c>
      <c r="AO509" s="449">
        <f t="shared" si="406"/>
        <v>1397481.9400000002</v>
      </c>
      <c r="AP509" s="449">
        <f t="shared" si="407"/>
        <v>417753.94000000018</v>
      </c>
      <c r="AQ509" s="453">
        <f t="shared" si="408"/>
        <v>0.42639787777832233</v>
      </c>
      <c r="AR509" s="449">
        <f t="shared" si="409"/>
        <v>1397481.9400000002</v>
      </c>
      <c r="AS509" s="449">
        <f t="shared" si="410"/>
        <v>0</v>
      </c>
      <c r="AT509" s="426">
        <f t="shared" si="411"/>
        <v>0</v>
      </c>
      <c r="AU509" s="421"/>
      <c r="AV509" s="449">
        <f t="shared" si="415"/>
        <v>116456.82833333332</v>
      </c>
      <c r="AW509" s="449">
        <f t="shared" si="415"/>
        <v>116456.82833333332</v>
      </c>
      <c r="AX509" s="449">
        <f t="shared" si="415"/>
        <v>116456.82833333332</v>
      </c>
      <c r="AY509" s="449">
        <f t="shared" si="414"/>
        <v>116456.82833333332</v>
      </c>
      <c r="AZ509" s="449">
        <f t="shared" si="414"/>
        <v>116456.82833333332</v>
      </c>
      <c r="BA509" s="449">
        <f t="shared" si="414"/>
        <v>116456.82833333332</v>
      </c>
      <c r="BB509" s="449">
        <f t="shared" si="414"/>
        <v>116456.82833333332</v>
      </c>
      <c r="BC509" s="449">
        <f t="shared" si="414"/>
        <v>116456.82833333332</v>
      </c>
      <c r="BD509" s="449">
        <f t="shared" si="414"/>
        <v>116456.82833333332</v>
      </c>
      <c r="BE509" s="449">
        <f t="shared" si="414"/>
        <v>116456.82833333332</v>
      </c>
      <c r="BF509" s="449">
        <f t="shared" si="414"/>
        <v>116456.82833333332</v>
      </c>
      <c r="BG509" s="449">
        <f t="shared" si="414"/>
        <v>116456.82833333332</v>
      </c>
      <c r="BH509" s="400"/>
      <c r="BI509" s="449">
        <f>IFERROR(($AO$644)/12,0)-BI510</f>
        <v>116456.82833333332</v>
      </c>
      <c r="BJ509" s="449">
        <f t="shared" ref="BJ509:BT509" si="426">IFERROR(($AO$644)/12,0)-BJ510</f>
        <v>116456.82833333332</v>
      </c>
      <c r="BK509" s="449">
        <f t="shared" si="426"/>
        <v>116456.82833333332</v>
      </c>
      <c r="BL509" s="449">
        <f t="shared" si="426"/>
        <v>116456.82833333332</v>
      </c>
      <c r="BM509" s="449">
        <f t="shared" si="426"/>
        <v>116456.82833333332</v>
      </c>
      <c r="BN509" s="449">
        <f t="shared" si="426"/>
        <v>116456.82833333332</v>
      </c>
      <c r="BO509" s="449">
        <f t="shared" si="426"/>
        <v>116456.82833333332</v>
      </c>
      <c r="BP509" s="449">
        <f t="shared" si="426"/>
        <v>116456.82833333332</v>
      </c>
      <c r="BQ509" s="449">
        <f t="shared" si="426"/>
        <v>116456.82833333332</v>
      </c>
      <c r="BR509" s="449">
        <f t="shared" si="426"/>
        <v>116456.82833333332</v>
      </c>
      <c r="BS509" s="449">
        <f t="shared" si="426"/>
        <v>116456.82833333332</v>
      </c>
      <c r="BT509" s="449">
        <f t="shared" si="426"/>
        <v>116456.82833333332</v>
      </c>
    </row>
    <row r="510" spans="1:72" ht="15" x14ac:dyDescent="0.25">
      <c r="A510" s="502" t="s">
        <v>872</v>
      </c>
      <c r="B510" s="502" t="s">
        <v>873</v>
      </c>
      <c r="C510" s="602"/>
      <c r="D510" s="500">
        <f t="shared" si="398"/>
        <v>331370</v>
      </c>
      <c r="E510" s="449">
        <v>308454</v>
      </c>
      <c r="F510" s="449">
        <f t="shared" si="399"/>
        <v>22916</v>
      </c>
      <c r="G510" s="421">
        <f t="shared" si="400"/>
        <v>7.4293087461987845E-2</v>
      </c>
      <c r="H510" s="449">
        <v>331370</v>
      </c>
      <c r="I510" s="449">
        <f t="shared" si="401"/>
        <v>0</v>
      </c>
      <c r="J510" s="426">
        <f t="shared" si="402"/>
        <v>0</v>
      </c>
      <c r="K510" s="421"/>
      <c r="L510" s="449">
        <v>0</v>
      </c>
      <c r="M510" s="449">
        <v>52942.559999999998</v>
      </c>
      <c r="N510" s="449">
        <v>26471.279999999999</v>
      </c>
      <c r="O510" s="449">
        <v>26471.279999999999</v>
      </c>
      <c r="P510" s="449">
        <v>26471.279999999999</v>
      </c>
      <c r="Q510" s="449">
        <v>23567.260000000009</v>
      </c>
      <c r="R510" s="449">
        <f>($H510-SUM($L510:Q510))/R$694</f>
        <v>29241.056666666667</v>
      </c>
      <c r="S510" s="449">
        <f>($H510-SUM($L510:R510))/S$694</f>
        <v>29241.056666666664</v>
      </c>
      <c r="T510" s="449">
        <f>($H510-SUM($L510:S510))/T$694</f>
        <v>29241.056666666664</v>
      </c>
      <c r="U510" s="449">
        <f>($H510-SUM($L510:T510))/U$694</f>
        <v>29241.05666666666</v>
      </c>
      <c r="V510" s="449">
        <f>($H510-SUM($L510:U510))/V$694</f>
        <v>29241.056666666671</v>
      </c>
      <c r="W510" s="449">
        <f>($H510-SUM($L510:V510))/W$694</f>
        <v>29241.056666666642</v>
      </c>
      <c r="X510" s="449"/>
      <c r="Y510" s="449">
        <f t="shared" si="403"/>
        <v>331370</v>
      </c>
      <c r="Z510" s="501"/>
      <c r="AA510" s="449">
        <f t="shared" si="413"/>
        <v>27614.166666666668</v>
      </c>
      <c r="AB510" s="449">
        <f t="shared" si="413"/>
        <v>27614.166666666668</v>
      </c>
      <c r="AC510" s="449">
        <f t="shared" si="413"/>
        <v>27614.166666666668</v>
      </c>
      <c r="AD510" s="449">
        <f t="shared" si="413"/>
        <v>27614.166666666668</v>
      </c>
      <c r="AE510" s="449">
        <f t="shared" si="413"/>
        <v>27614.166666666668</v>
      </c>
      <c r="AF510" s="449">
        <f t="shared" si="413"/>
        <v>27614.166666666668</v>
      </c>
      <c r="AG510" s="449">
        <f t="shared" si="413"/>
        <v>27614.166666666668</v>
      </c>
      <c r="AH510" s="449">
        <f t="shared" si="413"/>
        <v>27614.166666666668</v>
      </c>
      <c r="AI510" s="449">
        <f t="shared" si="413"/>
        <v>27614.166666666668</v>
      </c>
      <c r="AJ510" s="449">
        <f t="shared" si="413"/>
        <v>27614.166666666668</v>
      </c>
      <c r="AK510" s="449">
        <f t="shared" si="413"/>
        <v>27614.166666666668</v>
      </c>
      <c r="AL510" s="449">
        <f t="shared" si="413"/>
        <v>27614.166666666668</v>
      </c>
      <c r="AN510" s="500">
        <f t="shared" si="405"/>
        <v>331370</v>
      </c>
      <c r="AO510" s="449">
        <f t="shared" si="406"/>
        <v>365717.55999999988</v>
      </c>
      <c r="AP510" s="449">
        <f t="shared" si="407"/>
        <v>34347.559999999881</v>
      </c>
      <c r="AQ510" s="453">
        <f t="shared" si="408"/>
        <v>0.10365319733228681</v>
      </c>
      <c r="AR510" s="449">
        <f t="shared" si="409"/>
        <v>365717.55999999988</v>
      </c>
      <c r="AS510" s="449">
        <f t="shared" si="410"/>
        <v>0</v>
      </c>
      <c r="AT510" s="426">
        <f t="shared" si="411"/>
        <v>0</v>
      </c>
      <c r="AU510" s="421"/>
      <c r="AV510" s="449">
        <f t="shared" si="415"/>
        <v>30476.463333333333</v>
      </c>
      <c r="AW510" s="449">
        <f t="shared" si="415"/>
        <v>30476.463333333333</v>
      </c>
      <c r="AX510" s="449">
        <f t="shared" si="415"/>
        <v>30476.463333333333</v>
      </c>
      <c r="AY510" s="449">
        <f t="shared" si="414"/>
        <v>30476.463333333333</v>
      </c>
      <c r="AZ510" s="449">
        <f t="shared" si="414"/>
        <v>30476.463333333333</v>
      </c>
      <c r="BA510" s="449">
        <f t="shared" si="414"/>
        <v>30476.463333333333</v>
      </c>
      <c r="BB510" s="449">
        <f t="shared" si="414"/>
        <v>30476.463333333333</v>
      </c>
      <c r="BC510" s="449">
        <f t="shared" si="414"/>
        <v>30476.463333333333</v>
      </c>
      <c r="BD510" s="449">
        <f t="shared" si="414"/>
        <v>30476.463333333333</v>
      </c>
      <c r="BE510" s="449">
        <f t="shared" si="414"/>
        <v>30476.463333333333</v>
      </c>
      <c r="BF510" s="449">
        <f t="shared" si="414"/>
        <v>30476.463333333333</v>
      </c>
      <c r="BG510" s="449">
        <f t="shared" si="414"/>
        <v>30476.463333333333</v>
      </c>
      <c r="BH510" s="400"/>
      <c r="BI510" s="449">
        <f>+(277*BI6)/12</f>
        <v>30476.463333333333</v>
      </c>
      <c r="BJ510" s="449">
        <f t="shared" ref="BJ510:BT510" si="427">+(277*BJ6)/12</f>
        <v>30476.463333333333</v>
      </c>
      <c r="BK510" s="449">
        <f t="shared" si="427"/>
        <v>30476.463333333333</v>
      </c>
      <c r="BL510" s="449">
        <f t="shared" si="427"/>
        <v>30476.463333333333</v>
      </c>
      <c r="BM510" s="449">
        <f t="shared" si="427"/>
        <v>30476.463333333333</v>
      </c>
      <c r="BN510" s="449">
        <f t="shared" si="427"/>
        <v>30476.463333333333</v>
      </c>
      <c r="BO510" s="449">
        <f t="shared" si="427"/>
        <v>30476.463333333333</v>
      </c>
      <c r="BP510" s="449">
        <f t="shared" si="427"/>
        <v>30476.463333333333</v>
      </c>
      <c r="BQ510" s="449">
        <f t="shared" si="427"/>
        <v>30476.463333333333</v>
      </c>
      <c r="BR510" s="449">
        <f t="shared" si="427"/>
        <v>30476.463333333333</v>
      </c>
      <c r="BS510" s="449">
        <f t="shared" si="427"/>
        <v>30476.463333333333</v>
      </c>
      <c r="BT510" s="449">
        <f t="shared" si="427"/>
        <v>30476.463333333333</v>
      </c>
    </row>
    <row r="511" spans="1:72" ht="15" x14ac:dyDescent="0.25">
      <c r="A511" s="502" t="s">
        <v>874</v>
      </c>
      <c r="B511" s="502" t="s">
        <v>875</v>
      </c>
      <c r="C511" s="596"/>
      <c r="D511" s="500">
        <f t="shared" si="398"/>
        <v>39000</v>
      </c>
      <c r="E511" s="449">
        <v>60000</v>
      </c>
      <c r="F511" s="449">
        <f t="shared" si="399"/>
        <v>-21000</v>
      </c>
      <c r="G511" s="421">
        <f t="shared" si="400"/>
        <v>-0.35</v>
      </c>
      <c r="H511" s="449">
        <v>39000</v>
      </c>
      <c r="I511" s="449">
        <f t="shared" si="401"/>
        <v>0</v>
      </c>
      <c r="J511" s="426">
        <f t="shared" si="402"/>
        <v>0</v>
      </c>
      <c r="K511" s="421"/>
      <c r="L511" s="449">
        <v>2565.67</v>
      </c>
      <c r="M511" s="449">
        <v>5117.07</v>
      </c>
      <c r="N511" s="449">
        <v>1674.5300000000007</v>
      </c>
      <c r="O511" s="449">
        <v>1790.6599999999999</v>
      </c>
      <c r="P511" s="449">
        <v>4963.25</v>
      </c>
      <c r="Q511" s="449">
        <v>1556.0400000000009</v>
      </c>
      <c r="R511" s="449">
        <f>($H511-SUM($L511:Q511))/R$694</f>
        <v>3555.4633333333331</v>
      </c>
      <c r="S511" s="449">
        <f>($H511-SUM($L511:R511))/S$694</f>
        <v>3555.4633333333331</v>
      </c>
      <c r="T511" s="449">
        <f>($H511-SUM($L511:S511))/T$694</f>
        <v>3555.4633333333331</v>
      </c>
      <c r="U511" s="449">
        <f>($H511-SUM($L511:T511))/U$694</f>
        <v>3555.4633333333331</v>
      </c>
      <c r="V511" s="449">
        <f>($H511-SUM($L511:U511))/V$694</f>
        <v>3555.4633333333331</v>
      </c>
      <c r="W511" s="449">
        <f>($H511-SUM($L511:V511))/W$694</f>
        <v>3555.4633333333331</v>
      </c>
      <c r="X511" s="449"/>
      <c r="Y511" s="449">
        <f t="shared" si="403"/>
        <v>39000</v>
      </c>
      <c r="Z511" s="531"/>
      <c r="AA511" s="449">
        <f t="shared" ref="AA511:AL525" si="428">IFERROR($H511/12,0)</f>
        <v>3250</v>
      </c>
      <c r="AB511" s="449">
        <f t="shared" si="428"/>
        <v>3250</v>
      </c>
      <c r="AC511" s="449">
        <f t="shared" si="428"/>
        <v>3250</v>
      </c>
      <c r="AD511" s="449">
        <f t="shared" si="428"/>
        <v>3250</v>
      </c>
      <c r="AE511" s="449">
        <f t="shared" si="428"/>
        <v>3250</v>
      </c>
      <c r="AF511" s="449">
        <f t="shared" si="428"/>
        <v>3250</v>
      </c>
      <c r="AG511" s="449">
        <f t="shared" si="428"/>
        <v>3250</v>
      </c>
      <c r="AH511" s="449">
        <f t="shared" si="428"/>
        <v>3250</v>
      </c>
      <c r="AI511" s="449">
        <f t="shared" si="428"/>
        <v>3250</v>
      </c>
      <c r="AJ511" s="449">
        <f t="shared" si="428"/>
        <v>3250</v>
      </c>
      <c r="AK511" s="449">
        <f t="shared" si="428"/>
        <v>3250</v>
      </c>
      <c r="AL511" s="449">
        <f t="shared" si="428"/>
        <v>3250</v>
      </c>
      <c r="AN511" s="500">
        <f t="shared" si="405"/>
        <v>39000</v>
      </c>
      <c r="AO511" s="449">
        <f t="shared" si="406"/>
        <v>40170</v>
      </c>
      <c r="AP511" s="449">
        <f t="shared" si="407"/>
        <v>1170</v>
      </c>
      <c r="AQ511" s="453">
        <f t="shared" si="408"/>
        <v>0.03</v>
      </c>
      <c r="AR511" s="449">
        <f t="shared" si="409"/>
        <v>40170</v>
      </c>
      <c r="AS511" s="449">
        <f t="shared" si="410"/>
        <v>0</v>
      </c>
      <c r="AT511" s="426">
        <f t="shared" si="411"/>
        <v>0</v>
      </c>
      <c r="AU511" s="421"/>
      <c r="AV511" s="449">
        <f t="shared" si="415"/>
        <v>3347.5</v>
      </c>
      <c r="AW511" s="449">
        <f t="shared" si="415"/>
        <v>3347.5</v>
      </c>
      <c r="AX511" s="449">
        <f t="shared" si="415"/>
        <v>3347.5</v>
      </c>
      <c r="AY511" s="449">
        <f t="shared" si="414"/>
        <v>3347.5</v>
      </c>
      <c r="AZ511" s="449">
        <f t="shared" si="414"/>
        <v>3347.5</v>
      </c>
      <c r="BA511" s="449">
        <f t="shared" si="414"/>
        <v>3347.5</v>
      </c>
      <c r="BB511" s="449">
        <f t="shared" si="414"/>
        <v>3347.5</v>
      </c>
      <c r="BC511" s="449">
        <f t="shared" si="414"/>
        <v>3347.5</v>
      </c>
      <c r="BD511" s="449">
        <f t="shared" si="414"/>
        <v>3347.5</v>
      </c>
      <c r="BE511" s="449">
        <f t="shared" si="414"/>
        <v>3347.5</v>
      </c>
      <c r="BF511" s="449">
        <f t="shared" si="414"/>
        <v>3347.5</v>
      </c>
      <c r="BG511" s="449">
        <f t="shared" si="414"/>
        <v>3347.5</v>
      </c>
      <c r="BH511" s="400"/>
      <c r="BI511" s="449">
        <f t="shared" ref="BI511:BT511" si="429">IFERROR(($H511*1.03)/12,0)</f>
        <v>3347.5</v>
      </c>
      <c r="BJ511" s="449">
        <f t="shared" si="429"/>
        <v>3347.5</v>
      </c>
      <c r="BK511" s="449">
        <f t="shared" si="429"/>
        <v>3347.5</v>
      </c>
      <c r="BL511" s="449">
        <f t="shared" si="429"/>
        <v>3347.5</v>
      </c>
      <c r="BM511" s="449">
        <f t="shared" si="429"/>
        <v>3347.5</v>
      </c>
      <c r="BN511" s="449">
        <f t="shared" si="429"/>
        <v>3347.5</v>
      </c>
      <c r="BO511" s="449">
        <f t="shared" si="429"/>
        <v>3347.5</v>
      </c>
      <c r="BP511" s="449">
        <f t="shared" si="429"/>
        <v>3347.5</v>
      </c>
      <c r="BQ511" s="449">
        <f t="shared" si="429"/>
        <v>3347.5</v>
      </c>
      <c r="BR511" s="449">
        <f t="shared" si="429"/>
        <v>3347.5</v>
      </c>
      <c r="BS511" s="449">
        <f t="shared" si="429"/>
        <v>3347.5</v>
      </c>
      <c r="BT511" s="449">
        <f t="shared" si="429"/>
        <v>3347.5</v>
      </c>
    </row>
    <row r="512" spans="1:72" ht="15" x14ac:dyDescent="0.25">
      <c r="A512" s="502" t="s">
        <v>876</v>
      </c>
      <c r="B512" s="502" t="s">
        <v>877</v>
      </c>
      <c r="C512" s="543" t="s">
        <v>878</v>
      </c>
      <c r="D512" s="500">
        <f t="shared" si="398"/>
        <v>33000</v>
      </c>
      <c r="E512" s="449">
        <v>28588</v>
      </c>
      <c r="F512" s="449">
        <f t="shared" si="399"/>
        <v>4412</v>
      </c>
      <c r="G512" s="421">
        <f t="shared" si="400"/>
        <v>0.15433048831677626</v>
      </c>
      <c r="H512" s="449">
        <v>33000</v>
      </c>
      <c r="I512" s="449">
        <f t="shared" si="401"/>
        <v>0</v>
      </c>
      <c r="J512" s="426">
        <f t="shared" si="402"/>
        <v>0</v>
      </c>
      <c r="K512" s="421"/>
      <c r="L512" s="449">
        <v>3709.32</v>
      </c>
      <c r="M512" s="449">
        <v>3275.2599999999998</v>
      </c>
      <c r="N512" s="449">
        <v>2410.2900000000009</v>
      </c>
      <c r="O512" s="449">
        <v>1545.6399999999994</v>
      </c>
      <c r="P512" s="449">
        <v>3662.6299999999992</v>
      </c>
      <c r="Q512" s="449">
        <v>1230.1499999999996</v>
      </c>
      <c r="R512" s="449">
        <f>($H512-SUM($L512:Q512))/R$694</f>
        <v>2861.1183333333333</v>
      </c>
      <c r="S512" s="449">
        <f>($H512-SUM($L512:R512))/S$694</f>
        <v>2861.1183333333333</v>
      </c>
      <c r="T512" s="449">
        <f>($H512-SUM($L512:S512))/T$694</f>
        <v>2861.1183333333338</v>
      </c>
      <c r="U512" s="449">
        <f>($H512-SUM($L512:T512))/U$694</f>
        <v>2861.1183333333342</v>
      </c>
      <c r="V512" s="449">
        <f>($H512-SUM($L512:U512))/V$694</f>
        <v>2861.1183333333338</v>
      </c>
      <c r="W512" s="449">
        <f>($H512-SUM($L512:V512))/W$694</f>
        <v>2861.118333333332</v>
      </c>
      <c r="X512" s="449"/>
      <c r="Y512" s="449">
        <f t="shared" si="403"/>
        <v>33000</v>
      </c>
      <c r="Z512" s="531"/>
      <c r="AA512" s="449">
        <f t="shared" si="428"/>
        <v>2750</v>
      </c>
      <c r="AB512" s="449">
        <f t="shared" si="428"/>
        <v>2750</v>
      </c>
      <c r="AC512" s="449">
        <f t="shared" si="428"/>
        <v>2750</v>
      </c>
      <c r="AD512" s="449">
        <f t="shared" si="428"/>
        <v>2750</v>
      </c>
      <c r="AE512" s="449">
        <f t="shared" si="428"/>
        <v>2750</v>
      </c>
      <c r="AF512" s="449">
        <f t="shared" si="428"/>
        <v>2750</v>
      </c>
      <c r="AG512" s="449">
        <f t="shared" si="428"/>
        <v>2750</v>
      </c>
      <c r="AH512" s="449">
        <f t="shared" si="428"/>
        <v>2750</v>
      </c>
      <c r="AI512" s="449">
        <f t="shared" si="428"/>
        <v>2750</v>
      </c>
      <c r="AJ512" s="449">
        <f t="shared" si="428"/>
        <v>2750</v>
      </c>
      <c r="AK512" s="449">
        <f t="shared" si="428"/>
        <v>2750</v>
      </c>
      <c r="AL512" s="449">
        <f t="shared" si="428"/>
        <v>2750</v>
      </c>
      <c r="AN512" s="500">
        <f t="shared" si="405"/>
        <v>33000</v>
      </c>
      <c r="AO512" s="449">
        <f t="shared" si="406"/>
        <v>20394</v>
      </c>
      <c r="AP512" s="449">
        <f t="shared" si="407"/>
        <v>-12606</v>
      </c>
      <c r="AQ512" s="453">
        <f t="shared" si="408"/>
        <v>-0.38200000000000001</v>
      </c>
      <c r="AR512" s="449">
        <f t="shared" si="409"/>
        <v>20394</v>
      </c>
      <c r="AS512" s="449">
        <f t="shared" si="410"/>
        <v>0</v>
      </c>
      <c r="AT512" s="426">
        <f t="shared" si="411"/>
        <v>0</v>
      </c>
      <c r="AU512" s="421"/>
      <c r="AV512" s="449">
        <f t="shared" si="415"/>
        <v>1699.5</v>
      </c>
      <c r="AW512" s="449">
        <f t="shared" si="415"/>
        <v>1699.5</v>
      </c>
      <c r="AX512" s="449">
        <f t="shared" si="415"/>
        <v>1699.5</v>
      </c>
      <c r="AY512" s="449">
        <f t="shared" si="414"/>
        <v>1699.5</v>
      </c>
      <c r="AZ512" s="449">
        <f t="shared" si="414"/>
        <v>1699.5</v>
      </c>
      <c r="BA512" s="449">
        <f t="shared" si="414"/>
        <v>1699.5</v>
      </c>
      <c r="BB512" s="449">
        <f t="shared" si="414"/>
        <v>1699.5</v>
      </c>
      <c r="BC512" s="449">
        <f t="shared" si="414"/>
        <v>1699.5</v>
      </c>
      <c r="BD512" s="449">
        <f t="shared" si="414"/>
        <v>1699.5</v>
      </c>
      <c r="BE512" s="449">
        <f t="shared" si="414"/>
        <v>1699.5</v>
      </c>
      <c r="BF512" s="449">
        <f t="shared" si="414"/>
        <v>1699.5</v>
      </c>
      <c r="BG512" s="449">
        <f t="shared" si="414"/>
        <v>1699.5</v>
      </c>
      <c r="BH512" s="400"/>
      <c r="BI512" s="449">
        <f t="shared" ref="BI512:BT512" si="430">IFERROR(($H512*1.03)/12,0)*0.6</f>
        <v>1699.5</v>
      </c>
      <c r="BJ512" s="449">
        <f t="shared" si="430"/>
        <v>1699.5</v>
      </c>
      <c r="BK512" s="449">
        <f t="shared" si="430"/>
        <v>1699.5</v>
      </c>
      <c r="BL512" s="449">
        <f t="shared" si="430"/>
        <v>1699.5</v>
      </c>
      <c r="BM512" s="449">
        <f t="shared" si="430"/>
        <v>1699.5</v>
      </c>
      <c r="BN512" s="449">
        <f t="shared" si="430"/>
        <v>1699.5</v>
      </c>
      <c r="BO512" s="449">
        <f t="shared" si="430"/>
        <v>1699.5</v>
      </c>
      <c r="BP512" s="449">
        <f t="shared" si="430"/>
        <v>1699.5</v>
      </c>
      <c r="BQ512" s="449">
        <f t="shared" si="430"/>
        <v>1699.5</v>
      </c>
      <c r="BR512" s="449">
        <f t="shared" si="430"/>
        <v>1699.5</v>
      </c>
      <c r="BS512" s="449">
        <f t="shared" si="430"/>
        <v>1699.5</v>
      </c>
      <c r="BT512" s="449">
        <f t="shared" si="430"/>
        <v>1699.5</v>
      </c>
    </row>
    <row r="513" spans="1:74" ht="15" customHeight="1" x14ac:dyDescent="0.25">
      <c r="A513" s="537" t="s">
        <v>879</v>
      </c>
      <c r="B513" s="537" t="s">
        <v>880</v>
      </c>
      <c r="C513" s="541"/>
      <c r="D513" s="500">
        <f t="shared" si="398"/>
        <v>0</v>
      </c>
      <c r="E513" s="449">
        <v>0</v>
      </c>
      <c r="F513" s="449">
        <f t="shared" si="399"/>
        <v>0</v>
      </c>
      <c r="G513" s="421">
        <f t="shared" si="400"/>
        <v>0</v>
      </c>
      <c r="H513" s="449">
        <v>0</v>
      </c>
      <c r="I513" s="449">
        <f t="shared" si="401"/>
        <v>0</v>
      </c>
      <c r="J513" s="426">
        <f t="shared" si="402"/>
        <v>0</v>
      </c>
      <c r="K513" s="421"/>
      <c r="L513" s="449">
        <v>0</v>
      </c>
      <c r="M513" s="449">
        <v>0</v>
      </c>
      <c r="N513" s="449">
        <v>0</v>
      </c>
      <c r="O513" s="449">
        <v>0</v>
      </c>
      <c r="P513" s="449">
        <v>0</v>
      </c>
      <c r="Q513" s="449">
        <v>0</v>
      </c>
      <c r="R513" s="449">
        <f>($H513-SUM($L513:Q513))/R$694</f>
        <v>0</v>
      </c>
      <c r="S513" s="449">
        <f>($H513-SUM($L513:R513))/S$694</f>
        <v>0</v>
      </c>
      <c r="T513" s="449">
        <f>($H513-SUM($L513:S513))/T$694</f>
        <v>0</v>
      </c>
      <c r="U513" s="449">
        <f>($H513-SUM($L513:T513))/U$694</f>
        <v>0</v>
      </c>
      <c r="V513" s="449">
        <f>($H513-SUM($L513:U513))/V$694</f>
        <v>0</v>
      </c>
      <c r="W513" s="449">
        <f>($H513-SUM($L513:V513))/W$694</f>
        <v>0</v>
      </c>
      <c r="X513" s="449"/>
      <c r="Y513" s="449">
        <f t="shared" si="403"/>
        <v>0</v>
      </c>
      <c r="Z513" s="449"/>
      <c r="AA513" s="449">
        <f t="shared" si="428"/>
        <v>0</v>
      </c>
      <c r="AB513" s="449">
        <f t="shared" si="428"/>
        <v>0</v>
      </c>
      <c r="AC513" s="449">
        <f t="shared" si="428"/>
        <v>0</v>
      </c>
      <c r="AD513" s="449">
        <f t="shared" si="428"/>
        <v>0</v>
      </c>
      <c r="AE513" s="449">
        <f t="shared" si="428"/>
        <v>0</v>
      </c>
      <c r="AF513" s="449">
        <f t="shared" si="428"/>
        <v>0</v>
      </c>
      <c r="AG513" s="449">
        <f t="shared" si="428"/>
        <v>0</v>
      </c>
      <c r="AH513" s="449">
        <f t="shared" si="428"/>
        <v>0</v>
      </c>
      <c r="AI513" s="449">
        <f t="shared" si="428"/>
        <v>0</v>
      </c>
      <c r="AJ513" s="449">
        <f t="shared" si="428"/>
        <v>0</v>
      </c>
      <c r="AK513" s="449">
        <f t="shared" si="428"/>
        <v>0</v>
      </c>
      <c r="AL513" s="449">
        <f t="shared" si="428"/>
        <v>0</v>
      </c>
      <c r="AN513" s="500">
        <f t="shared" si="405"/>
        <v>0</v>
      </c>
      <c r="AO513" s="449">
        <f t="shared" si="406"/>
        <v>13596</v>
      </c>
      <c r="AP513" s="449">
        <f t="shared" si="407"/>
        <v>13596</v>
      </c>
      <c r="AQ513" s="453" t="str">
        <f t="shared" si="408"/>
        <v>-</v>
      </c>
      <c r="AR513" s="449">
        <f t="shared" si="409"/>
        <v>13596</v>
      </c>
      <c r="AS513" s="449">
        <f t="shared" si="410"/>
        <v>0</v>
      </c>
      <c r="AT513" s="426">
        <f t="shared" si="411"/>
        <v>0</v>
      </c>
      <c r="AU513" s="421"/>
      <c r="AV513" s="449">
        <f t="shared" si="415"/>
        <v>1133</v>
      </c>
      <c r="AW513" s="449">
        <f t="shared" si="415"/>
        <v>1133</v>
      </c>
      <c r="AX513" s="449">
        <f t="shared" si="415"/>
        <v>1133</v>
      </c>
      <c r="AY513" s="449">
        <f t="shared" si="414"/>
        <v>1133</v>
      </c>
      <c r="AZ513" s="449">
        <f t="shared" si="414"/>
        <v>1133</v>
      </c>
      <c r="BA513" s="449">
        <f t="shared" si="414"/>
        <v>1133</v>
      </c>
      <c r="BB513" s="449">
        <f t="shared" si="414"/>
        <v>1133</v>
      </c>
      <c r="BC513" s="449">
        <f t="shared" si="414"/>
        <v>1133</v>
      </c>
      <c r="BD513" s="449">
        <f t="shared" si="414"/>
        <v>1133</v>
      </c>
      <c r="BE513" s="449">
        <f t="shared" si="414"/>
        <v>1133</v>
      </c>
      <c r="BF513" s="449">
        <f t="shared" si="414"/>
        <v>1133</v>
      </c>
      <c r="BG513" s="449">
        <f t="shared" si="414"/>
        <v>1133</v>
      </c>
      <c r="BH513" s="400"/>
      <c r="BI513" s="449">
        <f t="shared" ref="BI513:BT513" si="431">IFERROR(($H512*1.03)/12,0)*0.4</f>
        <v>1133</v>
      </c>
      <c r="BJ513" s="449">
        <f t="shared" si="431"/>
        <v>1133</v>
      </c>
      <c r="BK513" s="449">
        <f t="shared" si="431"/>
        <v>1133</v>
      </c>
      <c r="BL513" s="449">
        <f t="shared" si="431"/>
        <v>1133</v>
      </c>
      <c r="BM513" s="449">
        <f t="shared" si="431"/>
        <v>1133</v>
      </c>
      <c r="BN513" s="449">
        <f t="shared" si="431"/>
        <v>1133</v>
      </c>
      <c r="BO513" s="449">
        <f t="shared" si="431"/>
        <v>1133</v>
      </c>
      <c r="BP513" s="449">
        <f t="shared" si="431"/>
        <v>1133</v>
      </c>
      <c r="BQ513" s="449">
        <f t="shared" si="431"/>
        <v>1133</v>
      </c>
      <c r="BR513" s="449">
        <f t="shared" si="431"/>
        <v>1133</v>
      </c>
      <c r="BS513" s="449">
        <f t="shared" si="431"/>
        <v>1133</v>
      </c>
      <c r="BT513" s="449">
        <f t="shared" si="431"/>
        <v>1133</v>
      </c>
    </row>
    <row r="514" spans="1:74" ht="15" x14ac:dyDescent="0.25">
      <c r="A514" s="502" t="s">
        <v>881</v>
      </c>
      <c r="B514" s="502" t="s">
        <v>882</v>
      </c>
      <c r="C514" s="596"/>
      <c r="D514" s="500">
        <f t="shared" si="398"/>
        <v>27000</v>
      </c>
      <c r="E514" s="449">
        <v>23400</v>
      </c>
      <c r="F514" s="449">
        <f t="shared" si="399"/>
        <v>3600</v>
      </c>
      <c r="G514" s="421">
        <f t="shared" si="400"/>
        <v>0.15384615384615385</v>
      </c>
      <c r="H514" s="449">
        <v>27000</v>
      </c>
      <c r="I514" s="449">
        <f t="shared" si="401"/>
        <v>0</v>
      </c>
      <c r="J514" s="426">
        <f t="shared" si="402"/>
        <v>0</v>
      </c>
      <c r="K514" s="421"/>
      <c r="L514" s="449">
        <v>1649.45</v>
      </c>
      <c r="M514" s="449">
        <v>1270.1899999999998</v>
      </c>
      <c r="N514" s="449">
        <v>1192.3200000000002</v>
      </c>
      <c r="O514" s="449">
        <v>1270.3000000000002</v>
      </c>
      <c r="P514" s="449">
        <v>1270.2999999999993</v>
      </c>
      <c r="Q514" s="449">
        <v>1270.3000000000011</v>
      </c>
      <c r="R514" s="449">
        <f>($H514-SUM($L514:Q514))/R$694</f>
        <v>3179.5233333333331</v>
      </c>
      <c r="S514" s="449">
        <f>($H514-SUM($L514:R514))/S$694</f>
        <v>3179.5233333333335</v>
      </c>
      <c r="T514" s="449">
        <f>($H514-SUM($L514:S514))/T$694</f>
        <v>3179.5233333333335</v>
      </c>
      <c r="U514" s="449">
        <f>($H514-SUM($L514:T514))/U$694</f>
        <v>3179.5233333333331</v>
      </c>
      <c r="V514" s="449">
        <f>($H514-SUM($L514:U514))/V$694</f>
        <v>3179.5233333333326</v>
      </c>
      <c r="W514" s="449">
        <f>($H514-SUM($L514:V514))/W$694</f>
        <v>3179.5233333333308</v>
      </c>
      <c r="X514" s="449"/>
      <c r="Y514" s="449">
        <f t="shared" si="403"/>
        <v>27000</v>
      </c>
      <c r="Z514" s="531"/>
      <c r="AA514" s="449">
        <f t="shared" si="428"/>
        <v>2250</v>
      </c>
      <c r="AB514" s="449">
        <f t="shared" si="428"/>
        <v>2250</v>
      </c>
      <c r="AC514" s="449">
        <f t="shared" si="428"/>
        <v>2250</v>
      </c>
      <c r="AD514" s="449">
        <f t="shared" si="428"/>
        <v>2250</v>
      </c>
      <c r="AE514" s="449">
        <f t="shared" si="428"/>
        <v>2250</v>
      </c>
      <c r="AF514" s="449">
        <f t="shared" si="428"/>
        <v>2250</v>
      </c>
      <c r="AG514" s="449">
        <f t="shared" si="428"/>
        <v>2250</v>
      </c>
      <c r="AH514" s="449">
        <f t="shared" si="428"/>
        <v>2250</v>
      </c>
      <c r="AI514" s="449">
        <f t="shared" si="428"/>
        <v>2250</v>
      </c>
      <c r="AJ514" s="449">
        <f t="shared" si="428"/>
        <v>2250</v>
      </c>
      <c r="AK514" s="449">
        <f t="shared" si="428"/>
        <v>2250</v>
      </c>
      <c r="AL514" s="449">
        <f t="shared" si="428"/>
        <v>2250</v>
      </c>
      <c r="AN514" s="500">
        <f t="shared" si="405"/>
        <v>27000</v>
      </c>
      <c r="AO514" s="449">
        <f t="shared" si="406"/>
        <v>16686</v>
      </c>
      <c r="AP514" s="449">
        <f t="shared" si="407"/>
        <v>-10314</v>
      </c>
      <c r="AQ514" s="453">
        <f t="shared" si="408"/>
        <v>-0.38200000000000001</v>
      </c>
      <c r="AR514" s="449">
        <f t="shared" si="409"/>
        <v>16686</v>
      </c>
      <c r="AS514" s="449">
        <f t="shared" si="410"/>
        <v>0</v>
      </c>
      <c r="AT514" s="426">
        <f t="shared" si="411"/>
        <v>0</v>
      </c>
      <c r="AU514" s="421"/>
      <c r="AV514" s="449">
        <f t="shared" si="415"/>
        <v>1390.5</v>
      </c>
      <c r="AW514" s="449">
        <f t="shared" si="415"/>
        <v>1390.5</v>
      </c>
      <c r="AX514" s="449">
        <f t="shared" si="415"/>
        <v>1390.5</v>
      </c>
      <c r="AY514" s="449">
        <f t="shared" si="415"/>
        <v>1390.5</v>
      </c>
      <c r="AZ514" s="449">
        <f t="shared" si="415"/>
        <v>1390.5</v>
      </c>
      <c r="BA514" s="449">
        <f t="shared" si="415"/>
        <v>1390.5</v>
      </c>
      <c r="BB514" s="449">
        <f t="shared" si="415"/>
        <v>1390.5</v>
      </c>
      <c r="BC514" s="449">
        <f t="shared" si="415"/>
        <v>1390.5</v>
      </c>
      <c r="BD514" s="449">
        <f t="shared" si="415"/>
        <v>1390.5</v>
      </c>
      <c r="BE514" s="449">
        <f t="shared" si="415"/>
        <v>1390.5</v>
      </c>
      <c r="BF514" s="449">
        <f t="shared" si="415"/>
        <v>1390.5</v>
      </c>
      <c r="BG514" s="449">
        <f t="shared" si="415"/>
        <v>1390.5</v>
      </c>
      <c r="BH514" s="400"/>
      <c r="BI514" s="449">
        <f t="shared" ref="BI514:BT514" si="432">IFERROR(($H514*1.03)/12,0)*0.6</f>
        <v>1390.5</v>
      </c>
      <c r="BJ514" s="449">
        <f t="shared" si="432"/>
        <v>1390.5</v>
      </c>
      <c r="BK514" s="449">
        <f t="shared" si="432"/>
        <v>1390.5</v>
      </c>
      <c r="BL514" s="449">
        <f t="shared" si="432"/>
        <v>1390.5</v>
      </c>
      <c r="BM514" s="449">
        <f t="shared" si="432"/>
        <v>1390.5</v>
      </c>
      <c r="BN514" s="449">
        <f t="shared" si="432"/>
        <v>1390.5</v>
      </c>
      <c r="BO514" s="449">
        <f t="shared" si="432"/>
        <v>1390.5</v>
      </c>
      <c r="BP514" s="449">
        <f t="shared" si="432"/>
        <v>1390.5</v>
      </c>
      <c r="BQ514" s="449">
        <f t="shared" si="432"/>
        <v>1390.5</v>
      </c>
      <c r="BR514" s="449">
        <f t="shared" si="432"/>
        <v>1390.5</v>
      </c>
      <c r="BS514" s="449">
        <f t="shared" si="432"/>
        <v>1390.5</v>
      </c>
      <c r="BT514" s="449">
        <f t="shared" si="432"/>
        <v>1390.5</v>
      </c>
    </row>
    <row r="515" spans="1:74" ht="15" customHeight="1" x14ac:dyDescent="0.25">
      <c r="A515" s="537" t="s">
        <v>883</v>
      </c>
      <c r="B515" s="537" t="s">
        <v>884</v>
      </c>
      <c r="C515" s="541"/>
      <c r="D515" s="500">
        <f>SUM(L515:W515)</f>
        <v>0</v>
      </c>
      <c r="E515" s="449">
        <v>0</v>
      </c>
      <c r="F515" s="449">
        <f t="shared" si="399"/>
        <v>0</v>
      </c>
      <c r="G515" s="421">
        <f t="shared" si="400"/>
        <v>0</v>
      </c>
      <c r="H515" s="449">
        <v>0</v>
      </c>
      <c r="I515" s="449">
        <f t="shared" si="401"/>
        <v>0</v>
      </c>
      <c r="J515" s="426">
        <f t="shared" si="402"/>
        <v>0</v>
      </c>
      <c r="K515" s="421"/>
      <c r="L515" s="449">
        <v>0</v>
      </c>
      <c r="M515" s="449">
        <v>0</v>
      </c>
      <c r="N515" s="449">
        <v>0</v>
      </c>
      <c r="O515" s="449">
        <v>0</v>
      </c>
      <c r="P515" s="449">
        <v>0</v>
      </c>
      <c r="Q515" s="449">
        <v>0</v>
      </c>
      <c r="R515" s="449">
        <f>($H515-SUM($L515:Q515))/R$694</f>
        <v>0</v>
      </c>
      <c r="S515" s="449">
        <f>($H515-SUM($L515:R515))/S$694</f>
        <v>0</v>
      </c>
      <c r="T515" s="449">
        <f>($H515-SUM($L515:S515))/T$694</f>
        <v>0</v>
      </c>
      <c r="U515" s="449">
        <f>($H515-SUM($L515:T515))/U$694</f>
        <v>0</v>
      </c>
      <c r="V515" s="449">
        <f>($H515-SUM($L515:U515))/V$694</f>
        <v>0</v>
      </c>
      <c r="W515" s="449">
        <f>($H515-SUM($L515:V515))/W$694</f>
        <v>0</v>
      </c>
      <c r="X515" s="449"/>
      <c r="Y515" s="449">
        <f t="shared" si="403"/>
        <v>0</v>
      </c>
      <c r="Z515" s="449"/>
      <c r="AA515" s="449">
        <f t="shared" si="428"/>
        <v>0</v>
      </c>
      <c r="AB515" s="449">
        <f t="shared" si="428"/>
        <v>0</v>
      </c>
      <c r="AC515" s="449">
        <f t="shared" si="428"/>
        <v>0</v>
      </c>
      <c r="AD515" s="449">
        <f t="shared" si="428"/>
        <v>0</v>
      </c>
      <c r="AE515" s="449">
        <f t="shared" si="428"/>
        <v>0</v>
      </c>
      <c r="AF515" s="449">
        <f t="shared" si="428"/>
        <v>0</v>
      </c>
      <c r="AG515" s="449">
        <f t="shared" si="428"/>
        <v>0</v>
      </c>
      <c r="AH515" s="449">
        <f t="shared" si="428"/>
        <v>0</v>
      </c>
      <c r="AI515" s="449">
        <f t="shared" si="428"/>
        <v>0</v>
      </c>
      <c r="AJ515" s="449">
        <f t="shared" si="428"/>
        <v>0</v>
      </c>
      <c r="AK515" s="449">
        <f t="shared" si="428"/>
        <v>0</v>
      </c>
      <c r="AL515" s="449">
        <f t="shared" si="428"/>
        <v>0</v>
      </c>
      <c r="AN515" s="500">
        <f>SUM(L515:W515)</f>
        <v>0</v>
      </c>
      <c r="AO515" s="449">
        <f>SUM(BI515:BT515)</f>
        <v>11124</v>
      </c>
      <c r="AP515" s="449">
        <f t="shared" si="407"/>
        <v>11124</v>
      </c>
      <c r="AQ515" s="453" t="str">
        <f t="shared" si="408"/>
        <v>-</v>
      </c>
      <c r="AR515" s="449">
        <f t="shared" si="409"/>
        <v>11124</v>
      </c>
      <c r="AS515" s="449">
        <f t="shared" si="410"/>
        <v>0</v>
      </c>
      <c r="AT515" s="426">
        <f t="shared" si="411"/>
        <v>0</v>
      </c>
      <c r="AU515" s="421"/>
      <c r="AV515" s="449">
        <f t="shared" si="415"/>
        <v>927</v>
      </c>
      <c r="AW515" s="449">
        <f t="shared" si="415"/>
        <v>927</v>
      </c>
      <c r="AX515" s="449">
        <f t="shared" si="415"/>
        <v>927</v>
      </c>
      <c r="AY515" s="449">
        <f t="shared" si="415"/>
        <v>927</v>
      </c>
      <c r="AZ515" s="449">
        <f t="shared" si="415"/>
        <v>927</v>
      </c>
      <c r="BA515" s="449">
        <f t="shared" si="415"/>
        <v>927</v>
      </c>
      <c r="BB515" s="449">
        <f t="shared" si="415"/>
        <v>927</v>
      </c>
      <c r="BC515" s="449">
        <f t="shared" si="415"/>
        <v>927</v>
      </c>
      <c r="BD515" s="449">
        <f t="shared" si="415"/>
        <v>927</v>
      </c>
      <c r="BE515" s="449">
        <f t="shared" si="415"/>
        <v>927</v>
      </c>
      <c r="BF515" s="449">
        <f t="shared" si="415"/>
        <v>927</v>
      </c>
      <c r="BG515" s="449">
        <f t="shared" si="415"/>
        <v>927</v>
      </c>
      <c r="BH515" s="400"/>
      <c r="BI515" s="449">
        <f t="shared" ref="BI515:BT515" si="433">IFERROR(($H514*1.03)/12,0)*0.4</f>
        <v>927</v>
      </c>
      <c r="BJ515" s="449">
        <f t="shared" si="433"/>
        <v>927</v>
      </c>
      <c r="BK515" s="449">
        <f t="shared" si="433"/>
        <v>927</v>
      </c>
      <c r="BL515" s="449">
        <f t="shared" si="433"/>
        <v>927</v>
      </c>
      <c r="BM515" s="449">
        <f t="shared" si="433"/>
        <v>927</v>
      </c>
      <c r="BN515" s="449">
        <f t="shared" si="433"/>
        <v>927</v>
      </c>
      <c r="BO515" s="449">
        <f t="shared" si="433"/>
        <v>927</v>
      </c>
      <c r="BP515" s="449">
        <f t="shared" si="433"/>
        <v>927</v>
      </c>
      <c r="BQ515" s="449">
        <f t="shared" si="433"/>
        <v>927</v>
      </c>
      <c r="BR515" s="449">
        <f t="shared" si="433"/>
        <v>927</v>
      </c>
      <c r="BS515" s="449">
        <f t="shared" si="433"/>
        <v>927</v>
      </c>
      <c r="BT515" s="449">
        <f t="shared" si="433"/>
        <v>927</v>
      </c>
    </row>
    <row r="516" spans="1:74" ht="15" x14ac:dyDescent="0.25">
      <c r="A516" s="502" t="s">
        <v>885</v>
      </c>
      <c r="B516" s="502" t="s">
        <v>886</v>
      </c>
      <c r="C516" s="597"/>
      <c r="D516" s="500">
        <f t="shared" si="398"/>
        <v>46000</v>
      </c>
      <c r="E516" s="449">
        <v>46000</v>
      </c>
      <c r="F516" s="449">
        <f t="shared" si="399"/>
        <v>0</v>
      </c>
      <c r="G516" s="421">
        <f t="shared" si="400"/>
        <v>0</v>
      </c>
      <c r="H516" s="449">
        <v>46000</v>
      </c>
      <c r="I516" s="449">
        <f t="shared" si="401"/>
        <v>0</v>
      </c>
      <c r="J516" s="426">
        <f t="shared" si="402"/>
        <v>0</v>
      </c>
      <c r="K516" s="421"/>
      <c r="L516" s="449">
        <v>14455.19</v>
      </c>
      <c r="M516" s="449">
        <v>3552.3799999999992</v>
      </c>
      <c r="N516" s="449">
        <v>1550.7000000000007</v>
      </c>
      <c r="O516" s="449">
        <v>3783.630000000001</v>
      </c>
      <c r="P516" s="449">
        <v>1943.2999999999956</v>
      </c>
      <c r="Q516" s="449">
        <v>3119.09</v>
      </c>
      <c r="R516" s="449">
        <f>($H516-SUM($L516:Q516))/R$694</f>
        <v>2932.6183333333338</v>
      </c>
      <c r="S516" s="449">
        <f>($H516-SUM($L516:R516))/S$694</f>
        <v>2932.6183333333333</v>
      </c>
      <c r="T516" s="449">
        <f>($H516-SUM($L516:S516))/T$694</f>
        <v>2932.6183333333338</v>
      </c>
      <c r="U516" s="449">
        <f>($H516-SUM($L516:T516))/U$694</f>
        <v>2932.6183333333342</v>
      </c>
      <c r="V516" s="449">
        <f>($H516-SUM($L516:U516))/V$694</f>
        <v>2932.6183333333356</v>
      </c>
      <c r="W516" s="449">
        <f>($H516-SUM($L516:V516))/W$694</f>
        <v>2932.618333333332</v>
      </c>
      <c r="X516" s="449"/>
      <c r="Y516" s="449">
        <f t="shared" si="403"/>
        <v>46000</v>
      </c>
      <c r="Z516" s="531"/>
      <c r="AA516" s="449">
        <f t="shared" si="428"/>
        <v>3833.3333333333335</v>
      </c>
      <c r="AB516" s="449">
        <f t="shared" si="428"/>
        <v>3833.3333333333335</v>
      </c>
      <c r="AC516" s="449">
        <f t="shared" si="428"/>
        <v>3833.3333333333335</v>
      </c>
      <c r="AD516" s="449">
        <f t="shared" si="428"/>
        <v>3833.3333333333335</v>
      </c>
      <c r="AE516" s="449">
        <f t="shared" si="428"/>
        <v>3833.3333333333335</v>
      </c>
      <c r="AF516" s="449">
        <f t="shared" si="428"/>
        <v>3833.3333333333335</v>
      </c>
      <c r="AG516" s="449">
        <f t="shared" si="428"/>
        <v>3833.3333333333335</v>
      </c>
      <c r="AH516" s="449">
        <f t="shared" si="428"/>
        <v>3833.3333333333335</v>
      </c>
      <c r="AI516" s="449">
        <f t="shared" si="428"/>
        <v>3833.3333333333335</v>
      </c>
      <c r="AJ516" s="449">
        <f t="shared" si="428"/>
        <v>3833.3333333333335</v>
      </c>
      <c r="AK516" s="449">
        <f t="shared" si="428"/>
        <v>3833.3333333333335</v>
      </c>
      <c r="AL516" s="449">
        <f t="shared" si="428"/>
        <v>3833.3333333333335</v>
      </c>
      <c r="AN516" s="500">
        <f t="shared" si="405"/>
        <v>46000</v>
      </c>
      <c r="AO516" s="449">
        <f t="shared" si="406"/>
        <v>28428</v>
      </c>
      <c r="AP516" s="449">
        <f t="shared" si="407"/>
        <v>-17572</v>
      </c>
      <c r="AQ516" s="453">
        <f t="shared" si="408"/>
        <v>-0.38200000000000001</v>
      </c>
      <c r="AR516" s="449">
        <f t="shared" si="409"/>
        <v>28428</v>
      </c>
      <c r="AS516" s="449">
        <f t="shared" si="410"/>
        <v>0</v>
      </c>
      <c r="AT516" s="426">
        <f t="shared" si="411"/>
        <v>0</v>
      </c>
      <c r="AU516" s="421"/>
      <c r="AV516" s="449">
        <f t="shared" si="415"/>
        <v>2369</v>
      </c>
      <c r="AW516" s="449">
        <f t="shared" si="415"/>
        <v>2369</v>
      </c>
      <c r="AX516" s="449">
        <f t="shared" si="415"/>
        <v>2369</v>
      </c>
      <c r="AY516" s="449">
        <f t="shared" si="415"/>
        <v>2369</v>
      </c>
      <c r="AZ516" s="449">
        <f t="shared" si="415"/>
        <v>2369</v>
      </c>
      <c r="BA516" s="449">
        <f t="shared" si="415"/>
        <v>2369</v>
      </c>
      <c r="BB516" s="449">
        <f t="shared" si="415"/>
        <v>2369</v>
      </c>
      <c r="BC516" s="449">
        <f t="shared" si="415"/>
        <v>2369</v>
      </c>
      <c r="BD516" s="449">
        <f t="shared" si="415"/>
        <v>2369</v>
      </c>
      <c r="BE516" s="449">
        <f t="shared" si="415"/>
        <v>2369</v>
      </c>
      <c r="BF516" s="449">
        <f t="shared" si="415"/>
        <v>2369</v>
      </c>
      <c r="BG516" s="449">
        <f t="shared" si="415"/>
        <v>2369</v>
      </c>
      <c r="BH516" s="400"/>
      <c r="BI516" s="449">
        <f t="shared" ref="BI516:BT516" si="434">IFERROR(($H516*1.03)/12,0)*0.6</f>
        <v>2369</v>
      </c>
      <c r="BJ516" s="449">
        <f t="shared" si="434"/>
        <v>2369</v>
      </c>
      <c r="BK516" s="449">
        <f t="shared" si="434"/>
        <v>2369</v>
      </c>
      <c r="BL516" s="449">
        <f t="shared" si="434"/>
        <v>2369</v>
      </c>
      <c r="BM516" s="449">
        <f t="shared" si="434"/>
        <v>2369</v>
      </c>
      <c r="BN516" s="449">
        <f t="shared" si="434"/>
        <v>2369</v>
      </c>
      <c r="BO516" s="449">
        <f t="shared" si="434"/>
        <v>2369</v>
      </c>
      <c r="BP516" s="449">
        <f t="shared" si="434"/>
        <v>2369</v>
      </c>
      <c r="BQ516" s="449">
        <f t="shared" si="434"/>
        <v>2369</v>
      </c>
      <c r="BR516" s="449">
        <f t="shared" si="434"/>
        <v>2369</v>
      </c>
      <c r="BS516" s="449">
        <f t="shared" si="434"/>
        <v>2369</v>
      </c>
      <c r="BT516" s="449">
        <f t="shared" si="434"/>
        <v>2369</v>
      </c>
    </row>
    <row r="517" spans="1:74" ht="15" customHeight="1" x14ac:dyDescent="0.25">
      <c r="A517" s="537" t="s">
        <v>887</v>
      </c>
      <c r="B517" s="537" t="s">
        <v>888</v>
      </c>
      <c r="C517" s="541"/>
      <c r="D517" s="500">
        <f t="shared" si="398"/>
        <v>0</v>
      </c>
      <c r="E517" s="449">
        <v>0</v>
      </c>
      <c r="F517" s="449">
        <f t="shared" si="399"/>
        <v>0</v>
      </c>
      <c r="G517" s="421">
        <f t="shared" si="400"/>
        <v>0</v>
      </c>
      <c r="H517" s="449">
        <v>0</v>
      </c>
      <c r="I517" s="449">
        <f t="shared" si="401"/>
        <v>0</v>
      </c>
      <c r="J517" s="426">
        <f t="shared" si="402"/>
        <v>0</v>
      </c>
      <c r="K517" s="421"/>
      <c r="L517" s="449">
        <v>0</v>
      </c>
      <c r="M517" s="449">
        <v>0</v>
      </c>
      <c r="N517" s="449">
        <v>0</v>
      </c>
      <c r="O517" s="449">
        <v>0</v>
      </c>
      <c r="P517" s="449">
        <v>0</v>
      </c>
      <c r="Q517" s="449">
        <v>0</v>
      </c>
      <c r="R517" s="449">
        <f>($H517-SUM($L517:Q517))/R$694</f>
        <v>0</v>
      </c>
      <c r="S517" s="449">
        <f>($H517-SUM($L517:R517))/S$694</f>
        <v>0</v>
      </c>
      <c r="T517" s="449">
        <f>($H517-SUM($L517:S517))/T$694</f>
        <v>0</v>
      </c>
      <c r="U517" s="449">
        <f>($H517-SUM($L517:T517))/U$694</f>
        <v>0</v>
      </c>
      <c r="V517" s="449">
        <f>($H517-SUM($L517:U517))/V$694</f>
        <v>0</v>
      </c>
      <c r="W517" s="449">
        <f>($H517-SUM($L517:V517))/W$694</f>
        <v>0</v>
      </c>
      <c r="X517" s="449"/>
      <c r="Y517" s="449">
        <f t="shared" si="403"/>
        <v>0</v>
      </c>
      <c r="Z517" s="449"/>
      <c r="AA517" s="449">
        <f t="shared" si="428"/>
        <v>0</v>
      </c>
      <c r="AB517" s="449">
        <f t="shared" si="428"/>
        <v>0</v>
      </c>
      <c r="AC517" s="449">
        <f t="shared" si="428"/>
        <v>0</v>
      </c>
      <c r="AD517" s="449">
        <f t="shared" si="428"/>
        <v>0</v>
      </c>
      <c r="AE517" s="449">
        <f t="shared" si="428"/>
        <v>0</v>
      </c>
      <c r="AF517" s="449">
        <f t="shared" si="428"/>
        <v>0</v>
      </c>
      <c r="AG517" s="449">
        <f t="shared" si="428"/>
        <v>0</v>
      </c>
      <c r="AH517" s="449">
        <f t="shared" si="428"/>
        <v>0</v>
      </c>
      <c r="AI517" s="449">
        <f t="shared" si="428"/>
        <v>0</v>
      </c>
      <c r="AJ517" s="449">
        <f t="shared" si="428"/>
        <v>0</v>
      </c>
      <c r="AK517" s="449">
        <f t="shared" si="428"/>
        <v>0</v>
      </c>
      <c r="AL517" s="449">
        <f t="shared" si="428"/>
        <v>0</v>
      </c>
      <c r="AN517" s="500">
        <f t="shared" si="405"/>
        <v>0</v>
      </c>
      <c r="AO517" s="449">
        <f t="shared" si="406"/>
        <v>18952.000000000004</v>
      </c>
      <c r="AP517" s="449">
        <f t="shared" si="407"/>
        <v>18952.000000000004</v>
      </c>
      <c r="AQ517" s="453" t="str">
        <f t="shared" si="408"/>
        <v>-</v>
      </c>
      <c r="AR517" s="449">
        <f t="shared" si="409"/>
        <v>18952.000000000004</v>
      </c>
      <c r="AS517" s="449">
        <f t="shared" si="410"/>
        <v>0</v>
      </c>
      <c r="AT517" s="426">
        <f t="shared" si="411"/>
        <v>0</v>
      </c>
      <c r="AU517" s="421"/>
      <c r="AV517" s="449">
        <f t="shared" si="415"/>
        <v>1579.3333333333335</v>
      </c>
      <c r="AW517" s="449">
        <f t="shared" si="415"/>
        <v>1579.3333333333335</v>
      </c>
      <c r="AX517" s="449">
        <f t="shared" si="415"/>
        <v>1579.3333333333335</v>
      </c>
      <c r="AY517" s="449">
        <f t="shared" si="415"/>
        <v>1579.3333333333335</v>
      </c>
      <c r="AZ517" s="449">
        <f t="shared" si="415"/>
        <v>1579.3333333333335</v>
      </c>
      <c r="BA517" s="449">
        <f t="shared" si="415"/>
        <v>1579.3333333333335</v>
      </c>
      <c r="BB517" s="449">
        <f t="shared" si="415"/>
        <v>1579.3333333333335</v>
      </c>
      <c r="BC517" s="449">
        <f t="shared" si="415"/>
        <v>1579.3333333333335</v>
      </c>
      <c r="BD517" s="449">
        <f t="shared" si="415"/>
        <v>1579.3333333333335</v>
      </c>
      <c r="BE517" s="449">
        <f t="shared" si="415"/>
        <v>1579.3333333333335</v>
      </c>
      <c r="BF517" s="449">
        <f t="shared" si="415"/>
        <v>1579.3333333333335</v>
      </c>
      <c r="BG517" s="449">
        <f t="shared" si="415"/>
        <v>1579.3333333333335</v>
      </c>
      <c r="BH517" s="400"/>
      <c r="BI517" s="449">
        <f t="shared" ref="BI517:BT517" si="435">IFERROR(($H516*1.03)/12,0)*0.4</f>
        <v>1579.3333333333335</v>
      </c>
      <c r="BJ517" s="449">
        <f t="shared" si="435"/>
        <v>1579.3333333333335</v>
      </c>
      <c r="BK517" s="449">
        <f t="shared" si="435"/>
        <v>1579.3333333333335</v>
      </c>
      <c r="BL517" s="449">
        <f t="shared" si="435"/>
        <v>1579.3333333333335</v>
      </c>
      <c r="BM517" s="449">
        <f t="shared" si="435"/>
        <v>1579.3333333333335</v>
      </c>
      <c r="BN517" s="449">
        <f t="shared" si="435"/>
        <v>1579.3333333333335</v>
      </c>
      <c r="BO517" s="449">
        <f t="shared" si="435"/>
        <v>1579.3333333333335</v>
      </c>
      <c r="BP517" s="449">
        <f t="shared" si="435"/>
        <v>1579.3333333333335</v>
      </c>
      <c r="BQ517" s="449">
        <f t="shared" si="435"/>
        <v>1579.3333333333335</v>
      </c>
      <c r="BR517" s="449">
        <f t="shared" si="435"/>
        <v>1579.3333333333335</v>
      </c>
      <c r="BS517" s="449">
        <f t="shared" si="435"/>
        <v>1579.3333333333335</v>
      </c>
      <c r="BT517" s="449">
        <f t="shared" si="435"/>
        <v>1579.3333333333335</v>
      </c>
    </row>
    <row r="518" spans="1:74" ht="15" x14ac:dyDescent="0.25">
      <c r="A518" s="502" t="s">
        <v>889</v>
      </c>
      <c r="B518" s="502" t="s">
        <v>890</v>
      </c>
      <c r="C518" s="538"/>
      <c r="D518" s="500">
        <f t="shared" si="398"/>
        <v>201000</v>
      </c>
      <c r="E518" s="449">
        <v>174750</v>
      </c>
      <c r="F518" s="449">
        <f t="shared" si="399"/>
        <v>26250</v>
      </c>
      <c r="G518" s="421">
        <f t="shared" si="400"/>
        <v>0.15021459227467812</v>
      </c>
      <c r="H518" s="449">
        <v>201000</v>
      </c>
      <c r="I518" s="449">
        <f t="shared" si="401"/>
        <v>0</v>
      </c>
      <c r="J518" s="426">
        <f t="shared" si="402"/>
        <v>0</v>
      </c>
      <c r="K518" s="421"/>
      <c r="L518" s="449">
        <v>0</v>
      </c>
      <c r="M518" s="449">
        <v>21766.98</v>
      </c>
      <c r="N518" s="449">
        <v>19985.969999999998</v>
      </c>
      <c r="O518" s="449">
        <v>37256.569999999992</v>
      </c>
      <c r="P518" s="449">
        <v>0</v>
      </c>
      <c r="Q518" s="449">
        <v>12070.660000000003</v>
      </c>
      <c r="R518" s="449">
        <f>($H518-SUM($L518:Q518))/R$694</f>
        <v>18319.97</v>
      </c>
      <c r="S518" s="449">
        <f>($H518-SUM($L518:R518))/S$694</f>
        <v>18319.97</v>
      </c>
      <c r="T518" s="449">
        <f>($H518-SUM($L518:S518))/T$694</f>
        <v>18319.97</v>
      </c>
      <c r="U518" s="449">
        <f>($H518-SUM($L518:T518))/U$694</f>
        <v>18319.97</v>
      </c>
      <c r="V518" s="449">
        <f>($H518-SUM($L518:U518))/V$694</f>
        <v>18319.97</v>
      </c>
      <c r="W518" s="449">
        <f>($H518-SUM($L518:V518))/W$694</f>
        <v>18319.97</v>
      </c>
      <c r="X518" s="449"/>
      <c r="Y518" s="449">
        <f t="shared" si="403"/>
        <v>201000</v>
      </c>
      <c r="Z518" s="531"/>
      <c r="AA518" s="449">
        <f t="shared" si="428"/>
        <v>16750</v>
      </c>
      <c r="AB518" s="449">
        <f t="shared" si="428"/>
        <v>16750</v>
      </c>
      <c r="AC518" s="449">
        <f t="shared" si="428"/>
        <v>16750</v>
      </c>
      <c r="AD518" s="449">
        <f t="shared" si="428"/>
        <v>16750</v>
      </c>
      <c r="AE518" s="449">
        <f t="shared" si="428"/>
        <v>16750</v>
      </c>
      <c r="AF518" s="449">
        <f t="shared" si="428"/>
        <v>16750</v>
      </c>
      <c r="AG518" s="449">
        <f t="shared" si="428"/>
        <v>16750</v>
      </c>
      <c r="AH518" s="449">
        <f t="shared" si="428"/>
        <v>16750</v>
      </c>
      <c r="AI518" s="449">
        <f t="shared" si="428"/>
        <v>16750</v>
      </c>
      <c r="AJ518" s="449">
        <f t="shared" si="428"/>
        <v>16750</v>
      </c>
      <c r="AK518" s="449">
        <f t="shared" si="428"/>
        <v>16750</v>
      </c>
      <c r="AL518" s="449">
        <f t="shared" si="428"/>
        <v>16750</v>
      </c>
      <c r="AN518" s="500">
        <f t="shared" si="405"/>
        <v>201000</v>
      </c>
      <c r="AO518" s="449">
        <f t="shared" si="406"/>
        <v>124218</v>
      </c>
      <c r="AP518" s="449">
        <f t="shared" si="407"/>
        <v>-76782</v>
      </c>
      <c r="AQ518" s="453">
        <f t="shared" si="408"/>
        <v>-0.38200000000000001</v>
      </c>
      <c r="AR518" s="449">
        <f t="shared" si="409"/>
        <v>124218</v>
      </c>
      <c r="AS518" s="449">
        <f t="shared" si="410"/>
        <v>0</v>
      </c>
      <c r="AT518" s="426">
        <f t="shared" si="411"/>
        <v>0</v>
      </c>
      <c r="AU518" s="421"/>
      <c r="AV518" s="449">
        <f t="shared" si="415"/>
        <v>10351.5</v>
      </c>
      <c r="AW518" s="449">
        <f t="shared" si="415"/>
        <v>10351.5</v>
      </c>
      <c r="AX518" s="449">
        <f t="shared" si="415"/>
        <v>10351.5</v>
      </c>
      <c r="AY518" s="449">
        <f t="shared" si="415"/>
        <v>10351.5</v>
      </c>
      <c r="AZ518" s="449">
        <f t="shared" si="415"/>
        <v>10351.5</v>
      </c>
      <c r="BA518" s="449">
        <f t="shared" si="415"/>
        <v>10351.5</v>
      </c>
      <c r="BB518" s="449">
        <f t="shared" si="415"/>
        <v>10351.5</v>
      </c>
      <c r="BC518" s="449">
        <f t="shared" si="415"/>
        <v>10351.5</v>
      </c>
      <c r="BD518" s="449">
        <f t="shared" si="415"/>
        <v>10351.5</v>
      </c>
      <c r="BE518" s="449">
        <f t="shared" si="415"/>
        <v>10351.5</v>
      </c>
      <c r="BF518" s="449">
        <f t="shared" si="415"/>
        <v>10351.5</v>
      </c>
      <c r="BG518" s="449">
        <f t="shared" si="415"/>
        <v>10351.5</v>
      </c>
      <c r="BH518" s="400"/>
      <c r="BI518" s="449">
        <f t="shared" ref="BI518:BT518" si="436">IFERROR(($H518*1.03)/12,0)*0.6</f>
        <v>10351.5</v>
      </c>
      <c r="BJ518" s="449">
        <f t="shared" si="436"/>
        <v>10351.5</v>
      </c>
      <c r="BK518" s="449">
        <f t="shared" si="436"/>
        <v>10351.5</v>
      </c>
      <c r="BL518" s="449">
        <f t="shared" si="436"/>
        <v>10351.5</v>
      </c>
      <c r="BM518" s="449">
        <f t="shared" si="436"/>
        <v>10351.5</v>
      </c>
      <c r="BN518" s="449">
        <f t="shared" si="436"/>
        <v>10351.5</v>
      </c>
      <c r="BO518" s="449">
        <f t="shared" si="436"/>
        <v>10351.5</v>
      </c>
      <c r="BP518" s="449">
        <f t="shared" si="436"/>
        <v>10351.5</v>
      </c>
      <c r="BQ518" s="449">
        <f t="shared" si="436"/>
        <v>10351.5</v>
      </c>
      <c r="BR518" s="449">
        <f t="shared" si="436"/>
        <v>10351.5</v>
      </c>
      <c r="BS518" s="449">
        <f t="shared" si="436"/>
        <v>10351.5</v>
      </c>
      <c r="BT518" s="449">
        <f t="shared" si="436"/>
        <v>10351.5</v>
      </c>
    </row>
    <row r="519" spans="1:74" ht="15" customHeight="1" x14ac:dyDescent="0.25">
      <c r="A519" s="537" t="s">
        <v>891</v>
      </c>
      <c r="B519" s="537" t="s">
        <v>892</v>
      </c>
      <c r="C519" s="541"/>
      <c r="D519" s="500">
        <f>SUM(L519:W519)</f>
        <v>0</v>
      </c>
      <c r="E519" s="449">
        <v>0</v>
      </c>
      <c r="F519" s="449">
        <f t="shared" si="399"/>
        <v>0</v>
      </c>
      <c r="G519" s="421">
        <f t="shared" si="400"/>
        <v>0</v>
      </c>
      <c r="H519" s="449">
        <v>0</v>
      </c>
      <c r="I519" s="449">
        <f t="shared" si="401"/>
        <v>0</v>
      </c>
      <c r="J519" s="426">
        <f t="shared" si="402"/>
        <v>0</v>
      </c>
      <c r="K519" s="421"/>
      <c r="L519" s="449">
        <v>0</v>
      </c>
      <c r="M519" s="449">
        <v>0</v>
      </c>
      <c r="N519" s="449">
        <v>0</v>
      </c>
      <c r="O519" s="449">
        <v>0</v>
      </c>
      <c r="P519" s="449">
        <v>0</v>
      </c>
      <c r="Q519" s="449">
        <v>0</v>
      </c>
      <c r="R519" s="449">
        <f>($H519-SUM($L519:Q519))/R$694</f>
        <v>0</v>
      </c>
      <c r="S519" s="449">
        <f>($H519-SUM($L519:R519))/S$694</f>
        <v>0</v>
      </c>
      <c r="T519" s="449">
        <f>($H519-SUM($L519:S519))/T$694</f>
        <v>0</v>
      </c>
      <c r="U519" s="449">
        <f>($H519-SUM($L519:T519))/U$694</f>
        <v>0</v>
      </c>
      <c r="V519" s="449">
        <f>($H519-SUM($L519:U519))/V$694</f>
        <v>0</v>
      </c>
      <c r="W519" s="449">
        <f>($H519-SUM($L519:V519))/W$694</f>
        <v>0</v>
      </c>
      <c r="X519" s="449"/>
      <c r="Y519" s="449">
        <f t="shared" si="403"/>
        <v>0</v>
      </c>
      <c r="Z519" s="449"/>
      <c r="AA519" s="449">
        <f t="shared" si="428"/>
        <v>0</v>
      </c>
      <c r="AB519" s="449">
        <f t="shared" si="428"/>
        <v>0</v>
      </c>
      <c r="AC519" s="449">
        <f t="shared" si="428"/>
        <v>0</v>
      </c>
      <c r="AD519" s="449">
        <f t="shared" si="428"/>
        <v>0</v>
      </c>
      <c r="AE519" s="449">
        <f t="shared" si="428"/>
        <v>0</v>
      </c>
      <c r="AF519" s="449">
        <f t="shared" si="428"/>
        <v>0</v>
      </c>
      <c r="AG519" s="449">
        <f t="shared" si="428"/>
        <v>0</v>
      </c>
      <c r="AH519" s="449">
        <f t="shared" si="428"/>
        <v>0</v>
      </c>
      <c r="AI519" s="449">
        <f t="shared" si="428"/>
        <v>0</v>
      </c>
      <c r="AJ519" s="449">
        <f t="shared" si="428"/>
        <v>0</v>
      </c>
      <c r="AK519" s="449">
        <f t="shared" si="428"/>
        <v>0</v>
      </c>
      <c r="AL519" s="449">
        <f t="shared" si="428"/>
        <v>0</v>
      </c>
      <c r="AN519" s="500">
        <f>SUM(L519:W519)</f>
        <v>0</v>
      </c>
      <c r="AO519" s="449">
        <f>SUM(BI519:BT519)</f>
        <v>82812</v>
      </c>
      <c r="AP519" s="449">
        <f t="shared" si="407"/>
        <v>82812</v>
      </c>
      <c r="AQ519" s="453" t="str">
        <f t="shared" si="408"/>
        <v>-</v>
      </c>
      <c r="AR519" s="449">
        <f t="shared" si="409"/>
        <v>82812</v>
      </c>
      <c r="AS519" s="449">
        <f t="shared" si="410"/>
        <v>0</v>
      </c>
      <c r="AT519" s="426">
        <f t="shared" si="411"/>
        <v>0</v>
      </c>
      <c r="AU519" s="421"/>
      <c r="AV519" s="449">
        <f t="shared" si="415"/>
        <v>6901</v>
      </c>
      <c r="AW519" s="449">
        <f t="shared" si="415"/>
        <v>6901</v>
      </c>
      <c r="AX519" s="449">
        <f t="shared" si="415"/>
        <v>6901</v>
      </c>
      <c r="AY519" s="449">
        <f t="shared" si="415"/>
        <v>6901</v>
      </c>
      <c r="AZ519" s="449">
        <f t="shared" si="415"/>
        <v>6901</v>
      </c>
      <c r="BA519" s="449">
        <f t="shared" si="415"/>
        <v>6901</v>
      </c>
      <c r="BB519" s="449">
        <f t="shared" si="415"/>
        <v>6901</v>
      </c>
      <c r="BC519" s="449">
        <f t="shared" si="415"/>
        <v>6901</v>
      </c>
      <c r="BD519" s="449">
        <f t="shared" si="415"/>
        <v>6901</v>
      </c>
      <c r="BE519" s="449">
        <f t="shared" si="415"/>
        <v>6901</v>
      </c>
      <c r="BF519" s="449">
        <f t="shared" si="415"/>
        <v>6901</v>
      </c>
      <c r="BG519" s="449">
        <f t="shared" si="415"/>
        <v>6901</v>
      </c>
      <c r="BH519" s="400"/>
      <c r="BI519" s="449">
        <f t="shared" ref="BI519:BT519" si="437">IFERROR(($H518*1.03)/12,0)*0.4</f>
        <v>6901</v>
      </c>
      <c r="BJ519" s="449">
        <f t="shared" si="437"/>
        <v>6901</v>
      </c>
      <c r="BK519" s="449">
        <f t="shared" si="437"/>
        <v>6901</v>
      </c>
      <c r="BL519" s="449">
        <f t="shared" si="437"/>
        <v>6901</v>
      </c>
      <c r="BM519" s="449">
        <f t="shared" si="437"/>
        <v>6901</v>
      </c>
      <c r="BN519" s="449">
        <f t="shared" si="437"/>
        <v>6901</v>
      </c>
      <c r="BO519" s="449">
        <f t="shared" si="437"/>
        <v>6901</v>
      </c>
      <c r="BP519" s="449">
        <f t="shared" si="437"/>
        <v>6901</v>
      </c>
      <c r="BQ519" s="449">
        <f t="shared" si="437"/>
        <v>6901</v>
      </c>
      <c r="BR519" s="449">
        <f t="shared" si="437"/>
        <v>6901</v>
      </c>
      <c r="BS519" s="449">
        <f t="shared" si="437"/>
        <v>6901</v>
      </c>
      <c r="BT519" s="449">
        <f t="shared" si="437"/>
        <v>6901</v>
      </c>
    </row>
    <row r="520" spans="1:74" ht="15" x14ac:dyDescent="0.25">
      <c r="A520" s="502" t="s">
        <v>893</v>
      </c>
      <c r="B520" s="502" t="s">
        <v>894</v>
      </c>
      <c r="C520" s="596"/>
      <c r="D520" s="500">
        <f t="shared" si="398"/>
        <v>10000</v>
      </c>
      <c r="E520" s="449">
        <v>3000</v>
      </c>
      <c r="F520" s="449">
        <f t="shared" si="399"/>
        <v>7000</v>
      </c>
      <c r="G520" s="421">
        <f t="shared" si="400"/>
        <v>2.3333333333333335</v>
      </c>
      <c r="H520" s="449">
        <v>10000</v>
      </c>
      <c r="I520" s="449">
        <f t="shared" si="401"/>
        <v>0</v>
      </c>
      <c r="J520" s="426">
        <f t="shared" si="402"/>
        <v>0</v>
      </c>
      <c r="K520" s="421"/>
      <c r="L520" s="449">
        <v>0</v>
      </c>
      <c r="M520" s="449">
        <v>0</v>
      </c>
      <c r="N520" s="449">
        <v>0</v>
      </c>
      <c r="O520" s="449">
        <v>0</v>
      </c>
      <c r="P520" s="449">
        <v>0</v>
      </c>
      <c r="Q520" s="449">
        <v>8093.85</v>
      </c>
      <c r="R520" s="449">
        <f>($H520-SUM($L520:Q520))/R$694</f>
        <v>317.69166666666661</v>
      </c>
      <c r="S520" s="449">
        <f>($H520-SUM($L520:R520))/S$694</f>
        <v>317.69166666666644</v>
      </c>
      <c r="T520" s="449">
        <f>($H520-SUM($L520:S520))/T$694</f>
        <v>317.69166666666661</v>
      </c>
      <c r="U520" s="449">
        <f>($H520-SUM($L520:T520))/U$694</f>
        <v>317.69166666666689</v>
      </c>
      <c r="V520" s="449">
        <f>($H520-SUM($L520:U520))/V$694</f>
        <v>317.69166666666661</v>
      </c>
      <c r="W520" s="449">
        <f>($H520-SUM($L520:V520))/W$694</f>
        <v>317.6916666666657</v>
      </c>
      <c r="X520" s="449"/>
      <c r="Y520" s="449">
        <f t="shared" si="403"/>
        <v>10000</v>
      </c>
      <c r="Z520" s="531"/>
      <c r="AA520" s="449">
        <f t="shared" si="428"/>
        <v>833.33333333333337</v>
      </c>
      <c r="AB520" s="449">
        <f t="shared" si="428"/>
        <v>833.33333333333337</v>
      </c>
      <c r="AC520" s="449">
        <f t="shared" si="428"/>
        <v>833.33333333333337</v>
      </c>
      <c r="AD520" s="449">
        <f t="shared" si="428"/>
        <v>833.33333333333337</v>
      </c>
      <c r="AE520" s="449">
        <f t="shared" si="428"/>
        <v>833.33333333333337</v>
      </c>
      <c r="AF520" s="449">
        <f t="shared" si="428"/>
        <v>833.33333333333337</v>
      </c>
      <c r="AG520" s="449">
        <f t="shared" si="428"/>
        <v>833.33333333333337</v>
      </c>
      <c r="AH520" s="449">
        <f t="shared" si="428"/>
        <v>833.33333333333337</v>
      </c>
      <c r="AI520" s="449">
        <f t="shared" si="428"/>
        <v>833.33333333333337</v>
      </c>
      <c r="AJ520" s="449">
        <f t="shared" si="428"/>
        <v>833.33333333333337</v>
      </c>
      <c r="AK520" s="449">
        <f t="shared" si="428"/>
        <v>833.33333333333337</v>
      </c>
      <c r="AL520" s="449">
        <f t="shared" si="428"/>
        <v>833.33333333333337</v>
      </c>
      <c r="AN520" s="500">
        <f t="shared" si="405"/>
        <v>10000</v>
      </c>
      <c r="AO520" s="449">
        <f t="shared" si="406"/>
        <v>10300</v>
      </c>
      <c r="AP520" s="449">
        <f t="shared" si="407"/>
        <v>300</v>
      </c>
      <c r="AQ520" s="453">
        <f t="shared" si="408"/>
        <v>0.03</v>
      </c>
      <c r="AR520" s="449">
        <f t="shared" si="409"/>
        <v>10300</v>
      </c>
      <c r="AS520" s="449">
        <f t="shared" si="410"/>
        <v>0</v>
      </c>
      <c r="AT520" s="426">
        <f t="shared" si="411"/>
        <v>0</v>
      </c>
      <c r="AU520" s="421"/>
      <c r="AV520" s="449">
        <f t="shared" si="415"/>
        <v>858.33333333333337</v>
      </c>
      <c r="AW520" s="449">
        <f t="shared" si="415"/>
        <v>858.33333333333337</v>
      </c>
      <c r="AX520" s="449">
        <f t="shared" si="415"/>
        <v>858.33333333333337</v>
      </c>
      <c r="AY520" s="449">
        <f t="shared" si="415"/>
        <v>858.33333333333337</v>
      </c>
      <c r="AZ520" s="449">
        <f t="shared" si="415"/>
        <v>858.33333333333337</v>
      </c>
      <c r="BA520" s="449">
        <f t="shared" si="415"/>
        <v>858.33333333333337</v>
      </c>
      <c r="BB520" s="449">
        <f t="shared" si="415"/>
        <v>858.33333333333337</v>
      </c>
      <c r="BC520" s="449">
        <f t="shared" si="415"/>
        <v>858.33333333333337</v>
      </c>
      <c r="BD520" s="449">
        <f t="shared" si="415"/>
        <v>858.33333333333337</v>
      </c>
      <c r="BE520" s="449">
        <f t="shared" si="415"/>
        <v>858.33333333333337</v>
      </c>
      <c r="BF520" s="449">
        <f t="shared" si="415"/>
        <v>858.33333333333337</v>
      </c>
      <c r="BG520" s="449">
        <f t="shared" si="415"/>
        <v>858.33333333333337</v>
      </c>
      <c r="BH520" s="400"/>
      <c r="BI520" s="449">
        <f t="shared" ref="BI520:BT520" si="438">IFERROR(($H520*1.03)/12,0)</f>
        <v>858.33333333333337</v>
      </c>
      <c r="BJ520" s="449">
        <f t="shared" si="438"/>
        <v>858.33333333333337</v>
      </c>
      <c r="BK520" s="449">
        <f t="shared" si="438"/>
        <v>858.33333333333337</v>
      </c>
      <c r="BL520" s="449">
        <f t="shared" si="438"/>
        <v>858.33333333333337</v>
      </c>
      <c r="BM520" s="449">
        <f t="shared" si="438"/>
        <v>858.33333333333337</v>
      </c>
      <c r="BN520" s="449">
        <f t="shared" si="438"/>
        <v>858.33333333333337</v>
      </c>
      <c r="BO520" s="449">
        <f t="shared" si="438"/>
        <v>858.33333333333337</v>
      </c>
      <c r="BP520" s="449">
        <f t="shared" si="438"/>
        <v>858.33333333333337</v>
      </c>
      <c r="BQ520" s="449">
        <f t="shared" si="438"/>
        <v>858.33333333333337</v>
      </c>
      <c r="BR520" s="449">
        <f t="shared" si="438"/>
        <v>858.33333333333337</v>
      </c>
      <c r="BS520" s="449">
        <f t="shared" si="438"/>
        <v>858.33333333333337</v>
      </c>
      <c r="BT520" s="449">
        <f t="shared" si="438"/>
        <v>858.33333333333337</v>
      </c>
    </row>
    <row r="521" spans="1:74" ht="15" x14ac:dyDescent="0.25">
      <c r="A521" s="502" t="s">
        <v>895</v>
      </c>
      <c r="B521" s="537" t="s">
        <v>896</v>
      </c>
      <c r="C521" s="630"/>
      <c r="D521" s="500">
        <f t="shared" si="398"/>
        <v>11214</v>
      </c>
      <c r="E521" s="449">
        <v>11214</v>
      </c>
      <c r="F521" s="449">
        <f t="shared" si="399"/>
        <v>0</v>
      </c>
      <c r="G521" s="421">
        <f t="shared" si="400"/>
        <v>0</v>
      </c>
      <c r="H521" s="449">
        <v>11214</v>
      </c>
      <c r="I521" s="449">
        <f t="shared" si="401"/>
        <v>0</v>
      </c>
      <c r="J521" s="426">
        <f t="shared" si="402"/>
        <v>0</v>
      </c>
      <c r="K521" s="421"/>
      <c r="L521" s="449">
        <v>0</v>
      </c>
      <c r="M521" s="449">
        <v>892.92</v>
      </c>
      <c r="N521" s="449">
        <v>442.4</v>
      </c>
      <c r="O521" s="449">
        <v>497.28</v>
      </c>
      <c r="P521" s="449">
        <v>447.59999999999991</v>
      </c>
      <c r="Q521" s="449">
        <v>2841.6000000000004</v>
      </c>
      <c r="R521" s="449">
        <f>($H521-SUM($L521:Q521))/R$694</f>
        <v>1015.3666666666667</v>
      </c>
      <c r="S521" s="449">
        <f>($H521-SUM($L521:R521))/S$694</f>
        <v>1015.3666666666666</v>
      </c>
      <c r="T521" s="449">
        <f>($H521-SUM($L521:S521))/T$694</f>
        <v>1015.3666666666666</v>
      </c>
      <c r="U521" s="449">
        <f>($H521-SUM($L521:T521))/U$694</f>
        <v>1015.3666666666664</v>
      </c>
      <c r="V521" s="449">
        <f>($H521-SUM($L521:U521))/V$694</f>
        <v>1015.3666666666668</v>
      </c>
      <c r="W521" s="449">
        <f>($H521-SUM($L521:V521))/W$694</f>
        <v>1015.3666666666668</v>
      </c>
      <c r="X521" s="449"/>
      <c r="Y521" s="449">
        <f t="shared" si="403"/>
        <v>11214</v>
      </c>
      <c r="Z521" s="531"/>
      <c r="AA521" s="449">
        <f t="shared" si="428"/>
        <v>934.5</v>
      </c>
      <c r="AB521" s="449">
        <f t="shared" si="428"/>
        <v>934.5</v>
      </c>
      <c r="AC521" s="449">
        <f t="shared" si="428"/>
        <v>934.5</v>
      </c>
      <c r="AD521" s="449">
        <f t="shared" si="428"/>
        <v>934.5</v>
      </c>
      <c r="AE521" s="449">
        <f t="shared" si="428"/>
        <v>934.5</v>
      </c>
      <c r="AF521" s="449">
        <f t="shared" si="428"/>
        <v>934.5</v>
      </c>
      <c r="AG521" s="449">
        <f t="shared" si="428"/>
        <v>934.5</v>
      </c>
      <c r="AH521" s="449">
        <f t="shared" si="428"/>
        <v>934.5</v>
      </c>
      <c r="AI521" s="449">
        <f t="shared" si="428"/>
        <v>934.5</v>
      </c>
      <c r="AJ521" s="449">
        <f t="shared" si="428"/>
        <v>934.5</v>
      </c>
      <c r="AK521" s="449">
        <f t="shared" si="428"/>
        <v>934.5</v>
      </c>
      <c r="AL521" s="449">
        <f t="shared" si="428"/>
        <v>934.5</v>
      </c>
      <c r="AN521" s="500">
        <f t="shared" si="405"/>
        <v>11214</v>
      </c>
      <c r="AO521" s="449">
        <f t="shared" si="406"/>
        <v>14636.712000000005</v>
      </c>
      <c r="AP521" s="449">
        <f t="shared" si="407"/>
        <v>3422.712000000005</v>
      </c>
      <c r="AQ521" s="453">
        <f t="shared" si="408"/>
        <v>0.30521776350989877</v>
      </c>
      <c r="AR521" s="449">
        <f t="shared" si="409"/>
        <v>14636.712000000005</v>
      </c>
      <c r="AS521" s="449">
        <f t="shared" si="410"/>
        <v>0</v>
      </c>
      <c r="AT521" s="426">
        <f t="shared" si="411"/>
        <v>0</v>
      </c>
      <c r="AU521" s="421"/>
      <c r="AV521" s="449">
        <f t="shared" si="415"/>
        <v>1219.7260000000001</v>
      </c>
      <c r="AW521" s="449">
        <f t="shared" si="415"/>
        <v>1219.7260000000001</v>
      </c>
      <c r="AX521" s="449">
        <f t="shared" si="415"/>
        <v>1219.7260000000001</v>
      </c>
      <c r="AY521" s="449">
        <f t="shared" si="415"/>
        <v>1219.7260000000001</v>
      </c>
      <c r="AZ521" s="449">
        <f t="shared" si="415"/>
        <v>1219.7260000000001</v>
      </c>
      <c r="BA521" s="449">
        <f t="shared" si="415"/>
        <v>1219.7260000000001</v>
      </c>
      <c r="BB521" s="449">
        <f t="shared" si="415"/>
        <v>1219.7260000000001</v>
      </c>
      <c r="BC521" s="449">
        <f t="shared" si="415"/>
        <v>1219.7260000000001</v>
      </c>
      <c r="BD521" s="449">
        <f t="shared" si="415"/>
        <v>1219.7260000000001</v>
      </c>
      <c r="BE521" s="449">
        <f t="shared" si="415"/>
        <v>1219.7260000000001</v>
      </c>
      <c r="BF521" s="449">
        <f t="shared" si="415"/>
        <v>1219.7260000000001</v>
      </c>
      <c r="BG521" s="449">
        <f t="shared" si="415"/>
        <v>1219.7260000000001</v>
      </c>
      <c r="BH521" s="400"/>
      <c r="BI521" s="449">
        <f>SUM('FY19 Staffing V1-1 (3)'!$P$182:$P$185)/12</f>
        <v>1219.7260000000001</v>
      </c>
      <c r="BJ521" s="449">
        <f>SUM('FY19 Staffing V1-1 (3)'!$P$182:$P$185)/12</f>
        <v>1219.7260000000001</v>
      </c>
      <c r="BK521" s="449">
        <f>SUM('FY19 Staffing V1-1 (3)'!$P$182:$P$185)/12</f>
        <v>1219.7260000000001</v>
      </c>
      <c r="BL521" s="449">
        <f>SUM('FY19 Staffing V1-1 (3)'!$P$182:$P$185)/12</f>
        <v>1219.7260000000001</v>
      </c>
      <c r="BM521" s="449">
        <f>SUM('FY19 Staffing V1-1 (3)'!$P$182:$P$185)/12</f>
        <v>1219.7260000000001</v>
      </c>
      <c r="BN521" s="449">
        <f>SUM('FY19 Staffing V1-1 (3)'!$P$182:$P$185)/12</f>
        <v>1219.7260000000001</v>
      </c>
      <c r="BO521" s="449">
        <f>SUM('FY19 Staffing V1-1 (3)'!$P$182:$P$185)/12</f>
        <v>1219.7260000000001</v>
      </c>
      <c r="BP521" s="449">
        <f>SUM('FY19 Staffing V1-1 (3)'!$P$182:$P$185)/12</f>
        <v>1219.7260000000001</v>
      </c>
      <c r="BQ521" s="449">
        <f>SUM('FY19 Staffing V1-1 (3)'!$P$182:$P$185)/12</f>
        <v>1219.7260000000001</v>
      </c>
      <c r="BR521" s="449">
        <f>SUM('FY19 Staffing V1-1 (3)'!$P$182:$P$185)/12</f>
        <v>1219.7260000000001</v>
      </c>
      <c r="BS521" s="449">
        <f>SUM('FY19 Staffing V1-1 (3)'!$P$182:$P$185)/12</f>
        <v>1219.7260000000001</v>
      </c>
      <c r="BT521" s="449">
        <f>SUM('FY19 Staffing V1-1 (3)'!$P$182:$P$185)/12</f>
        <v>1219.7260000000001</v>
      </c>
    </row>
    <row r="522" spans="1:74" ht="15" x14ac:dyDescent="0.25">
      <c r="A522" s="502" t="s">
        <v>897</v>
      </c>
      <c r="B522" s="502" t="s">
        <v>898</v>
      </c>
      <c r="C522" s="541"/>
      <c r="D522" s="500">
        <f t="shared" si="398"/>
        <v>6593</v>
      </c>
      <c r="E522" s="449">
        <v>6593</v>
      </c>
      <c r="F522" s="449">
        <f t="shared" si="399"/>
        <v>0</v>
      </c>
      <c r="G522" s="421">
        <f t="shared" si="400"/>
        <v>0</v>
      </c>
      <c r="H522" s="449">
        <v>6593</v>
      </c>
      <c r="I522" s="449">
        <f t="shared" si="401"/>
        <v>0</v>
      </c>
      <c r="J522" s="426">
        <f t="shared" si="402"/>
        <v>0</v>
      </c>
      <c r="K522" s="421"/>
      <c r="L522" s="449">
        <v>0</v>
      </c>
      <c r="M522" s="449">
        <v>342.02</v>
      </c>
      <c r="N522" s="449">
        <v>-45.629999999999995</v>
      </c>
      <c r="O522" s="449">
        <v>66.889999999999986</v>
      </c>
      <c r="P522" s="449">
        <v>308.09000000000003</v>
      </c>
      <c r="Q522" s="449">
        <v>710.18999999999994</v>
      </c>
      <c r="R522" s="449">
        <f>($H522-SUM($L522:Q522))/R$694</f>
        <v>868.57333333333338</v>
      </c>
      <c r="S522" s="449">
        <f>($H522-SUM($L522:R522))/S$694</f>
        <v>868.57333333333338</v>
      </c>
      <c r="T522" s="449">
        <f>($H522-SUM($L522:S522))/T$694</f>
        <v>868.57333333333338</v>
      </c>
      <c r="U522" s="449">
        <f>($H522-SUM($L522:T522))/U$694</f>
        <v>868.57333333333338</v>
      </c>
      <c r="V522" s="449">
        <f>($H522-SUM($L522:U522))/V$694</f>
        <v>868.57333333333327</v>
      </c>
      <c r="W522" s="449">
        <f>($H522-SUM($L522:V522))/W$694</f>
        <v>868.57333333333372</v>
      </c>
      <c r="X522" s="449"/>
      <c r="Y522" s="449">
        <f t="shared" si="403"/>
        <v>6593</v>
      </c>
      <c r="Z522" s="531"/>
      <c r="AA522" s="449">
        <f t="shared" si="428"/>
        <v>549.41666666666663</v>
      </c>
      <c r="AB522" s="449">
        <f t="shared" si="428"/>
        <v>549.41666666666663</v>
      </c>
      <c r="AC522" s="449">
        <f t="shared" si="428"/>
        <v>549.41666666666663</v>
      </c>
      <c r="AD522" s="449">
        <f t="shared" si="428"/>
        <v>549.41666666666663</v>
      </c>
      <c r="AE522" s="449">
        <f t="shared" si="428"/>
        <v>549.41666666666663</v>
      </c>
      <c r="AF522" s="449">
        <f t="shared" si="428"/>
        <v>549.41666666666663</v>
      </c>
      <c r="AG522" s="449">
        <f t="shared" si="428"/>
        <v>549.41666666666663</v>
      </c>
      <c r="AH522" s="449">
        <f t="shared" si="428"/>
        <v>549.41666666666663</v>
      </c>
      <c r="AI522" s="449">
        <f t="shared" si="428"/>
        <v>549.41666666666663</v>
      </c>
      <c r="AJ522" s="449">
        <f t="shared" si="428"/>
        <v>549.41666666666663</v>
      </c>
      <c r="AK522" s="449">
        <f t="shared" si="428"/>
        <v>549.41666666666663</v>
      </c>
      <c r="AL522" s="449">
        <f t="shared" si="428"/>
        <v>549.41666666666663</v>
      </c>
      <c r="AN522" s="500">
        <f t="shared" si="405"/>
        <v>6593</v>
      </c>
      <c r="AO522" s="449">
        <f t="shared" si="406"/>
        <v>792.20711700000004</v>
      </c>
      <c r="AP522" s="449">
        <f t="shared" si="407"/>
        <v>-5800.7928830000001</v>
      </c>
      <c r="AQ522" s="453">
        <f t="shared" si="408"/>
        <v>-0.87984117746094348</v>
      </c>
      <c r="AR522" s="449">
        <f t="shared" si="409"/>
        <v>792.20711700000004</v>
      </c>
      <c r="AS522" s="449">
        <f t="shared" si="410"/>
        <v>0</v>
      </c>
      <c r="AT522" s="426">
        <f t="shared" si="411"/>
        <v>0</v>
      </c>
      <c r="AU522" s="421"/>
      <c r="AV522" s="449">
        <f t="shared" si="415"/>
        <v>66.017259750000008</v>
      </c>
      <c r="AW522" s="449">
        <f t="shared" si="415"/>
        <v>66.017259750000008</v>
      </c>
      <c r="AX522" s="449">
        <f t="shared" si="415"/>
        <v>66.017259750000008</v>
      </c>
      <c r="AY522" s="449">
        <f t="shared" si="415"/>
        <v>66.017259750000008</v>
      </c>
      <c r="AZ522" s="449">
        <f t="shared" si="415"/>
        <v>66.017259750000008</v>
      </c>
      <c r="BA522" s="449">
        <f t="shared" si="415"/>
        <v>66.017259750000008</v>
      </c>
      <c r="BB522" s="449">
        <f t="shared" si="415"/>
        <v>66.017259750000008</v>
      </c>
      <c r="BC522" s="449">
        <f t="shared" si="415"/>
        <v>66.017259750000008</v>
      </c>
      <c r="BD522" s="449">
        <f t="shared" si="415"/>
        <v>66.017259750000008</v>
      </c>
      <c r="BE522" s="449">
        <f t="shared" si="415"/>
        <v>66.017259750000008</v>
      </c>
      <c r="BF522" s="449">
        <f t="shared" si="415"/>
        <v>66.017259750000008</v>
      </c>
      <c r="BG522" s="449">
        <f t="shared" si="415"/>
        <v>66.017259750000008</v>
      </c>
      <c r="BH522" s="400"/>
      <c r="BI522" s="449">
        <f>SUM('FY19 Staffing V1-1 (3)'!$Q$182:$R$185,'FY19 Staffing V1-1 (3)'!$T$182:$U$185)/12</f>
        <v>66.017259750000008</v>
      </c>
      <c r="BJ522" s="449">
        <f>SUM('FY19 Staffing V1-1 (3)'!$Q$182:$R$185,'FY19 Staffing V1-1 (3)'!$T$182:$U$185)/12</f>
        <v>66.017259750000008</v>
      </c>
      <c r="BK522" s="449">
        <f>SUM('FY19 Staffing V1-1 (3)'!$Q$182:$R$185,'FY19 Staffing V1-1 (3)'!$T$182:$U$185)/12</f>
        <v>66.017259750000008</v>
      </c>
      <c r="BL522" s="449">
        <f>SUM('FY19 Staffing V1-1 (3)'!$Q$182:$R$185,'FY19 Staffing V1-1 (3)'!$T$182:$U$185)/12</f>
        <v>66.017259750000008</v>
      </c>
      <c r="BM522" s="449">
        <f>SUM('FY19 Staffing V1-1 (3)'!$Q$182:$R$185,'FY19 Staffing V1-1 (3)'!$T$182:$U$185)/12</f>
        <v>66.017259750000008</v>
      </c>
      <c r="BN522" s="449">
        <f>SUM('FY19 Staffing V1-1 (3)'!$Q$182:$R$185,'FY19 Staffing V1-1 (3)'!$T$182:$U$185)/12</f>
        <v>66.017259750000008</v>
      </c>
      <c r="BO522" s="449">
        <f>SUM('FY19 Staffing V1-1 (3)'!$Q$182:$R$185,'FY19 Staffing V1-1 (3)'!$T$182:$U$185)/12</f>
        <v>66.017259750000008</v>
      </c>
      <c r="BP522" s="449">
        <f>SUM('FY19 Staffing V1-1 (3)'!$Q$182:$R$185,'FY19 Staffing V1-1 (3)'!$T$182:$U$185)/12</f>
        <v>66.017259750000008</v>
      </c>
      <c r="BQ522" s="449">
        <f>SUM('FY19 Staffing V1-1 (3)'!$Q$182:$R$185,'FY19 Staffing V1-1 (3)'!$T$182:$U$185)/12</f>
        <v>66.017259750000008</v>
      </c>
      <c r="BR522" s="449">
        <f>SUM('FY19 Staffing V1-1 (3)'!$Q$182:$R$185,'FY19 Staffing V1-1 (3)'!$T$182:$U$185)/12</f>
        <v>66.017259750000008</v>
      </c>
      <c r="BS522" s="449">
        <f>SUM('FY19 Staffing V1-1 (3)'!$Q$182:$R$185,'FY19 Staffing V1-1 (3)'!$T$182:$U$185)/12</f>
        <v>66.017259750000008</v>
      </c>
      <c r="BT522" s="449">
        <f>SUM('FY19 Staffing V1-1 (3)'!$Q$182:$R$185,'FY19 Staffing V1-1 (3)'!$T$182:$U$185)/12</f>
        <v>66.017259750000008</v>
      </c>
    </row>
    <row r="523" spans="1:74" ht="15" x14ac:dyDescent="0.25">
      <c r="A523" s="502" t="s">
        <v>899</v>
      </c>
      <c r="B523" s="502" t="s">
        <v>900</v>
      </c>
      <c r="C523" s="541"/>
      <c r="D523" s="500">
        <f t="shared" si="398"/>
        <v>444</v>
      </c>
      <c r="E523" s="449">
        <v>447</v>
      </c>
      <c r="F523" s="449">
        <f t="shared" si="399"/>
        <v>-3</v>
      </c>
      <c r="G523" s="421">
        <f t="shared" si="400"/>
        <v>-6.7114093959731542E-3</v>
      </c>
      <c r="H523" s="449">
        <v>444</v>
      </c>
      <c r="I523" s="449">
        <f t="shared" si="401"/>
        <v>0</v>
      </c>
      <c r="J523" s="426">
        <f t="shared" si="402"/>
        <v>0</v>
      </c>
      <c r="K523" s="421"/>
      <c r="L523" s="449">
        <v>0</v>
      </c>
      <c r="M523" s="449">
        <v>0</v>
      </c>
      <c r="N523" s="449">
        <v>0</v>
      </c>
      <c r="O523" s="449">
        <v>0</v>
      </c>
      <c r="P523" s="449">
        <v>0</v>
      </c>
      <c r="Q523" s="449">
        <v>95.76</v>
      </c>
      <c r="R523" s="449">
        <f>($H523-SUM($L523:Q523))/R$694</f>
        <v>58.04</v>
      </c>
      <c r="S523" s="449">
        <f>($H523-SUM($L523:R523))/S$694</f>
        <v>58.04</v>
      </c>
      <c r="T523" s="449">
        <f>($H523-SUM($L523:S523))/T$694</f>
        <v>58.04</v>
      </c>
      <c r="U523" s="449">
        <f>($H523-SUM($L523:T523))/U$694</f>
        <v>58.04</v>
      </c>
      <c r="V523" s="449">
        <f>($H523-SUM($L523:U523))/V$694</f>
        <v>58.039999999999992</v>
      </c>
      <c r="W523" s="449">
        <f>($H523-SUM($L523:V523))/W$694</f>
        <v>58.039999999999964</v>
      </c>
      <c r="X523" s="449"/>
      <c r="Y523" s="449">
        <f t="shared" si="403"/>
        <v>444</v>
      </c>
      <c r="Z523" s="531"/>
      <c r="AA523" s="449">
        <f t="shared" si="428"/>
        <v>37</v>
      </c>
      <c r="AB523" s="449">
        <f t="shared" si="428"/>
        <v>37</v>
      </c>
      <c r="AC523" s="449">
        <f t="shared" si="428"/>
        <v>37</v>
      </c>
      <c r="AD523" s="449">
        <f t="shared" si="428"/>
        <v>37</v>
      </c>
      <c r="AE523" s="449">
        <f t="shared" si="428"/>
        <v>37</v>
      </c>
      <c r="AF523" s="449">
        <f t="shared" si="428"/>
        <v>37</v>
      </c>
      <c r="AG523" s="449">
        <f t="shared" si="428"/>
        <v>37</v>
      </c>
      <c r="AH523" s="449">
        <f t="shared" si="428"/>
        <v>37</v>
      </c>
      <c r="AI523" s="449">
        <f t="shared" si="428"/>
        <v>37</v>
      </c>
      <c r="AJ523" s="449">
        <f t="shared" si="428"/>
        <v>37</v>
      </c>
      <c r="AK523" s="449">
        <f t="shared" si="428"/>
        <v>37</v>
      </c>
      <c r="AL523" s="449">
        <f t="shared" si="428"/>
        <v>37</v>
      </c>
      <c r="AN523" s="500">
        <f t="shared" si="405"/>
        <v>444</v>
      </c>
      <c r="AO523" s="449">
        <f t="shared" si="406"/>
        <v>439.10000000000014</v>
      </c>
      <c r="AP523" s="449">
        <f t="shared" si="407"/>
        <v>-4.8999999999998636</v>
      </c>
      <c r="AQ523" s="453">
        <f t="shared" si="408"/>
        <v>-1.1036036036035729E-2</v>
      </c>
      <c r="AR523" s="449">
        <f t="shared" si="409"/>
        <v>439.10000000000014</v>
      </c>
      <c r="AS523" s="449">
        <f t="shared" si="410"/>
        <v>0</v>
      </c>
      <c r="AT523" s="426">
        <f t="shared" si="411"/>
        <v>0</v>
      </c>
      <c r="AU523" s="421"/>
      <c r="AV523" s="449">
        <f t="shared" si="415"/>
        <v>36.591666666666669</v>
      </c>
      <c r="AW523" s="449">
        <f t="shared" si="415"/>
        <v>36.591666666666669</v>
      </c>
      <c r="AX523" s="449">
        <f t="shared" si="415"/>
        <v>36.591666666666669</v>
      </c>
      <c r="AY523" s="449">
        <f t="shared" si="415"/>
        <v>36.591666666666669</v>
      </c>
      <c r="AZ523" s="449">
        <f t="shared" si="415"/>
        <v>36.591666666666669</v>
      </c>
      <c r="BA523" s="449">
        <f t="shared" si="415"/>
        <v>36.591666666666669</v>
      </c>
      <c r="BB523" s="449">
        <f t="shared" si="415"/>
        <v>36.591666666666669</v>
      </c>
      <c r="BC523" s="449">
        <f t="shared" si="415"/>
        <v>36.591666666666669</v>
      </c>
      <c r="BD523" s="449">
        <f t="shared" si="415"/>
        <v>36.591666666666669</v>
      </c>
      <c r="BE523" s="449">
        <f t="shared" si="415"/>
        <v>36.591666666666669</v>
      </c>
      <c r="BF523" s="449">
        <f t="shared" si="415"/>
        <v>36.591666666666669</v>
      </c>
      <c r="BG523" s="449">
        <f t="shared" si="415"/>
        <v>36.591666666666669</v>
      </c>
      <c r="BH523" s="400"/>
      <c r="BI523" s="449">
        <f>SUM('FY19 Staffing V1-1 (3)'!$S$182:$S$185)/12</f>
        <v>36.591666666666669</v>
      </c>
      <c r="BJ523" s="449">
        <f>SUM('FY19 Staffing V1-1 (3)'!$S$182:$S$185)/12</f>
        <v>36.591666666666669</v>
      </c>
      <c r="BK523" s="449">
        <f>SUM('FY19 Staffing V1-1 (3)'!$S$182:$S$185)/12</f>
        <v>36.591666666666669</v>
      </c>
      <c r="BL523" s="449">
        <f>SUM('FY19 Staffing V1-1 (3)'!$S$182:$S$185)/12</f>
        <v>36.591666666666669</v>
      </c>
      <c r="BM523" s="449">
        <f>SUM('FY19 Staffing V1-1 (3)'!$S$182:$S$185)/12</f>
        <v>36.591666666666669</v>
      </c>
      <c r="BN523" s="449">
        <f>SUM('FY19 Staffing V1-1 (3)'!$S$182:$S$185)/12</f>
        <v>36.591666666666669</v>
      </c>
      <c r="BO523" s="449">
        <f>SUM('FY19 Staffing V1-1 (3)'!$S$182:$S$185)/12</f>
        <v>36.591666666666669</v>
      </c>
      <c r="BP523" s="449">
        <f>SUM('FY19 Staffing V1-1 (3)'!$S$182:$S$185)/12</f>
        <v>36.591666666666669</v>
      </c>
      <c r="BQ523" s="449">
        <f>SUM('FY19 Staffing V1-1 (3)'!$S$182:$S$185)/12</f>
        <v>36.591666666666669</v>
      </c>
      <c r="BR523" s="449">
        <f>SUM('FY19 Staffing V1-1 (3)'!$S$182:$S$185)/12</f>
        <v>36.591666666666669</v>
      </c>
      <c r="BS523" s="449">
        <f>SUM('FY19 Staffing V1-1 (3)'!$S$182:$S$185)/12</f>
        <v>36.591666666666669</v>
      </c>
      <c r="BT523" s="449">
        <f>SUM('FY19 Staffing V1-1 (3)'!$S$182:$S$185)/12</f>
        <v>36.591666666666669</v>
      </c>
    </row>
    <row r="524" spans="1:74" ht="15" x14ac:dyDescent="0.25">
      <c r="A524" s="502" t="s">
        <v>901</v>
      </c>
      <c r="B524" s="502" t="s">
        <v>902</v>
      </c>
      <c r="C524" s="538"/>
      <c r="D524" s="500">
        <f t="shared" si="398"/>
        <v>4911</v>
      </c>
      <c r="E524" s="449">
        <v>4270</v>
      </c>
      <c r="F524" s="449">
        <f t="shared" si="399"/>
        <v>641</v>
      </c>
      <c r="G524" s="421">
        <f t="shared" si="400"/>
        <v>0.15011709601873535</v>
      </c>
      <c r="H524" s="449">
        <v>4911</v>
      </c>
      <c r="I524" s="449">
        <f t="shared" si="401"/>
        <v>0</v>
      </c>
      <c r="J524" s="426">
        <f t="shared" si="402"/>
        <v>0</v>
      </c>
      <c r="K524" s="421"/>
      <c r="L524" s="449">
        <v>0</v>
      </c>
      <c r="M524" s="449">
        <v>499.5</v>
      </c>
      <c r="N524" s="449">
        <v>0</v>
      </c>
      <c r="O524" s="449">
        <v>22.82000000000005</v>
      </c>
      <c r="P524" s="449">
        <v>-22.82000000000005</v>
      </c>
      <c r="Q524" s="449">
        <v>522.39</v>
      </c>
      <c r="R524" s="449">
        <f>($H524-SUM($L524:Q524))/R$694</f>
        <v>648.18500000000006</v>
      </c>
      <c r="S524" s="449">
        <f>($H524-SUM($L524:R524))/S$694</f>
        <v>648.18500000000006</v>
      </c>
      <c r="T524" s="449">
        <f>($H524-SUM($L524:S524))/T$694</f>
        <v>648.18499999999995</v>
      </c>
      <c r="U524" s="449">
        <f>($H524-SUM($L524:T524))/U$694</f>
        <v>648.18499999999995</v>
      </c>
      <c r="V524" s="449">
        <f>($H524-SUM($L524:U524))/V$694</f>
        <v>648.18499999999995</v>
      </c>
      <c r="W524" s="449">
        <f>($H524-SUM($L524:V524))/W$694</f>
        <v>648.18499999999949</v>
      </c>
      <c r="X524" s="449"/>
      <c r="Y524" s="449">
        <f t="shared" si="403"/>
        <v>4911</v>
      </c>
      <c r="Z524" s="531"/>
      <c r="AA524" s="449">
        <f t="shared" si="428"/>
        <v>409.25</v>
      </c>
      <c r="AB524" s="449">
        <f t="shared" si="428"/>
        <v>409.25</v>
      </c>
      <c r="AC524" s="449">
        <f t="shared" si="428"/>
        <v>409.25</v>
      </c>
      <c r="AD524" s="449">
        <f t="shared" si="428"/>
        <v>409.25</v>
      </c>
      <c r="AE524" s="449">
        <f t="shared" si="428"/>
        <v>409.25</v>
      </c>
      <c r="AF524" s="449">
        <f t="shared" si="428"/>
        <v>409.25</v>
      </c>
      <c r="AG524" s="449">
        <f t="shared" si="428"/>
        <v>409.25</v>
      </c>
      <c r="AH524" s="449">
        <f t="shared" si="428"/>
        <v>409.25</v>
      </c>
      <c r="AI524" s="449">
        <f t="shared" si="428"/>
        <v>409.25</v>
      </c>
      <c r="AJ524" s="449">
        <f t="shared" si="428"/>
        <v>409.25</v>
      </c>
      <c r="AK524" s="449">
        <f t="shared" si="428"/>
        <v>409.25</v>
      </c>
      <c r="AL524" s="449">
        <f t="shared" si="428"/>
        <v>409.25</v>
      </c>
      <c r="AN524" s="500">
        <f t="shared" si="405"/>
        <v>4911</v>
      </c>
      <c r="AO524" s="449">
        <f t="shared" si="406"/>
        <v>5058.3300000000008</v>
      </c>
      <c r="AP524" s="449">
        <f t="shared" si="407"/>
        <v>147.33000000000084</v>
      </c>
      <c r="AQ524" s="453">
        <f t="shared" si="408"/>
        <v>3.0000000000000169E-2</v>
      </c>
      <c r="AR524" s="449">
        <f t="shared" si="409"/>
        <v>5058.3300000000008</v>
      </c>
      <c r="AS524" s="449">
        <f t="shared" si="410"/>
        <v>0</v>
      </c>
      <c r="AT524" s="426">
        <f t="shared" si="411"/>
        <v>0</v>
      </c>
      <c r="AU524" s="421"/>
      <c r="AV524" s="449">
        <f t="shared" si="415"/>
        <v>421.52749999999997</v>
      </c>
      <c r="AW524" s="449">
        <f t="shared" si="415"/>
        <v>421.52749999999997</v>
      </c>
      <c r="AX524" s="449">
        <f t="shared" si="415"/>
        <v>421.52749999999997</v>
      </c>
      <c r="AY524" s="449">
        <f t="shared" si="415"/>
        <v>421.52749999999997</v>
      </c>
      <c r="AZ524" s="449">
        <f t="shared" si="415"/>
        <v>421.52749999999997</v>
      </c>
      <c r="BA524" s="449">
        <f t="shared" si="415"/>
        <v>421.52749999999997</v>
      </c>
      <c r="BB524" s="449">
        <f t="shared" si="415"/>
        <v>421.52749999999997</v>
      </c>
      <c r="BC524" s="449">
        <f t="shared" si="415"/>
        <v>421.52749999999997</v>
      </c>
      <c r="BD524" s="449">
        <f t="shared" si="415"/>
        <v>421.52749999999997</v>
      </c>
      <c r="BE524" s="449">
        <f t="shared" si="415"/>
        <v>421.52749999999997</v>
      </c>
      <c r="BF524" s="449">
        <f t="shared" si="415"/>
        <v>421.52749999999997</v>
      </c>
      <c r="BG524" s="449">
        <f t="shared" si="415"/>
        <v>421.52749999999997</v>
      </c>
      <c r="BH524" s="400"/>
      <c r="BI524" s="449">
        <f t="shared" ref="BI524:BT524" si="439">IFERROR(($H524*1.03)/12,0)</f>
        <v>421.52749999999997</v>
      </c>
      <c r="BJ524" s="449">
        <f t="shared" si="439"/>
        <v>421.52749999999997</v>
      </c>
      <c r="BK524" s="449">
        <f t="shared" si="439"/>
        <v>421.52749999999997</v>
      </c>
      <c r="BL524" s="449">
        <f t="shared" si="439"/>
        <v>421.52749999999997</v>
      </c>
      <c r="BM524" s="449">
        <f t="shared" si="439"/>
        <v>421.52749999999997</v>
      </c>
      <c r="BN524" s="449">
        <f t="shared" si="439"/>
        <v>421.52749999999997</v>
      </c>
      <c r="BO524" s="449">
        <f t="shared" si="439"/>
        <v>421.52749999999997</v>
      </c>
      <c r="BP524" s="449">
        <f t="shared" si="439"/>
        <v>421.52749999999997</v>
      </c>
      <c r="BQ524" s="449">
        <f t="shared" si="439"/>
        <v>421.52749999999997</v>
      </c>
      <c r="BR524" s="449">
        <f t="shared" si="439"/>
        <v>421.52749999999997</v>
      </c>
      <c r="BS524" s="449">
        <f t="shared" si="439"/>
        <v>421.52749999999997</v>
      </c>
      <c r="BT524" s="449">
        <f t="shared" si="439"/>
        <v>421.52749999999997</v>
      </c>
    </row>
    <row r="525" spans="1:74" ht="15" customHeight="1" x14ac:dyDescent="0.25">
      <c r="A525" s="502" t="s">
        <v>903</v>
      </c>
      <c r="B525" s="502" t="s">
        <v>904</v>
      </c>
      <c r="C525" s="597"/>
      <c r="D525" s="500">
        <f t="shared" si="398"/>
        <v>16000</v>
      </c>
      <c r="E525" s="449">
        <v>0</v>
      </c>
      <c r="F525" s="449">
        <f t="shared" si="399"/>
        <v>16000</v>
      </c>
      <c r="G525" s="421">
        <f t="shared" si="400"/>
        <v>0</v>
      </c>
      <c r="H525" s="449">
        <v>16000</v>
      </c>
      <c r="I525" s="449">
        <f t="shared" si="401"/>
        <v>0</v>
      </c>
      <c r="J525" s="426">
        <f t="shared" si="402"/>
        <v>0</v>
      </c>
      <c r="K525" s="421"/>
      <c r="L525" s="449">
        <v>0</v>
      </c>
      <c r="M525" s="449">
        <v>0</v>
      </c>
      <c r="N525" s="449">
        <v>0</v>
      </c>
      <c r="O525" s="449">
        <v>0</v>
      </c>
      <c r="P525" s="449">
        <v>0</v>
      </c>
      <c r="Q525" s="449">
        <v>0</v>
      </c>
      <c r="R525" s="449">
        <f>($H525-SUM($L525:Q525))/R$694</f>
        <v>2666.6666666666665</v>
      </c>
      <c r="S525" s="449">
        <f>($H525-SUM($L525:R525))/S$694</f>
        <v>2666.666666666667</v>
      </c>
      <c r="T525" s="449">
        <f>($H525-SUM($L525:S525))/T$694</f>
        <v>2666.6666666666665</v>
      </c>
      <c r="U525" s="449">
        <f>($H525-SUM($L525:T525))/U$694</f>
        <v>2666.6666666666665</v>
      </c>
      <c r="V525" s="449">
        <f>($H525-SUM($L525:U525))/V$694</f>
        <v>2666.666666666667</v>
      </c>
      <c r="W525" s="449">
        <f>($H525-SUM($L525:V525))/W$694</f>
        <v>2666.6666666666679</v>
      </c>
      <c r="X525" s="449"/>
      <c r="Y525" s="449">
        <f t="shared" si="403"/>
        <v>16000</v>
      </c>
      <c r="Z525" s="531"/>
      <c r="AA525" s="449">
        <f t="shared" si="428"/>
        <v>1333.3333333333333</v>
      </c>
      <c r="AB525" s="449">
        <f t="shared" si="428"/>
        <v>1333.3333333333333</v>
      </c>
      <c r="AC525" s="449">
        <f t="shared" si="428"/>
        <v>1333.3333333333333</v>
      </c>
      <c r="AD525" s="449">
        <f t="shared" si="428"/>
        <v>1333.3333333333333</v>
      </c>
      <c r="AE525" s="449">
        <f t="shared" si="428"/>
        <v>1333.3333333333333</v>
      </c>
      <c r="AF525" s="449">
        <f t="shared" si="428"/>
        <v>1333.3333333333333</v>
      </c>
      <c r="AG525" s="449">
        <f t="shared" si="428"/>
        <v>1333.3333333333333</v>
      </c>
      <c r="AH525" s="449">
        <f t="shared" si="428"/>
        <v>1333.3333333333333</v>
      </c>
      <c r="AI525" s="449">
        <f t="shared" si="428"/>
        <v>1333.3333333333333</v>
      </c>
      <c r="AJ525" s="449">
        <f t="shared" si="428"/>
        <v>1333.3333333333333</v>
      </c>
      <c r="AK525" s="449">
        <f t="shared" si="428"/>
        <v>1333.3333333333333</v>
      </c>
      <c r="AL525" s="449">
        <f t="shared" si="428"/>
        <v>1333.3333333333333</v>
      </c>
      <c r="AN525" s="500">
        <f t="shared" si="405"/>
        <v>16000</v>
      </c>
      <c r="AO525" s="449">
        <f t="shared" si="406"/>
        <v>3295.9999999999995</v>
      </c>
      <c r="AP525" s="449">
        <f t="shared" si="407"/>
        <v>-12704</v>
      </c>
      <c r="AQ525" s="453">
        <f t="shared" si="408"/>
        <v>-0.79400000000000004</v>
      </c>
      <c r="AR525" s="449">
        <f t="shared" si="409"/>
        <v>3295.9999999999995</v>
      </c>
      <c r="AS525" s="449">
        <f t="shared" si="410"/>
        <v>0</v>
      </c>
      <c r="AT525" s="426">
        <f t="shared" si="411"/>
        <v>0</v>
      </c>
      <c r="AU525" s="421"/>
      <c r="AV525" s="449">
        <f t="shared" si="415"/>
        <v>274.66666666666669</v>
      </c>
      <c r="AW525" s="449">
        <f t="shared" si="415"/>
        <v>274.66666666666669</v>
      </c>
      <c r="AX525" s="449">
        <f t="shared" si="415"/>
        <v>274.66666666666669</v>
      </c>
      <c r="AY525" s="449">
        <f t="shared" si="415"/>
        <v>274.66666666666669</v>
      </c>
      <c r="AZ525" s="449">
        <f t="shared" si="415"/>
        <v>274.66666666666669</v>
      </c>
      <c r="BA525" s="449">
        <f t="shared" si="415"/>
        <v>274.66666666666669</v>
      </c>
      <c r="BB525" s="449">
        <f t="shared" si="415"/>
        <v>274.66666666666669</v>
      </c>
      <c r="BC525" s="449">
        <f t="shared" si="415"/>
        <v>274.66666666666669</v>
      </c>
      <c r="BD525" s="449">
        <f t="shared" si="415"/>
        <v>274.66666666666669</v>
      </c>
      <c r="BE525" s="449">
        <f t="shared" si="415"/>
        <v>274.66666666666669</v>
      </c>
      <c r="BF525" s="449">
        <f t="shared" si="415"/>
        <v>274.66666666666669</v>
      </c>
      <c r="BG525" s="449">
        <f t="shared" si="415"/>
        <v>274.66666666666669</v>
      </c>
      <c r="BH525" s="400"/>
      <c r="BI525" s="449">
        <f>IFERROR(($H525*1.03)/12,0)*0.2</f>
        <v>274.66666666666669</v>
      </c>
      <c r="BJ525" s="449">
        <f t="shared" ref="BJ525:BT525" si="440">IFERROR(($H525*1.03)/12,0)*0.2</f>
        <v>274.66666666666669</v>
      </c>
      <c r="BK525" s="449">
        <f t="shared" si="440"/>
        <v>274.66666666666669</v>
      </c>
      <c r="BL525" s="449">
        <f t="shared" si="440"/>
        <v>274.66666666666669</v>
      </c>
      <c r="BM525" s="449">
        <f t="shared" si="440"/>
        <v>274.66666666666669</v>
      </c>
      <c r="BN525" s="449">
        <f t="shared" si="440"/>
        <v>274.66666666666669</v>
      </c>
      <c r="BO525" s="449">
        <f t="shared" si="440"/>
        <v>274.66666666666669</v>
      </c>
      <c r="BP525" s="449">
        <f t="shared" si="440"/>
        <v>274.66666666666669</v>
      </c>
      <c r="BQ525" s="449">
        <f t="shared" si="440"/>
        <v>274.66666666666669</v>
      </c>
      <c r="BR525" s="449">
        <f t="shared" si="440"/>
        <v>274.66666666666669</v>
      </c>
      <c r="BS525" s="449">
        <f t="shared" si="440"/>
        <v>274.66666666666669</v>
      </c>
      <c r="BT525" s="449">
        <f t="shared" si="440"/>
        <v>274.66666666666669</v>
      </c>
    </row>
    <row r="526" spans="1:74" s="536" customFormat="1" ht="15" customHeight="1" x14ac:dyDescent="0.25">
      <c r="A526" s="587"/>
      <c r="B526" s="502"/>
      <c r="C526" s="597"/>
      <c r="D526" s="500"/>
      <c r="E526" s="449"/>
      <c r="F526" s="449"/>
      <c r="G526" s="421"/>
      <c r="H526" s="449"/>
      <c r="I526" s="449"/>
      <c r="J526" s="426"/>
      <c r="K526" s="421"/>
      <c r="L526" s="449"/>
      <c r="M526" s="449"/>
      <c r="N526" s="449"/>
      <c r="O526" s="449"/>
      <c r="P526" s="449"/>
      <c r="Q526" s="449"/>
      <c r="R526" s="449"/>
      <c r="S526" s="449"/>
      <c r="T526" s="449"/>
      <c r="U526" s="449"/>
      <c r="V526" s="449"/>
      <c r="W526" s="449"/>
      <c r="X526" s="449"/>
      <c r="Y526" s="449"/>
      <c r="Z526" s="531"/>
      <c r="AA526" s="449"/>
      <c r="AB526" s="449"/>
      <c r="AC526" s="449"/>
      <c r="AD526" s="449"/>
      <c r="AE526" s="449"/>
      <c r="AF526" s="449"/>
      <c r="AG526" s="449"/>
      <c r="AH526" s="449"/>
      <c r="AI526" s="449"/>
      <c r="AJ526" s="449"/>
      <c r="AK526" s="449"/>
      <c r="AL526" s="449"/>
      <c r="AN526" s="500"/>
      <c r="AO526" s="449"/>
      <c r="AP526" s="449"/>
      <c r="AQ526" s="453"/>
      <c r="AR526" s="449"/>
      <c r="AS526" s="449"/>
      <c r="AT526" s="426"/>
      <c r="AU526" s="421"/>
      <c r="AV526" s="449"/>
      <c r="AW526" s="449"/>
      <c r="AX526" s="449"/>
      <c r="AY526" s="449"/>
      <c r="AZ526" s="449"/>
      <c r="BA526" s="449"/>
      <c r="BB526" s="449"/>
      <c r="BC526" s="449"/>
      <c r="BD526" s="449"/>
      <c r="BE526" s="449"/>
      <c r="BF526" s="449"/>
      <c r="BG526" s="449"/>
      <c r="BH526" s="531"/>
      <c r="BI526" s="449"/>
      <c r="BJ526" s="449"/>
      <c r="BK526" s="449"/>
      <c r="BL526" s="449"/>
      <c r="BM526" s="449"/>
      <c r="BN526" s="449"/>
      <c r="BO526" s="449"/>
      <c r="BP526" s="449"/>
      <c r="BQ526" s="449"/>
      <c r="BR526" s="449"/>
      <c r="BS526" s="449"/>
      <c r="BT526" s="449"/>
      <c r="BV526" s="400"/>
    </row>
    <row r="527" spans="1:74" s="536" customFormat="1" ht="15" customHeight="1" thickBot="1" x14ac:dyDescent="0.3">
      <c r="A527" s="526"/>
      <c r="B527" s="524" t="s">
        <v>905</v>
      </c>
      <c r="C527" s="599"/>
      <c r="D527" s="532">
        <f>SUM(D477:D526)</f>
        <v>2111663</v>
      </c>
      <c r="E527" s="533">
        <f>SUM(E477:E526)</f>
        <v>2171546</v>
      </c>
      <c r="F527" s="533">
        <f>IFERROR(D527-E527,0)</f>
        <v>-59883</v>
      </c>
      <c r="G527" s="520">
        <f>IFERROR(F527/ABS(E527),0)</f>
        <v>-2.7576206076224036E-2</v>
      </c>
      <c r="H527" s="533">
        <f>SUM(H477:H526)</f>
        <v>2108518</v>
      </c>
      <c r="I527" s="533">
        <f>IFERROR(D527-H527,0)</f>
        <v>3145</v>
      </c>
      <c r="J527" s="521">
        <f>IFERROR(I527/ABS(H527),0)</f>
        <v>1.4915689598096861E-3</v>
      </c>
      <c r="K527" s="507"/>
      <c r="L527" s="533">
        <f>SUM(L477:L526)</f>
        <v>115557.27</v>
      </c>
      <c r="M527" s="533">
        <f t="shared" ref="M527:W527" si="441">SUM(M477:M526)</f>
        <v>161898.20000000004</v>
      </c>
      <c r="N527" s="533">
        <f t="shared" si="441"/>
        <v>130695.59999999999</v>
      </c>
      <c r="O527" s="533">
        <f t="shared" si="441"/>
        <v>147073.65000000002</v>
      </c>
      <c r="P527" s="533">
        <f t="shared" si="441"/>
        <v>111246.76999999999</v>
      </c>
      <c r="Q527" s="533">
        <f t="shared" si="441"/>
        <v>195187.70999999996</v>
      </c>
      <c r="R527" s="533">
        <f t="shared" si="441"/>
        <v>208333.9666666667</v>
      </c>
      <c r="S527" s="533">
        <f t="shared" si="441"/>
        <v>208333.96666666676</v>
      </c>
      <c r="T527" s="533">
        <f t="shared" si="441"/>
        <v>208333.96666666676</v>
      </c>
      <c r="U527" s="533">
        <f t="shared" si="441"/>
        <v>208333.9666666667</v>
      </c>
      <c r="V527" s="533">
        <f t="shared" si="441"/>
        <v>208333.9666666667</v>
      </c>
      <c r="W527" s="533">
        <f t="shared" si="441"/>
        <v>208333.96666666667</v>
      </c>
      <c r="X527" s="533"/>
      <c r="Y527" s="533">
        <f>SUM(L527:W527)</f>
        <v>2111663.0000000005</v>
      </c>
      <c r="Z527" s="508"/>
      <c r="AA527" s="533">
        <f t="shared" ref="AA527:AL527" si="442">SUM(AA477:AA526)</f>
        <v>175709.83333333334</v>
      </c>
      <c r="AB527" s="533">
        <f t="shared" si="442"/>
        <v>175709.83333333334</v>
      </c>
      <c r="AC527" s="533">
        <f t="shared" si="442"/>
        <v>175709.83333333334</v>
      </c>
      <c r="AD527" s="533">
        <f t="shared" si="442"/>
        <v>175709.83333333334</v>
      </c>
      <c r="AE527" s="533">
        <f t="shared" si="442"/>
        <v>175709.83333333334</v>
      </c>
      <c r="AF527" s="533">
        <f t="shared" si="442"/>
        <v>175709.83333333334</v>
      </c>
      <c r="AG527" s="533">
        <f t="shared" si="442"/>
        <v>175709.83333333334</v>
      </c>
      <c r="AH527" s="533">
        <f t="shared" si="442"/>
        <v>175709.83333333334</v>
      </c>
      <c r="AI527" s="533">
        <f t="shared" si="442"/>
        <v>175709.83333333334</v>
      </c>
      <c r="AJ527" s="533">
        <f t="shared" si="442"/>
        <v>175709.83333333334</v>
      </c>
      <c r="AK527" s="533">
        <f t="shared" si="442"/>
        <v>175709.83333333334</v>
      </c>
      <c r="AL527" s="533">
        <f t="shared" si="442"/>
        <v>175709.83333333334</v>
      </c>
      <c r="AN527" s="532">
        <f>SUM(AN477:AN526)</f>
        <v>2111663</v>
      </c>
      <c r="AO527" s="533">
        <f>SUM(AO477:AO526)</f>
        <v>2625767.4469472803</v>
      </c>
      <c r="AP527" s="533">
        <f>IFERROR(AO527-AN527,0)</f>
        <v>514104.44694728032</v>
      </c>
      <c r="AQ527" s="523">
        <f>IFERROR(AP527/ABS(AN527),"-")</f>
        <v>0.24345951363796225</v>
      </c>
      <c r="AR527" s="533">
        <f>SUM(AR477:AR526)</f>
        <v>2625767.4469472803</v>
      </c>
      <c r="AS527" s="533">
        <f>IFERROR(AO527-AR527,0)</f>
        <v>0</v>
      </c>
      <c r="AT527" s="521">
        <f>IFERROR(AS527/ABS(AR527),0)</f>
        <v>0</v>
      </c>
      <c r="AU527" s="507"/>
      <c r="AV527" s="533">
        <f>SUM(AV477:AV526)</f>
        <v>218563.95391227331</v>
      </c>
      <c r="AW527" s="533">
        <f t="shared" ref="AW527:BG527" si="443">SUM(AW477:AW526)</f>
        <v>218563.95391227331</v>
      </c>
      <c r="AX527" s="533">
        <f t="shared" si="443"/>
        <v>218563.95391227331</v>
      </c>
      <c r="AY527" s="533">
        <f t="shared" si="443"/>
        <v>221563.95391227331</v>
      </c>
      <c r="AZ527" s="533">
        <f t="shared" si="443"/>
        <v>218563.95391227331</v>
      </c>
      <c r="BA527" s="533">
        <f t="shared" si="443"/>
        <v>218563.95391227331</v>
      </c>
      <c r="BB527" s="533">
        <f t="shared" si="443"/>
        <v>218563.95391227331</v>
      </c>
      <c r="BC527" s="533">
        <f t="shared" si="443"/>
        <v>218563.95391227331</v>
      </c>
      <c r="BD527" s="533">
        <f t="shared" si="443"/>
        <v>218563.95391227331</v>
      </c>
      <c r="BE527" s="533">
        <f t="shared" si="443"/>
        <v>218563.95391227331</v>
      </c>
      <c r="BF527" s="533">
        <f t="shared" si="443"/>
        <v>218563.95391227331</v>
      </c>
      <c r="BG527" s="533">
        <f t="shared" si="443"/>
        <v>218563.95391227331</v>
      </c>
      <c r="BH527" s="508"/>
      <c r="BI527" s="533">
        <f t="shared" ref="BI527:BT527" si="444">SUM(BI477:BI526)</f>
        <v>218563.95391227331</v>
      </c>
      <c r="BJ527" s="533">
        <f t="shared" si="444"/>
        <v>218563.95391227331</v>
      </c>
      <c r="BK527" s="533">
        <f t="shared" si="444"/>
        <v>218563.95391227331</v>
      </c>
      <c r="BL527" s="533">
        <f t="shared" si="444"/>
        <v>221563.95391227331</v>
      </c>
      <c r="BM527" s="533">
        <f t="shared" si="444"/>
        <v>218563.95391227331</v>
      </c>
      <c r="BN527" s="533">
        <f t="shared" si="444"/>
        <v>218563.95391227331</v>
      </c>
      <c r="BO527" s="533">
        <f t="shared" si="444"/>
        <v>218563.95391227331</v>
      </c>
      <c r="BP527" s="533">
        <f t="shared" si="444"/>
        <v>218563.95391227331</v>
      </c>
      <c r="BQ527" s="533">
        <f t="shared" si="444"/>
        <v>218563.95391227331</v>
      </c>
      <c r="BR527" s="533">
        <f t="shared" si="444"/>
        <v>218563.95391227331</v>
      </c>
      <c r="BS527" s="533">
        <f t="shared" si="444"/>
        <v>218563.95391227331</v>
      </c>
      <c r="BT527" s="533">
        <f t="shared" si="444"/>
        <v>218563.95391227331</v>
      </c>
      <c r="BV527" s="400"/>
    </row>
    <row r="528" spans="1:74" s="536" customFormat="1" ht="15" customHeight="1" thickTop="1" x14ac:dyDescent="0.25">
      <c r="A528" s="587"/>
      <c r="B528" s="502"/>
      <c r="C528" s="597"/>
      <c r="D528" s="500"/>
      <c r="E528" s="449"/>
      <c r="F528" s="449"/>
      <c r="G528" s="421"/>
      <c r="H528" s="449"/>
      <c r="I528" s="449"/>
      <c r="J528" s="426"/>
      <c r="K528" s="421"/>
      <c r="L528" s="449"/>
      <c r="M528" s="449"/>
      <c r="N528" s="449"/>
      <c r="O528" s="449"/>
      <c r="P528" s="449"/>
      <c r="Q528" s="449"/>
      <c r="R528" s="449"/>
      <c r="S528" s="449"/>
      <c r="T528" s="449"/>
      <c r="U528" s="449"/>
      <c r="V528" s="449"/>
      <c r="W528" s="449"/>
      <c r="X528" s="449"/>
      <c r="Y528" s="449"/>
      <c r="Z528" s="531"/>
      <c r="AA528" s="449"/>
      <c r="AB528" s="449"/>
      <c r="AC528" s="449"/>
      <c r="AD528" s="449"/>
      <c r="AE528" s="449"/>
      <c r="AF528" s="449"/>
      <c r="AG528" s="449"/>
      <c r="AH528" s="449"/>
      <c r="AI528" s="449"/>
      <c r="AJ528" s="449"/>
      <c r="AK528" s="449"/>
      <c r="AL528" s="449"/>
      <c r="AN528" s="500"/>
      <c r="AO528" s="449"/>
      <c r="AP528" s="449"/>
      <c r="AQ528" s="453"/>
      <c r="AR528" s="449"/>
      <c r="AS528" s="449"/>
      <c r="AT528" s="426"/>
      <c r="AU528" s="421"/>
      <c r="AV528" s="449"/>
      <c r="AW528" s="449"/>
      <c r="AX528" s="449"/>
      <c r="AY528" s="449"/>
      <c r="AZ528" s="449"/>
      <c r="BA528" s="449"/>
      <c r="BB528" s="449"/>
      <c r="BC528" s="449"/>
      <c r="BD528" s="449"/>
      <c r="BE528" s="449"/>
      <c r="BF528" s="449"/>
      <c r="BG528" s="449"/>
      <c r="BH528" s="531"/>
      <c r="BI528" s="449"/>
      <c r="BJ528" s="449"/>
      <c r="BK528" s="449"/>
      <c r="BL528" s="449"/>
      <c r="BM528" s="449"/>
      <c r="BN528" s="449"/>
      <c r="BO528" s="449"/>
      <c r="BP528" s="449"/>
      <c r="BQ528" s="449"/>
      <c r="BR528" s="449"/>
      <c r="BS528" s="449"/>
      <c r="BT528" s="449"/>
      <c r="BV528" s="400"/>
    </row>
    <row r="529" spans="1:74" s="536" customFormat="1" ht="15" customHeight="1" x14ac:dyDescent="0.25">
      <c r="A529" s="587"/>
      <c r="B529" s="525" t="s">
        <v>906</v>
      </c>
      <c r="C529" s="597"/>
      <c r="D529" s="500"/>
      <c r="E529" s="449"/>
      <c r="F529" s="449"/>
      <c r="G529" s="421"/>
      <c r="H529" s="449"/>
      <c r="I529" s="449"/>
      <c r="J529" s="426"/>
      <c r="K529" s="421"/>
      <c r="L529" s="449"/>
      <c r="M529" s="449"/>
      <c r="N529" s="449"/>
      <c r="O529" s="449"/>
      <c r="P529" s="449"/>
      <c r="Q529" s="449"/>
      <c r="R529" s="449"/>
      <c r="S529" s="449"/>
      <c r="T529" s="449"/>
      <c r="U529" s="449"/>
      <c r="V529" s="449"/>
      <c r="W529" s="449"/>
      <c r="X529" s="449"/>
      <c r="Y529" s="449"/>
      <c r="Z529" s="531"/>
      <c r="AA529" s="449"/>
      <c r="AB529" s="449"/>
      <c r="AC529" s="449"/>
      <c r="AD529" s="449"/>
      <c r="AE529" s="449"/>
      <c r="AF529" s="449"/>
      <c r="AG529" s="449"/>
      <c r="AH529" s="449"/>
      <c r="AI529" s="449"/>
      <c r="AJ529" s="449"/>
      <c r="AK529" s="449"/>
      <c r="AL529" s="449"/>
      <c r="AN529" s="500"/>
      <c r="AO529" s="449"/>
      <c r="AP529" s="449"/>
      <c r="AQ529" s="453"/>
      <c r="AR529" s="449"/>
      <c r="AS529" s="449"/>
      <c r="AT529" s="426"/>
      <c r="AU529" s="421"/>
      <c r="AV529" s="449"/>
      <c r="AW529" s="449"/>
      <c r="AX529" s="449"/>
      <c r="AY529" s="449"/>
      <c r="AZ529" s="449"/>
      <c r="BA529" s="449"/>
      <c r="BB529" s="449"/>
      <c r="BC529" s="449"/>
      <c r="BD529" s="449"/>
      <c r="BE529" s="449"/>
      <c r="BF529" s="449"/>
      <c r="BG529" s="449"/>
      <c r="BH529" s="531"/>
      <c r="BI529" s="449"/>
      <c r="BJ529" s="449"/>
      <c r="BK529" s="449"/>
      <c r="BL529" s="449"/>
      <c r="BM529" s="449"/>
      <c r="BN529" s="449"/>
      <c r="BO529" s="449"/>
      <c r="BP529" s="449"/>
      <c r="BQ529" s="449"/>
      <c r="BR529" s="449"/>
      <c r="BS529" s="449"/>
      <c r="BT529" s="449"/>
      <c r="BV529" s="400"/>
    </row>
    <row r="530" spans="1:74" s="536" customFormat="1" ht="8.25" customHeight="1" x14ac:dyDescent="0.25">
      <c r="A530" s="587"/>
      <c r="B530" s="502"/>
      <c r="C530" s="597"/>
      <c r="D530" s="500"/>
      <c r="E530" s="449"/>
      <c r="F530" s="449"/>
      <c r="G530" s="421"/>
      <c r="H530" s="449"/>
      <c r="I530" s="449"/>
      <c r="J530" s="426"/>
      <c r="K530" s="421"/>
      <c r="L530" s="449"/>
      <c r="M530" s="449"/>
      <c r="N530" s="449"/>
      <c r="O530" s="449"/>
      <c r="P530" s="449"/>
      <c r="Q530" s="449"/>
      <c r="R530" s="449"/>
      <c r="S530" s="449"/>
      <c r="T530" s="449"/>
      <c r="U530" s="449"/>
      <c r="V530" s="449"/>
      <c r="W530" s="449"/>
      <c r="X530" s="449"/>
      <c r="Y530" s="449"/>
      <c r="Z530" s="531"/>
      <c r="AA530" s="449"/>
      <c r="AB530" s="449"/>
      <c r="AC530" s="449"/>
      <c r="AD530" s="449"/>
      <c r="AE530" s="449"/>
      <c r="AF530" s="449"/>
      <c r="AG530" s="449"/>
      <c r="AH530" s="449"/>
      <c r="AI530" s="449"/>
      <c r="AJ530" s="449"/>
      <c r="AK530" s="449"/>
      <c r="AL530" s="449"/>
      <c r="AN530" s="500"/>
      <c r="AO530" s="449"/>
      <c r="AP530" s="449"/>
      <c r="AQ530" s="453"/>
      <c r="AR530" s="449"/>
      <c r="AS530" s="449"/>
      <c r="AT530" s="426"/>
      <c r="AU530" s="421"/>
      <c r="AV530" s="449"/>
      <c r="AW530" s="449"/>
      <c r="AX530" s="449"/>
      <c r="AY530" s="449"/>
      <c r="AZ530" s="449"/>
      <c r="BA530" s="449"/>
      <c r="BB530" s="449"/>
      <c r="BC530" s="449"/>
      <c r="BD530" s="449"/>
      <c r="BE530" s="449"/>
      <c r="BF530" s="449"/>
      <c r="BG530" s="449"/>
      <c r="BH530" s="531"/>
      <c r="BI530" s="449"/>
      <c r="BJ530" s="449"/>
      <c r="BK530" s="449"/>
      <c r="BL530" s="449"/>
      <c r="BM530" s="449"/>
      <c r="BN530" s="449"/>
      <c r="BO530" s="449"/>
      <c r="BP530" s="449"/>
      <c r="BQ530" s="449"/>
      <c r="BR530" s="449"/>
      <c r="BS530" s="449"/>
      <c r="BT530" s="449"/>
      <c r="BV530" s="400"/>
    </row>
    <row r="531" spans="1:74" ht="15" customHeight="1" x14ac:dyDescent="0.25">
      <c r="A531" s="502" t="s">
        <v>907</v>
      </c>
      <c r="B531" s="502" t="s">
        <v>908</v>
      </c>
      <c r="C531" s="538"/>
      <c r="D531" s="500">
        <f t="shared" ref="D531:D541" si="445">SUM(L531:W531)</f>
        <v>20000</v>
      </c>
      <c r="E531" s="449">
        <v>10000</v>
      </c>
      <c r="F531" s="449">
        <f t="shared" ref="F531:F541" si="446">IFERROR(D531-E531,0)</f>
        <v>10000</v>
      </c>
      <c r="G531" s="421">
        <f t="shared" ref="G531:G541" si="447">IFERROR(F531/ABS(E531),0)</f>
        <v>1</v>
      </c>
      <c r="H531" s="449">
        <v>20000</v>
      </c>
      <c r="I531" s="449">
        <f t="shared" ref="I531:I541" si="448">IFERROR(D531-H531,0)</f>
        <v>0</v>
      </c>
      <c r="J531" s="426">
        <f t="shared" ref="J531:J541" si="449">IFERROR(I531/ABS(H531),0)</f>
        <v>0</v>
      </c>
      <c r="K531" s="421"/>
      <c r="L531" s="449">
        <v>4277.1499999999996</v>
      </c>
      <c r="M531" s="449">
        <v>-1605.9999999999995</v>
      </c>
      <c r="N531" s="449">
        <v>198.79999999999973</v>
      </c>
      <c r="O531" s="449">
        <v>10890.879999999997</v>
      </c>
      <c r="P531" s="449">
        <v>-10740.929999999998</v>
      </c>
      <c r="Q531" s="449">
        <v>11306.859999999999</v>
      </c>
      <c r="R531" s="449">
        <f>($H531-SUM($L531:Q531))/R$694</f>
        <v>945.5400000000003</v>
      </c>
      <c r="S531" s="449">
        <f>($H531-SUM($L531:R531))/S$694</f>
        <v>945.54000000000019</v>
      </c>
      <c r="T531" s="449">
        <f>($H531-SUM($L531:S531))/T$694</f>
        <v>945.54</v>
      </c>
      <c r="U531" s="449">
        <f>($H531-SUM($L531:T531))/U$694</f>
        <v>945.53999999999962</v>
      </c>
      <c r="V531" s="449">
        <f>($H531-SUM($L531:U531))/V$694</f>
        <v>945.53999999999905</v>
      </c>
      <c r="W531" s="449">
        <f>($H531-SUM($L531:V531))/W$694</f>
        <v>945.54000000000087</v>
      </c>
      <c r="X531" s="449"/>
      <c r="Y531" s="449">
        <f t="shared" ref="Y531:Y541" si="450">SUM(L531:W531)</f>
        <v>20000</v>
      </c>
      <c r="Z531" s="531"/>
      <c r="AA531" s="449">
        <f t="shared" ref="AA531:AL541" si="451">IFERROR($H531/12,0)</f>
        <v>1666.6666666666667</v>
      </c>
      <c r="AB531" s="449">
        <f t="shared" si="451"/>
        <v>1666.6666666666667</v>
      </c>
      <c r="AC531" s="449">
        <f t="shared" si="451"/>
        <v>1666.6666666666667</v>
      </c>
      <c r="AD531" s="449">
        <f t="shared" si="451"/>
        <v>1666.6666666666667</v>
      </c>
      <c r="AE531" s="449">
        <f t="shared" si="451"/>
        <v>1666.6666666666667</v>
      </c>
      <c r="AF531" s="449">
        <f t="shared" si="451"/>
        <v>1666.6666666666667</v>
      </c>
      <c r="AG531" s="449">
        <f t="shared" si="451"/>
        <v>1666.6666666666667</v>
      </c>
      <c r="AH531" s="449">
        <f t="shared" si="451"/>
        <v>1666.6666666666667</v>
      </c>
      <c r="AI531" s="449">
        <f t="shared" si="451"/>
        <v>1666.6666666666667</v>
      </c>
      <c r="AJ531" s="449">
        <f t="shared" si="451"/>
        <v>1666.6666666666667</v>
      </c>
      <c r="AK531" s="449">
        <f t="shared" si="451"/>
        <v>1666.6666666666667</v>
      </c>
      <c r="AL531" s="449">
        <f t="shared" si="451"/>
        <v>1666.6666666666667</v>
      </c>
      <c r="AN531" s="500">
        <f t="shared" ref="AN531:AN541" si="452">SUM(L531:W531)</f>
        <v>20000</v>
      </c>
      <c r="AO531" s="449">
        <f t="shared" ref="AO531:AO541" si="453">SUM(BI531:BT531)</f>
        <v>20000</v>
      </c>
      <c r="AP531" s="449">
        <f t="shared" ref="AP531:AP541" si="454">IFERROR(AO531-AN531,0)</f>
        <v>0</v>
      </c>
      <c r="AQ531" s="453">
        <f t="shared" ref="AQ531:AQ541" si="455">IFERROR(AP531/ABS(AN531),"-")</f>
        <v>0</v>
      </c>
      <c r="AR531" s="449">
        <f t="shared" ref="AR531:AR541" si="456">SUM(BI531:BT531)</f>
        <v>20000</v>
      </c>
      <c r="AS531" s="449">
        <f t="shared" ref="AS531:AS541" si="457">IFERROR(AO531-AR531,0)</f>
        <v>0</v>
      </c>
      <c r="AT531" s="426">
        <f t="shared" ref="AT531:AT541" si="458">IFERROR(AS531/ABS(AR531),0)</f>
        <v>0</v>
      </c>
      <c r="AU531" s="421"/>
      <c r="AV531" s="449">
        <f t="shared" ref="AV531:BG541" si="459">BI531</f>
        <v>1666.6666666666667</v>
      </c>
      <c r="AW531" s="449">
        <f t="shared" si="459"/>
        <v>1666.6666666666667</v>
      </c>
      <c r="AX531" s="449">
        <f t="shared" si="459"/>
        <v>1666.6666666666667</v>
      </c>
      <c r="AY531" s="449">
        <f t="shared" si="459"/>
        <v>1666.6666666666667</v>
      </c>
      <c r="AZ531" s="449">
        <f t="shared" si="459"/>
        <v>1666.6666666666667</v>
      </c>
      <c r="BA531" s="449">
        <f t="shared" si="459"/>
        <v>1666.6666666666667</v>
      </c>
      <c r="BB531" s="449">
        <f t="shared" si="459"/>
        <v>1666.6666666666667</v>
      </c>
      <c r="BC531" s="449">
        <f t="shared" si="459"/>
        <v>1666.6666666666667</v>
      </c>
      <c r="BD531" s="449">
        <f t="shared" si="459"/>
        <v>1666.6666666666667</v>
      </c>
      <c r="BE531" s="449">
        <f t="shared" si="459"/>
        <v>1666.6666666666667</v>
      </c>
      <c r="BF531" s="449">
        <f t="shared" si="459"/>
        <v>1666.6666666666667</v>
      </c>
      <c r="BG531" s="449">
        <f t="shared" si="459"/>
        <v>1666.6666666666667</v>
      </c>
      <c r="BH531" s="400"/>
      <c r="BI531" s="449">
        <f>IFERROR(($AN531)/12,0)</f>
        <v>1666.6666666666667</v>
      </c>
      <c r="BJ531" s="449">
        <f t="shared" ref="BJ531:BT531" si="460">IFERROR(($AN531)/12,0)</f>
        <v>1666.6666666666667</v>
      </c>
      <c r="BK531" s="449">
        <f t="shared" si="460"/>
        <v>1666.6666666666667</v>
      </c>
      <c r="BL531" s="449">
        <f t="shared" si="460"/>
        <v>1666.6666666666667</v>
      </c>
      <c r="BM531" s="449">
        <f t="shared" si="460"/>
        <v>1666.6666666666667</v>
      </c>
      <c r="BN531" s="449">
        <f t="shared" si="460"/>
        <v>1666.6666666666667</v>
      </c>
      <c r="BO531" s="449">
        <f t="shared" si="460"/>
        <v>1666.6666666666667</v>
      </c>
      <c r="BP531" s="449">
        <f t="shared" si="460"/>
        <v>1666.6666666666667</v>
      </c>
      <c r="BQ531" s="449">
        <f t="shared" si="460"/>
        <v>1666.6666666666667</v>
      </c>
      <c r="BR531" s="449">
        <f t="shared" si="460"/>
        <v>1666.6666666666667</v>
      </c>
      <c r="BS531" s="449">
        <f t="shared" si="460"/>
        <v>1666.6666666666667</v>
      </c>
      <c r="BT531" s="449">
        <f t="shared" si="460"/>
        <v>1666.6666666666667</v>
      </c>
    </row>
    <row r="532" spans="1:74" ht="15" customHeight="1" x14ac:dyDescent="0.25">
      <c r="A532" s="502" t="s">
        <v>909</v>
      </c>
      <c r="B532" s="502" t="s">
        <v>910</v>
      </c>
      <c r="C532" s="538"/>
      <c r="D532" s="500">
        <f t="shared" si="445"/>
        <v>0</v>
      </c>
      <c r="E532" s="449">
        <v>0</v>
      </c>
      <c r="F532" s="449">
        <f t="shared" si="446"/>
        <v>0</v>
      </c>
      <c r="G532" s="421">
        <f t="shared" si="447"/>
        <v>0</v>
      </c>
      <c r="H532" s="449"/>
      <c r="I532" s="449">
        <f t="shared" si="448"/>
        <v>0</v>
      </c>
      <c r="J532" s="426">
        <f t="shared" si="449"/>
        <v>0</v>
      </c>
      <c r="K532" s="421"/>
      <c r="L532" s="449">
        <v>0</v>
      </c>
      <c r="M532" s="449">
        <v>0</v>
      </c>
      <c r="N532" s="449">
        <v>0</v>
      </c>
      <c r="O532" s="449">
        <v>0</v>
      </c>
      <c r="P532" s="449">
        <v>74.98</v>
      </c>
      <c r="Q532" s="449">
        <v>-74.98</v>
      </c>
      <c r="R532" s="449">
        <f>($H532-SUM($L532:Q532))/R$694</f>
        <v>0</v>
      </c>
      <c r="S532" s="449">
        <f>($H532-SUM($L532:R532))/S$694</f>
        <v>0</v>
      </c>
      <c r="T532" s="449">
        <f>($H532-SUM($L532:S532))/T$694</f>
        <v>0</v>
      </c>
      <c r="U532" s="449">
        <f>($H532-SUM($L532:T532))/U$694</f>
        <v>0</v>
      </c>
      <c r="V532" s="449">
        <f>($H532-SUM($L532:U532))/V$694</f>
        <v>0</v>
      </c>
      <c r="W532" s="449">
        <f>($H532-SUM($L532:V532))/W$694</f>
        <v>0</v>
      </c>
      <c r="X532" s="449"/>
      <c r="Y532" s="449">
        <f t="shared" si="450"/>
        <v>0</v>
      </c>
      <c r="Z532" s="531"/>
      <c r="AA532" s="449">
        <f t="shared" si="451"/>
        <v>0</v>
      </c>
      <c r="AB532" s="449">
        <f t="shared" si="451"/>
        <v>0</v>
      </c>
      <c r="AC532" s="449">
        <f t="shared" si="451"/>
        <v>0</v>
      </c>
      <c r="AD532" s="449">
        <f t="shared" si="451"/>
        <v>0</v>
      </c>
      <c r="AE532" s="449">
        <f t="shared" si="451"/>
        <v>0</v>
      </c>
      <c r="AF532" s="449">
        <f t="shared" si="451"/>
        <v>0</v>
      </c>
      <c r="AG532" s="449">
        <f t="shared" si="451"/>
        <v>0</v>
      </c>
      <c r="AH532" s="449">
        <f t="shared" si="451"/>
        <v>0</v>
      </c>
      <c r="AI532" s="449">
        <f t="shared" si="451"/>
        <v>0</v>
      </c>
      <c r="AJ532" s="449">
        <f t="shared" si="451"/>
        <v>0</v>
      </c>
      <c r="AK532" s="449">
        <f t="shared" si="451"/>
        <v>0</v>
      </c>
      <c r="AL532" s="449">
        <f t="shared" si="451"/>
        <v>0</v>
      </c>
      <c r="AN532" s="500">
        <f t="shared" si="452"/>
        <v>0</v>
      </c>
      <c r="AO532" s="449">
        <f t="shared" si="453"/>
        <v>0</v>
      </c>
      <c r="AP532" s="449">
        <f t="shared" si="454"/>
        <v>0</v>
      </c>
      <c r="AQ532" s="453" t="str">
        <f t="shared" si="455"/>
        <v>-</v>
      </c>
      <c r="AR532" s="449">
        <f t="shared" si="456"/>
        <v>0</v>
      </c>
      <c r="AS532" s="449">
        <f t="shared" si="457"/>
        <v>0</v>
      </c>
      <c r="AT532" s="426">
        <f t="shared" si="458"/>
        <v>0</v>
      </c>
      <c r="AU532" s="421"/>
      <c r="AV532" s="449">
        <f t="shared" si="459"/>
        <v>0</v>
      </c>
      <c r="AW532" s="449">
        <f t="shared" si="459"/>
        <v>0</v>
      </c>
      <c r="AX532" s="449">
        <f t="shared" si="459"/>
        <v>0</v>
      </c>
      <c r="AY532" s="449">
        <f t="shared" si="459"/>
        <v>0</v>
      </c>
      <c r="AZ532" s="449">
        <f t="shared" si="459"/>
        <v>0</v>
      </c>
      <c r="BA532" s="449">
        <f t="shared" si="459"/>
        <v>0</v>
      </c>
      <c r="BB532" s="449">
        <f t="shared" si="459"/>
        <v>0</v>
      </c>
      <c r="BC532" s="449">
        <f t="shared" si="459"/>
        <v>0</v>
      </c>
      <c r="BD532" s="449">
        <f t="shared" si="459"/>
        <v>0</v>
      </c>
      <c r="BE532" s="449">
        <f t="shared" si="459"/>
        <v>0</v>
      </c>
      <c r="BF532" s="449">
        <f t="shared" si="459"/>
        <v>0</v>
      </c>
      <c r="BG532" s="449">
        <f t="shared" si="459"/>
        <v>0</v>
      </c>
      <c r="BH532" s="400"/>
      <c r="BI532" s="449">
        <f t="shared" ref="BI532:BT532" si="461">IFERROR((($H532/$H$5)*BI$5)/12,0)</f>
        <v>0</v>
      </c>
      <c r="BJ532" s="449">
        <f t="shared" si="461"/>
        <v>0</v>
      </c>
      <c r="BK532" s="449">
        <f t="shared" si="461"/>
        <v>0</v>
      </c>
      <c r="BL532" s="449">
        <f t="shared" si="461"/>
        <v>0</v>
      </c>
      <c r="BM532" s="449">
        <f t="shared" si="461"/>
        <v>0</v>
      </c>
      <c r="BN532" s="449">
        <f t="shared" si="461"/>
        <v>0</v>
      </c>
      <c r="BO532" s="449">
        <f t="shared" si="461"/>
        <v>0</v>
      </c>
      <c r="BP532" s="449">
        <f t="shared" si="461"/>
        <v>0</v>
      </c>
      <c r="BQ532" s="449">
        <f t="shared" si="461"/>
        <v>0</v>
      </c>
      <c r="BR532" s="449">
        <f t="shared" si="461"/>
        <v>0</v>
      </c>
      <c r="BS532" s="449">
        <f t="shared" si="461"/>
        <v>0</v>
      </c>
      <c r="BT532" s="449">
        <f t="shared" si="461"/>
        <v>0</v>
      </c>
    </row>
    <row r="533" spans="1:74" ht="15" customHeight="1" x14ac:dyDescent="0.25">
      <c r="A533" s="502" t="s">
        <v>911</v>
      </c>
      <c r="B533" s="502" t="s">
        <v>912</v>
      </c>
      <c r="C533" s="543"/>
      <c r="D533" s="500">
        <f t="shared" si="445"/>
        <v>1000</v>
      </c>
      <c r="E533" s="449">
        <v>1000</v>
      </c>
      <c r="F533" s="449">
        <f t="shared" si="446"/>
        <v>0</v>
      </c>
      <c r="G533" s="421">
        <f t="shared" si="447"/>
        <v>0</v>
      </c>
      <c r="H533" s="449">
        <v>1000</v>
      </c>
      <c r="I533" s="449">
        <f t="shared" si="448"/>
        <v>0</v>
      </c>
      <c r="J533" s="426">
        <f t="shared" si="449"/>
        <v>0</v>
      </c>
      <c r="K533" s="421"/>
      <c r="L533" s="449">
        <v>0</v>
      </c>
      <c r="M533" s="449">
        <v>7500</v>
      </c>
      <c r="N533" s="449">
        <v>3390.8799999999992</v>
      </c>
      <c r="O533" s="449">
        <v>-10890.88</v>
      </c>
      <c r="P533" s="449">
        <v>11231.88</v>
      </c>
      <c r="Q533" s="449">
        <v>-11231.88</v>
      </c>
      <c r="R533" s="449">
        <f>($H533-SUM($L533:Q533))/R$694</f>
        <v>166.66666666666666</v>
      </c>
      <c r="S533" s="449">
        <f>($H533-SUM($L533:R533))/S$694</f>
        <v>166.66666666666669</v>
      </c>
      <c r="T533" s="449">
        <f>($H533-SUM($L533:S533))/T$694</f>
        <v>166.66666666666666</v>
      </c>
      <c r="U533" s="449">
        <f>($H533-SUM($L533:T533))/U$694</f>
        <v>166.66666666666666</v>
      </c>
      <c r="V533" s="449">
        <f>($H533-SUM($L533:U533))/V$694</f>
        <v>166.66666666666669</v>
      </c>
      <c r="W533" s="449">
        <f>($H533-SUM($L533:V533))/W$694</f>
        <v>166.66666666666674</v>
      </c>
      <c r="X533" s="449"/>
      <c r="Y533" s="449">
        <f t="shared" si="450"/>
        <v>1000</v>
      </c>
      <c r="Z533" s="531"/>
      <c r="AA533" s="449">
        <f t="shared" si="451"/>
        <v>83.333333333333329</v>
      </c>
      <c r="AB533" s="449">
        <f t="shared" si="451"/>
        <v>83.333333333333329</v>
      </c>
      <c r="AC533" s="449">
        <f t="shared" si="451"/>
        <v>83.333333333333329</v>
      </c>
      <c r="AD533" s="449">
        <f t="shared" si="451"/>
        <v>83.333333333333329</v>
      </c>
      <c r="AE533" s="449">
        <f t="shared" si="451"/>
        <v>83.333333333333329</v>
      </c>
      <c r="AF533" s="449">
        <f t="shared" si="451"/>
        <v>83.333333333333329</v>
      </c>
      <c r="AG533" s="449">
        <f t="shared" si="451"/>
        <v>83.333333333333329</v>
      </c>
      <c r="AH533" s="449">
        <f t="shared" si="451"/>
        <v>83.333333333333329</v>
      </c>
      <c r="AI533" s="449">
        <f t="shared" si="451"/>
        <v>83.333333333333329</v>
      </c>
      <c r="AJ533" s="449">
        <f t="shared" si="451"/>
        <v>83.333333333333329</v>
      </c>
      <c r="AK533" s="449">
        <f t="shared" si="451"/>
        <v>83.333333333333329</v>
      </c>
      <c r="AL533" s="449">
        <f t="shared" si="451"/>
        <v>83.333333333333329</v>
      </c>
      <c r="AN533" s="500">
        <f t="shared" si="452"/>
        <v>1000</v>
      </c>
      <c r="AO533" s="449">
        <f t="shared" si="453"/>
        <v>1000.0000000000001</v>
      </c>
      <c r="AP533" s="449">
        <f t="shared" si="454"/>
        <v>1.1368683772161603E-13</v>
      </c>
      <c r="AQ533" s="453">
        <f t="shared" si="455"/>
        <v>1.1368683772161603E-16</v>
      </c>
      <c r="AR533" s="449">
        <f t="shared" si="456"/>
        <v>1000.0000000000001</v>
      </c>
      <c r="AS533" s="449">
        <f t="shared" si="457"/>
        <v>0</v>
      </c>
      <c r="AT533" s="426">
        <f t="shared" si="458"/>
        <v>0</v>
      </c>
      <c r="AU533" s="421"/>
      <c r="AV533" s="449">
        <f t="shared" si="459"/>
        <v>83.333333333333329</v>
      </c>
      <c r="AW533" s="449">
        <f t="shared" si="459"/>
        <v>83.333333333333329</v>
      </c>
      <c r="AX533" s="449">
        <f t="shared" si="459"/>
        <v>83.333333333333329</v>
      </c>
      <c r="AY533" s="449">
        <f t="shared" si="459"/>
        <v>83.333333333333329</v>
      </c>
      <c r="AZ533" s="449">
        <f t="shared" si="459"/>
        <v>83.333333333333329</v>
      </c>
      <c r="BA533" s="449">
        <f t="shared" si="459"/>
        <v>83.333333333333329</v>
      </c>
      <c r="BB533" s="449">
        <f t="shared" si="459"/>
        <v>83.333333333333329</v>
      </c>
      <c r="BC533" s="449">
        <f t="shared" si="459"/>
        <v>83.333333333333329</v>
      </c>
      <c r="BD533" s="449">
        <f t="shared" si="459"/>
        <v>83.333333333333329</v>
      </c>
      <c r="BE533" s="449">
        <f t="shared" si="459"/>
        <v>83.333333333333329</v>
      </c>
      <c r="BF533" s="449">
        <f t="shared" si="459"/>
        <v>83.333333333333329</v>
      </c>
      <c r="BG533" s="449">
        <f t="shared" si="459"/>
        <v>83.333333333333329</v>
      </c>
      <c r="BH533" s="400"/>
      <c r="BI533" s="449">
        <f t="shared" ref="BI533:BT533" si="462">IFERROR($H533/12,0)</f>
        <v>83.333333333333329</v>
      </c>
      <c r="BJ533" s="449">
        <f t="shared" si="462"/>
        <v>83.333333333333329</v>
      </c>
      <c r="BK533" s="449">
        <f t="shared" si="462"/>
        <v>83.333333333333329</v>
      </c>
      <c r="BL533" s="449">
        <f t="shared" si="462"/>
        <v>83.333333333333329</v>
      </c>
      <c r="BM533" s="449">
        <f t="shared" si="462"/>
        <v>83.333333333333329</v>
      </c>
      <c r="BN533" s="449">
        <f t="shared" si="462"/>
        <v>83.333333333333329</v>
      </c>
      <c r="BO533" s="449">
        <f t="shared" si="462"/>
        <v>83.333333333333329</v>
      </c>
      <c r="BP533" s="449">
        <f t="shared" si="462"/>
        <v>83.333333333333329</v>
      </c>
      <c r="BQ533" s="449">
        <f t="shared" si="462"/>
        <v>83.333333333333329</v>
      </c>
      <c r="BR533" s="449">
        <f t="shared" si="462"/>
        <v>83.333333333333329</v>
      </c>
      <c r="BS533" s="449">
        <f t="shared" si="462"/>
        <v>83.333333333333329</v>
      </c>
      <c r="BT533" s="449">
        <f t="shared" si="462"/>
        <v>83.333333333333329</v>
      </c>
    </row>
    <row r="534" spans="1:74" ht="15" x14ac:dyDescent="0.25">
      <c r="A534" s="612" t="s">
        <v>913</v>
      </c>
      <c r="B534" s="612" t="s">
        <v>914</v>
      </c>
      <c r="C534" s="538"/>
      <c r="D534" s="500">
        <f t="shared" si="445"/>
        <v>3215</v>
      </c>
      <c r="E534" s="449">
        <v>3215</v>
      </c>
      <c r="F534" s="449">
        <f t="shared" si="446"/>
        <v>0</v>
      </c>
      <c r="G534" s="421">
        <f t="shared" si="447"/>
        <v>0</v>
      </c>
      <c r="H534" s="449">
        <v>3215</v>
      </c>
      <c r="I534" s="449">
        <f t="shared" si="448"/>
        <v>0</v>
      </c>
      <c r="J534" s="426">
        <f t="shared" si="449"/>
        <v>0</v>
      </c>
      <c r="K534" s="421"/>
      <c r="L534" s="449">
        <v>0</v>
      </c>
      <c r="M534" s="449">
        <v>0</v>
      </c>
      <c r="N534" s="449">
        <v>0</v>
      </c>
      <c r="O534" s="449">
        <v>0</v>
      </c>
      <c r="P534" s="449">
        <v>0</v>
      </c>
      <c r="Q534" s="449">
        <v>0</v>
      </c>
      <c r="R534" s="449">
        <f>($H534-SUM($L534:Q534))/R$694</f>
        <v>535.83333333333337</v>
      </c>
      <c r="S534" s="449">
        <f>($H534-SUM($L534:R534))/S$694</f>
        <v>535.83333333333326</v>
      </c>
      <c r="T534" s="449">
        <f>($H534-SUM($L534:S534))/T$694</f>
        <v>535.83333333333337</v>
      </c>
      <c r="U534" s="449">
        <f>($H534-SUM($L534:T534))/U$694</f>
        <v>535.83333333333337</v>
      </c>
      <c r="V534" s="449">
        <f>($H534-SUM($L534:U534))/V$694</f>
        <v>535.83333333333326</v>
      </c>
      <c r="W534" s="449">
        <f>($H534-SUM($L534:V534))/W$694</f>
        <v>535.83333333333303</v>
      </c>
      <c r="X534" s="449"/>
      <c r="Y534" s="449">
        <f t="shared" si="450"/>
        <v>3215</v>
      </c>
      <c r="Z534" s="531"/>
      <c r="AA534" s="449">
        <f t="shared" si="451"/>
        <v>267.91666666666669</v>
      </c>
      <c r="AB534" s="449">
        <f t="shared" si="451"/>
        <v>267.91666666666669</v>
      </c>
      <c r="AC534" s="449">
        <f t="shared" si="451"/>
        <v>267.91666666666669</v>
      </c>
      <c r="AD534" s="449">
        <f t="shared" si="451"/>
        <v>267.91666666666669</v>
      </c>
      <c r="AE534" s="449">
        <f t="shared" si="451"/>
        <v>267.91666666666669</v>
      </c>
      <c r="AF534" s="449">
        <f t="shared" si="451"/>
        <v>267.91666666666669</v>
      </c>
      <c r="AG534" s="449">
        <f t="shared" si="451"/>
        <v>267.91666666666669</v>
      </c>
      <c r="AH534" s="449">
        <f t="shared" si="451"/>
        <v>267.91666666666669</v>
      </c>
      <c r="AI534" s="449">
        <f t="shared" si="451"/>
        <v>267.91666666666669</v>
      </c>
      <c r="AJ534" s="449">
        <f t="shared" si="451"/>
        <v>267.91666666666669</v>
      </c>
      <c r="AK534" s="449">
        <f t="shared" si="451"/>
        <v>267.91666666666669</v>
      </c>
      <c r="AL534" s="449">
        <f t="shared" si="451"/>
        <v>267.91666666666669</v>
      </c>
      <c r="AN534" s="500">
        <f t="shared" si="452"/>
        <v>3215</v>
      </c>
      <c r="AO534" s="449">
        <f t="shared" si="453"/>
        <v>3535.2088353413656</v>
      </c>
      <c r="AP534" s="449">
        <f t="shared" si="454"/>
        <v>320.20883534136556</v>
      </c>
      <c r="AQ534" s="453">
        <f t="shared" si="455"/>
        <v>9.9598393574297214E-2</v>
      </c>
      <c r="AR534" s="449">
        <f t="shared" si="456"/>
        <v>3535.2088353413656</v>
      </c>
      <c r="AS534" s="449">
        <f t="shared" si="457"/>
        <v>0</v>
      </c>
      <c r="AT534" s="426">
        <f t="shared" si="458"/>
        <v>0</v>
      </c>
      <c r="AU534" s="421"/>
      <c r="AV534" s="449">
        <f t="shared" si="459"/>
        <v>294.60073627844713</v>
      </c>
      <c r="AW534" s="449">
        <f t="shared" si="459"/>
        <v>294.60073627844713</v>
      </c>
      <c r="AX534" s="449">
        <f t="shared" si="459"/>
        <v>294.60073627844713</v>
      </c>
      <c r="AY534" s="449">
        <f t="shared" si="459"/>
        <v>294.60073627844713</v>
      </c>
      <c r="AZ534" s="449">
        <f t="shared" si="459"/>
        <v>294.60073627844713</v>
      </c>
      <c r="BA534" s="449">
        <f t="shared" si="459"/>
        <v>294.60073627844713</v>
      </c>
      <c r="BB534" s="449">
        <f t="shared" si="459"/>
        <v>294.60073627844713</v>
      </c>
      <c r="BC534" s="449">
        <f t="shared" si="459"/>
        <v>294.60073627844713</v>
      </c>
      <c r="BD534" s="449">
        <f t="shared" si="459"/>
        <v>294.60073627844713</v>
      </c>
      <c r="BE534" s="449">
        <f t="shared" si="459"/>
        <v>294.60073627844713</v>
      </c>
      <c r="BF534" s="449">
        <f t="shared" si="459"/>
        <v>294.60073627844713</v>
      </c>
      <c r="BG534" s="449">
        <f t="shared" si="459"/>
        <v>294.60073627844713</v>
      </c>
      <c r="BH534" s="400"/>
      <c r="BI534" s="449">
        <f t="shared" ref="BI534:BT534" si="463">IFERROR((($H534/$H$5)*BI$5)/12,0)</f>
        <v>294.60073627844713</v>
      </c>
      <c r="BJ534" s="449">
        <f t="shared" si="463"/>
        <v>294.60073627844713</v>
      </c>
      <c r="BK534" s="449">
        <f t="shared" si="463"/>
        <v>294.60073627844713</v>
      </c>
      <c r="BL534" s="449">
        <f t="shared" si="463"/>
        <v>294.60073627844713</v>
      </c>
      <c r="BM534" s="449">
        <f t="shared" si="463"/>
        <v>294.60073627844713</v>
      </c>
      <c r="BN534" s="449">
        <f t="shared" si="463"/>
        <v>294.60073627844713</v>
      </c>
      <c r="BO534" s="449">
        <f t="shared" si="463"/>
        <v>294.60073627844713</v>
      </c>
      <c r="BP534" s="449">
        <f t="shared" si="463"/>
        <v>294.60073627844713</v>
      </c>
      <c r="BQ534" s="449">
        <f t="shared" si="463"/>
        <v>294.60073627844713</v>
      </c>
      <c r="BR534" s="449">
        <f t="shared" si="463"/>
        <v>294.60073627844713</v>
      </c>
      <c r="BS534" s="449">
        <f t="shared" si="463"/>
        <v>294.60073627844713</v>
      </c>
      <c r="BT534" s="449">
        <f t="shared" si="463"/>
        <v>294.60073627844713</v>
      </c>
    </row>
    <row r="535" spans="1:74" ht="15" hidden="1" x14ac:dyDescent="0.25">
      <c r="A535" s="614" t="s">
        <v>915</v>
      </c>
      <c r="B535" s="614" t="s">
        <v>916</v>
      </c>
      <c r="C535" s="630"/>
      <c r="D535" s="500">
        <f t="shared" si="445"/>
        <v>0</v>
      </c>
      <c r="E535" s="449">
        <v>0</v>
      </c>
      <c r="F535" s="449">
        <f t="shared" si="446"/>
        <v>0</v>
      </c>
      <c r="G535" s="421">
        <f t="shared" si="447"/>
        <v>0</v>
      </c>
      <c r="H535" s="449">
        <v>0</v>
      </c>
      <c r="I535" s="449">
        <f t="shared" si="448"/>
        <v>0</v>
      </c>
      <c r="J535" s="426">
        <f t="shared" si="449"/>
        <v>0</v>
      </c>
      <c r="K535" s="421"/>
      <c r="L535" s="449">
        <v>0</v>
      </c>
      <c r="M535" s="449">
        <v>0</v>
      </c>
      <c r="N535" s="449">
        <v>0</v>
      </c>
      <c r="O535" s="449">
        <v>0</v>
      </c>
      <c r="P535" s="449">
        <v>0</v>
      </c>
      <c r="Q535" s="449">
        <v>0</v>
      </c>
      <c r="R535" s="449">
        <f>($H535-SUM($L535:Q535))/R$694</f>
        <v>0</v>
      </c>
      <c r="S535" s="449">
        <f>($H535-SUM($L535:R535))/S$694</f>
        <v>0</v>
      </c>
      <c r="T535" s="449">
        <f>($H535-SUM($L535:S535))/T$694</f>
        <v>0</v>
      </c>
      <c r="U535" s="449">
        <f>($H535-SUM($L535:T535))/U$694</f>
        <v>0</v>
      </c>
      <c r="V535" s="449">
        <f>($H535-SUM($L535:U535))/V$694</f>
        <v>0</v>
      </c>
      <c r="W535" s="449">
        <f>($H535-SUM($L535:V535))/W$694</f>
        <v>0</v>
      </c>
      <c r="X535" s="449"/>
      <c r="Y535" s="449">
        <f t="shared" si="450"/>
        <v>0</v>
      </c>
      <c r="Z535" s="531"/>
      <c r="AA535" s="449">
        <f t="shared" si="451"/>
        <v>0</v>
      </c>
      <c r="AB535" s="449">
        <f t="shared" si="451"/>
        <v>0</v>
      </c>
      <c r="AC535" s="449">
        <f t="shared" si="451"/>
        <v>0</v>
      </c>
      <c r="AD535" s="449">
        <f t="shared" si="451"/>
        <v>0</v>
      </c>
      <c r="AE535" s="449">
        <f t="shared" si="451"/>
        <v>0</v>
      </c>
      <c r="AF535" s="449">
        <f t="shared" si="451"/>
        <v>0</v>
      </c>
      <c r="AG535" s="449">
        <f t="shared" si="451"/>
        <v>0</v>
      </c>
      <c r="AH535" s="449">
        <f t="shared" si="451"/>
        <v>0</v>
      </c>
      <c r="AI535" s="449">
        <f t="shared" si="451"/>
        <v>0</v>
      </c>
      <c r="AJ535" s="449">
        <f t="shared" si="451"/>
        <v>0</v>
      </c>
      <c r="AK535" s="449">
        <f t="shared" si="451"/>
        <v>0</v>
      </c>
      <c r="AL535" s="449">
        <f t="shared" si="451"/>
        <v>0</v>
      </c>
      <c r="AN535" s="500">
        <f t="shared" si="452"/>
        <v>0</v>
      </c>
      <c r="AO535" s="449">
        <f t="shared" si="453"/>
        <v>0</v>
      </c>
      <c r="AP535" s="449">
        <f t="shared" si="454"/>
        <v>0</v>
      </c>
      <c r="AQ535" s="453" t="str">
        <f t="shared" si="455"/>
        <v>-</v>
      </c>
      <c r="AR535" s="449">
        <f t="shared" si="456"/>
        <v>0</v>
      </c>
      <c r="AS535" s="449">
        <f t="shared" si="457"/>
        <v>0</v>
      </c>
      <c r="AT535" s="426">
        <f t="shared" si="458"/>
        <v>0</v>
      </c>
      <c r="AU535" s="421"/>
      <c r="AV535" s="449">
        <f t="shared" si="459"/>
        <v>0</v>
      </c>
      <c r="AW535" s="449">
        <f t="shared" si="459"/>
        <v>0</v>
      </c>
      <c r="AX535" s="449">
        <f t="shared" si="459"/>
        <v>0</v>
      </c>
      <c r="AY535" s="449">
        <f t="shared" si="459"/>
        <v>0</v>
      </c>
      <c r="AZ535" s="449">
        <f t="shared" si="459"/>
        <v>0</v>
      </c>
      <c r="BA535" s="449">
        <f t="shared" si="459"/>
        <v>0</v>
      </c>
      <c r="BB535" s="449">
        <f t="shared" si="459"/>
        <v>0</v>
      </c>
      <c r="BC535" s="449">
        <f t="shared" si="459"/>
        <v>0</v>
      </c>
      <c r="BD535" s="449">
        <f t="shared" si="459"/>
        <v>0</v>
      </c>
      <c r="BE535" s="449">
        <f t="shared" si="459"/>
        <v>0</v>
      </c>
      <c r="BF535" s="449">
        <f t="shared" si="459"/>
        <v>0</v>
      </c>
      <c r="BG535" s="449">
        <f t="shared" si="459"/>
        <v>0</v>
      </c>
      <c r="BH535" s="400"/>
      <c r="BI535" s="449">
        <v>0</v>
      </c>
      <c r="BJ535" s="449">
        <v>0</v>
      </c>
      <c r="BK535" s="449">
        <v>0</v>
      </c>
      <c r="BL535" s="449">
        <v>0</v>
      </c>
      <c r="BM535" s="449">
        <v>0</v>
      </c>
      <c r="BN535" s="449">
        <v>0</v>
      </c>
      <c r="BO535" s="449">
        <v>0</v>
      </c>
      <c r="BP535" s="449">
        <v>0</v>
      </c>
      <c r="BQ535" s="449">
        <v>0</v>
      </c>
      <c r="BR535" s="449">
        <v>0</v>
      </c>
      <c r="BS535" s="449">
        <v>0</v>
      </c>
      <c r="BT535" s="449">
        <v>0</v>
      </c>
    </row>
    <row r="536" spans="1:74" ht="15" hidden="1" x14ac:dyDescent="0.25">
      <c r="A536" s="614" t="s">
        <v>917</v>
      </c>
      <c r="B536" s="614" t="s">
        <v>918</v>
      </c>
      <c r="C536" s="541"/>
      <c r="D536" s="500">
        <f t="shared" si="445"/>
        <v>0</v>
      </c>
      <c r="E536" s="449">
        <v>0</v>
      </c>
      <c r="F536" s="449">
        <f t="shared" si="446"/>
        <v>0</v>
      </c>
      <c r="G536" s="421">
        <f t="shared" si="447"/>
        <v>0</v>
      </c>
      <c r="H536" s="449">
        <v>0</v>
      </c>
      <c r="I536" s="449">
        <f t="shared" si="448"/>
        <v>0</v>
      </c>
      <c r="J536" s="426">
        <f t="shared" si="449"/>
        <v>0</v>
      </c>
      <c r="K536" s="421"/>
      <c r="L536" s="449">
        <v>0</v>
      </c>
      <c r="M536" s="449">
        <v>0</v>
      </c>
      <c r="N536" s="449">
        <v>0</v>
      </c>
      <c r="O536" s="449">
        <v>0</v>
      </c>
      <c r="P536" s="449">
        <v>0</v>
      </c>
      <c r="Q536" s="449">
        <v>0</v>
      </c>
      <c r="R536" s="449">
        <f>($H536-SUM($L536:Q536))/R$694</f>
        <v>0</v>
      </c>
      <c r="S536" s="449">
        <f>($H536-SUM($L536:R536))/S$694</f>
        <v>0</v>
      </c>
      <c r="T536" s="449">
        <f>($H536-SUM($L536:S536))/T$694</f>
        <v>0</v>
      </c>
      <c r="U536" s="449">
        <f>($H536-SUM($L536:T536))/U$694</f>
        <v>0</v>
      </c>
      <c r="V536" s="449">
        <f>($H536-SUM($L536:U536))/V$694</f>
        <v>0</v>
      </c>
      <c r="W536" s="449">
        <f>($H536-SUM($L536:V536))/W$694</f>
        <v>0</v>
      </c>
      <c r="X536" s="449"/>
      <c r="Y536" s="449">
        <f t="shared" si="450"/>
        <v>0</v>
      </c>
      <c r="Z536" s="531"/>
      <c r="AA536" s="449">
        <f t="shared" si="451"/>
        <v>0</v>
      </c>
      <c r="AB536" s="449">
        <f t="shared" si="451"/>
        <v>0</v>
      </c>
      <c r="AC536" s="449">
        <f t="shared" si="451"/>
        <v>0</v>
      </c>
      <c r="AD536" s="449">
        <f t="shared" si="451"/>
        <v>0</v>
      </c>
      <c r="AE536" s="449">
        <f t="shared" si="451"/>
        <v>0</v>
      </c>
      <c r="AF536" s="449">
        <f t="shared" si="451"/>
        <v>0</v>
      </c>
      <c r="AG536" s="449">
        <f t="shared" si="451"/>
        <v>0</v>
      </c>
      <c r="AH536" s="449">
        <f t="shared" si="451"/>
        <v>0</v>
      </c>
      <c r="AI536" s="449">
        <f t="shared" si="451"/>
        <v>0</v>
      </c>
      <c r="AJ536" s="449">
        <f t="shared" si="451"/>
        <v>0</v>
      </c>
      <c r="AK536" s="449">
        <f t="shared" si="451"/>
        <v>0</v>
      </c>
      <c r="AL536" s="449">
        <f t="shared" si="451"/>
        <v>0</v>
      </c>
      <c r="AN536" s="500">
        <f t="shared" si="452"/>
        <v>0</v>
      </c>
      <c r="AO536" s="449">
        <f t="shared" si="453"/>
        <v>0</v>
      </c>
      <c r="AP536" s="449">
        <f t="shared" si="454"/>
        <v>0</v>
      </c>
      <c r="AQ536" s="453" t="str">
        <f t="shared" si="455"/>
        <v>-</v>
      </c>
      <c r="AR536" s="449">
        <f t="shared" si="456"/>
        <v>0</v>
      </c>
      <c r="AS536" s="449">
        <f t="shared" si="457"/>
        <v>0</v>
      </c>
      <c r="AT536" s="426">
        <f t="shared" si="458"/>
        <v>0</v>
      </c>
      <c r="AU536" s="421"/>
      <c r="AV536" s="449">
        <f t="shared" si="459"/>
        <v>0</v>
      </c>
      <c r="AW536" s="449">
        <f t="shared" si="459"/>
        <v>0</v>
      </c>
      <c r="AX536" s="449">
        <f t="shared" si="459"/>
        <v>0</v>
      </c>
      <c r="AY536" s="449">
        <f t="shared" si="459"/>
        <v>0</v>
      </c>
      <c r="AZ536" s="449">
        <f t="shared" si="459"/>
        <v>0</v>
      </c>
      <c r="BA536" s="449">
        <f t="shared" si="459"/>
        <v>0</v>
      </c>
      <c r="BB536" s="449">
        <f t="shared" si="459"/>
        <v>0</v>
      </c>
      <c r="BC536" s="449">
        <f t="shared" si="459"/>
        <v>0</v>
      </c>
      <c r="BD536" s="449">
        <f t="shared" si="459"/>
        <v>0</v>
      </c>
      <c r="BE536" s="449">
        <f t="shared" si="459"/>
        <v>0</v>
      </c>
      <c r="BF536" s="449">
        <f t="shared" si="459"/>
        <v>0</v>
      </c>
      <c r="BG536" s="449">
        <f t="shared" si="459"/>
        <v>0</v>
      </c>
      <c r="BH536" s="400"/>
      <c r="BI536" s="449">
        <v>0</v>
      </c>
      <c r="BJ536" s="449">
        <v>0</v>
      </c>
      <c r="BK536" s="449">
        <v>0</v>
      </c>
      <c r="BL536" s="449">
        <v>0</v>
      </c>
      <c r="BM536" s="449">
        <v>0</v>
      </c>
      <c r="BN536" s="449">
        <v>0</v>
      </c>
      <c r="BO536" s="449">
        <v>0</v>
      </c>
      <c r="BP536" s="449">
        <v>0</v>
      </c>
      <c r="BQ536" s="449">
        <v>0</v>
      </c>
      <c r="BR536" s="449">
        <v>0</v>
      </c>
      <c r="BS536" s="449">
        <v>0</v>
      </c>
      <c r="BT536" s="449">
        <v>0</v>
      </c>
    </row>
    <row r="537" spans="1:74" ht="15" hidden="1" x14ac:dyDescent="0.25">
      <c r="A537" s="614" t="s">
        <v>919</v>
      </c>
      <c r="B537" s="614" t="s">
        <v>920</v>
      </c>
      <c r="C537" s="541"/>
      <c r="D537" s="500">
        <f t="shared" si="445"/>
        <v>0</v>
      </c>
      <c r="E537" s="449">
        <v>0</v>
      </c>
      <c r="F537" s="449">
        <f t="shared" si="446"/>
        <v>0</v>
      </c>
      <c r="G537" s="421">
        <f t="shared" si="447"/>
        <v>0</v>
      </c>
      <c r="H537" s="449">
        <v>0</v>
      </c>
      <c r="I537" s="449">
        <f t="shared" si="448"/>
        <v>0</v>
      </c>
      <c r="J537" s="426">
        <f t="shared" si="449"/>
        <v>0</v>
      </c>
      <c r="K537" s="421"/>
      <c r="L537" s="449">
        <v>0</v>
      </c>
      <c r="M537" s="449">
        <v>0</v>
      </c>
      <c r="N537" s="449">
        <v>0</v>
      </c>
      <c r="O537" s="449">
        <v>0</v>
      </c>
      <c r="P537" s="449">
        <v>0</v>
      </c>
      <c r="Q537" s="449">
        <v>0</v>
      </c>
      <c r="R537" s="449">
        <f>($H537-SUM($L537:Q537))/R$694</f>
        <v>0</v>
      </c>
      <c r="S537" s="449">
        <f>($H537-SUM($L537:R537))/S$694</f>
        <v>0</v>
      </c>
      <c r="T537" s="449">
        <f>($H537-SUM($L537:S537))/T$694</f>
        <v>0</v>
      </c>
      <c r="U537" s="449">
        <f>($H537-SUM($L537:T537))/U$694</f>
        <v>0</v>
      </c>
      <c r="V537" s="449">
        <f>($H537-SUM($L537:U537))/V$694</f>
        <v>0</v>
      </c>
      <c r="W537" s="449">
        <f>($H537-SUM($L537:V537))/W$694</f>
        <v>0</v>
      </c>
      <c r="X537" s="449"/>
      <c r="Y537" s="449">
        <f t="shared" si="450"/>
        <v>0</v>
      </c>
      <c r="Z537" s="531"/>
      <c r="AA537" s="449">
        <f t="shared" si="451"/>
        <v>0</v>
      </c>
      <c r="AB537" s="449">
        <f t="shared" si="451"/>
        <v>0</v>
      </c>
      <c r="AC537" s="449">
        <f t="shared" si="451"/>
        <v>0</v>
      </c>
      <c r="AD537" s="449">
        <f t="shared" si="451"/>
        <v>0</v>
      </c>
      <c r="AE537" s="449">
        <f t="shared" si="451"/>
        <v>0</v>
      </c>
      <c r="AF537" s="449">
        <f t="shared" si="451"/>
        <v>0</v>
      </c>
      <c r="AG537" s="449">
        <f t="shared" si="451"/>
        <v>0</v>
      </c>
      <c r="AH537" s="449">
        <f t="shared" si="451"/>
        <v>0</v>
      </c>
      <c r="AI537" s="449">
        <f t="shared" si="451"/>
        <v>0</v>
      </c>
      <c r="AJ537" s="449">
        <f t="shared" si="451"/>
        <v>0</v>
      </c>
      <c r="AK537" s="449">
        <f t="shared" si="451"/>
        <v>0</v>
      </c>
      <c r="AL537" s="449">
        <f t="shared" si="451"/>
        <v>0</v>
      </c>
      <c r="AN537" s="500">
        <f t="shared" si="452"/>
        <v>0</v>
      </c>
      <c r="AO537" s="449">
        <f t="shared" si="453"/>
        <v>0</v>
      </c>
      <c r="AP537" s="449">
        <f t="shared" si="454"/>
        <v>0</v>
      </c>
      <c r="AQ537" s="453" t="str">
        <f t="shared" si="455"/>
        <v>-</v>
      </c>
      <c r="AR537" s="449">
        <f t="shared" si="456"/>
        <v>0</v>
      </c>
      <c r="AS537" s="449">
        <f t="shared" si="457"/>
        <v>0</v>
      </c>
      <c r="AT537" s="426">
        <f t="shared" si="458"/>
        <v>0</v>
      </c>
      <c r="AU537" s="421"/>
      <c r="AV537" s="449">
        <f t="shared" si="459"/>
        <v>0</v>
      </c>
      <c r="AW537" s="449">
        <f t="shared" si="459"/>
        <v>0</v>
      </c>
      <c r="AX537" s="449">
        <f t="shared" si="459"/>
        <v>0</v>
      </c>
      <c r="AY537" s="449">
        <f t="shared" si="459"/>
        <v>0</v>
      </c>
      <c r="AZ537" s="449">
        <f t="shared" si="459"/>
        <v>0</v>
      </c>
      <c r="BA537" s="449">
        <f t="shared" si="459"/>
        <v>0</v>
      </c>
      <c r="BB537" s="449">
        <f t="shared" si="459"/>
        <v>0</v>
      </c>
      <c r="BC537" s="449">
        <f t="shared" si="459"/>
        <v>0</v>
      </c>
      <c r="BD537" s="449">
        <f t="shared" si="459"/>
        <v>0</v>
      </c>
      <c r="BE537" s="449">
        <f t="shared" si="459"/>
        <v>0</v>
      </c>
      <c r="BF537" s="449">
        <f t="shared" si="459"/>
        <v>0</v>
      </c>
      <c r="BG537" s="449">
        <f t="shared" si="459"/>
        <v>0</v>
      </c>
      <c r="BH537" s="400"/>
      <c r="BI537" s="449">
        <v>0</v>
      </c>
      <c r="BJ537" s="449">
        <v>0</v>
      </c>
      <c r="BK537" s="449">
        <v>0</v>
      </c>
      <c r="BL537" s="449">
        <v>0</v>
      </c>
      <c r="BM537" s="449">
        <v>0</v>
      </c>
      <c r="BN537" s="449">
        <v>0</v>
      </c>
      <c r="BO537" s="449">
        <v>0</v>
      </c>
      <c r="BP537" s="449">
        <v>0</v>
      </c>
      <c r="BQ537" s="449">
        <v>0</v>
      </c>
      <c r="BR537" s="449">
        <v>0</v>
      </c>
      <c r="BS537" s="449">
        <v>0</v>
      </c>
      <c r="BT537" s="449">
        <v>0</v>
      </c>
    </row>
    <row r="538" spans="1:74" ht="15" hidden="1" x14ac:dyDescent="0.25">
      <c r="A538" s="614" t="s">
        <v>921</v>
      </c>
      <c r="B538" s="614" t="s">
        <v>922</v>
      </c>
      <c r="C538" s="541"/>
      <c r="D538" s="500">
        <f t="shared" si="445"/>
        <v>0</v>
      </c>
      <c r="E538" s="449">
        <v>0</v>
      </c>
      <c r="F538" s="449">
        <f t="shared" si="446"/>
        <v>0</v>
      </c>
      <c r="G538" s="421">
        <f t="shared" si="447"/>
        <v>0</v>
      </c>
      <c r="H538" s="449">
        <v>0</v>
      </c>
      <c r="I538" s="449">
        <f t="shared" si="448"/>
        <v>0</v>
      </c>
      <c r="J538" s="426">
        <f t="shared" si="449"/>
        <v>0</v>
      </c>
      <c r="K538" s="421"/>
      <c r="L538" s="449">
        <v>0</v>
      </c>
      <c r="M538" s="449">
        <v>0</v>
      </c>
      <c r="N538" s="449">
        <v>0</v>
      </c>
      <c r="O538" s="449">
        <v>0</v>
      </c>
      <c r="P538" s="449">
        <v>0</v>
      </c>
      <c r="Q538" s="449">
        <v>0</v>
      </c>
      <c r="R538" s="449">
        <f>($H538-SUM($L538:Q538))/R$694</f>
        <v>0</v>
      </c>
      <c r="S538" s="449">
        <f>($H538-SUM($L538:R538))/S$694</f>
        <v>0</v>
      </c>
      <c r="T538" s="449">
        <f>($H538-SUM($L538:S538))/T$694</f>
        <v>0</v>
      </c>
      <c r="U538" s="449">
        <f>($H538-SUM($L538:T538))/U$694</f>
        <v>0</v>
      </c>
      <c r="V538" s="449">
        <f>($H538-SUM($L538:U538))/V$694</f>
        <v>0</v>
      </c>
      <c r="W538" s="449">
        <f>($H538-SUM($L538:V538))/W$694</f>
        <v>0</v>
      </c>
      <c r="X538" s="449"/>
      <c r="Y538" s="449">
        <f t="shared" si="450"/>
        <v>0</v>
      </c>
      <c r="Z538" s="531"/>
      <c r="AA538" s="449">
        <f t="shared" si="451"/>
        <v>0</v>
      </c>
      <c r="AB538" s="449">
        <f t="shared" si="451"/>
        <v>0</v>
      </c>
      <c r="AC538" s="449">
        <f t="shared" si="451"/>
        <v>0</v>
      </c>
      <c r="AD538" s="449">
        <f t="shared" si="451"/>
        <v>0</v>
      </c>
      <c r="AE538" s="449">
        <f t="shared" si="451"/>
        <v>0</v>
      </c>
      <c r="AF538" s="449">
        <f t="shared" si="451"/>
        <v>0</v>
      </c>
      <c r="AG538" s="449">
        <f t="shared" si="451"/>
        <v>0</v>
      </c>
      <c r="AH538" s="449">
        <f t="shared" si="451"/>
        <v>0</v>
      </c>
      <c r="AI538" s="449">
        <f t="shared" si="451"/>
        <v>0</v>
      </c>
      <c r="AJ538" s="449">
        <f t="shared" si="451"/>
        <v>0</v>
      </c>
      <c r="AK538" s="449">
        <f t="shared" si="451"/>
        <v>0</v>
      </c>
      <c r="AL538" s="449">
        <f t="shared" si="451"/>
        <v>0</v>
      </c>
      <c r="AN538" s="500">
        <f t="shared" si="452"/>
        <v>0</v>
      </c>
      <c r="AO538" s="449">
        <f t="shared" si="453"/>
        <v>0</v>
      </c>
      <c r="AP538" s="449">
        <f t="shared" si="454"/>
        <v>0</v>
      </c>
      <c r="AQ538" s="453" t="str">
        <f t="shared" si="455"/>
        <v>-</v>
      </c>
      <c r="AR538" s="449">
        <f t="shared" si="456"/>
        <v>0</v>
      </c>
      <c r="AS538" s="449">
        <f t="shared" si="457"/>
        <v>0</v>
      </c>
      <c r="AT538" s="426">
        <f t="shared" si="458"/>
        <v>0</v>
      </c>
      <c r="AU538" s="421"/>
      <c r="AV538" s="449">
        <f t="shared" si="459"/>
        <v>0</v>
      </c>
      <c r="AW538" s="449">
        <f t="shared" si="459"/>
        <v>0</v>
      </c>
      <c r="AX538" s="449">
        <f t="shared" si="459"/>
        <v>0</v>
      </c>
      <c r="AY538" s="449">
        <f t="shared" si="459"/>
        <v>0</v>
      </c>
      <c r="AZ538" s="449">
        <f t="shared" si="459"/>
        <v>0</v>
      </c>
      <c r="BA538" s="449">
        <f t="shared" si="459"/>
        <v>0</v>
      </c>
      <c r="BB538" s="449">
        <f t="shared" si="459"/>
        <v>0</v>
      </c>
      <c r="BC538" s="449">
        <f t="shared" si="459"/>
        <v>0</v>
      </c>
      <c r="BD538" s="449">
        <f t="shared" si="459"/>
        <v>0</v>
      </c>
      <c r="BE538" s="449">
        <f t="shared" si="459"/>
        <v>0</v>
      </c>
      <c r="BF538" s="449">
        <f t="shared" si="459"/>
        <v>0</v>
      </c>
      <c r="BG538" s="449">
        <f t="shared" si="459"/>
        <v>0</v>
      </c>
      <c r="BH538" s="400"/>
      <c r="BI538" s="449">
        <v>0</v>
      </c>
      <c r="BJ538" s="449">
        <v>0</v>
      </c>
      <c r="BK538" s="449">
        <v>0</v>
      </c>
      <c r="BL538" s="449">
        <v>0</v>
      </c>
      <c r="BM538" s="449">
        <v>0</v>
      </c>
      <c r="BN538" s="449">
        <v>0</v>
      </c>
      <c r="BO538" s="449">
        <v>0</v>
      </c>
      <c r="BP538" s="449">
        <v>0</v>
      </c>
      <c r="BQ538" s="449">
        <v>0</v>
      </c>
      <c r="BR538" s="449">
        <v>0</v>
      </c>
      <c r="BS538" s="449">
        <v>0</v>
      </c>
      <c r="BT538" s="449">
        <v>0</v>
      </c>
    </row>
    <row r="539" spans="1:74" ht="15" x14ac:dyDescent="0.25">
      <c r="A539" s="502" t="s">
        <v>923</v>
      </c>
      <c r="B539" s="502" t="s">
        <v>924</v>
      </c>
      <c r="C539" s="538" t="s">
        <v>925</v>
      </c>
      <c r="D539" s="500">
        <f t="shared" si="445"/>
        <v>75397</v>
      </c>
      <c r="E539" s="449">
        <v>75396</v>
      </c>
      <c r="F539" s="449">
        <f t="shared" si="446"/>
        <v>1</v>
      </c>
      <c r="G539" s="421">
        <f t="shared" si="447"/>
        <v>1.3263303093002282E-5</v>
      </c>
      <c r="H539" s="449">
        <v>75397</v>
      </c>
      <c r="I539" s="449">
        <f t="shared" si="448"/>
        <v>0</v>
      </c>
      <c r="J539" s="426">
        <f t="shared" si="449"/>
        <v>0</v>
      </c>
      <c r="K539" s="421"/>
      <c r="L539" s="449">
        <v>100</v>
      </c>
      <c r="M539" s="449">
        <v>47111</v>
      </c>
      <c r="N539" s="449">
        <v>0</v>
      </c>
      <c r="O539" s="449">
        <v>0</v>
      </c>
      <c r="P539" s="449">
        <v>0</v>
      </c>
      <c r="Q539" s="449">
        <v>0</v>
      </c>
      <c r="R539" s="449">
        <f>($H539-SUM($L539:Q539))/R$694</f>
        <v>4697.666666666667</v>
      </c>
      <c r="S539" s="449">
        <f>($H539-SUM($L539:R539))/S$694</f>
        <v>4697.666666666667</v>
      </c>
      <c r="T539" s="449">
        <f>($H539-SUM($L539:S539))/T$694</f>
        <v>4697.6666666666679</v>
      </c>
      <c r="U539" s="449">
        <f>($H539-SUM($L539:T539))/U$694</f>
        <v>4697.666666666667</v>
      </c>
      <c r="V539" s="449">
        <f>($H539-SUM($L539:U539))/V$694</f>
        <v>4697.6666666666642</v>
      </c>
      <c r="W539" s="449">
        <f>($H539-SUM($L539:V539))/W$694</f>
        <v>4697.666666666657</v>
      </c>
      <c r="X539" s="449"/>
      <c r="Y539" s="449">
        <f t="shared" si="450"/>
        <v>75397</v>
      </c>
      <c r="Z539" s="531"/>
      <c r="AA539" s="449">
        <f t="shared" si="451"/>
        <v>6283.083333333333</v>
      </c>
      <c r="AB539" s="449">
        <f t="shared" si="451"/>
        <v>6283.083333333333</v>
      </c>
      <c r="AC539" s="449">
        <f t="shared" si="451"/>
        <v>6283.083333333333</v>
      </c>
      <c r="AD539" s="449">
        <f t="shared" si="451"/>
        <v>6283.083333333333</v>
      </c>
      <c r="AE539" s="449">
        <f t="shared" si="451"/>
        <v>6283.083333333333</v>
      </c>
      <c r="AF539" s="449">
        <f t="shared" si="451"/>
        <v>6283.083333333333</v>
      </c>
      <c r="AG539" s="449">
        <f t="shared" si="451"/>
        <v>6283.083333333333</v>
      </c>
      <c r="AH539" s="449">
        <f t="shared" si="451"/>
        <v>6283.083333333333</v>
      </c>
      <c r="AI539" s="449">
        <f t="shared" si="451"/>
        <v>6283.083333333333</v>
      </c>
      <c r="AJ539" s="449">
        <f t="shared" si="451"/>
        <v>6283.083333333333</v>
      </c>
      <c r="AK539" s="449">
        <f t="shared" si="451"/>
        <v>6283.083333333333</v>
      </c>
      <c r="AL539" s="449">
        <f t="shared" si="451"/>
        <v>6283.083333333333</v>
      </c>
      <c r="AN539" s="500">
        <f t="shared" si="452"/>
        <v>75397</v>
      </c>
      <c r="AO539" s="449">
        <f t="shared" si="453"/>
        <v>82906.420080321303</v>
      </c>
      <c r="AP539" s="449">
        <f t="shared" si="454"/>
        <v>7509.4200803213025</v>
      </c>
      <c r="AQ539" s="453">
        <f t="shared" si="455"/>
        <v>9.9598393574297422E-2</v>
      </c>
      <c r="AR539" s="449">
        <f t="shared" si="456"/>
        <v>82906.420080321303</v>
      </c>
      <c r="AS539" s="449">
        <f t="shared" si="457"/>
        <v>0</v>
      </c>
      <c r="AT539" s="426">
        <f t="shared" si="458"/>
        <v>0</v>
      </c>
      <c r="AU539" s="421"/>
      <c r="AV539" s="449">
        <f t="shared" si="459"/>
        <v>6908.8683400267737</v>
      </c>
      <c r="AW539" s="449">
        <f t="shared" si="459"/>
        <v>6908.8683400267737</v>
      </c>
      <c r="AX539" s="449">
        <f t="shared" si="459"/>
        <v>6908.8683400267737</v>
      </c>
      <c r="AY539" s="449">
        <f t="shared" si="459"/>
        <v>6908.8683400267737</v>
      </c>
      <c r="AZ539" s="449">
        <f t="shared" si="459"/>
        <v>6908.8683400267737</v>
      </c>
      <c r="BA539" s="449">
        <f t="shared" si="459"/>
        <v>6908.8683400267737</v>
      </c>
      <c r="BB539" s="449">
        <f t="shared" si="459"/>
        <v>6908.8683400267737</v>
      </c>
      <c r="BC539" s="449">
        <f t="shared" si="459"/>
        <v>6908.8683400267737</v>
      </c>
      <c r="BD539" s="449">
        <f t="shared" si="459"/>
        <v>6908.8683400267737</v>
      </c>
      <c r="BE539" s="449">
        <f t="shared" si="459"/>
        <v>6908.8683400267737</v>
      </c>
      <c r="BF539" s="449">
        <f t="shared" si="459"/>
        <v>6908.8683400267737</v>
      </c>
      <c r="BG539" s="449">
        <f t="shared" si="459"/>
        <v>6908.8683400267737</v>
      </c>
      <c r="BH539" s="400"/>
      <c r="BI539" s="449">
        <f t="shared" ref="BI539:BT540" si="464">IFERROR((($H539/$H$5)*BI$5)/12,0)</f>
        <v>6908.8683400267737</v>
      </c>
      <c r="BJ539" s="449">
        <f t="shared" si="464"/>
        <v>6908.8683400267737</v>
      </c>
      <c r="BK539" s="449">
        <f t="shared" si="464"/>
        <v>6908.8683400267737</v>
      </c>
      <c r="BL539" s="449">
        <f t="shared" si="464"/>
        <v>6908.8683400267737</v>
      </c>
      <c r="BM539" s="449">
        <f t="shared" si="464"/>
        <v>6908.8683400267737</v>
      </c>
      <c r="BN539" s="449">
        <f t="shared" si="464"/>
        <v>6908.8683400267737</v>
      </c>
      <c r="BO539" s="449">
        <f t="shared" si="464"/>
        <v>6908.8683400267737</v>
      </c>
      <c r="BP539" s="449">
        <f t="shared" si="464"/>
        <v>6908.8683400267737</v>
      </c>
      <c r="BQ539" s="449">
        <f t="shared" si="464"/>
        <v>6908.8683400267737</v>
      </c>
      <c r="BR539" s="449">
        <f t="shared" si="464"/>
        <v>6908.8683400267737</v>
      </c>
      <c r="BS539" s="449">
        <f t="shared" si="464"/>
        <v>6908.8683400267737</v>
      </c>
      <c r="BT539" s="449">
        <f t="shared" si="464"/>
        <v>6908.8683400267737</v>
      </c>
    </row>
    <row r="540" spans="1:74" ht="15" x14ac:dyDescent="0.25">
      <c r="A540" s="502" t="s">
        <v>926</v>
      </c>
      <c r="B540" s="502" t="s">
        <v>927</v>
      </c>
      <c r="C540" s="603">
        <v>5.0000000000000001E-3</v>
      </c>
      <c r="D540" s="500">
        <f t="shared" si="445"/>
        <v>0</v>
      </c>
      <c r="E540" s="449">
        <v>0</v>
      </c>
      <c r="F540" s="449">
        <f t="shared" si="446"/>
        <v>0</v>
      </c>
      <c r="G540" s="421">
        <f t="shared" si="447"/>
        <v>0</v>
      </c>
      <c r="H540" s="449">
        <v>0</v>
      </c>
      <c r="I540" s="449">
        <f t="shared" si="448"/>
        <v>0</v>
      </c>
      <c r="J540" s="426">
        <f t="shared" si="449"/>
        <v>0</v>
      </c>
      <c r="K540" s="421"/>
      <c r="L540" s="449">
        <v>0</v>
      </c>
      <c r="M540" s="449">
        <v>0</v>
      </c>
      <c r="N540" s="449">
        <v>0</v>
      </c>
      <c r="O540" s="449">
        <v>0</v>
      </c>
      <c r="P540" s="449">
        <v>0</v>
      </c>
      <c r="Q540" s="449">
        <v>0</v>
      </c>
      <c r="R540" s="449">
        <f>($H540-SUM($L540:Q540))/R$694</f>
        <v>0</v>
      </c>
      <c r="S540" s="449">
        <f>($H540-SUM($L540:R540))/S$694</f>
        <v>0</v>
      </c>
      <c r="T540" s="449">
        <f>($H540-SUM($L540:S540))/T$694</f>
        <v>0</v>
      </c>
      <c r="U540" s="449">
        <f>($H540-SUM($L540:T540))/U$694</f>
        <v>0</v>
      </c>
      <c r="V540" s="449">
        <f>($H540-SUM($L540:U540))/V$694</f>
        <v>0</v>
      </c>
      <c r="W540" s="449">
        <f>($H540-SUM($L540:V540))/W$694</f>
        <v>0</v>
      </c>
      <c r="X540" s="449"/>
      <c r="Y540" s="449">
        <f t="shared" si="450"/>
        <v>0</v>
      </c>
      <c r="Z540" s="531"/>
      <c r="AA540" s="449">
        <f t="shared" si="451"/>
        <v>0</v>
      </c>
      <c r="AB540" s="449">
        <f t="shared" si="451"/>
        <v>0</v>
      </c>
      <c r="AC540" s="449">
        <f t="shared" si="451"/>
        <v>0</v>
      </c>
      <c r="AD540" s="449">
        <f t="shared" si="451"/>
        <v>0</v>
      </c>
      <c r="AE540" s="449">
        <f t="shared" si="451"/>
        <v>0</v>
      </c>
      <c r="AF540" s="449">
        <f t="shared" si="451"/>
        <v>0</v>
      </c>
      <c r="AG540" s="449">
        <f t="shared" si="451"/>
        <v>0</v>
      </c>
      <c r="AH540" s="449">
        <f t="shared" si="451"/>
        <v>0</v>
      </c>
      <c r="AI540" s="449">
        <f t="shared" si="451"/>
        <v>0</v>
      </c>
      <c r="AJ540" s="449">
        <f t="shared" si="451"/>
        <v>0</v>
      </c>
      <c r="AK540" s="449">
        <f t="shared" si="451"/>
        <v>0</v>
      </c>
      <c r="AL540" s="449">
        <f t="shared" si="451"/>
        <v>0</v>
      </c>
      <c r="AN540" s="500">
        <f t="shared" si="452"/>
        <v>0</v>
      </c>
      <c r="AO540" s="449">
        <f t="shared" si="453"/>
        <v>0</v>
      </c>
      <c r="AP540" s="449">
        <f t="shared" si="454"/>
        <v>0</v>
      </c>
      <c r="AQ540" s="453" t="str">
        <f t="shared" si="455"/>
        <v>-</v>
      </c>
      <c r="AR540" s="449">
        <f t="shared" si="456"/>
        <v>0</v>
      </c>
      <c r="AS540" s="449">
        <f t="shared" si="457"/>
        <v>0</v>
      </c>
      <c r="AT540" s="426">
        <f t="shared" si="458"/>
        <v>0</v>
      </c>
      <c r="AU540" s="421"/>
      <c r="AV540" s="449">
        <f t="shared" si="459"/>
        <v>0</v>
      </c>
      <c r="AW540" s="449">
        <f t="shared" si="459"/>
        <v>0</v>
      </c>
      <c r="AX540" s="449">
        <f t="shared" si="459"/>
        <v>0</v>
      </c>
      <c r="AY540" s="449">
        <f t="shared" si="459"/>
        <v>0</v>
      </c>
      <c r="AZ540" s="449">
        <f t="shared" si="459"/>
        <v>0</v>
      </c>
      <c r="BA540" s="449">
        <f t="shared" si="459"/>
        <v>0</v>
      </c>
      <c r="BB540" s="449">
        <f t="shared" si="459"/>
        <v>0</v>
      </c>
      <c r="BC540" s="449">
        <f t="shared" si="459"/>
        <v>0</v>
      </c>
      <c r="BD540" s="449">
        <f t="shared" si="459"/>
        <v>0</v>
      </c>
      <c r="BE540" s="449">
        <f t="shared" si="459"/>
        <v>0</v>
      </c>
      <c r="BF540" s="449">
        <f t="shared" si="459"/>
        <v>0</v>
      </c>
      <c r="BG540" s="449">
        <f t="shared" si="459"/>
        <v>0</v>
      </c>
      <c r="BH540" s="400"/>
      <c r="BI540" s="449">
        <f t="shared" si="464"/>
        <v>0</v>
      </c>
      <c r="BJ540" s="449">
        <f t="shared" si="464"/>
        <v>0</v>
      </c>
      <c r="BK540" s="449">
        <f t="shared" si="464"/>
        <v>0</v>
      </c>
      <c r="BL540" s="449">
        <f t="shared" si="464"/>
        <v>0</v>
      </c>
      <c r="BM540" s="449">
        <f t="shared" si="464"/>
        <v>0</v>
      </c>
      <c r="BN540" s="449">
        <f t="shared" si="464"/>
        <v>0</v>
      </c>
      <c r="BO540" s="449">
        <f t="shared" si="464"/>
        <v>0</v>
      </c>
      <c r="BP540" s="449">
        <f t="shared" si="464"/>
        <v>0</v>
      </c>
      <c r="BQ540" s="449">
        <f t="shared" si="464"/>
        <v>0</v>
      </c>
      <c r="BR540" s="449">
        <f t="shared" si="464"/>
        <v>0</v>
      </c>
      <c r="BS540" s="449">
        <f t="shared" si="464"/>
        <v>0</v>
      </c>
      <c r="BT540" s="449">
        <f t="shared" si="464"/>
        <v>0</v>
      </c>
    </row>
    <row r="541" spans="1:74" ht="15" x14ac:dyDescent="0.25">
      <c r="A541" s="502" t="s">
        <v>928</v>
      </c>
      <c r="B541" s="502" t="s">
        <v>929</v>
      </c>
      <c r="C541" s="603">
        <v>6.7000000000000002E-3</v>
      </c>
      <c r="D541" s="500">
        <f t="shared" si="445"/>
        <v>55173</v>
      </c>
      <c r="E541" s="449">
        <v>56385</v>
      </c>
      <c r="F541" s="449">
        <f t="shared" si="446"/>
        <v>-1212</v>
      </c>
      <c r="G541" s="421">
        <f t="shared" si="447"/>
        <v>-2.1495078478318701E-2</v>
      </c>
      <c r="H541" s="449">
        <v>55173</v>
      </c>
      <c r="I541" s="449">
        <f t="shared" si="448"/>
        <v>0</v>
      </c>
      <c r="J541" s="426">
        <f t="shared" si="449"/>
        <v>0</v>
      </c>
      <c r="K541" s="421"/>
      <c r="L541" s="449">
        <v>3480.46</v>
      </c>
      <c r="M541" s="449">
        <v>7106.6600000000008</v>
      </c>
      <c r="N541" s="449">
        <v>6183.24</v>
      </c>
      <c r="O541" s="449">
        <v>7987.8999999999978</v>
      </c>
      <c r="P541" s="449">
        <v>7616.4500000000007</v>
      </c>
      <c r="Q541" s="449">
        <v>7315.5200000000041</v>
      </c>
      <c r="R541" s="449">
        <f>($H541-SUM($L541:Q541))/R$694</f>
        <v>2580.4616666666661</v>
      </c>
      <c r="S541" s="449">
        <f>($H541-SUM($L541:R541))/S$694</f>
        <v>2580.461666666667</v>
      </c>
      <c r="T541" s="449">
        <f>($H541-SUM($L541:S541))/T$694</f>
        <v>2580.4616666666661</v>
      </c>
      <c r="U541" s="449">
        <f>($H541-SUM($L541:T541))/U$694</f>
        <v>2580.4616666666648</v>
      </c>
      <c r="V541" s="449">
        <f>($H541-SUM($L541:U541))/V$694</f>
        <v>2580.4616666666661</v>
      </c>
      <c r="W541" s="449">
        <f>($H541-SUM($L541:V541))/W$694</f>
        <v>2580.4616666666698</v>
      </c>
      <c r="X541" s="449"/>
      <c r="Y541" s="449">
        <f t="shared" si="450"/>
        <v>55173</v>
      </c>
      <c r="Z541" s="531"/>
      <c r="AA541" s="449">
        <f t="shared" si="451"/>
        <v>4597.75</v>
      </c>
      <c r="AB541" s="449">
        <f t="shared" si="451"/>
        <v>4597.75</v>
      </c>
      <c r="AC541" s="449">
        <f t="shared" si="451"/>
        <v>4597.75</v>
      </c>
      <c r="AD541" s="449">
        <f t="shared" si="451"/>
        <v>4597.75</v>
      </c>
      <c r="AE541" s="449">
        <f t="shared" si="451"/>
        <v>4597.75</v>
      </c>
      <c r="AF541" s="449">
        <f t="shared" si="451"/>
        <v>4597.75</v>
      </c>
      <c r="AG541" s="449">
        <f t="shared" si="451"/>
        <v>4597.75</v>
      </c>
      <c r="AH541" s="449">
        <f t="shared" si="451"/>
        <v>4597.75</v>
      </c>
      <c r="AI541" s="449">
        <f t="shared" si="451"/>
        <v>4597.75</v>
      </c>
      <c r="AJ541" s="449">
        <f t="shared" si="451"/>
        <v>4597.75</v>
      </c>
      <c r="AK541" s="449">
        <f t="shared" si="451"/>
        <v>4597.75</v>
      </c>
      <c r="AL541" s="449">
        <f t="shared" si="451"/>
        <v>4597.75</v>
      </c>
      <c r="AN541" s="500">
        <f t="shared" si="452"/>
        <v>55173</v>
      </c>
      <c r="AO541" s="449">
        <f t="shared" si="453"/>
        <v>57918.110000000015</v>
      </c>
      <c r="AP541" s="449">
        <f t="shared" si="454"/>
        <v>2745.1100000000151</v>
      </c>
      <c r="AQ541" s="453">
        <f t="shared" si="455"/>
        <v>4.975459010748038E-2</v>
      </c>
      <c r="AR541" s="449">
        <f t="shared" si="456"/>
        <v>57918.110000000015</v>
      </c>
      <c r="AS541" s="449">
        <f t="shared" si="457"/>
        <v>0</v>
      </c>
      <c r="AT541" s="426">
        <f t="shared" si="458"/>
        <v>0</v>
      </c>
      <c r="AU541" s="421"/>
      <c r="AV541" s="449">
        <f t="shared" si="459"/>
        <v>4826.5091666666667</v>
      </c>
      <c r="AW541" s="449">
        <f t="shared" si="459"/>
        <v>4826.5091666666667</v>
      </c>
      <c r="AX541" s="449">
        <f t="shared" si="459"/>
        <v>4826.5091666666667</v>
      </c>
      <c r="AY541" s="449">
        <f t="shared" si="459"/>
        <v>4826.5091666666667</v>
      </c>
      <c r="AZ541" s="449">
        <f t="shared" si="459"/>
        <v>4826.5091666666667</v>
      </c>
      <c r="BA541" s="449">
        <f t="shared" si="459"/>
        <v>4826.5091666666667</v>
      </c>
      <c r="BB541" s="449">
        <f t="shared" si="459"/>
        <v>4826.5091666666667</v>
      </c>
      <c r="BC541" s="449">
        <f t="shared" si="459"/>
        <v>4826.5091666666667</v>
      </c>
      <c r="BD541" s="449">
        <f t="shared" si="459"/>
        <v>4826.5091666666667</v>
      </c>
      <c r="BE541" s="449">
        <f t="shared" si="459"/>
        <v>4826.5091666666667</v>
      </c>
      <c r="BF541" s="449">
        <f t="shared" si="459"/>
        <v>4826.5091666666667</v>
      </c>
      <c r="BG541" s="449">
        <f t="shared" si="459"/>
        <v>4826.5091666666667</v>
      </c>
      <c r="BH541" s="400"/>
      <c r="BI541" s="449">
        <f>'FY19 Staffing V1-1 (3)'!$AB$305/12</f>
        <v>4826.5091666666667</v>
      </c>
      <c r="BJ541" s="449">
        <f>'FY19 Staffing V1-1 (3)'!$AB$305/12</f>
        <v>4826.5091666666667</v>
      </c>
      <c r="BK541" s="449">
        <f>'FY19 Staffing V1-1 (3)'!$AB$305/12</f>
        <v>4826.5091666666667</v>
      </c>
      <c r="BL541" s="449">
        <f>'FY19 Staffing V1-1 (3)'!$AB$305/12</f>
        <v>4826.5091666666667</v>
      </c>
      <c r="BM541" s="449">
        <f>'FY19 Staffing V1-1 (3)'!$AB$305/12</f>
        <v>4826.5091666666667</v>
      </c>
      <c r="BN541" s="449">
        <f>'FY19 Staffing V1-1 (3)'!$AB$305/12</f>
        <v>4826.5091666666667</v>
      </c>
      <c r="BO541" s="449">
        <f>'FY19 Staffing V1-1 (3)'!$AB$305/12</f>
        <v>4826.5091666666667</v>
      </c>
      <c r="BP541" s="449">
        <f>'FY19 Staffing V1-1 (3)'!$AB$305/12</f>
        <v>4826.5091666666667</v>
      </c>
      <c r="BQ541" s="449">
        <f>'FY19 Staffing V1-1 (3)'!$AB$305/12</f>
        <v>4826.5091666666667</v>
      </c>
      <c r="BR541" s="449">
        <f>'FY19 Staffing V1-1 (3)'!$AB$305/12</f>
        <v>4826.5091666666667</v>
      </c>
      <c r="BS541" s="449">
        <f>'FY19 Staffing V1-1 (3)'!$AB$305/12</f>
        <v>4826.5091666666667</v>
      </c>
      <c r="BT541" s="449">
        <f>'FY19 Staffing V1-1 (3)'!$AB$305/12</f>
        <v>4826.5091666666667</v>
      </c>
    </row>
    <row r="542" spans="1:74" s="536" customFormat="1" ht="15" hidden="1" x14ac:dyDescent="0.25">
      <c r="A542" s="613" t="s">
        <v>930</v>
      </c>
      <c r="B542" s="613" t="s">
        <v>931</v>
      </c>
      <c r="C542" s="595"/>
      <c r="D542" s="527"/>
      <c r="E542" s="528"/>
      <c r="F542" s="528"/>
      <c r="G542" s="507"/>
      <c r="H542" s="528"/>
      <c r="I542" s="528"/>
      <c r="J542" s="529"/>
      <c r="K542" s="507"/>
      <c r="L542" s="528"/>
      <c r="M542" s="528"/>
      <c r="N542" s="528"/>
      <c r="O542" s="528"/>
      <c r="P542" s="528"/>
      <c r="Q542" s="528"/>
      <c r="R542" s="528"/>
      <c r="S542" s="528"/>
      <c r="T542" s="528"/>
      <c r="U542" s="528"/>
      <c r="V542" s="528"/>
      <c r="W542" s="528"/>
      <c r="X542" s="528"/>
      <c r="Y542" s="528">
        <v>0</v>
      </c>
      <c r="Z542" s="530"/>
      <c r="AA542" s="528"/>
      <c r="AB542" s="528"/>
      <c r="AC542" s="528"/>
      <c r="AD542" s="528"/>
      <c r="AE542" s="528"/>
      <c r="AF542" s="528"/>
      <c r="AG542" s="528"/>
      <c r="AH542" s="528"/>
      <c r="AI542" s="528"/>
      <c r="AJ542" s="528"/>
      <c r="AK542" s="528"/>
      <c r="AL542" s="528"/>
      <c r="AN542" s="527"/>
      <c r="AO542" s="528"/>
      <c r="AP542" s="528"/>
      <c r="AQ542" s="499"/>
      <c r="AR542" s="528"/>
      <c r="AS542" s="528"/>
      <c r="AT542" s="529"/>
      <c r="AU542" s="507"/>
      <c r="AV542" s="528"/>
      <c r="AW542" s="528"/>
      <c r="AX542" s="528"/>
      <c r="AY542" s="528"/>
      <c r="AZ542" s="528"/>
      <c r="BA542" s="528"/>
      <c r="BB542" s="528"/>
      <c r="BC542" s="528"/>
      <c r="BD542" s="528"/>
      <c r="BE542" s="528"/>
      <c r="BF542" s="528"/>
      <c r="BG542" s="528"/>
      <c r="BH542" s="530"/>
      <c r="BI542" s="528"/>
      <c r="BJ542" s="528"/>
      <c r="BK542" s="528"/>
      <c r="BL542" s="528"/>
      <c r="BM542" s="528"/>
      <c r="BN542" s="528"/>
      <c r="BO542" s="528"/>
      <c r="BP542" s="528"/>
      <c r="BQ542" s="528"/>
      <c r="BR542" s="528"/>
      <c r="BS542" s="528"/>
      <c r="BT542" s="528"/>
      <c r="BV542" s="400"/>
    </row>
    <row r="543" spans="1:74" s="536" customFormat="1" ht="15" hidden="1" x14ac:dyDescent="0.25">
      <c r="A543" s="613" t="s">
        <v>932</v>
      </c>
      <c r="B543" s="613" t="s">
        <v>933</v>
      </c>
      <c r="C543" s="595"/>
      <c r="D543" s="527"/>
      <c r="E543" s="528"/>
      <c r="F543" s="528"/>
      <c r="G543" s="507"/>
      <c r="H543" s="528"/>
      <c r="I543" s="528"/>
      <c r="J543" s="529"/>
      <c r="K543" s="507"/>
      <c r="L543" s="528"/>
      <c r="M543" s="528"/>
      <c r="N543" s="528"/>
      <c r="O543" s="528"/>
      <c r="P543" s="528"/>
      <c r="Q543" s="528"/>
      <c r="R543" s="528"/>
      <c r="S543" s="528"/>
      <c r="T543" s="528"/>
      <c r="U543" s="528"/>
      <c r="V543" s="528"/>
      <c r="W543" s="528"/>
      <c r="X543" s="528"/>
      <c r="Y543" s="528">
        <v>0</v>
      </c>
      <c r="Z543" s="530"/>
      <c r="AA543" s="528"/>
      <c r="AB543" s="528"/>
      <c r="AC543" s="528"/>
      <c r="AD543" s="528"/>
      <c r="AE543" s="528"/>
      <c r="AF543" s="528"/>
      <c r="AG543" s="528"/>
      <c r="AH543" s="528"/>
      <c r="AI543" s="528"/>
      <c r="AJ543" s="528"/>
      <c r="AK543" s="528"/>
      <c r="AL543" s="528"/>
      <c r="AN543" s="527"/>
      <c r="AO543" s="528"/>
      <c r="AP543" s="528"/>
      <c r="AQ543" s="499"/>
      <c r="AR543" s="528"/>
      <c r="AS543" s="528"/>
      <c r="AT543" s="529"/>
      <c r="AU543" s="507"/>
      <c r="AV543" s="528"/>
      <c r="AW543" s="528"/>
      <c r="AX543" s="528"/>
      <c r="AY543" s="528"/>
      <c r="AZ543" s="528"/>
      <c r="BA543" s="528"/>
      <c r="BB543" s="528"/>
      <c r="BC543" s="528"/>
      <c r="BD543" s="528"/>
      <c r="BE543" s="528"/>
      <c r="BF543" s="528"/>
      <c r="BG543" s="528"/>
      <c r="BH543" s="530"/>
      <c r="BI543" s="528"/>
      <c r="BJ543" s="528"/>
      <c r="BK543" s="528"/>
      <c r="BL543" s="528"/>
      <c r="BM543" s="528"/>
      <c r="BN543" s="528"/>
      <c r="BO543" s="528"/>
      <c r="BP543" s="528"/>
      <c r="BQ543" s="528"/>
      <c r="BR543" s="528"/>
      <c r="BS543" s="528"/>
      <c r="BT543" s="528"/>
      <c r="BV543" s="400"/>
    </row>
    <row r="544" spans="1:74" ht="15" hidden="1" x14ac:dyDescent="0.25">
      <c r="A544" s="614" t="s">
        <v>934</v>
      </c>
      <c r="B544" s="614" t="s">
        <v>935</v>
      </c>
      <c r="C544" s="541"/>
      <c r="D544" s="500"/>
      <c r="E544" s="449"/>
      <c r="F544" s="449"/>
      <c r="G544" s="421"/>
      <c r="H544" s="449"/>
      <c r="I544" s="449"/>
      <c r="J544" s="426"/>
      <c r="K544" s="421"/>
      <c r="L544" s="449"/>
      <c r="M544" s="449"/>
      <c r="N544" s="449"/>
      <c r="O544" s="449"/>
      <c r="P544" s="449"/>
      <c r="Q544" s="449"/>
      <c r="R544" s="449"/>
      <c r="S544" s="449"/>
      <c r="T544" s="449"/>
      <c r="U544" s="449"/>
      <c r="V544" s="449"/>
      <c r="W544" s="449"/>
      <c r="X544" s="449"/>
      <c r="Y544" s="449">
        <v>0</v>
      </c>
      <c r="Z544" s="531"/>
      <c r="AA544" s="449"/>
      <c r="AB544" s="449"/>
      <c r="AC544" s="449"/>
      <c r="AD544" s="449"/>
      <c r="AE544" s="449"/>
      <c r="AF544" s="449"/>
      <c r="AG544" s="449"/>
      <c r="AH544" s="449"/>
      <c r="AI544" s="449"/>
      <c r="AJ544" s="449"/>
      <c r="AK544" s="449"/>
      <c r="AL544" s="449"/>
      <c r="AN544" s="500"/>
      <c r="AO544" s="449"/>
      <c r="AP544" s="449"/>
      <c r="AQ544" s="453"/>
      <c r="AR544" s="449"/>
      <c r="AS544" s="449"/>
      <c r="AT544" s="426"/>
      <c r="AU544" s="421"/>
      <c r="AV544" s="449"/>
      <c r="AW544" s="449"/>
      <c r="AX544" s="449"/>
      <c r="AY544" s="449"/>
      <c r="AZ544" s="449"/>
      <c r="BA544" s="449"/>
      <c r="BB544" s="449"/>
      <c r="BC544" s="449"/>
      <c r="BD544" s="449"/>
      <c r="BE544" s="449"/>
      <c r="BF544" s="449"/>
      <c r="BG544" s="449"/>
      <c r="BH544" s="531"/>
      <c r="BI544" s="449"/>
      <c r="BJ544" s="449"/>
      <c r="BK544" s="449"/>
      <c r="BL544" s="449"/>
      <c r="BM544" s="449"/>
      <c r="BN544" s="449"/>
      <c r="BO544" s="449"/>
      <c r="BP544" s="449"/>
      <c r="BQ544" s="449"/>
      <c r="BR544" s="449"/>
      <c r="BS544" s="449"/>
      <c r="BT544" s="449"/>
    </row>
    <row r="545" spans="1:74" ht="15" hidden="1" x14ac:dyDescent="0.25">
      <c r="A545" s="614" t="s">
        <v>936</v>
      </c>
      <c r="B545" s="614" t="s">
        <v>937</v>
      </c>
      <c r="C545" s="541"/>
      <c r="D545" s="500"/>
      <c r="E545" s="449"/>
      <c r="F545" s="449"/>
      <c r="G545" s="421"/>
      <c r="H545" s="449"/>
      <c r="I545" s="449"/>
      <c r="J545" s="426"/>
      <c r="K545" s="421"/>
      <c r="L545" s="449"/>
      <c r="M545" s="449"/>
      <c r="N545" s="449"/>
      <c r="O545" s="449"/>
      <c r="P545" s="449"/>
      <c r="Q545" s="449"/>
      <c r="R545" s="449"/>
      <c r="S545" s="449"/>
      <c r="T545" s="449"/>
      <c r="U545" s="449"/>
      <c r="V545" s="449"/>
      <c r="W545" s="449"/>
      <c r="X545" s="449"/>
      <c r="Y545" s="449">
        <v>0</v>
      </c>
      <c r="Z545" s="531"/>
      <c r="AA545" s="449"/>
      <c r="AB545" s="449"/>
      <c r="AC545" s="449"/>
      <c r="AD545" s="449"/>
      <c r="AE545" s="449"/>
      <c r="AF545" s="449"/>
      <c r="AG545" s="449"/>
      <c r="AH545" s="449"/>
      <c r="AI545" s="449"/>
      <c r="AJ545" s="449"/>
      <c r="AK545" s="449"/>
      <c r="AL545" s="449"/>
      <c r="AN545" s="500"/>
      <c r="AO545" s="449"/>
      <c r="AP545" s="449"/>
      <c r="AQ545" s="453"/>
      <c r="AR545" s="449"/>
      <c r="AS545" s="449"/>
      <c r="AT545" s="426"/>
      <c r="AU545" s="421"/>
      <c r="AV545" s="449"/>
      <c r="AW545" s="449"/>
      <c r="AX545" s="449"/>
      <c r="AY545" s="449"/>
      <c r="AZ545" s="449"/>
      <c r="BA545" s="449"/>
      <c r="BB545" s="449"/>
      <c r="BC545" s="449"/>
      <c r="BD545" s="449"/>
      <c r="BE545" s="449"/>
      <c r="BF545" s="449"/>
      <c r="BG545" s="449"/>
      <c r="BH545" s="531"/>
      <c r="BI545" s="449"/>
      <c r="BJ545" s="449"/>
      <c r="BK545" s="449"/>
      <c r="BL545" s="449"/>
      <c r="BM545" s="449"/>
      <c r="BN545" s="449"/>
      <c r="BO545" s="449"/>
      <c r="BP545" s="449"/>
      <c r="BQ545" s="449"/>
      <c r="BR545" s="449"/>
      <c r="BS545" s="449"/>
      <c r="BT545" s="449"/>
    </row>
    <row r="546" spans="1:74" ht="15" x14ac:dyDescent="0.25">
      <c r="A546" s="502"/>
      <c r="B546" s="502"/>
      <c r="C546" s="541"/>
      <c r="D546" s="500"/>
      <c r="E546" s="449"/>
      <c r="F546" s="449"/>
      <c r="G546" s="421"/>
      <c r="H546" s="449"/>
      <c r="I546" s="449"/>
      <c r="J546" s="426"/>
      <c r="K546" s="421"/>
      <c r="L546" s="449"/>
      <c r="M546" s="449"/>
      <c r="N546" s="449"/>
      <c r="O546" s="449"/>
      <c r="P546" s="449"/>
      <c r="Q546" s="449"/>
      <c r="R546" s="449"/>
      <c r="S546" s="449"/>
      <c r="T546" s="449"/>
      <c r="U546" s="449"/>
      <c r="V546" s="449"/>
      <c r="W546" s="449"/>
      <c r="X546" s="449"/>
      <c r="Y546" s="449"/>
      <c r="Z546" s="531"/>
      <c r="AA546" s="449"/>
      <c r="AB546" s="449"/>
      <c r="AC546" s="449"/>
      <c r="AD546" s="449"/>
      <c r="AE546" s="449"/>
      <c r="AF546" s="449"/>
      <c r="AG546" s="449"/>
      <c r="AH546" s="449"/>
      <c r="AI546" s="449"/>
      <c r="AJ546" s="449"/>
      <c r="AK546" s="449"/>
      <c r="AL546" s="449"/>
      <c r="AN546" s="500"/>
      <c r="AO546" s="449"/>
      <c r="AP546" s="449"/>
      <c r="AQ546" s="453"/>
      <c r="AR546" s="449"/>
      <c r="AS546" s="449"/>
      <c r="AT546" s="426"/>
      <c r="AU546" s="421"/>
      <c r="AV546" s="449"/>
      <c r="AW546" s="449"/>
      <c r="AX546" s="449"/>
      <c r="AY546" s="449"/>
      <c r="AZ546" s="449"/>
      <c r="BA546" s="449"/>
      <c r="BB546" s="449"/>
      <c r="BC546" s="449"/>
      <c r="BD546" s="449"/>
      <c r="BE546" s="449"/>
      <c r="BF546" s="449"/>
      <c r="BG546" s="449"/>
      <c r="BH546" s="531"/>
      <c r="BI546" s="449"/>
      <c r="BJ546" s="449"/>
      <c r="BK546" s="449"/>
      <c r="BL546" s="449"/>
      <c r="BM546" s="449"/>
      <c r="BN546" s="449"/>
      <c r="BO546" s="449"/>
      <c r="BP546" s="449"/>
      <c r="BQ546" s="449"/>
      <c r="BR546" s="449"/>
      <c r="BS546" s="449"/>
      <c r="BT546" s="449"/>
    </row>
    <row r="547" spans="1:74" s="536" customFormat="1" ht="15.75" thickBot="1" x14ac:dyDescent="0.3">
      <c r="A547" s="524"/>
      <c r="B547" s="524" t="s">
        <v>938</v>
      </c>
      <c r="C547" s="539"/>
      <c r="D547" s="532">
        <f>SUM(D531:D546)</f>
        <v>154785</v>
      </c>
      <c r="E547" s="533">
        <f>SUM(E531:E546)</f>
        <v>145996</v>
      </c>
      <c r="F547" s="533">
        <f>IFERROR(D547-E547,0)</f>
        <v>8789</v>
      </c>
      <c r="G547" s="520">
        <f>IFERROR(F547/ABS(E547),0)</f>
        <v>6.0200279459711223E-2</v>
      </c>
      <c r="H547" s="533">
        <f>SUM(H531:H546)</f>
        <v>154785</v>
      </c>
      <c r="I547" s="533">
        <f>IFERROR(D547-H547,0)</f>
        <v>0</v>
      </c>
      <c r="J547" s="521">
        <f>IFERROR(I547/ABS(H547),0)</f>
        <v>0</v>
      </c>
      <c r="K547" s="507"/>
      <c r="L547" s="533">
        <f>SUM(L531:L546)</f>
        <v>7857.61</v>
      </c>
      <c r="M547" s="533">
        <f t="shared" ref="M547:W547" si="465">SUM(M531:M546)</f>
        <v>60111.66</v>
      </c>
      <c r="N547" s="533">
        <f t="shared" si="465"/>
        <v>9772.9199999999983</v>
      </c>
      <c r="O547" s="533">
        <f t="shared" si="465"/>
        <v>7987.899999999996</v>
      </c>
      <c r="P547" s="533">
        <f t="shared" si="465"/>
        <v>8182.380000000001</v>
      </c>
      <c r="Q547" s="533">
        <f t="shared" si="465"/>
        <v>7315.5200000000041</v>
      </c>
      <c r="R547" s="533">
        <f t="shared" si="465"/>
        <v>8926.1683333333331</v>
      </c>
      <c r="S547" s="533">
        <f t="shared" si="465"/>
        <v>8926.1683333333349</v>
      </c>
      <c r="T547" s="533">
        <f t="shared" si="465"/>
        <v>8926.1683333333349</v>
      </c>
      <c r="U547" s="533">
        <f t="shared" si="465"/>
        <v>8926.1683333333312</v>
      </c>
      <c r="V547" s="533">
        <f t="shared" si="465"/>
        <v>8926.1683333333294</v>
      </c>
      <c r="W547" s="533">
        <f t="shared" si="465"/>
        <v>8926.1683333333276</v>
      </c>
      <c r="X547" s="533"/>
      <c r="Y547" s="533">
        <f>SUM(L547:W547)</f>
        <v>154785</v>
      </c>
      <c r="Z547" s="508"/>
      <c r="AA547" s="533">
        <f t="shared" ref="AA547:AL547" si="466">SUM(AA531:AA546)</f>
        <v>12898.75</v>
      </c>
      <c r="AB547" s="533">
        <f t="shared" si="466"/>
        <v>12898.75</v>
      </c>
      <c r="AC547" s="533">
        <f t="shared" si="466"/>
        <v>12898.75</v>
      </c>
      <c r="AD547" s="533">
        <f t="shared" si="466"/>
        <v>12898.75</v>
      </c>
      <c r="AE547" s="533">
        <f t="shared" si="466"/>
        <v>12898.75</v>
      </c>
      <c r="AF547" s="533">
        <f t="shared" si="466"/>
        <v>12898.75</v>
      </c>
      <c r="AG547" s="533">
        <f t="shared" si="466"/>
        <v>12898.75</v>
      </c>
      <c r="AH547" s="533">
        <f t="shared" si="466"/>
        <v>12898.75</v>
      </c>
      <c r="AI547" s="533">
        <f t="shared" si="466"/>
        <v>12898.75</v>
      </c>
      <c r="AJ547" s="533">
        <f t="shared" si="466"/>
        <v>12898.75</v>
      </c>
      <c r="AK547" s="533">
        <f t="shared" si="466"/>
        <v>12898.75</v>
      </c>
      <c r="AL547" s="533">
        <f t="shared" si="466"/>
        <v>12898.75</v>
      </c>
      <c r="AN547" s="532">
        <f>SUM(AN531:AN546)</f>
        <v>154785</v>
      </c>
      <c r="AO547" s="533">
        <f>SUM(AO531:AO546)</f>
        <v>165359.73891566269</v>
      </c>
      <c r="AP547" s="533">
        <f>IFERROR(AO547-AN547,0)</f>
        <v>10574.738915662689</v>
      </c>
      <c r="AQ547" s="523">
        <f>IFERROR(AP547/ABS(AN547),"-")</f>
        <v>6.8318886944230314E-2</v>
      </c>
      <c r="AR547" s="533">
        <f>SUM(AR531:AR546)</f>
        <v>165359.73891566269</v>
      </c>
      <c r="AS547" s="533">
        <f>IFERROR(AO547-AR547,0)</f>
        <v>0</v>
      </c>
      <c r="AT547" s="521">
        <f>IFERROR(AS547/ABS(AR547),0)</f>
        <v>0</v>
      </c>
      <c r="AU547" s="507"/>
      <c r="AV547" s="533">
        <f>SUM(AV531:AV546)</f>
        <v>13779.978242971887</v>
      </c>
      <c r="AW547" s="533">
        <f t="shared" ref="AW547:BG547" si="467">SUM(AW531:AW546)</f>
        <v>13779.978242971887</v>
      </c>
      <c r="AX547" s="533">
        <f t="shared" si="467"/>
        <v>13779.978242971887</v>
      </c>
      <c r="AY547" s="533">
        <f t="shared" si="467"/>
        <v>13779.978242971887</v>
      </c>
      <c r="AZ547" s="533">
        <f t="shared" si="467"/>
        <v>13779.978242971887</v>
      </c>
      <c r="BA547" s="533">
        <f t="shared" si="467"/>
        <v>13779.978242971887</v>
      </c>
      <c r="BB547" s="533">
        <f t="shared" si="467"/>
        <v>13779.978242971887</v>
      </c>
      <c r="BC547" s="533">
        <f t="shared" si="467"/>
        <v>13779.978242971887</v>
      </c>
      <c r="BD547" s="533">
        <f t="shared" si="467"/>
        <v>13779.978242971887</v>
      </c>
      <c r="BE547" s="533">
        <f t="shared" si="467"/>
        <v>13779.978242971887</v>
      </c>
      <c r="BF547" s="533">
        <f t="shared" si="467"/>
        <v>13779.978242971887</v>
      </c>
      <c r="BG547" s="533">
        <f t="shared" si="467"/>
        <v>13779.978242971887</v>
      </c>
      <c r="BH547" s="508"/>
      <c r="BI547" s="533">
        <f t="shared" ref="BI547:BT547" si="468">SUM(BI531:BI546)</f>
        <v>13779.978242971887</v>
      </c>
      <c r="BJ547" s="533">
        <f t="shared" si="468"/>
        <v>13779.978242971887</v>
      </c>
      <c r="BK547" s="533">
        <f t="shared" si="468"/>
        <v>13779.978242971887</v>
      </c>
      <c r="BL547" s="533">
        <f t="shared" si="468"/>
        <v>13779.978242971887</v>
      </c>
      <c r="BM547" s="533">
        <f t="shared" si="468"/>
        <v>13779.978242971887</v>
      </c>
      <c r="BN547" s="533">
        <f t="shared" si="468"/>
        <v>13779.978242971887</v>
      </c>
      <c r="BO547" s="533">
        <f t="shared" si="468"/>
        <v>13779.978242971887</v>
      </c>
      <c r="BP547" s="533">
        <f t="shared" si="468"/>
        <v>13779.978242971887</v>
      </c>
      <c r="BQ547" s="533">
        <f t="shared" si="468"/>
        <v>13779.978242971887</v>
      </c>
      <c r="BR547" s="533">
        <f t="shared" si="468"/>
        <v>13779.978242971887</v>
      </c>
      <c r="BS547" s="533">
        <f t="shared" si="468"/>
        <v>13779.978242971887</v>
      </c>
      <c r="BT547" s="533">
        <f t="shared" si="468"/>
        <v>13779.978242971887</v>
      </c>
      <c r="BV547" s="400"/>
    </row>
    <row r="548" spans="1:74" s="536" customFormat="1" ht="15.75" thickTop="1" x14ac:dyDescent="0.25">
      <c r="A548" s="524"/>
      <c r="B548" s="524"/>
      <c r="C548" s="539"/>
      <c r="D548" s="527"/>
      <c r="E548" s="528"/>
      <c r="F548" s="528"/>
      <c r="G548" s="507"/>
      <c r="H548" s="528"/>
      <c r="I548" s="528"/>
      <c r="J548" s="529"/>
      <c r="K548" s="507"/>
      <c r="L548" s="528"/>
      <c r="M548" s="528"/>
      <c r="N548" s="528"/>
      <c r="O548" s="528"/>
      <c r="P548" s="528"/>
      <c r="Q548" s="528"/>
      <c r="R548" s="528"/>
      <c r="S548" s="528"/>
      <c r="T548" s="528"/>
      <c r="U548" s="528"/>
      <c r="V548" s="528"/>
      <c r="W548" s="528"/>
      <c r="X548" s="528"/>
      <c r="Y548" s="528"/>
      <c r="Z548" s="530"/>
      <c r="AA548" s="528"/>
      <c r="AB548" s="528"/>
      <c r="AC548" s="528"/>
      <c r="AD548" s="528"/>
      <c r="AE548" s="528"/>
      <c r="AF548" s="528"/>
      <c r="AG548" s="528"/>
      <c r="AH548" s="528"/>
      <c r="AI548" s="528"/>
      <c r="AJ548" s="528"/>
      <c r="AK548" s="528"/>
      <c r="AL548" s="528"/>
      <c r="AN548" s="527"/>
      <c r="AO548" s="528"/>
      <c r="AP548" s="528"/>
      <c r="AQ548" s="499"/>
      <c r="AR548" s="528"/>
      <c r="AS548" s="528"/>
      <c r="AT548" s="529"/>
      <c r="AU548" s="507"/>
      <c r="AV548" s="528"/>
      <c r="AW548" s="528"/>
      <c r="AX548" s="528"/>
      <c r="AY548" s="528"/>
      <c r="AZ548" s="528"/>
      <c r="BA548" s="528"/>
      <c r="BB548" s="528"/>
      <c r="BC548" s="528"/>
      <c r="BD548" s="528"/>
      <c r="BE548" s="528"/>
      <c r="BF548" s="528"/>
      <c r="BG548" s="528"/>
      <c r="BH548" s="530"/>
      <c r="BI548" s="528"/>
      <c r="BJ548" s="528"/>
      <c r="BK548" s="528"/>
      <c r="BL548" s="528"/>
      <c r="BM548" s="528"/>
      <c r="BN548" s="528"/>
      <c r="BO548" s="528"/>
      <c r="BP548" s="528"/>
      <c r="BQ548" s="528"/>
      <c r="BR548" s="528"/>
      <c r="BS548" s="528"/>
      <c r="BT548" s="528"/>
      <c r="BV548" s="400"/>
    </row>
    <row r="549" spans="1:74" ht="15.75" x14ac:dyDescent="0.25">
      <c r="A549" s="502"/>
      <c r="B549" s="525" t="s">
        <v>939</v>
      </c>
      <c r="C549" s="541"/>
      <c r="D549" s="500"/>
      <c r="E549" s="449"/>
      <c r="F549" s="449"/>
      <c r="G549" s="421"/>
      <c r="H549" s="449"/>
      <c r="I549" s="449"/>
      <c r="J549" s="426"/>
      <c r="K549" s="421"/>
      <c r="L549" s="449"/>
      <c r="M549" s="449"/>
      <c r="N549" s="449"/>
      <c r="O549" s="449"/>
      <c r="P549" s="449"/>
      <c r="Q549" s="449"/>
      <c r="R549" s="449"/>
      <c r="S549" s="449"/>
      <c r="T549" s="449"/>
      <c r="U549" s="449"/>
      <c r="V549" s="449"/>
      <c r="W549" s="449"/>
      <c r="X549" s="449"/>
      <c r="Y549" s="449"/>
      <c r="Z549" s="531"/>
      <c r="AA549" s="449"/>
      <c r="AB549" s="449"/>
      <c r="AC549" s="449"/>
      <c r="AD549" s="449"/>
      <c r="AE549" s="449"/>
      <c r="AF549" s="449"/>
      <c r="AG549" s="449"/>
      <c r="AH549" s="449"/>
      <c r="AI549" s="449"/>
      <c r="AJ549" s="449"/>
      <c r="AK549" s="449"/>
      <c r="AL549" s="449"/>
      <c r="AN549" s="500"/>
      <c r="AO549" s="449"/>
      <c r="AP549" s="449"/>
      <c r="AQ549" s="453"/>
      <c r="AR549" s="449"/>
      <c r="AS549" s="449"/>
      <c r="AT549" s="426"/>
      <c r="AU549" s="421"/>
      <c r="AV549" s="449"/>
      <c r="AW549" s="449"/>
      <c r="AX549" s="449"/>
      <c r="AY549" s="449"/>
      <c r="AZ549" s="449"/>
      <c r="BA549" s="449"/>
      <c r="BB549" s="449"/>
      <c r="BC549" s="449"/>
      <c r="BD549" s="449"/>
      <c r="BE549" s="449"/>
      <c r="BF549" s="449"/>
      <c r="BG549" s="449"/>
      <c r="BH549" s="531"/>
      <c r="BI549" s="449"/>
      <c r="BJ549" s="449"/>
      <c r="BK549" s="449"/>
      <c r="BL549" s="449"/>
      <c r="BM549" s="449"/>
      <c r="BN549" s="449"/>
      <c r="BO549" s="449"/>
      <c r="BP549" s="449"/>
      <c r="BQ549" s="449"/>
      <c r="BR549" s="449"/>
      <c r="BS549" s="449"/>
      <c r="BT549" s="449"/>
    </row>
    <row r="550" spans="1:74" ht="9.75" customHeight="1" x14ac:dyDescent="0.25">
      <c r="A550" s="502"/>
      <c r="B550" s="502"/>
      <c r="C550" s="541"/>
      <c r="D550" s="500"/>
      <c r="E550" s="449"/>
      <c r="F550" s="449"/>
      <c r="G550" s="421"/>
      <c r="H550" s="449"/>
      <c r="I550" s="449"/>
      <c r="J550" s="426"/>
      <c r="K550" s="421"/>
      <c r="L550" s="449"/>
      <c r="M550" s="449"/>
      <c r="N550" s="449"/>
      <c r="O550" s="449"/>
      <c r="P550" s="449"/>
      <c r="Q550" s="449"/>
      <c r="R550" s="449"/>
      <c r="S550" s="449"/>
      <c r="T550" s="449"/>
      <c r="U550" s="449"/>
      <c r="V550" s="449"/>
      <c r="W550" s="449"/>
      <c r="X550" s="449"/>
      <c r="Y550" s="449"/>
      <c r="Z550" s="531"/>
      <c r="AA550" s="449"/>
      <c r="AB550" s="449"/>
      <c r="AC550" s="449"/>
      <c r="AD550" s="449"/>
      <c r="AE550" s="449"/>
      <c r="AF550" s="449"/>
      <c r="AG550" s="449"/>
      <c r="AH550" s="449"/>
      <c r="AI550" s="449"/>
      <c r="AJ550" s="449"/>
      <c r="AK550" s="449"/>
      <c r="AL550" s="449"/>
      <c r="AN550" s="500"/>
      <c r="AO550" s="449"/>
      <c r="AP550" s="449"/>
      <c r="AQ550" s="453"/>
      <c r="AR550" s="449"/>
      <c r="AS550" s="449"/>
      <c r="AT550" s="426"/>
      <c r="AU550" s="421"/>
      <c r="AV550" s="449"/>
      <c r="AW550" s="449"/>
      <c r="AX550" s="449"/>
      <c r="AY550" s="449"/>
      <c r="AZ550" s="449"/>
      <c r="BA550" s="449"/>
      <c r="BB550" s="449"/>
      <c r="BC550" s="449"/>
      <c r="BD550" s="449"/>
      <c r="BE550" s="449"/>
      <c r="BF550" s="449"/>
      <c r="BG550" s="449"/>
      <c r="BH550" s="531"/>
      <c r="BI550" s="449"/>
      <c r="BJ550" s="449"/>
      <c r="BK550" s="449"/>
      <c r="BL550" s="449"/>
      <c r="BM550" s="449"/>
      <c r="BN550" s="449"/>
      <c r="BO550" s="449"/>
      <c r="BP550" s="449"/>
      <c r="BQ550" s="449"/>
      <c r="BR550" s="449"/>
      <c r="BS550" s="449"/>
      <c r="BT550" s="449"/>
    </row>
    <row r="551" spans="1:74" ht="15" customHeight="1" x14ac:dyDescent="0.25">
      <c r="A551" s="502" t="s">
        <v>940</v>
      </c>
      <c r="B551" s="502" t="s">
        <v>941</v>
      </c>
      <c r="C551" s="538"/>
      <c r="D551" s="500">
        <f t="shared" ref="D551:D561" si="469">SUM(L551:W551)</f>
        <v>364491</v>
      </c>
      <c r="E551" s="449">
        <v>444000</v>
      </c>
      <c r="F551" s="449">
        <f t="shared" ref="F551:F561" si="470">IFERROR(D551-E551,0)</f>
        <v>-79509</v>
      </c>
      <c r="G551" s="421">
        <f t="shared" ref="G551:G561" si="471">IFERROR(F551/ABS(E551),0)</f>
        <v>-0.17907432432432432</v>
      </c>
      <c r="H551" s="449">
        <v>364491</v>
      </c>
      <c r="I551" s="449">
        <f t="shared" ref="I551:I561" si="472">IFERROR(D551-H551,0)</f>
        <v>0</v>
      </c>
      <c r="J551" s="426">
        <f t="shared" ref="J551:J561" si="473">IFERROR(I551/ABS(H551),0)</f>
        <v>0</v>
      </c>
      <c r="K551" s="421"/>
      <c r="L551" s="449">
        <v>6272</v>
      </c>
      <c r="M551" s="449">
        <v>104506.86</v>
      </c>
      <c r="N551" s="449">
        <v>6053</v>
      </c>
      <c r="O551" s="449">
        <v>0</v>
      </c>
      <c r="P551" s="449">
        <v>11244.990000000005</v>
      </c>
      <c r="Q551" s="449">
        <v>-11244.990000000005</v>
      </c>
      <c r="R551" s="449">
        <f>($H551-SUM($L551:Q551))/R$694</f>
        <v>41276.523333333338</v>
      </c>
      <c r="S551" s="449">
        <f>($H551-SUM($L551:R551))/S$694</f>
        <v>41276.523333333331</v>
      </c>
      <c r="T551" s="449">
        <f>($H551-SUM($L551:S551))/T$694</f>
        <v>41276.523333333331</v>
      </c>
      <c r="U551" s="449">
        <f>($H551-SUM($L551:T551))/U$694</f>
        <v>41276.523333333338</v>
      </c>
      <c r="V551" s="449">
        <f>($H551-SUM($L551:U551))/V$694</f>
        <v>41276.523333333345</v>
      </c>
      <c r="W551" s="449">
        <f>($H551-SUM($L551:V551))/W$694</f>
        <v>41276.523333333316</v>
      </c>
      <c r="X551" s="449"/>
      <c r="Y551" s="449">
        <f t="shared" ref="Y551:Y561" si="474">SUM(L551:W551)</f>
        <v>364491</v>
      </c>
      <c r="Z551" s="531"/>
      <c r="AA551" s="449">
        <f t="shared" ref="AA551:AL561" si="475">IFERROR($H551/12,0)</f>
        <v>30374.25</v>
      </c>
      <c r="AB551" s="449">
        <f t="shared" si="475"/>
        <v>30374.25</v>
      </c>
      <c r="AC551" s="449">
        <f t="shared" si="475"/>
        <v>30374.25</v>
      </c>
      <c r="AD551" s="449">
        <f t="shared" si="475"/>
        <v>30374.25</v>
      </c>
      <c r="AE551" s="449">
        <f t="shared" si="475"/>
        <v>30374.25</v>
      </c>
      <c r="AF551" s="449">
        <f t="shared" si="475"/>
        <v>30374.25</v>
      </c>
      <c r="AG551" s="449">
        <f t="shared" si="475"/>
        <v>30374.25</v>
      </c>
      <c r="AH551" s="449">
        <f t="shared" si="475"/>
        <v>30374.25</v>
      </c>
      <c r="AI551" s="449">
        <f t="shared" si="475"/>
        <v>30374.25</v>
      </c>
      <c r="AJ551" s="449">
        <f t="shared" si="475"/>
        <v>30374.25</v>
      </c>
      <c r="AK551" s="449">
        <f t="shared" si="475"/>
        <v>30374.25</v>
      </c>
      <c r="AL551" s="449">
        <f t="shared" si="475"/>
        <v>30374.25</v>
      </c>
      <c r="AN551" s="500">
        <f t="shared" ref="AN551:AN561" si="476">SUM(L551:W551)</f>
        <v>364491</v>
      </c>
      <c r="AO551" s="449">
        <f t="shared" ref="AO551:AO561" si="477">SUM(BI551:BT551)</f>
        <v>0</v>
      </c>
      <c r="AP551" s="449">
        <f t="shared" ref="AP551:AP561" si="478">IFERROR(AO551-AN551,0)</f>
        <v>-364491</v>
      </c>
      <c r="AQ551" s="453">
        <f t="shared" ref="AQ551:AQ561" si="479">IFERROR(AP551/ABS(AN551),"-")</f>
        <v>-1</v>
      </c>
      <c r="AR551" s="449">
        <f t="shared" ref="AR551:AR562" si="480">SUM(BI551:BT551)</f>
        <v>0</v>
      </c>
      <c r="AS551" s="449">
        <f t="shared" ref="AS551:AS561" si="481">IFERROR(AO551-AR551,0)</f>
        <v>0</v>
      </c>
      <c r="AT551" s="426">
        <f t="shared" ref="AT551:AT561" si="482">IFERROR(AS551/ABS(AR551),0)</f>
        <v>0</v>
      </c>
      <c r="AU551" s="421"/>
      <c r="AV551" s="449">
        <f t="shared" ref="AV551:BG561" si="483">BI551</f>
        <v>0</v>
      </c>
      <c r="AW551" s="449">
        <f t="shared" si="483"/>
        <v>0</v>
      </c>
      <c r="AX551" s="449">
        <f t="shared" si="483"/>
        <v>0</v>
      </c>
      <c r="AY551" s="449">
        <f t="shared" si="483"/>
        <v>0</v>
      </c>
      <c r="AZ551" s="449">
        <f t="shared" si="483"/>
        <v>0</v>
      </c>
      <c r="BA551" s="449">
        <f t="shared" si="483"/>
        <v>0</v>
      </c>
      <c r="BB551" s="449">
        <f t="shared" si="483"/>
        <v>0</v>
      </c>
      <c r="BC551" s="449">
        <f t="shared" si="483"/>
        <v>0</v>
      </c>
      <c r="BD551" s="449">
        <f t="shared" si="483"/>
        <v>0</v>
      </c>
      <c r="BE551" s="449">
        <f t="shared" si="483"/>
        <v>0</v>
      </c>
      <c r="BF551" s="449">
        <f t="shared" si="483"/>
        <v>0</v>
      </c>
      <c r="BG551" s="449">
        <f t="shared" si="483"/>
        <v>0</v>
      </c>
      <c r="BH551" s="400"/>
      <c r="BI551" s="449">
        <v>0</v>
      </c>
      <c r="BJ551" s="449">
        <v>0</v>
      </c>
      <c r="BK551" s="449">
        <v>0</v>
      </c>
      <c r="BL551" s="449">
        <v>0</v>
      </c>
      <c r="BM551" s="449">
        <v>0</v>
      </c>
      <c r="BN551" s="449">
        <v>0</v>
      </c>
      <c r="BO551" s="449">
        <v>0</v>
      </c>
      <c r="BP551" s="449">
        <v>0</v>
      </c>
      <c r="BQ551" s="449">
        <v>0</v>
      </c>
      <c r="BR551" s="449">
        <v>0</v>
      </c>
      <c r="BS551" s="449">
        <v>0</v>
      </c>
      <c r="BT551" s="449">
        <v>0</v>
      </c>
    </row>
    <row r="552" spans="1:74" ht="15" customHeight="1" x14ac:dyDescent="0.25">
      <c r="A552" s="537" t="s">
        <v>942</v>
      </c>
      <c r="B552" s="537" t="s">
        <v>943</v>
      </c>
      <c r="C552" s="604"/>
      <c r="D552" s="500">
        <f>SUM(L552:W552)</f>
        <v>0</v>
      </c>
      <c r="E552" s="449">
        <v>0</v>
      </c>
      <c r="F552" s="449">
        <f t="shared" si="470"/>
        <v>0</v>
      </c>
      <c r="G552" s="421">
        <f t="shared" si="471"/>
        <v>0</v>
      </c>
      <c r="H552" s="449">
        <v>0</v>
      </c>
      <c r="I552" s="449">
        <f t="shared" si="472"/>
        <v>0</v>
      </c>
      <c r="J552" s="426">
        <f t="shared" si="473"/>
        <v>0</v>
      </c>
      <c r="K552" s="421"/>
      <c r="L552" s="449">
        <v>0</v>
      </c>
      <c r="M552" s="449">
        <v>0</v>
      </c>
      <c r="N552" s="449">
        <v>0</v>
      </c>
      <c r="O552" s="449">
        <v>0</v>
      </c>
      <c r="P552" s="449">
        <v>0</v>
      </c>
      <c r="Q552" s="449">
        <v>0</v>
      </c>
      <c r="R552" s="449">
        <f>($H552-SUM($L552:Q552))/R$694</f>
        <v>0</v>
      </c>
      <c r="S552" s="449">
        <f>($H552-SUM($L552:R552))/S$694</f>
        <v>0</v>
      </c>
      <c r="T552" s="449">
        <f>($H552-SUM($L552:S552))/T$694</f>
        <v>0</v>
      </c>
      <c r="U552" s="449">
        <f>($H552-SUM($L552:T552))/U$694</f>
        <v>0</v>
      </c>
      <c r="V552" s="449">
        <f>($H552-SUM($L552:U552))/V$694</f>
        <v>0</v>
      </c>
      <c r="W552" s="449">
        <f>($H552-SUM($L552:V552))/W$694</f>
        <v>0</v>
      </c>
      <c r="X552" s="449"/>
      <c r="Y552" s="449">
        <f t="shared" si="474"/>
        <v>0</v>
      </c>
      <c r="Z552" s="501"/>
      <c r="AA552" s="449">
        <f t="shared" si="475"/>
        <v>0</v>
      </c>
      <c r="AB552" s="449">
        <f t="shared" si="475"/>
        <v>0</v>
      </c>
      <c r="AC552" s="449">
        <f t="shared" si="475"/>
        <v>0</v>
      </c>
      <c r="AD552" s="449">
        <f t="shared" si="475"/>
        <v>0</v>
      </c>
      <c r="AE552" s="449">
        <f t="shared" si="475"/>
        <v>0</v>
      </c>
      <c r="AF552" s="449">
        <f t="shared" si="475"/>
        <v>0</v>
      </c>
      <c r="AG552" s="449">
        <f t="shared" si="475"/>
        <v>0</v>
      </c>
      <c r="AH552" s="449">
        <f t="shared" si="475"/>
        <v>0</v>
      </c>
      <c r="AI552" s="449">
        <f t="shared" si="475"/>
        <v>0</v>
      </c>
      <c r="AJ552" s="449">
        <f t="shared" si="475"/>
        <v>0</v>
      </c>
      <c r="AK552" s="449">
        <f t="shared" si="475"/>
        <v>0</v>
      </c>
      <c r="AL552" s="449">
        <f t="shared" si="475"/>
        <v>0</v>
      </c>
      <c r="AN552" s="500">
        <f>SUM(L552:W552)</f>
        <v>0</v>
      </c>
      <c r="AO552" s="449">
        <f>SUM(BI552:BT552)</f>
        <v>200980.22</v>
      </c>
      <c r="AP552" s="449">
        <f t="shared" si="478"/>
        <v>200980.22</v>
      </c>
      <c r="AQ552" s="453" t="str">
        <f t="shared" si="479"/>
        <v>-</v>
      </c>
      <c r="AR552" s="449">
        <f t="shared" si="480"/>
        <v>200980.22</v>
      </c>
      <c r="AS552" s="449">
        <f t="shared" si="481"/>
        <v>0</v>
      </c>
      <c r="AT552" s="426">
        <f t="shared" si="482"/>
        <v>0</v>
      </c>
      <c r="AU552" s="421"/>
      <c r="AV552" s="449">
        <f t="shared" si="483"/>
        <v>100490.11</v>
      </c>
      <c r="AW552" s="449">
        <f t="shared" si="483"/>
        <v>0</v>
      </c>
      <c r="AX552" s="449">
        <f t="shared" si="483"/>
        <v>0</v>
      </c>
      <c r="AY552" s="449">
        <f t="shared" si="483"/>
        <v>0</v>
      </c>
      <c r="AZ552" s="449">
        <f t="shared" si="483"/>
        <v>0</v>
      </c>
      <c r="BA552" s="449">
        <f t="shared" si="483"/>
        <v>0</v>
      </c>
      <c r="BB552" s="449">
        <f t="shared" si="483"/>
        <v>100490.11</v>
      </c>
      <c r="BC552" s="449">
        <f t="shared" si="483"/>
        <v>0</v>
      </c>
      <c r="BD552" s="449">
        <f t="shared" si="483"/>
        <v>0</v>
      </c>
      <c r="BE552" s="449">
        <f t="shared" si="483"/>
        <v>0</v>
      </c>
      <c r="BF552" s="449">
        <f t="shared" si="483"/>
        <v>0</v>
      </c>
      <c r="BG552" s="449">
        <f t="shared" si="483"/>
        <v>0</v>
      </c>
      <c r="BH552" s="400"/>
      <c r="BI552" s="449">
        <f>0.5*200980.22</f>
        <v>100490.11</v>
      </c>
      <c r="BJ552" s="449">
        <f t="shared" ref="BI552:BT554" si="484">IFERROR((($H552/$H$5)*BJ$5)/12,0)</f>
        <v>0</v>
      </c>
      <c r="BK552" s="449">
        <f t="shared" si="484"/>
        <v>0</v>
      </c>
      <c r="BL552" s="449">
        <f t="shared" si="484"/>
        <v>0</v>
      </c>
      <c r="BM552" s="449">
        <f t="shared" si="484"/>
        <v>0</v>
      </c>
      <c r="BN552" s="449">
        <f t="shared" si="484"/>
        <v>0</v>
      </c>
      <c r="BO552" s="449">
        <f>0.5*200980.22</f>
        <v>100490.11</v>
      </c>
      <c r="BP552" s="449">
        <f t="shared" si="484"/>
        <v>0</v>
      </c>
      <c r="BQ552" s="449">
        <f t="shared" si="484"/>
        <v>0</v>
      </c>
      <c r="BR552" s="449">
        <f t="shared" si="484"/>
        <v>0</v>
      </c>
      <c r="BS552" s="449">
        <f t="shared" si="484"/>
        <v>0</v>
      </c>
      <c r="BT552" s="449">
        <f t="shared" si="484"/>
        <v>0</v>
      </c>
    </row>
    <row r="553" spans="1:74" ht="15" customHeight="1" x14ac:dyDescent="0.25">
      <c r="A553" s="618" t="s">
        <v>944</v>
      </c>
      <c r="B553" s="537" t="s">
        <v>945</v>
      </c>
      <c r="C553" s="604"/>
      <c r="D553" s="500">
        <f>SUM(L553:W553)</f>
        <v>0</v>
      </c>
      <c r="E553" s="449">
        <v>0</v>
      </c>
      <c r="F553" s="449">
        <f t="shared" si="470"/>
        <v>0</v>
      </c>
      <c r="G553" s="421">
        <f t="shared" si="471"/>
        <v>0</v>
      </c>
      <c r="H553" s="449">
        <v>0</v>
      </c>
      <c r="I553" s="449">
        <f t="shared" si="472"/>
        <v>0</v>
      </c>
      <c r="J553" s="426">
        <f t="shared" si="473"/>
        <v>0</v>
      </c>
      <c r="K553" s="421"/>
      <c r="L553" s="449">
        <v>0</v>
      </c>
      <c r="M553" s="449">
        <v>0</v>
      </c>
      <c r="N553" s="449">
        <v>0</v>
      </c>
      <c r="O553" s="449">
        <v>0</v>
      </c>
      <c r="P553" s="449">
        <v>0</v>
      </c>
      <c r="Q553" s="449">
        <v>0</v>
      </c>
      <c r="R553" s="449">
        <f>($H553-SUM($L553:Q553))/R$694</f>
        <v>0</v>
      </c>
      <c r="S553" s="449">
        <f>($H553-SUM($L553:R553))/S$694</f>
        <v>0</v>
      </c>
      <c r="T553" s="449">
        <f>($H553-SUM($L553:S553))/T$694</f>
        <v>0</v>
      </c>
      <c r="U553" s="449">
        <f>($H553-SUM($L553:T553))/U$694</f>
        <v>0</v>
      </c>
      <c r="V553" s="449">
        <f>($H553-SUM($L553:U553))/V$694</f>
        <v>0</v>
      </c>
      <c r="W553" s="449">
        <f>($H553-SUM($L553:V553))/W$694</f>
        <v>0</v>
      </c>
      <c r="X553" s="449"/>
      <c r="Y553" s="449">
        <f t="shared" si="474"/>
        <v>0</v>
      </c>
      <c r="Z553" s="501"/>
      <c r="AA553" s="449">
        <f t="shared" si="475"/>
        <v>0</v>
      </c>
      <c r="AB553" s="449">
        <f t="shared" si="475"/>
        <v>0</v>
      </c>
      <c r="AC553" s="449">
        <f t="shared" si="475"/>
        <v>0</v>
      </c>
      <c r="AD553" s="449">
        <f t="shared" si="475"/>
        <v>0</v>
      </c>
      <c r="AE553" s="449">
        <f t="shared" si="475"/>
        <v>0</v>
      </c>
      <c r="AF553" s="449">
        <f t="shared" si="475"/>
        <v>0</v>
      </c>
      <c r="AG553" s="449">
        <f t="shared" si="475"/>
        <v>0</v>
      </c>
      <c r="AH553" s="449">
        <f t="shared" si="475"/>
        <v>0</v>
      </c>
      <c r="AI553" s="449">
        <f t="shared" si="475"/>
        <v>0</v>
      </c>
      <c r="AJ553" s="449">
        <f t="shared" si="475"/>
        <v>0</v>
      </c>
      <c r="AK553" s="449">
        <f t="shared" si="475"/>
        <v>0</v>
      </c>
      <c r="AL553" s="449">
        <f t="shared" si="475"/>
        <v>0</v>
      </c>
      <c r="AN553" s="500">
        <f>SUM(L553:W553)</f>
        <v>0</v>
      </c>
      <c r="AO553" s="449">
        <f>SUM(BI553:BT553)</f>
        <v>0</v>
      </c>
      <c r="AP553" s="449">
        <f t="shared" si="478"/>
        <v>0</v>
      </c>
      <c r="AQ553" s="453" t="str">
        <f t="shared" si="479"/>
        <v>-</v>
      </c>
      <c r="AR553" s="449">
        <f t="shared" si="480"/>
        <v>0</v>
      </c>
      <c r="AS553" s="449">
        <f t="shared" si="481"/>
        <v>0</v>
      </c>
      <c r="AT553" s="426">
        <f t="shared" si="482"/>
        <v>0</v>
      </c>
      <c r="AU553" s="421"/>
      <c r="AV553" s="449">
        <f t="shared" si="483"/>
        <v>0</v>
      </c>
      <c r="AW553" s="449">
        <f t="shared" si="483"/>
        <v>0</v>
      </c>
      <c r="AX553" s="449">
        <f t="shared" si="483"/>
        <v>0</v>
      </c>
      <c r="AY553" s="449">
        <f t="shared" si="483"/>
        <v>0</v>
      </c>
      <c r="AZ553" s="449">
        <f t="shared" si="483"/>
        <v>0</v>
      </c>
      <c r="BA553" s="449">
        <f t="shared" si="483"/>
        <v>0</v>
      </c>
      <c r="BB553" s="449">
        <f t="shared" si="483"/>
        <v>0</v>
      </c>
      <c r="BC553" s="449">
        <f t="shared" si="483"/>
        <v>0</v>
      </c>
      <c r="BD553" s="449">
        <f t="shared" si="483"/>
        <v>0</v>
      </c>
      <c r="BE553" s="449">
        <f t="shared" si="483"/>
        <v>0</v>
      </c>
      <c r="BF553" s="449">
        <f t="shared" si="483"/>
        <v>0</v>
      </c>
      <c r="BG553" s="449">
        <f t="shared" si="483"/>
        <v>0</v>
      </c>
      <c r="BH553" s="400"/>
      <c r="BI553" s="449">
        <f t="shared" si="484"/>
        <v>0</v>
      </c>
      <c r="BJ553" s="449">
        <f t="shared" si="484"/>
        <v>0</v>
      </c>
      <c r="BK553" s="449">
        <f t="shared" si="484"/>
        <v>0</v>
      </c>
      <c r="BL553" s="449">
        <f t="shared" si="484"/>
        <v>0</v>
      </c>
      <c r="BM553" s="449">
        <f t="shared" si="484"/>
        <v>0</v>
      </c>
      <c r="BN553" s="449">
        <f t="shared" si="484"/>
        <v>0</v>
      </c>
      <c r="BO553" s="449">
        <f t="shared" si="484"/>
        <v>0</v>
      </c>
      <c r="BP553" s="449">
        <f t="shared" si="484"/>
        <v>0</v>
      </c>
      <c r="BQ553" s="449">
        <f t="shared" si="484"/>
        <v>0</v>
      </c>
      <c r="BR553" s="449">
        <f t="shared" si="484"/>
        <v>0</v>
      </c>
      <c r="BS553" s="449">
        <f t="shared" si="484"/>
        <v>0</v>
      </c>
      <c r="BT553" s="449">
        <f t="shared" si="484"/>
        <v>0</v>
      </c>
    </row>
    <row r="554" spans="1:74" ht="15" customHeight="1" x14ac:dyDescent="0.25">
      <c r="A554" s="618" t="s">
        <v>946</v>
      </c>
      <c r="B554" s="537" t="s">
        <v>947</v>
      </c>
      <c r="C554" s="604"/>
      <c r="D554" s="500">
        <f>SUM(L554:W554)</f>
        <v>0</v>
      </c>
      <c r="E554" s="449">
        <v>0</v>
      </c>
      <c r="F554" s="449">
        <f t="shared" si="470"/>
        <v>0</v>
      </c>
      <c r="G554" s="421">
        <f t="shared" si="471"/>
        <v>0</v>
      </c>
      <c r="H554" s="449">
        <v>0</v>
      </c>
      <c r="I554" s="449">
        <f t="shared" si="472"/>
        <v>0</v>
      </c>
      <c r="J554" s="426">
        <f t="shared" si="473"/>
        <v>0</v>
      </c>
      <c r="K554" s="421"/>
      <c r="L554" s="449">
        <v>0</v>
      </c>
      <c r="M554" s="449">
        <v>0</v>
      </c>
      <c r="N554" s="449">
        <v>0</v>
      </c>
      <c r="O554" s="449">
        <v>0</v>
      </c>
      <c r="P554" s="449">
        <v>0</v>
      </c>
      <c r="Q554" s="449">
        <v>0</v>
      </c>
      <c r="R554" s="449">
        <f>($H554-SUM($L554:Q554))/R$694</f>
        <v>0</v>
      </c>
      <c r="S554" s="449">
        <f>($H554-SUM($L554:R554))/S$694</f>
        <v>0</v>
      </c>
      <c r="T554" s="449">
        <f>($H554-SUM($L554:S554))/T$694</f>
        <v>0</v>
      </c>
      <c r="U554" s="449">
        <f>($H554-SUM($L554:T554))/U$694</f>
        <v>0</v>
      </c>
      <c r="V554" s="449">
        <f>($H554-SUM($L554:U554))/V$694</f>
        <v>0</v>
      </c>
      <c r="W554" s="449">
        <f>($H554-SUM($L554:V554))/W$694</f>
        <v>0</v>
      </c>
      <c r="X554" s="449"/>
      <c r="Y554" s="449">
        <f t="shared" si="474"/>
        <v>0</v>
      </c>
      <c r="Z554" s="501"/>
      <c r="AA554" s="449">
        <f t="shared" si="475"/>
        <v>0</v>
      </c>
      <c r="AB554" s="449">
        <f t="shared" si="475"/>
        <v>0</v>
      </c>
      <c r="AC554" s="449">
        <f t="shared" si="475"/>
        <v>0</v>
      </c>
      <c r="AD554" s="449">
        <f t="shared" si="475"/>
        <v>0</v>
      </c>
      <c r="AE554" s="449">
        <f t="shared" si="475"/>
        <v>0</v>
      </c>
      <c r="AF554" s="449">
        <f t="shared" si="475"/>
        <v>0</v>
      </c>
      <c r="AG554" s="449">
        <f t="shared" si="475"/>
        <v>0</v>
      </c>
      <c r="AH554" s="449">
        <f t="shared" si="475"/>
        <v>0</v>
      </c>
      <c r="AI554" s="449">
        <f t="shared" si="475"/>
        <v>0</v>
      </c>
      <c r="AJ554" s="449">
        <f t="shared" si="475"/>
        <v>0</v>
      </c>
      <c r="AK554" s="449">
        <f t="shared" si="475"/>
        <v>0</v>
      </c>
      <c r="AL554" s="449">
        <f t="shared" si="475"/>
        <v>0</v>
      </c>
      <c r="AN554" s="500">
        <f>SUM(L554:W554)</f>
        <v>0</v>
      </c>
      <c r="AO554" s="449">
        <f>SUM(BI554:BT554)</f>
        <v>0</v>
      </c>
      <c r="AP554" s="449">
        <f t="shared" si="478"/>
        <v>0</v>
      </c>
      <c r="AQ554" s="453" t="str">
        <f t="shared" si="479"/>
        <v>-</v>
      </c>
      <c r="AR554" s="449">
        <f t="shared" si="480"/>
        <v>0</v>
      </c>
      <c r="AS554" s="449">
        <f t="shared" si="481"/>
        <v>0</v>
      </c>
      <c r="AT554" s="426">
        <f t="shared" si="482"/>
        <v>0</v>
      </c>
      <c r="AU554" s="421"/>
      <c r="AV554" s="449">
        <f t="shared" si="483"/>
        <v>0</v>
      </c>
      <c r="AW554" s="449">
        <f t="shared" si="483"/>
        <v>0</v>
      </c>
      <c r="AX554" s="449">
        <f t="shared" si="483"/>
        <v>0</v>
      </c>
      <c r="AY554" s="449">
        <f t="shared" si="483"/>
        <v>0</v>
      </c>
      <c r="AZ554" s="449">
        <f t="shared" si="483"/>
        <v>0</v>
      </c>
      <c r="BA554" s="449">
        <f t="shared" si="483"/>
        <v>0</v>
      </c>
      <c r="BB554" s="449">
        <f t="shared" si="483"/>
        <v>0</v>
      </c>
      <c r="BC554" s="449">
        <f t="shared" si="483"/>
        <v>0</v>
      </c>
      <c r="BD554" s="449">
        <f t="shared" si="483"/>
        <v>0</v>
      </c>
      <c r="BE554" s="449">
        <f t="shared" si="483"/>
        <v>0</v>
      </c>
      <c r="BF554" s="449">
        <f t="shared" si="483"/>
        <v>0</v>
      </c>
      <c r="BG554" s="449">
        <f t="shared" si="483"/>
        <v>0</v>
      </c>
      <c r="BH554" s="400"/>
      <c r="BI554" s="449">
        <f t="shared" si="484"/>
        <v>0</v>
      </c>
      <c r="BJ554" s="449">
        <f t="shared" si="484"/>
        <v>0</v>
      </c>
      <c r="BK554" s="449">
        <f t="shared" si="484"/>
        <v>0</v>
      </c>
      <c r="BL554" s="449">
        <f t="shared" si="484"/>
        <v>0</v>
      </c>
      <c r="BM554" s="449">
        <f t="shared" si="484"/>
        <v>0</v>
      </c>
      <c r="BN554" s="449">
        <f t="shared" si="484"/>
        <v>0</v>
      </c>
      <c r="BO554" s="449">
        <f t="shared" si="484"/>
        <v>0</v>
      </c>
      <c r="BP554" s="449">
        <f t="shared" si="484"/>
        <v>0</v>
      </c>
      <c r="BQ554" s="449">
        <f t="shared" si="484"/>
        <v>0</v>
      </c>
      <c r="BR554" s="449">
        <f t="shared" si="484"/>
        <v>0</v>
      </c>
      <c r="BS554" s="449">
        <f t="shared" si="484"/>
        <v>0</v>
      </c>
      <c r="BT554" s="449">
        <f t="shared" si="484"/>
        <v>0</v>
      </c>
    </row>
    <row r="555" spans="1:74" ht="15" customHeight="1" x14ac:dyDescent="0.25">
      <c r="A555" s="502" t="s">
        <v>948</v>
      </c>
      <c r="B555" s="502" t="s">
        <v>949</v>
      </c>
      <c r="C555" s="604"/>
      <c r="D555" s="500">
        <f t="shared" si="469"/>
        <v>0</v>
      </c>
      <c r="E555" s="449">
        <v>0</v>
      </c>
      <c r="F555" s="449">
        <f t="shared" si="470"/>
        <v>0</v>
      </c>
      <c r="G555" s="421">
        <f t="shared" si="471"/>
        <v>0</v>
      </c>
      <c r="H555" s="449">
        <v>0</v>
      </c>
      <c r="I555" s="449">
        <f t="shared" si="472"/>
        <v>0</v>
      </c>
      <c r="J555" s="426">
        <f t="shared" si="473"/>
        <v>0</v>
      </c>
      <c r="K555" s="421"/>
      <c r="L555" s="449">
        <v>0</v>
      </c>
      <c r="M555" s="449">
        <v>0</v>
      </c>
      <c r="N555" s="449">
        <v>0</v>
      </c>
      <c r="O555" s="449">
        <v>0</v>
      </c>
      <c r="P555" s="449">
        <v>0</v>
      </c>
      <c r="Q555" s="449">
        <v>0</v>
      </c>
      <c r="R555" s="449">
        <f>($H555-SUM($L555:Q555))/R$694</f>
        <v>0</v>
      </c>
      <c r="S555" s="449">
        <f>($H555-SUM($L555:R555))/S$694</f>
        <v>0</v>
      </c>
      <c r="T555" s="449">
        <f>($H555-SUM($L555:S555))/T$694</f>
        <v>0</v>
      </c>
      <c r="U555" s="449">
        <f>($H555-SUM($L555:T555))/U$694</f>
        <v>0</v>
      </c>
      <c r="V555" s="449">
        <f>($H555-SUM($L555:U555))/V$694</f>
        <v>0</v>
      </c>
      <c r="W555" s="449">
        <f>($H555-SUM($L555:V555))/W$694</f>
        <v>0</v>
      </c>
      <c r="X555" s="449"/>
      <c r="Y555" s="449">
        <f t="shared" si="474"/>
        <v>0</v>
      </c>
      <c r="Z555" s="501"/>
      <c r="AA555" s="449">
        <f t="shared" si="475"/>
        <v>0</v>
      </c>
      <c r="AB555" s="449">
        <f t="shared" si="475"/>
        <v>0</v>
      </c>
      <c r="AC555" s="449">
        <f t="shared" si="475"/>
        <v>0</v>
      </c>
      <c r="AD555" s="449">
        <f t="shared" si="475"/>
        <v>0</v>
      </c>
      <c r="AE555" s="449">
        <f t="shared" si="475"/>
        <v>0</v>
      </c>
      <c r="AF555" s="449">
        <f t="shared" si="475"/>
        <v>0</v>
      </c>
      <c r="AG555" s="449">
        <f t="shared" si="475"/>
        <v>0</v>
      </c>
      <c r="AH555" s="449">
        <f t="shared" si="475"/>
        <v>0</v>
      </c>
      <c r="AI555" s="449">
        <f t="shared" si="475"/>
        <v>0</v>
      </c>
      <c r="AJ555" s="449">
        <f t="shared" si="475"/>
        <v>0</v>
      </c>
      <c r="AK555" s="449">
        <f t="shared" si="475"/>
        <v>0</v>
      </c>
      <c r="AL555" s="449">
        <f t="shared" si="475"/>
        <v>0</v>
      </c>
      <c r="AN555" s="500">
        <f t="shared" si="476"/>
        <v>0</v>
      </c>
      <c r="AO555" s="449">
        <f t="shared" si="477"/>
        <v>13000.000000000002</v>
      </c>
      <c r="AP555" s="449">
        <f t="shared" si="478"/>
        <v>13000.000000000002</v>
      </c>
      <c r="AQ555" s="453" t="str">
        <f t="shared" si="479"/>
        <v>-</v>
      </c>
      <c r="AR555" s="449">
        <f t="shared" si="480"/>
        <v>13000.000000000002</v>
      </c>
      <c r="AS555" s="449">
        <f t="shared" si="481"/>
        <v>0</v>
      </c>
      <c r="AT555" s="426">
        <f t="shared" si="482"/>
        <v>0</v>
      </c>
      <c r="AU555" s="421"/>
      <c r="AV555" s="449">
        <f t="shared" si="483"/>
        <v>1083.3333333333333</v>
      </c>
      <c r="AW555" s="449">
        <f t="shared" si="483"/>
        <v>1083.3333333333333</v>
      </c>
      <c r="AX555" s="449">
        <f t="shared" si="483"/>
        <v>1083.3333333333333</v>
      </c>
      <c r="AY555" s="449">
        <f t="shared" si="483"/>
        <v>1083.3333333333333</v>
      </c>
      <c r="AZ555" s="449">
        <f t="shared" si="483"/>
        <v>1083.3333333333333</v>
      </c>
      <c r="BA555" s="449">
        <f t="shared" si="483"/>
        <v>1083.3333333333333</v>
      </c>
      <c r="BB555" s="449">
        <f t="shared" si="483"/>
        <v>1083.3333333333333</v>
      </c>
      <c r="BC555" s="449">
        <f t="shared" si="483"/>
        <v>1083.3333333333333</v>
      </c>
      <c r="BD555" s="449">
        <f t="shared" si="483"/>
        <v>1083.3333333333333</v>
      </c>
      <c r="BE555" s="449">
        <f t="shared" si="483"/>
        <v>1083.3333333333333</v>
      </c>
      <c r="BF555" s="449">
        <f t="shared" si="483"/>
        <v>1083.3333333333333</v>
      </c>
      <c r="BG555" s="449">
        <f t="shared" si="483"/>
        <v>1083.3333333333333</v>
      </c>
      <c r="BH555" s="400"/>
      <c r="BI555" s="449">
        <f>13000/12</f>
        <v>1083.3333333333333</v>
      </c>
      <c r="BJ555" s="449">
        <f t="shared" ref="BJ555:BT555" si="485">13000/12</f>
        <v>1083.3333333333333</v>
      </c>
      <c r="BK555" s="449">
        <f t="shared" si="485"/>
        <v>1083.3333333333333</v>
      </c>
      <c r="BL555" s="449">
        <f t="shared" si="485"/>
        <v>1083.3333333333333</v>
      </c>
      <c r="BM555" s="449">
        <f t="shared" si="485"/>
        <v>1083.3333333333333</v>
      </c>
      <c r="BN555" s="449">
        <f t="shared" si="485"/>
        <v>1083.3333333333333</v>
      </c>
      <c r="BO555" s="449">
        <f t="shared" si="485"/>
        <v>1083.3333333333333</v>
      </c>
      <c r="BP555" s="449">
        <f t="shared" si="485"/>
        <v>1083.3333333333333</v>
      </c>
      <c r="BQ555" s="449">
        <f t="shared" si="485"/>
        <v>1083.3333333333333</v>
      </c>
      <c r="BR555" s="449">
        <f t="shared" si="485"/>
        <v>1083.3333333333333</v>
      </c>
      <c r="BS555" s="449">
        <f t="shared" si="485"/>
        <v>1083.3333333333333</v>
      </c>
      <c r="BT555" s="449">
        <f t="shared" si="485"/>
        <v>1083.3333333333333</v>
      </c>
    </row>
    <row r="556" spans="1:74" ht="15" customHeight="1" x14ac:dyDescent="0.25">
      <c r="A556" s="502" t="s">
        <v>950</v>
      </c>
      <c r="B556" s="502" t="s">
        <v>951</v>
      </c>
      <c r="C556" s="538"/>
      <c r="D556" s="500">
        <f t="shared" si="469"/>
        <v>31562</v>
      </c>
      <c r="E556" s="449">
        <v>31562.382449999997</v>
      </c>
      <c r="F556" s="449">
        <f t="shared" si="470"/>
        <v>-0.38244999999733409</v>
      </c>
      <c r="G556" s="421">
        <f t="shared" si="471"/>
        <v>-1.2117272851730941E-5</v>
      </c>
      <c r="H556" s="449">
        <v>31562</v>
      </c>
      <c r="I556" s="449">
        <f t="shared" si="472"/>
        <v>0</v>
      </c>
      <c r="J556" s="426">
        <f t="shared" si="473"/>
        <v>0</v>
      </c>
      <c r="K556" s="421"/>
      <c r="L556" s="449">
        <v>0</v>
      </c>
      <c r="M556" s="449">
        <v>0</v>
      </c>
      <c r="N556" s="449">
        <v>0</v>
      </c>
      <c r="O556" s="449">
        <v>0</v>
      </c>
      <c r="P556" s="449">
        <v>0</v>
      </c>
      <c r="Q556" s="449">
        <v>0</v>
      </c>
      <c r="R556" s="449">
        <f>($H556-SUM($L556:Q556))/R$694</f>
        <v>5260.333333333333</v>
      </c>
      <c r="S556" s="449">
        <f>($H556-SUM($L556:R556))/S$694</f>
        <v>5260.3333333333339</v>
      </c>
      <c r="T556" s="449">
        <f>($H556-SUM($L556:S556))/T$694</f>
        <v>5260.333333333333</v>
      </c>
      <c r="U556" s="449">
        <f>($H556-SUM($L556:T556))/U$694</f>
        <v>5260.333333333333</v>
      </c>
      <c r="V556" s="449">
        <f>($H556-SUM($L556:U556))/V$694</f>
        <v>5260.3333333333339</v>
      </c>
      <c r="W556" s="449">
        <f>($H556-SUM($L556:V556))/W$694</f>
        <v>5260.3333333333358</v>
      </c>
      <c r="X556" s="449"/>
      <c r="Y556" s="449">
        <f t="shared" si="474"/>
        <v>31562</v>
      </c>
      <c r="Z556" s="531"/>
      <c r="AA556" s="449">
        <f t="shared" si="475"/>
        <v>2630.1666666666665</v>
      </c>
      <c r="AB556" s="449">
        <f t="shared" si="475"/>
        <v>2630.1666666666665</v>
      </c>
      <c r="AC556" s="449">
        <f t="shared" si="475"/>
        <v>2630.1666666666665</v>
      </c>
      <c r="AD556" s="449">
        <f t="shared" si="475"/>
        <v>2630.1666666666665</v>
      </c>
      <c r="AE556" s="449">
        <f t="shared" si="475"/>
        <v>2630.1666666666665</v>
      </c>
      <c r="AF556" s="449">
        <f t="shared" si="475"/>
        <v>2630.1666666666665</v>
      </c>
      <c r="AG556" s="449">
        <f t="shared" si="475"/>
        <v>2630.1666666666665</v>
      </c>
      <c r="AH556" s="449">
        <f t="shared" si="475"/>
        <v>2630.1666666666665</v>
      </c>
      <c r="AI556" s="449">
        <f t="shared" si="475"/>
        <v>2630.1666666666665</v>
      </c>
      <c r="AJ556" s="449">
        <f t="shared" si="475"/>
        <v>2630.1666666666665</v>
      </c>
      <c r="AK556" s="449">
        <f t="shared" si="475"/>
        <v>2630.1666666666665</v>
      </c>
      <c r="AL556" s="449">
        <f t="shared" si="475"/>
        <v>2630.1666666666665</v>
      </c>
      <c r="AN556" s="500">
        <f t="shared" si="476"/>
        <v>31562</v>
      </c>
      <c r="AO556" s="449">
        <f>SUM(BF556:BQ556)</f>
        <v>44095.561370000003</v>
      </c>
      <c r="AP556" s="449">
        <f t="shared" si="478"/>
        <v>12533.561370000003</v>
      </c>
      <c r="AQ556" s="453">
        <f t="shared" si="479"/>
        <v>0.39710922533426279</v>
      </c>
      <c r="AR556" s="449">
        <f t="shared" si="480"/>
        <v>44095.561370000003</v>
      </c>
      <c r="AS556" s="449">
        <f t="shared" si="481"/>
        <v>0</v>
      </c>
      <c r="AT556" s="426">
        <f t="shared" si="482"/>
        <v>0</v>
      </c>
      <c r="AU556" s="421"/>
      <c r="AV556" s="449">
        <f t="shared" si="483"/>
        <v>0</v>
      </c>
      <c r="AW556" s="449">
        <f t="shared" si="483"/>
        <v>0</v>
      </c>
      <c r="AX556" s="449">
        <f t="shared" si="483"/>
        <v>0</v>
      </c>
      <c r="AY556" s="449">
        <f t="shared" si="483"/>
        <v>0</v>
      </c>
      <c r="AZ556" s="449">
        <f t="shared" si="483"/>
        <v>0</v>
      </c>
      <c r="BA556" s="449">
        <f t="shared" si="483"/>
        <v>0</v>
      </c>
      <c r="BB556" s="449">
        <f t="shared" si="483"/>
        <v>0</v>
      </c>
      <c r="BC556" s="449">
        <f t="shared" si="483"/>
        <v>0</v>
      </c>
      <c r="BD556" s="449">
        <f t="shared" si="483"/>
        <v>0</v>
      </c>
      <c r="BE556" s="449">
        <f t="shared" si="483"/>
        <v>0</v>
      </c>
      <c r="BF556" s="449">
        <f t="shared" si="483"/>
        <v>0</v>
      </c>
      <c r="BG556" s="449">
        <f t="shared" si="483"/>
        <v>44095.561370000003</v>
      </c>
      <c r="BH556" s="400"/>
      <c r="BI556" s="449">
        <v>0</v>
      </c>
      <c r="BJ556" s="449">
        <v>0</v>
      </c>
      <c r="BK556" s="449">
        <v>0</v>
      </c>
      <c r="BL556" s="449">
        <v>0</v>
      </c>
      <c r="BM556" s="449">
        <v>0</v>
      </c>
      <c r="BN556" s="449">
        <v>0</v>
      </c>
      <c r="BO556" s="449">
        <v>0</v>
      </c>
      <c r="BP556" s="449">
        <v>0</v>
      </c>
      <c r="BQ556" s="449">
        <v>0</v>
      </c>
      <c r="BR556" s="449">
        <v>0</v>
      </c>
      <c r="BS556" s="449">
        <v>0</v>
      </c>
      <c r="BT556" s="449">
        <f>AR589+AR592+AR594+AR596</f>
        <v>44095.561370000003</v>
      </c>
    </row>
    <row r="557" spans="1:74" ht="15" x14ac:dyDescent="0.25">
      <c r="A557" s="502" t="s">
        <v>952</v>
      </c>
      <c r="B557" s="502" t="s">
        <v>953</v>
      </c>
      <c r="C557" s="538"/>
      <c r="D557" s="500">
        <f t="shared" si="469"/>
        <v>0</v>
      </c>
      <c r="E557" s="449">
        <v>0</v>
      </c>
      <c r="F557" s="449">
        <f t="shared" si="470"/>
        <v>0</v>
      </c>
      <c r="G557" s="421">
        <f t="shared" si="471"/>
        <v>0</v>
      </c>
      <c r="H557" s="449">
        <v>0</v>
      </c>
      <c r="I557" s="449">
        <f t="shared" si="472"/>
        <v>0</v>
      </c>
      <c r="J557" s="426">
        <f t="shared" si="473"/>
        <v>0</v>
      </c>
      <c r="K557" s="421"/>
      <c r="L557" s="449">
        <v>0</v>
      </c>
      <c r="M557" s="449">
        <v>0</v>
      </c>
      <c r="N557" s="449">
        <v>0</v>
      </c>
      <c r="O557" s="449">
        <v>0</v>
      </c>
      <c r="P557" s="449">
        <v>0</v>
      </c>
      <c r="Q557" s="449">
        <v>0</v>
      </c>
      <c r="R557" s="449">
        <f>($H557-SUM($L557:Q557))/R$694</f>
        <v>0</v>
      </c>
      <c r="S557" s="449">
        <f>($H557-SUM($L557:R557))/S$694</f>
        <v>0</v>
      </c>
      <c r="T557" s="449">
        <f>($H557-SUM($L557:S557))/T$694</f>
        <v>0</v>
      </c>
      <c r="U557" s="449">
        <f>($H557-SUM($L557:T557))/U$694</f>
        <v>0</v>
      </c>
      <c r="V557" s="449">
        <f>($H557-SUM($L557:U557))/V$694</f>
        <v>0</v>
      </c>
      <c r="W557" s="449">
        <f>($H557-SUM($L557:V557))/W$694</f>
        <v>0</v>
      </c>
      <c r="X557" s="449"/>
      <c r="Y557" s="449">
        <f t="shared" si="474"/>
        <v>0</v>
      </c>
      <c r="Z557" s="531"/>
      <c r="AA557" s="449">
        <f t="shared" si="475"/>
        <v>0</v>
      </c>
      <c r="AB557" s="449">
        <f t="shared" si="475"/>
        <v>0</v>
      </c>
      <c r="AC557" s="449">
        <f t="shared" si="475"/>
        <v>0</v>
      </c>
      <c r="AD557" s="449">
        <f t="shared" si="475"/>
        <v>0</v>
      </c>
      <c r="AE557" s="449">
        <f t="shared" si="475"/>
        <v>0</v>
      </c>
      <c r="AF557" s="449">
        <f t="shared" si="475"/>
        <v>0</v>
      </c>
      <c r="AG557" s="449">
        <f t="shared" si="475"/>
        <v>0</v>
      </c>
      <c r="AH557" s="449">
        <f t="shared" si="475"/>
        <v>0</v>
      </c>
      <c r="AI557" s="449">
        <f t="shared" si="475"/>
        <v>0</v>
      </c>
      <c r="AJ557" s="449">
        <f t="shared" si="475"/>
        <v>0</v>
      </c>
      <c r="AK557" s="449">
        <f t="shared" si="475"/>
        <v>0</v>
      </c>
      <c r="AL557" s="449">
        <f t="shared" si="475"/>
        <v>0</v>
      </c>
      <c r="AN557" s="500">
        <f t="shared" si="476"/>
        <v>0</v>
      </c>
      <c r="AO557" s="449">
        <f t="shared" si="477"/>
        <v>0</v>
      </c>
      <c r="AP557" s="449">
        <f t="shared" si="478"/>
        <v>0</v>
      </c>
      <c r="AQ557" s="453" t="str">
        <f t="shared" si="479"/>
        <v>-</v>
      </c>
      <c r="AR557" s="449">
        <f t="shared" si="480"/>
        <v>0</v>
      </c>
      <c r="AS557" s="449">
        <f t="shared" si="481"/>
        <v>0</v>
      </c>
      <c r="AT557" s="426">
        <f t="shared" si="482"/>
        <v>0</v>
      </c>
      <c r="AU557" s="421"/>
      <c r="AV557" s="449">
        <f t="shared" si="483"/>
        <v>0</v>
      </c>
      <c r="AW557" s="449">
        <f t="shared" si="483"/>
        <v>0</v>
      </c>
      <c r="AX557" s="449">
        <f t="shared" si="483"/>
        <v>0</v>
      </c>
      <c r="AY557" s="449">
        <f t="shared" si="483"/>
        <v>0</v>
      </c>
      <c r="AZ557" s="449">
        <f t="shared" si="483"/>
        <v>0</v>
      </c>
      <c r="BA557" s="449">
        <f t="shared" si="483"/>
        <v>0</v>
      </c>
      <c r="BB557" s="449">
        <f t="shared" si="483"/>
        <v>0</v>
      </c>
      <c r="BC557" s="449">
        <f t="shared" si="483"/>
        <v>0</v>
      </c>
      <c r="BD557" s="449">
        <f t="shared" si="483"/>
        <v>0</v>
      </c>
      <c r="BE557" s="449">
        <f t="shared" si="483"/>
        <v>0</v>
      </c>
      <c r="BF557" s="449">
        <f t="shared" si="483"/>
        <v>0</v>
      </c>
      <c r="BG557" s="449">
        <f t="shared" si="483"/>
        <v>0</v>
      </c>
      <c r="BH557" s="400"/>
      <c r="BI557" s="449">
        <f t="shared" ref="BI557:BT560" si="486">IFERROR((($H557/$H$5)*BI$5)/12,0)</f>
        <v>0</v>
      </c>
      <c r="BJ557" s="449">
        <f t="shared" si="486"/>
        <v>0</v>
      </c>
      <c r="BK557" s="449">
        <f t="shared" si="486"/>
        <v>0</v>
      </c>
      <c r="BL557" s="449">
        <f t="shared" si="486"/>
        <v>0</v>
      </c>
      <c r="BM557" s="449">
        <f t="shared" si="486"/>
        <v>0</v>
      </c>
      <c r="BN557" s="449">
        <f t="shared" si="486"/>
        <v>0</v>
      </c>
      <c r="BO557" s="449">
        <f t="shared" si="486"/>
        <v>0</v>
      </c>
      <c r="BP557" s="449">
        <f t="shared" si="486"/>
        <v>0</v>
      </c>
      <c r="BQ557" s="449">
        <f t="shared" si="486"/>
        <v>0</v>
      </c>
      <c r="BR557" s="449">
        <f t="shared" si="486"/>
        <v>0</v>
      </c>
      <c r="BS557" s="449">
        <f t="shared" si="486"/>
        <v>0</v>
      </c>
      <c r="BT557" s="449">
        <f t="shared" si="486"/>
        <v>0</v>
      </c>
    </row>
    <row r="558" spans="1:74" ht="15" x14ac:dyDescent="0.25">
      <c r="A558" s="502" t="s">
        <v>954</v>
      </c>
      <c r="B558" s="502" t="s">
        <v>955</v>
      </c>
      <c r="C558" s="596"/>
      <c r="D558" s="500">
        <f t="shared" si="469"/>
        <v>0</v>
      </c>
      <c r="E558" s="449">
        <v>0</v>
      </c>
      <c r="F558" s="449">
        <f t="shared" si="470"/>
        <v>0</v>
      </c>
      <c r="G558" s="421">
        <f t="shared" si="471"/>
        <v>0</v>
      </c>
      <c r="H558" s="449">
        <v>0</v>
      </c>
      <c r="I558" s="449">
        <f t="shared" si="472"/>
        <v>0</v>
      </c>
      <c r="J558" s="426">
        <f t="shared" si="473"/>
        <v>0</v>
      </c>
      <c r="K558" s="421"/>
      <c r="L558" s="449">
        <v>0</v>
      </c>
      <c r="M558" s="449">
        <v>0</v>
      </c>
      <c r="N558" s="449">
        <v>0</v>
      </c>
      <c r="O558" s="449">
        <v>0</v>
      </c>
      <c r="P558" s="449">
        <v>0</v>
      </c>
      <c r="Q558" s="449">
        <v>0</v>
      </c>
      <c r="R558" s="449">
        <f>($H558-SUM($L558:Q558))/R$694</f>
        <v>0</v>
      </c>
      <c r="S558" s="449">
        <f>($H558-SUM($L558:R558))/S$694</f>
        <v>0</v>
      </c>
      <c r="T558" s="449">
        <f>($H558-SUM($L558:S558))/T$694</f>
        <v>0</v>
      </c>
      <c r="U558" s="449">
        <f>($H558-SUM($L558:T558))/U$694</f>
        <v>0</v>
      </c>
      <c r="V558" s="449">
        <f>($H558-SUM($L558:U558))/V$694</f>
        <v>0</v>
      </c>
      <c r="W558" s="449">
        <f>($H558-SUM($L558:V558))/W$694</f>
        <v>0</v>
      </c>
      <c r="X558" s="449"/>
      <c r="Y558" s="449">
        <f t="shared" si="474"/>
        <v>0</v>
      </c>
      <c r="Z558" s="531"/>
      <c r="AA558" s="449">
        <f t="shared" si="475"/>
        <v>0</v>
      </c>
      <c r="AB558" s="449">
        <f t="shared" si="475"/>
        <v>0</v>
      </c>
      <c r="AC558" s="449">
        <f t="shared" si="475"/>
        <v>0</v>
      </c>
      <c r="AD558" s="449">
        <f t="shared" si="475"/>
        <v>0</v>
      </c>
      <c r="AE558" s="449">
        <f t="shared" si="475"/>
        <v>0</v>
      </c>
      <c r="AF558" s="449">
        <f t="shared" si="475"/>
        <v>0</v>
      </c>
      <c r="AG558" s="449">
        <f t="shared" si="475"/>
        <v>0</v>
      </c>
      <c r="AH558" s="449">
        <f t="shared" si="475"/>
        <v>0</v>
      </c>
      <c r="AI558" s="449">
        <f t="shared" si="475"/>
        <v>0</v>
      </c>
      <c r="AJ558" s="449">
        <f t="shared" si="475"/>
        <v>0</v>
      </c>
      <c r="AK558" s="449">
        <f t="shared" si="475"/>
        <v>0</v>
      </c>
      <c r="AL558" s="449">
        <f t="shared" si="475"/>
        <v>0</v>
      </c>
      <c r="AN558" s="500">
        <f t="shared" si="476"/>
        <v>0</v>
      </c>
      <c r="AO558" s="449">
        <f t="shared" si="477"/>
        <v>0</v>
      </c>
      <c r="AP558" s="449">
        <f t="shared" si="478"/>
        <v>0</v>
      </c>
      <c r="AQ558" s="453" t="str">
        <f t="shared" si="479"/>
        <v>-</v>
      </c>
      <c r="AR558" s="449">
        <f t="shared" si="480"/>
        <v>0</v>
      </c>
      <c r="AS558" s="449">
        <f t="shared" si="481"/>
        <v>0</v>
      </c>
      <c r="AT558" s="426">
        <f t="shared" si="482"/>
        <v>0</v>
      </c>
      <c r="AU558" s="421"/>
      <c r="AV558" s="449">
        <f t="shared" si="483"/>
        <v>0</v>
      </c>
      <c r="AW558" s="449">
        <f t="shared" si="483"/>
        <v>0</v>
      </c>
      <c r="AX558" s="449">
        <f t="shared" si="483"/>
        <v>0</v>
      </c>
      <c r="AY558" s="449">
        <f t="shared" si="483"/>
        <v>0</v>
      </c>
      <c r="AZ558" s="449">
        <f t="shared" si="483"/>
        <v>0</v>
      </c>
      <c r="BA558" s="449">
        <f t="shared" si="483"/>
        <v>0</v>
      </c>
      <c r="BB558" s="449">
        <f t="shared" si="483"/>
        <v>0</v>
      </c>
      <c r="BC558" s="449">
        <f t="shared" si="483"/>
        <v>0</v>
      </c>
      <c r="BD558" s="449">
        <f t="shared" si="483"/>
        <v>0</v>
      </c>
      <c r="BE558" s="449">
        <f t="shared" si="483"/>
        <v>0</v>
      </c>
      <c r="BF558" s="449">
        <f t="shared" si="483"/>
        <v>0</v>
      </c>
      <c r="BG558" s="449">
        <f t="shared" si="483"/>
        <v>0</v>
      </c>
      <c r="BH558" s="400"/>
      <c r="BI558" s="449">
        <f t="shared" si="486"/>
        <v>0</v>
      </c>
      <c r="BJ558" s="449">
        <f t="shared" si="486"/>
        <v>0</v>
      </c>
      <c r="BK558" s="449">
        <f>IFERROR((($H558/$H$5)*BK$5)/12,0)</f>
        <v>0</v>
      </c>
      <c r="BL558" s="449">
        <f t="shared" si="486"/>
        <v>0</v>
      </c>
      <c r="BM558" s="449">
        <f t="shared" si="486"/>
        <v>0</v>
      </c>
      <c r="BN558" s="449">
        <f t="shared" si="486"/>
        <v>0</v>
      </c>
      <c r="BO558" s="449">
        <f t="shared" si="486"/>
        <v>0</v>
      </c>
      <c r="BP558" s="449">
        <f t="shared" si="486"/>
        <v>0</v>
      </c>
      <c r="BQ558" s="449">
        <f t="shared" si="486"/>
        <v>0</v>
      </c>
      <c r="BR558" s="449">
        <f t="shared" si="486"/>
        <v>0</v>
      </c>
      <c r="BS558" s="449">
        <f t="shared" si="486"/>
        <v>0</v>
      </c>
      <c r="BT558" s="449">
        <f t="shared" si="486"/>
        <v>0</v>
      </c>
    </row>
    <row r="559" spans="1:74" ht="15" x14ac:dyDescent="0.25">
      <c r="A559" s="502" t="s">
        <v>956</v>
      </c>
      <c r="B559" s="502" t="s">
        <v>957</v>
      </c>
      <c r="C559" s="596"/>
      <c r="D559" s="500">
        <f t="shared" si="469"/>
        <v>0</v>
      </c>
      <c r="E559" s="449">
        <v>0</v>
      </c>
      <c r="F559" s="449">
        <f t="shared" si="470"/>
        <v>0</v>
      </c>
      <c r="G559" s="421">
        <f t="shared" si="471"/>
        <v>0</v>
      </c>
      <c r="H559" s="449">
        <v>0</v>
      </c>
      <c r="I559" s="449">
        <f t="shared" si="472"/>
        <v>0</v>
      </c>
      <c r="J559" s="426">
        <f t="shared" si="473"/>
        <v>0</v>
      </c>
      <c r="K559" s="421"/>
      <c r="L559" s="449">
        <v>0</v>
      </c>
      <c r="M559" s="449">
        <v>0</v>
      </c>
      <c r="N559" s="449">
        <v>0</v>
      </c>
      <c r="O559" s="449">
        <v>0</v>
      </c>
      <c r="P559" s="449">
        <v>0</v>
      </c>
      <c r="Q559" s="449">
        <v>0</v>
      </c>
      <c r="R559" s="449">
        <f>($H559-SUM($L559:Q559))/R$694</f>
        <v>0</v>
      </c>
      <c r="S559" s="449">
        <f>($H559-SUM($L559:R559))/S$694</f>
        <v>0</v>
      </c>
      <c r="T559" s="449">
        <f>($H559-SUM($L559:S559))/T$694</f>
        <v>0</v>
      </c>
      <c r="U559" s="449">
        <f>($H559-SUM($L559:T559))/U$694</f>
        <v>0</v>
      </c>
      <c r="V559" s="449">
        <f>($H559-SUM($L559:U559))/V$694</f>
        <v>0</v>
      </c>
      <c r="W559" s="449">
        <f>($H559-SUM($L559:V559))/W$694</f>
        <v>0</v>
      </c>
      <c r="X559" s="449"/>
      <c r="Y559" s="449">
        <f t="shared" si="474"/>
        <v>0</v>
      </c>
      <c r="Z559" s="531"/>
      <c r="AA559" s="449">
        <f t="shared" si="475"/>
        <v>0</v>
      </c>
      <c r="AB559" s="449">
        <f t="shared" si="475"/>
        <v>0</v>
      </c>
      <c r="AC559" s="449">
        <f t="shared" si="475"/>
        <v>0</v>
      </c>
      <c r="AD559" s="449">
        <f t="shared" si="475"/>
        <v>0</v>
      </c>
      <c r="AE559" s="449">
        <f t="shared" si="475"/>
        <v>0</v>
      </c>
      <c r="AF559" s="449">
        <f t="shared" si="475"/>
        <v>0</v>
      </c>
      <c r="AG559" s="449">
        <f t="shared" si="475"/>
        <v>0</v>
      </c>
      <c r="AH559" s="449">
        <f t="shared" si="475"/>
        <v>0</v>
      </c>
      <c r="AI559" s="449">
        <f t="shared" si="475"/>
        <v>0</v>
      </c>
      <c r="AJ559" s="449">
        <f t="shared" si="475"/>
        <v>0</v>
      </c>
      <c r="AK559" s="449">
        <f t="shared" si="475"/>
        <v>0</v>
      </c>
      <c r="AL559" s="449">
        <f t="shared" si="475"/>
        <v>0</v>
      </c>
      <c r="AN559" s="500">
        <f t="shared" si="476"/>
        <v>0</v>
      </c>
      <c r="AO559" s="449">
        <f t="shared" si="477"/>
        <v>0</v>
      </c>
      <c r="AP559" s="449">
        <f t="shared" si="478"/>
        <v>0</v>
      </c>
      <c r="AQ559" s="453" t="str">
        <f t="shared" si="479"/>
        <v>-</v>
      </c>
      <c r="AR559" s="449">
        <f t="shared" si="480"/>
        <v>0</v>
      </c>
      <c r="AS559" s="449">
        <f t="shared" si="481"/>
        <v>0</v>
      </c>
      <c r="AT559" s="426">
        <f t="shared" si="482"/>
        <v>0</v>
      </c>
      <c r="AU559" s="421"/>
      <c r="AV559" s="449">
        <f t="shared" si="483"/>
        <v>0</v>
      </c>
      <c r="AW559" s="449">
        <f t="shared" si="483"/>
        <v>0</v>
      </c>
      <c r="AX559" s="449">
        <f t="shared" si="483"/>
        <v>0</v>
      </c>
      <c r="AY559" s="449">
        <f t="shared" si="483"/>
        <v>0</v>
      </c>
      <c r="AZ559" s="449">
        <f t="shared" si="483"/>
        <v>0</v>
      </c>
      <c r="BA559" s="449">
        <f t="shared" si="483"/>
        <v>0</v>
      </c>
      <c r="BB559" s="449">
        <f t="shared" si="483"/>
        <v>0</v>
      </c>
      <c r="BC559" s="449">
        <f t="shared" si="483"/>
        <v>0</v>
      </c>
      <c r="BD559" s="449">
        <f t="shared" si="483"/>
        <v>0</v>
      </c>
      <c r="BE559" s="449">
        <f t="shared" si="483"/>
        <v>0</v>
      </c>
      <c r="BF559" s="449">
        <f t="shared" si="483"/>
        <v>0</v>
      </c>
      <c r="BG559" s="449">
        <f t="shared" si="483"/>
        <v>0</v>
      </c>
      <c r="BH559" s="400"/>
      <c r="BI559" s="449">
        <f t="shared" si="486"/>
        <v>0</v>
      </c>
      <c r="BJ559" s="449">
        <f t="shared" si="486"/>
        <v>0</v>
      </c>
      <c r="BK559" s="449">
        <f t="shared" si="486"/>
        <v>0</v>
      </c>
      <c r="BL559" s="449">
        <f t="shared" si="486"/>
        <v>0</v>
      </c>
      <c r="BM559" s="449">
        <f t="shared" si="486"/>
        <v>0</v>
      </c>
      <c r="BN559" s="449">
        <f t="shared" si="486"/>
        <v>0</v>
      </c>
      <c r="BO559" s="449">
        <f t="shared" si="486"/>
        <v>0</v>
      </c>
      <c r="BP559" s="449">
        <f t="shared" si="486"/>
        <v>0</v>
      </c>
      <c r="BQ559" s="449">
        <f t="shared" si="486"/>
        <v>0</v>
      </c>
      <c r="BR559" s="449">
        <f t="shared" si="486"/>
        <v>0</v>
      </c>
      <c r="BS559" s="449">
        <f t="shared" si="486"/>
        <v>0</v>
      </c>
      <c r="BT559" s="449">
        <f t="shared" si="486"/>
        <v>0</v>
      </c>
    </row>
    <row r="560" spans="1:74" ht="15" x14ac:dyDescent="0.25">
      <c r="A560" s="502" t="s">
        <v>958</v>
      </c>
      <c r="B560" s="502" t="s">
        <v>959</v>
      </c>
      <c r="C560" s="538"/>
      <c r="D560" s="500">
        <f t="shared" si="469"/>
        <v>0</v>
      </c>
      <c r="E560" s="449">
        <v>0</v>
      </c>
      <c r="F560" s="449">
        <f t="shared" si="470"/>
        <v>0</v>
      </c>
      <c r="G560" s="421">
        <f t="shared" si="471"/>
        <v>0</v>
      </c>
      <c r="H560" s="449">
        <v>0</v>
      </c>
      <c r="I560" s="449">
        <f t="shared" si="472"/>
        <v>0</v>
      </c>
      <c r="J560" s="426">
        <f t="shared" si="473"/>
        <v>0</v>
      </c>
      <c r="K560" s="421"/>
      <c r="L560" s="449">
        <v>0</v>
      </c>
      <c r="M560" s="449">
        <v>0</v>
      </c>
      <c r="N560" s="449">
        <v>0</v>
      </c>
      <c r="O560" s="449">
        <v>0</v>
      </c>
      <c r="P560" s="449">
        <v>0</v>
      </c>
      <c r="Q560" s="449">
        <v>0</v>
      </c>
      <c r="R560" s="449">
        <f>($H560-SUM($L560:Q560))/R$694</f>
        <v>0</v>
      </c>
      <c r="S560" s="449">
        <f>($H560-SUM($L560:R560))/S$694</f>
        <v>0</v>
      </c>
      <c r="T560" s="449">
        <f>($H560-SUM($L560:S560))/T$694</f>
        <v>0</v>
      </c>
      <c r="U560" s="449">
        <f>($H560-SUM($L560:T560))/U$694</f>
        <v>0</v>
      </c>
      <c r="V560" s="449">
        <f>($H560-SUM($L560:U560))/V$694</f>
        <v>0</v>
      </c>
      <c r="W560" s="449">
        <f>($H560-SUM($L560:V560))/W$694</f>
        <v>0</v>
      </c>
      <c r="X560" s="449"/>
      <c r="Y560" s="449">
        <f t="shared" si="474"/>
        <v>0</v>
      </c>
      <c r="Z560" s="501"/>
      <c r="AA560" s="449">
        <f t="shared" si="475"/>
        <v>0</v>
      </c>
      <c r="AB560" s="449">
        <f t="shared" si="475"/>
        <v>0</v>
      </c>
      <c r="AC560" s="449">
        <f t="shared" si="475"/>
        <v>0</v>
      </c>
      <c r="AD560" s="449">
        <f t="shared" si="475"/>
        <v>0</v>
      </c>
      <c r="AE560" s="449">
        <f t="shared" si="475"/>
        <v>0</v>
      </c>
      <c r="AF560" s="449">
        <f t="shared" si="475"/>
        <v>0</v>
      </c>
      <c r="AG560" s="449">
        <f t="shared" si="475"/>
        <v>0</v>
      </c>
      <c r="AH560" s="449">
        <f t="shared" si="475"/>
        <v>0</v>
      </c>
      <c r="AI560" s="449">
        <f t="shared" si="475"/>
        <v>0</v>
      </c>
      <c r="AJ560" s="449">
        <f t="shared" si="475"/>
        <v>0</v>
      </c>
      <c r="AK560" s="449">
        <f t="shared" si="475"/>
        <v>0</v>
      </c>
      <c r="AL560" s="449">
        <f t="shared" si="475"/>
        <v>0</v>
      </c>
      <c r="AN560" s="500">
        <f t="shared" si="476"/>
        <v>0</v>
      </c>
      <c r="AO560" s="449">
        <f t="shared" si="477"/>
        <v>0</v>
      </c>
      <c r="AP560" s="449">
        <f t="shared" si="478"/>
        <v>0</v>
      </c>
      <c r="AQ560" s="453" t="str">
        <f t="shared" si="479"/>
        <v>-</v>
      </c>
      <c r="AR560" s="449">
        <f t="shared" si="480"/>
        <v>0</v>
      </c>
      <c r="AS560" s="449">
        <f t="shared" si="481"/>
        <v>0</v>
      </c>
      <c r="AT560" s="426">
        <f t="shared" si="482"/>
        <v>0</v>
      </c>
      <c r="AU560" s="421"/>
      <c r="AV560" s="449">
        <f t="shared" si="483"/>
        <v>0</v>
      </c>
      <c r="AW560" s="449">
        <f t="shared" si="483"/>
        <v>0</v>
      </c>
      <c r="AX560" s="449">
        <f t="shared" si="483"/>
        <v>0</v>
      </c>
      <c r="AY560" s="449">
        <f t="shared" si="483"/>
        <v>0</v>
      </c>
      <c r="AZ560" s="449">
        <f t="shared" si="483"/>
        <v>0</v>
      </c>
      <c r="BA560" s="449">
        <f t="shared" si="483"/>
        <v>0</v>
      </c>
      <c r="BB560" s="449">
        <f t="shared" si="483"/>
        <v>0</v>
      </c>
      <c r="BC560" s="449">
        <f t="shared" si="483"/>
        <v>0</v>
      </c>
      <c r="BD560" s="449">
        <f t="shared" si="483"/>
        <v>0</v>
      </c>
      <c r="BE560" s="449">
        <f t="shared" si="483"/>
        <v>0</v>
      </c>
      <c r="BF560" s="449">
        <f t="shared" si="483"/>
        <v>0</v>
      </c>
      <c r="BG560" s="449">
        <f t="shared" si="483"/>
        <v>0</v>
      </c>
      <c r="BH560" s="400"/>
      <c r="BI560" s="449">
        <f t="shared" si="486"/>
        <v>0</v>
      </c>
      <c r="BJ560" s="449">
        <f t="shared" si="486"/>
        <v>0</v>
      </c>
      <c r="BK560" s="449">
        <f t="shared" si="486"/>
        <v>0</v>
      </c>
      <c r="BL560" s="449">
        <f t="shared" si="486"/>
        <v>0</v>
      </c>
      <c r="BM560" s="449">
        <f t="shared" si="486"/>
        <v>0</v>
      </c>
      <c r="BN560" s="449">
        <f t="shared" si="486"/>
        <v>0</v>
      </c>
      <c r="BO560" s="449">
        <f t="shared" si="486"/>
        <v>0</v>
      </c>
      <c r="BP560" s="449">
        <f t="shared" si="486"/>
        <v>0</v>
      </c>
      <c r="BQ560" s="449">
        <f t="shared" si="486"/>
        <v>0</v>
      </c>
      <c r="BR560" s="449">
        <f t="shared" si="486"/>
        <v>0</v>
      </c>
      <c r="BS560" s="449">
        <f t="shared" si="486"/>
        <v>0</v>
      </c>
      <c r="BT560" s="449">
        <f t="shared" si="486"/>
        <v>0</v>
      </c>
    </row>
    <row r="561" spans="1:74" ht="15" x14ac:dyDescent="0.25">
      <c r="A561" s="502" t="s">
        <v>960</v>
      </c>
      <c r="B561" s="502" t="s">
        <v>961</v>
      </c>
      <c r="C561" s="542"/>
      <c r="D561" s="500">
        <f t="shared" si="469"/>
        <v>115000</v>
      </c>
      <c r="E561" s="449">
        <v>115000</v>
      </c>
      <c r="F561" s="449">
        <f t="shared" si="470"/>
        <v>0</v>
      </c>
      <c r="G561" s="421">
        <f t="shared" si="471"/>
        <v>0</v>
      </c>
      <c r="H561" s="449">
        <v>115000</v>
      </c>
      <c r="I561" s="449">
        <f t="shared" si="472"/>
        <v>0</v>
      </c>
      <c r="J561" s="426">
        <f t="shared" si="473"/>
        <v>0</v>
      </c>
      <c r="K561" s="421"/>
      <c r="L561" s="449">
        <v>0</v>
      </c>
      <c r="M561" s="449">
        <v>0</v>
      </c>
      <c r="N561" s="449">
        <v>0</v>
      </c>
      <c r="O561" s="449">
        <v>0</v>
      </c>
      <c r="P561" s="449">
        <v>0</v>
      </c>
      <c r="Q561" s="449">
        <v>0</v>
      </c>
      <c r="R561" s="449">
        <f>($H561-SUM($L561:Q561))/R$694</f>
        <v>19166.666666666668</v>
      </c>
      <c r="S561" s="449">
        <f>($H561-SUM($L561:R561))/S$694</f>
        <v>19166.666666666664</v>
      </c>
      <c r="T561" s="449">
        <f>($H561-SUM($L561:S561))/T$694</f>
        <v>19166.666666666668</v>
      </c>
      <c r="U561" s="449">
        <f>($H561-SUM($L561:T561))/U$694</f>
        <v>19166.666666666668</v>
      </c>
      <c r="V561" s="449">
        <f>($H561-SUM($L561:U561))/V$694</f>
        <v>19166.666666666664</v>
      </c>
      <c r="W561" s="449">
        <f>($H561-SUM($L561:V561))/W$694</f>
        <v>19166.666666666657</v>
      </c>
      <c r="X561" s="449"/>
      <c r="Y561" s="449">
        <f t="shared" si="474"/>
        <v>115000</v>
      </c>
      <c r="Z561" s="501"/>
      <c r="AA561" s="449">
        <f t="shared" si="475"/>
        <v>9583.3333333333339</v>
      </c>
      <c r="AB561" s="449">
        <f t="shared" si="475"/>
        <v>9583.3333333333339</v>
      </c>
      <c r="AC561" s="449">
        <f t="shared" si="475"/>
        <v>9583.3333333333339</v>
      </c>
      <c r="AD561" s="449">
        <f t="shared" si="475"/>
        <v>9583.3333333333339</v>
      </c>
      <c r="AE561" s="449">
        <f t="shared" si="475"/>
        <v>9583.3333333333339</v>
      </c>
      <c r="AF561" s="449">
        <f t="shared" si="475"/>
        <v>9583.3333333333339</v>
      </c>
      <c r="AG561" s="449">
        <f t="shared" si="475"/>
        <v>9583.3333333333339</v>
      </c>
      <c r="AH561" s="449">
        <f t="shared" si="475"/>
        <v>9583.3333333333339</v>
      </c>
      <c r="AI561" s="449">
        <f t="shared" si="475"/>
        <v>9583.3333333333339</v>
      </c>
      <c r="AJ561" s="449">
        <f t="shared" si="475"/>
        <v>9583.3333333333339</v>
      </c>
      <c r="AK561" s="449">
        <f t="shared" si="475"/>
        <v>9583.3333333333339</v>
      </c>
      <c r="AL561" s="449">
        <f t="shared" si="475"/>
        <v>9583.3333333333339</v>
      </c>
      <c r="AN561" s="500">
        <f t="shared" si="476"/>
        <v>115000</v>
      </c>
      <c r="AO561" s="449">
        <f t="shared" si="477"/>
        <v>12149.763040808028</v>
      </c>
      <c r="AP561" s="449">
        <f t="shared" si="478"/>
        <v>-102850.23695919197</v>
      </c>
      <c r="AQ561" s="453">
        <f t="shared" si="479"/>
        <v>-0.89434988660166936</v>
      </c>
      <c r="AR561" s="449">
        <f t="shared" si="480"/>
        <v>12149.763040808028</v>
      </c>
      <c r="AS561" s="449">
        <f t="shared" si="481"/>
        <v>0</v>
      </c>
      <c r="AT561" s="426">
        <f t="shared" si="482"/>
        <v>0</v>
      </c>
      <c r="AU561" s="421"/>
      <c r="AV561" s="449">
        <f t="shared" si="483"/>
        <v>1012.4802534006691</v>
      </c>
      <c r="AW561" s="449">
        <f t="shared" si="483"/>
        <v>1012.4802534006691</v>
      </c>
      <c r="AX561" s="449">
        <f t="shared" si="483"/>
        <v>1012.4802534006691</v>
      </c>
      <c r="AY561" s="449">
        <f t="shared" si="483"/>
        <v>1012.4802534006691</v>
      </c>
      <c r="AZ561" s="449">
        <f t="shared" si="483"/>
        <v>1012.4802534006691</v>
      </c>
      <c r="BA561" s="449">
        <f t="shared" si="483"/>
        <v>1012.4802534006691</v>
      </c>
      <c r="BB561" s="449">
        <f t="shared" si="483"/>
        <v>1012.4802534006691</v>
      </c>
      <c r="BC561" s="449">
        <f t="shared" si="483"/>
        <v>1012.4802534006691</v>
      </c>
      <c r="BD561" s="449">
        <f t="shared" si="483"/>
        <v>1012.4802534006691</v>
      </c>
      <c r="BE561" s="449">
        <f t="shared" si="483"/>
        <v>1012.4802534006691</v>
      </c>
      <c r="BF561" s="449">
        <f t="shared" si="483"/>
        <v>1012.4802534006691</v>
      </c>
      <c r="BG561" s="449">
        <f t="shared" si="483"/>
        <v>1012.4802534006691</v>
      </c>
      <c r="BH561" s="400"/>
      <c r="BI561" s="449">
        <f t="shared" ref="BI561:BT561" si="487">+$AN731/12</f>
        <v>1012.4802534006691</v>
      </c>
      <c r="BJ561" s="449">
        <f t="shared" si="487"/>
        <v>1012.4802534006691</v>
      </c>
      <c r="BK561" s="449">
        <f t="shared" si="487"/>
        <v>1012.4802534006691</v>
      </c>
      <c r="BL561" s="449">
        <f t="shared" si="487"/>
        <v>1012.4802534006691</v>
      </c>
      <c r="BM561" s="449">
        <f t="shared" si="487"/>
        <v>1012.4802534006691</v>
      </c>
      <c r="BN561" s="449">
        <f t="shared" si="487"/>
        <v>1012.4802534006691</v>
      </c>
      <c r="BO561" s="449">
        <f t="shared" si="487"/>
        <v>1012.4802534006691</v>
      </c>
      <c r="BP561" s="449">
        <f t="shared" si="487"/>
        <v>1012.4802534006691</v>
      </c>
      <c r="BQ561" s="449">
        <f t="shared" si="487"/>
        <v>1012.4802534006691</v>
      </c>
      <c r="BR561" s="449">
        <f t="shared" si="487"/>
        <v>1012.4802534006691</v>
      </c>
      <c r="BS561" s="449">
        <f t="shared" si="487"/>
        <v>1012.4802534006691</v>
      </c>
      <c r="BT561" s="449">
        <f t="shared" si="487"/>
        <v>1012.4802534006691</v>
      </c>
    </row>
    <row r="562" spans="1:74" ht="15" hidden="1" x14ac:dyDescent="0.25">
      <c r="A562" s="502" t="s">
        <v>962</v>
      </c>
      <c r="B562" s="502" t="s">
        <v>963</v>
      </c>
      <c r="C562" s="543"/>
      <c r="D562" s="500"/>
      <c r="E562" s="449">
        <v>0</v>
      </c>
      <c r="F562" s="449"/>
      <c r="G562" s="421"/>
      <c r="H562" s="449">
        <v>0</v>
      </c>
      <c r="I562" s="449"/>
      <c r="J562" s="426"/>
      <c r="K562" s="421"/>
      <c r="L562" s="449"/>
      <c r="M562" s="449"/>
      <c r="N562" s="449"/>
      <c r="O562" s="449"/>
      <c r="P562" s="449"/>
      <c r="Q562" s="449"/>
      <c r="R562" s="449"/>
      <c r="S562" s="449"/>
      <c r="T562" s="449"/>
      <c r="U562" s="449"/>
      <c r="V562" s="449"/>
      <c r="W562" s="449"/>
      <c r="X562" s="449"/>
      <c r="Y562" s="449">
        <v>0</v>
      </c>
      <c r="Z562" s="501"/>
      <c r="AA562" s="449"/>
      <c r="AB562" s="449"/>
      <c r="AC562" s="449"/>
      <c r="AD562" s="449"/>
      <c r="AE562" s="449"/>
      <c r="AF562" s="449"/>
      <c r="AG562" s="449"/>
      <c r="AH562" s="449"/>
      <c r="AI562" s="449"/>
      <c r="AJ562" s="449"/>
      <c r="AK562" s="449"/>
      <c r="AL562" s="449"/>
      <c r="AN562" s="500"/>
      <c r="AO562" s="449"/>
      <c r="AP562" s="449"/>
      <c r="AQ562" s="453"/>
      <c r="AR562" s="449">
        <f t="shared" si="480"/>
        <v>0</v>
      </c>
      <c r="AS562" s="449"/>
      <c r="AT562" s="426"/>
      <c r="AU562" s="421"/>
      <c r="AV562" s="449"/>
      <c r="AW562" s="449"/>
      <c r="AX562" s="449"/>
      <c r="AY562" s="449"/>
      <c r="AZ562" s="449"/>
      <c r="BA562" s="449"/>
      <c r="BB562" s="449"/>
      <c r="BC562" s="449"/>
      <c r="BD562" s="449"/>
      <c r="BE562" s="449"/>
      <c r="BF562" s="449"/>
      <c r="BG562" s="449"/>
      <c r="BH562" s="501"/>
      <c r="BI562" s="449"/>
      <c r="BJ562" s="449"/>
      <c r="BK562" s="449"/>
      <c r="BL562" s="449"/>
      <c r="BM562" s="449"/>
      <c r="BN562" s="449"/>
      <c r="BO562" s="449"/>
      <c r="BP562" s="449"/>
      <c r="BQ562" s="449"/>
      <c r="BR562" s="449"/>
      <c r="BS562" s="449"/>
      <c r="BT562" s="449"/>
    </row>
    <row r="563" spans="1:74" ht="15" x14ac:dyDescent="0.25">
      <c r="A563" s="502"/>
      <c r="B563" s="502"/>
      <c r="C563" s="543"/>
      <c r="D563" s="500"/>
      <c r="E563" s="449"/>
      <c r="F563" s="449"/>
      <c r="G563" s="421"/>
      <c r="H563" s="449"/>
      <c r="I563" s="449"/>
      <c r="J563" s="426"/>
      <c r="K563" s="421"/>
      <c r="L563" s="449"/>
      <c r="M563" s="449"/>
      <c r="N563" s="449"/>
      <c r="O563" s="449"/>
      <c r="P563" s="449"/>
      <c r="Q563" s="449"/>
      <c r="R563" s="449"/>
      <c r="S563" s="449"/>
      <c r="T563" s="449"/>
      <c r="U563" s="449"/>
      <c r="V563" s="449"/>
      <c r="W563" s="449"/>
      <c r="X563" s="449"/>
      <c r="Y563" s="449"/>
      <c r="Z563" s="501"/>
      <c r="AA563" s="449"/>
      <c r="AB563" s="449"/>
      <c r="AC563" s="449"/>
      <c r="AD563" s="449"/>
      <c r="AE563" s="449"/>
      <c r="AF563" s="449"/>
      <c r="AG563" s="449"/>
      <c r="AH563" s="449"/>
      <c r="AI563" s="449"/>
      <c r="AJ563" s="449"/>
      <c r="AK563" s="449"/>
      <c r="AL563" s="449"/>
      <c r="AN563" s="500"/>
      <c r="AO563" s="449"/>
      <c r="AP563" s="449"/>
      <c r="AQ563" s="453"/>
      <c r="AR563" s="449"/>
      <c r="AS563" s="449"/>
      <c r="AT563" s="426"/>
      <c r="AU563" s="421"/>
      <c r="AV563" s="449"/>
      <c r="AW563" s="449"/>
      <c r="AX563" s="449"/>
      <c r="AY563" s="449"/>
      <c r="AZ563" s="449"/>
      <c r="BA563" s="449"/>
      <c r="BB563" s="449"/>
      <c r="BC563" s="449"/>
      <c r="BD563" s="449"/>
      <c r="BE563" s="449"/>
      <c r="BF563" s="449"/>
      <c r="BG563" s="449"/>
      <c r="BH563" s="501"/>
      <c r="BI563" s="449"/>
      <c r="BJ563" s="449"/>
      <c r="BK563" s="449"/>
      <c r="BL563" s="449"/>
      <c r="BM563" s="449"/>
      <c r="BN563" s="449"/>
      <c r="BO563" s="449"/>
      <c r="BP563" s="449"/>
      <c r="BQ563" s="449"/>
      <c r="BR563" s="449"/>
      <c r="BS563" s="449"/>
      <c r="BT563" s="449"/>
    </row>
    <row r="564" spans="1:74" s="536" customFormat="1" ht="15.75" thickBot="1" x14ac:dyDescent="0.3">
      <c r="A564" s="524"/>
      <c r="B564" s="524" t="s">
        <v>964</v>
      </c>
      <c r="C564" s="544"/>
      <c r="D564" s="532">
        <f>SUM(D551:D563)</f>
        <v>511053</v>
      </c>
      <c r="E564" s="533">
        <f>SUM(E551:E563)</f>
        <v>590562.38244999992</v>
      </c>
      <c r="F564" s="533">
        <f>IFERROR(D564-E564,0)</f>
        <v>-79509.382449999917</v>
      </c>
      <c r="G564" s="520">
        <f>IFERROR(F564/ABS(E564),0)</f>
        <v>-0.13463333394204396</v>
      </c>
      <c r="H564" s="533">
        <f>SUM(H551:H563)</f>
        <v>511053</v>
      </c>
      <c r="I564" s="533">
        <f>IFERROR(D564-H564,0)</f>
        <v>0</v>
      </c>
      <c r="J564" s="521">
        <f>IFERROR(I564/ABS(H564),0)</f>
        <v>0</v>
      </c>
      <c r="K564" s="507"/>
      <c r="L564" s="533">
        <f>SUM(L551:L563)</f>
        <v>6272</v>
      </c>
      <c r="M564" s="533">
        <f t="shared" ref="M564:W564" si="488">SUM(M551:M563)</f>
        <v>104506.86</v>
      </c>
      <c r="N564" s="533">
        <f t="shared" si="488"/>
        <v>6053</v>
      </c>
      <c r="O564" s="533">
        <f t="shared" si="488"/>
        <v>0</v>
      </c>
      <c r="P564" s="533">
        <f t="shared" si="488"/>
        <v>11244.990000000005</v>
      </c>
      <c r="Q564" s="533">
        <f t="shared" si="488"/>
        <v>-11244.990000000005</v>
      </c>
      <c r="R564" s="533">
        <f t="shared" si="488"/>
        <v>65703.523333333345</v>
      </c>
      <c r="S564" s="533">
        <f t="shared" si="488"/>
        <v>65703.523333333331</v>
      </c>
      <c r="T564" s="533">
        <f t="shared" si="488"/>
        <v>65703.523333333331</v>
      </c>
      <c r="U564" s="533">
        <f t="shared" si="488"/>
        <v>65703.523333333345</v>
      </c>
      <c r="V564" s="533">
        <f t="shared" si="488"/>
        <v>65703.523333333345</v>
      </c>
      <c r="W564" s="533">
        <f t="shared" si="488"/>
        <v>65703.523333333316</v>
      </c>
      <c r="X564" s="533"/>
      <c r="Y564" s="533">
        <f>SUM(L564:W564)</f>
        <v>511053</v>
      </c>
      <c r="Z564" s="508"/>
      <c r="AA564" s="533">
        <f t="shared" ref="AA564:AL564" si="489">SUM(AA551:AA563)</f>
        <v>42587.75</v>
      </c>
      <c r="AB564" s="533">
        <f t="shared" si="489"/>
        <v>42587.75</v>
      </c>
      <c r="AC564" s="533">
        <f t="shared" si="489"/>
        <v>42587.75</v>
      </c>
      <c r="AD564" s="533">
        <f t="shared" si="489"/>
        <v>42587.75</v>
      </c>
      <c r="AE564" s="533">
        <f t="shared" si="489"/>
        <v>42587.75</v>
      </c>
      <c r="AF564" s="533">
        <f t="shared" si="489"/>
        <v>42587.75</v>
      </c>
      <c r="AG564" s="533">
        <f t="shared" si="489"/>
        <v>42587.75</v>
      </c>
      <c r="AH564" s="533">
        <f t="shared" si="489"/>
        <v>42587.75</v>
      </c>
      <c r="AI564" s="533">
        <f t="shared" si="489"/>
        <v>42587.75</v>
      </c>
      <c r="AJ564" s="533">
        <f t="shared" si="489"/>
        <v>42587.75</v>
      </c>
      <c r="AK564" s="533">
        <f t="shared" si="489"/>
        <v>42587.75</v>
      </c>
      <c r="AL564" s="533">
        <f t="shared" si="489"/>
        <v>42587.75</v>
      </c>
      <c r="AN564" s="532">
        <f>SUM(AN551:AN563)</f>
        <v>511053</v>
      </c>
      <c r="AO564" s="533">
        <f>SUM(AO551:AO563)</f>
        <v>270225.54441080801</v>
      </c>
      <c r="AP564" s="533">
        <f>IFERROR(AO564-AN564,0)</f>
        <v>-240827.45558919199</v>
      </c>
      <c r="AQ564" s="523">
        <f>IFERROR(AP564/ABS(AN564),"-")</f>
        <v>-0.47123772992075574</v>
      </c>
      <c r="AR564" s="533">
        <f>SUM(AR551:AR563)</f>
        <v>270225.54441080801</v>
      </c>
      <c r="AS564" s="533">
        <f>IFERROR(AO564-AR564,0)</f>
        <v>0</v>
      </c>
      <c r="AT564" s="521">
        <f>IFERROR(AS564/ABS(AR564),0)</f>
        <v>0</v>
      </c>
      <c r="AU564" s="507"/>
      <c r="AV564" s="533">
        <f>SUM(AV551:AV563)</f>
        <v>102585.923586734</v>
      </c>
      <c r="AW564" s="533">
        <f t="shared" ref="AW564:BG564" si="490">SUM(AW551:AW563)</f>
        <v>2095.8135867340025</v>
      </c>
      <c r="AX564" s="533">
        <f t="shared" si="490"/>
        <v>2095.8135867340025</v>
      </c>
      <c r="AY564" s="533">
        <f t="shared" si="490"/>
        <v>2095.8135867340025</v>
      </c>
      <c r="AZ564" s="533">
        <f t="shared" si="490"/>
        <v>2095.8135867340025</v>
      </c>
      <c r="BA564" s="533">
        <f t="shared" si="490"/>
        <v>2095.8135867340025</v>
      </c>
      <c r="BB564" s="533">
        <f t="shared" si="490"/>
        <v>102585.923586734</v>
      </c>
      <c r="BC564" s="533">
        <f t="shared" si="490"/>
        <v>2095.8135867340025</v>
      </c>
      <c r="BD564" s="533">
        <f t="shared" si="490"/>
        <v>2095.8135867340025</v>
      </c>
      <c r="BE564" s="533">
        <f t="shared" si="490"/>
        <v>2095.8135867340025</v>
      </c>
      <c r="BF564" s="533">
        <f t="shared" si="490"/>
        <v>2095.8135867340025</v>
      </c>
      <c r="BG564" s="533">
        <f t="shared" si="490"/>
        <v>46191.374956734006</v>
      </c>
      <c r="BH564" s="508"/>
      <c r="BI564" s="533">
        <f t="shared" ref="BI564:BT564" si="491">SUM(BI551:BI563)</f>
        <v>102585.923586734</v>
      </c>
      <c r="BJ564" s="533">
        <f t="shared" si="491"/>
        <v>2095.8135867340025</v>
      </c>
      <c r="BK564" s="533">
        <f t="shared" si="491"/>
        <v>2095.8135867340025</v>
      </c>
      <c r="BL564" s="533">
        <f t="shared" si="491"/>
        <v>2095.8135867340025</v>
      </c>
      <c r="BM564" s="533">
        <f t="shared" si="491"/>
        <v>2095.8135867340025</v>
      </c>
      <c r="BN564" s="533">
        <f t="shared" si="491"/>
        <v>2095.8135867340025</v>
      </c>
      <c r="BO564" s="533">
        <f t="shared" si="491"/>
        <v>102585.923586734</v>
      </c>
      <c r="BP564" s="533">
        <f t="shared" si="491"/>
        <v>2095.8135867340025</v>
      </c>
      <c r="BQ564" s="533">
        <f t="shared" si="491"/>
        <v>2095.8135867340025</v>
      </c>
      <c r="BR564" s="533">
        <f t="shared" si="491"/>
        <v>2095.8135867340025</v>
      </c>
      <c r="BS564" s="533">
        <f t="shared" si="491"/>
        <v>2095.8135867340025</v>
      </c>
      <c r="BT564" s="533">
        <f t="shared" si="491"/>
        <v>46191.374956734006</v>
      </c>
      <c r="BV564" s="400"/>
    </row>
    <row r="565" spans="1:74" ht="15.75" thickTop="1" x14ac:dyDescent="0.25">
      <c r="A565" s="502"/>
      <c r="B565" s="502"/>
      <c r="C565" s="543"/>
      <c r="D565" s="500"/>
      <c r="E565" s="449"/>
      <c r="F565" s="449"/>
      <c r="G565" s="421"/>
      <c r="H565" s="449"/>
      <c r="I565" s="449"/>
      <c r="J565" s="426"/>
      <c r="K565" s="421"/>
      <c r="L565" s="449"/>
      <c r="M565" s="449"/>
      <c r="N565" s="449"/>
      <c r="O565" s="449"/>
      <c r="P565" s="449"/>
      <c r="Q565" s="449"/>
      <c r="R565" s="449"/>
      <c r="S565" s="449"/>
      <c r="T565" s="449"/>
      <c r="U565" s="449"/>
      <c r="V565" s="449"/>
      <c r="W565" s="449"/>
      <c r="X565" s="449"/>
      <c r="Y565" s="449"/>
      <c r="Z565" s="501"/>
      <c r="AA565" s="449"/>
      <c r="AB565" s="449"/>
      <c r="AC565" s="449"/>
      <c r="AD565" s="449"/>
      <c r="AE565" s="449"/>
      <c r="AF565" s="449"/>
      <c r="AG565" s="449"/>
      <c r="AH565" s="449"/>
      <c r="AI565" s="449"/>
      <c r="AJ565" s="449"/>
      <c r="AK565" s="449"/>
      <c r="AL565" s="449"/>
      <c r="AN565" s="500"/>
      <c r="AO565" s="449"/>
      <c r="AP565" s="449"/>
      <c r="AQ565" s="453"/>
      <c r="AR565" s="449"/>
      <c r="AS565" s="449"/>
      <c r="AT565" s="426"/>
      <c r="AU565" s="421"/>
      <c r="AV565" s="449"/>
      <c r="AW565" s="449"/>
      <c r="AX565" s="449"/>
      <c r="AY565" s="449"/>
      <c r="AZ565" s="449"/>
      <c r="BA565" s="449"/>
      <c r="BB565" s="449"/>
      <c r="BC565" s="449"/>
      <c r="BD565" s="449"/>
      <c r="BE565" s="449"/>
      <c r="BF565" s="449"/>
      <c r="BG565" s="449"/>
      <c r="BH565" s="501"/>
      <c r="BI565" s="449"/>
      <c r="BJ565" s="449"/>
      <c r="BK565" s="449"/>
      <c r="BL565" s="449"/>
      <c r="BM565" s="449"/>
      <c r="BN565" s="449"/>
      <c r="BO565" s="449"/>
      <c r="BP565" s="449"/>
      <c r="BQ565" s="449"/>
      <c r="BR565" s="449"/>
      <c r="BS565" s="449"/>
      <c r="BT565" s="449"/>
    </row>
    <row r="566" spans="1:74" s="536" customFormat="1" ht="15.75" thickBot="1" x14ac:dyDescent="0.3">
      <c r="A566" s="804" t="s">
        <v>965</v>
      </c>
      <c r="B566" s="804"/>
      <c r="C566" s="544"/>
      <c r="D566" s="532">
        <f>+D90+D120+D242+D264+D331+D360+D366+D374+D382+D457+D473+D527+D547+D564+D143</f>
        <v>10267173.91</v>
      </c>
      <c r="E566" s="533">
        <f>+E90+E120+E242+E264+E331+E360+E366+E374+E382+E457+E473+E527+E547+E564+E143</f>
        <v>10090214.061573999</v>
      </c>
      <c r="F566" s="533">
        <f>IFERROR(D566-E566,0)</f>
        <v>176959.84842600115</v>
      </c>
      <c r="G566" s="520">
        <f>IFERROR(F566/ABS(E566),0)</f>
        <v>1.7537769500838192E-2</v>
      </c>
      <c r="H566" s="533">
        <f>+H90+H120+H242+H264+H331+H360+H366+H374+H382+H457+H473+H527+H547+H564+H143</f>
        <v>10092062.030000001</v>
      </c>
      <c r="I566" s="533">
        <f>IFERROR(D566-H566,0)</f>
        <v>175111.87999999896</v>
      </c>
      <c r="J566" s="521">
        <f>IFERROR(I566/ABS(H566),0)</f>
        <v>1.735144705605807E-2</v>
      </c>
      <c r="K566" s="507"/>
      <c r="L566" s="533">
        <f t="shared" ref="L566:W566" si="492">+L90+L120+L242+L264+L331+L360+L366+L374+L382+L457+L473+L527+L547+L564+L143</f>
        <v>567894.82999999984</v>
      </c>
      <c r="M566" s="533">
        <f t="shared" si="492"/>
        <v>991256.66</v>
      </c>
      <c r="N566" s="533">
        <f t="shared" si="492"/>
        <v>692636.81000000017</v>
      </c>
      <c r="O566" s="533">
        <f t="shared" si="492"/>
        <v>896332.71</v>
      </c>
      <c r="P566" s="533">
        <f t="shared" si="492"/>
        <v>677247.11</v>
      </c>
      <c r="Q566" s="533">
        <f t="shared" si="492"/>
        <v>747331.85000000009</v>
      </c>
      <c r="R566" s="533">
        <f t="shared" si="492"/>
        <v>949078.99000000011</v>
      </c>
      <c r="S566" s="533">
        <f t="shared" si="492"/>
        <v>949078.99000000022</v>
      </c>
      <c r="T566" s="533">
        <f t="shared" si="492"/>
        <v>949078.99000000022</v>
      </c>
      <c r="U566" s="533">
        <f t="shared" si="492"/>
        <v>949078.99000000011</v>
      </c>
      <c r="V566" s="533">
        <f t="shared" si="492"/>
        <v>949078.99000000011</v>
      </c>
      <c r="W566" s="533">
        <f t="shared" si="492"/>
        <v>949078.99000000011</v>
      </c>
      <c r="X566" s="533"/>
      <c r="Y566" s="533">
        <f>+Y90+Y120+Y242+Y264+Y331+Y360+Y366+Y374+Y382+Y457+Y473+Y527+Y547+Y564+Y143</f>
        <v>10267173.910000002</v>
      </c>
      <c r="Z566" s="508"/>
      <c r="AA566" s="533">
        <f t="shared" ref="AA566:AL566" si="493">+AA90+AA120+AA242+AA264+AA331+AA360+AA366+AA374+AA382+AA457+AA473+AA527+AA547+AA564+AA143</f>
        <v>841005.1691666668</v>
      </c>
      <c r="AB566" s="533">
        <f t="shared" si="493"/>
        <v>841005.1691666668</v>
      </c>
      <c r="AC566" s="533">
        <f t="shared" si="493"/>
        <v>841005.1691666668</v>
      </c>
      <c r="AD566" s="533">
        <f t="shared" si="493"/>
        <v>841005.1691666668</v>
      </c>
      <c r="AE566" s="533">
        <f t="shared" si="493"/>
        <v>841005.1691666668</v>
      </c>
      <c r="AF566" s="533">
        <f t="shared" si="493"/>
        <v>841005.1691666668</v>
      </c>
      <c r="AG566" s="533">
        <f t="shared" si="493"/>
        <v>841005.1691666668</v>
      </c>
      <c r="AH566" s="533">
        <f t="shared" si="493"/>
        <v>841005.1691666668</v>
      </c>
      <c r="AI566" s="533">
        <f t="shared" si="493"/>
        <v>841005.1691666668</v>
      </c>
      <c r="AJ566" s="533">
        <f t="shared" si="493"/>
        <v>841005.1691666668</v>
      </c>
      <c r="AK566" s="533">
        <f t="shared" si="493"/>
        <v>841005.1691666668</v>
      </c>
      <c r="AL566" s="533">
        <f t="shared" si="493"/>
        <v>841005.1691666668</v>
      </c>
      <c r="AN566" s="532">
        <f>+AN90+AN120+AN242+AN264+AN331+AN360+AN366+AN374+AN382+AN457+AN473+AN527+AN547+AN564+AN143</f>
        <v>10267173.91</v>
      </c>
      <c r="AO566" s="533">
        <f>+AO90+AO120+AO242+AO264+AO331+AO360+AO366+AO374+AO382+AO457+AO473+AO527+AO547+AO564+AO143</f>
        <v>11098553.924192082</v>
      </c>
      <c r="AP566" s="533">
        <f>IFERROR(AO566-AN566,0)</f>
        <v>831380.01419208199</v>
      </c>
      <c r="AQ566" s="523">
        <f>IFERROR(AP566/ABS(AN566),"-")</f>
        <v>8.0974572114955248E-2</v>
      </c>
      <c r="AR566" s="533">
        <f>+AR90+AR120+AR242+AR264+AR331+AR360+AR366+AR374+AR382+AR457+AR473+AR527+AR547+AR564+AR143</f>
        <v>11098553.924192082</v>
      </c>
      <c r="AS566" s="533">
        <f>IFERROR(AO566-AR566,0)</f>
        <v>0</v>
      </c>
      <c r="AT566" s="521">
        <f>IFERROR(AS566/ABS(AR566),0)</f>
        <v>0</v>
      </c>
      <c r="AU566" s="507"/>
      <c r="AV566" s="533">
        <f t="shared" ref="AV566:BG566" si="494">+AV90+AV120+AV242+AV264+AV331+AV360+AV366+AV374+AV382+AV457+AV473+AV527+AV547+AV564+AV143</f>
        <v>730649.39739810245</v>
      </c>
      <c r="AW566" s="533">
        <f t="shared" si="494"/>
        <v>909039.19337753637</v>
      </c>
      <c r="AX566" s="533">
        <f t="shared" si="494"/>
        <v>899684.4485606167</v>
      </c>
      <c r="AY566" s="533">
        <f t="shared" si="494"/>
        <v>1159403.9485606167</v>
      </c>
      <c r="AZ566" s="533">
        <f t="shared" si="494"/>
        <v>899684.4485606167</v>
      </c>
      <c r="BA566" s="533">
        <f t="shared" si="494"/>
        <v>857772.55393357517</v>
      </c>
      <c r="BB566" s="533">
        <f t="shared" si="494"/>
        <v>958262.66393357515</v>
      </c>
      <c r="BC566" s="533">
        <f t="shared" si="494"/>
        <v>857772.55393357517</v>
      </c>
      <c r="BD566" s="533">
        <f t="shared" si="494"/>
        <v>857772.55393357517</v>
      </c>
      <c r="BE566" s="533">
        <f t="shared" si="494"/>
        <v>904492.05393357505</v>
      </c>
      <c r="BF566" s="533">
        <f t="shared" si="494"/>
        <v>857772.55393357517</v>
      </c>
      <c r="BG566" s="533">
        <f t="shared" si="494"/>
        <v>1206247.5541331414</v>
      </c>
      <c r="BH566" s="508"/>
      <c r="BI566" s="533">
        <f t="shared" ref="BI566:BT566" si="495">+BI90+BI120+BI242+BI264+BI331+BI360+BI366+BI374+BI382+BI457+BI473+BI527+BI547+BI564+BI143</f>
        <v>730649.39739810245</v>
      </c>
      <c r="BJ566" s="533">
        <f t="shared" si="495"/>
        <v>909039.19337753637</v>
      </c>
      <c r="BK566" s="533">
        <f t="shared" si="495"/>
        <v>899684.4485606167</v>
      </c>
      <c r="BL566" s="533">
        <f t="shared" si="495"/>
        <v>1159403.9485606167</v>
      </c>
      <c r="BM566" s="533">
        <f t="shared" si="495"/>
        <v>899684.4485606167</v>
      </c>
      <c r="BN566" s="533">
        <f t="shared" si="495"/>
        <v>857772.55393357517</v>
      </c>
      <c r="BO566" s="533">
        <f t="shared" si="495"/>
        <v>958262.66393357515</v>
      </c>
      <c r="BP566" s="533">
        <f t="shared" si="495"/>
        <v>857772.55393357517</v>
      </c>
      <c r="BQ566" s="533">
        <f t="shared" si="495"/>
        <v>857772.55393357517</v>
      </c>
      <c r="BR566" s="533">
        <f t="shared" si="495"/>
        <v>904492.05393357505</v>
      </c>
      <c r="BS566" s="533">
        <f t="shared" si="495"/>
        <v>857772.55393357517</v>
      </c>
      <c r="BT566" s="533">
        <f t="shared" si="495"/>
        <v>1206247.5541331414</v>
      </c>
      <c r="BV566" s="400"/>
    </row>
    <row r="567" spans="1:74" ht="15.75" thickTop="1" x14ac:dyDescent="0.25">
      <c r="A567" s="502"/>
      <c r="B567" s="605"/>
      <c r="C567" s="543"/>
      <c r="D567" s="500"/>
      <c r="E567" s="449"/>
      <c r="F567" s="449"/>
      <c r="G567" s="421"/>
      <c r="H567" s="449"/>
      <c r="I567" s="449"/>
      <c r="J567" s="426"/>
      <c r="K567" s="421"/>
      <c r="L567" s="449"/>
      <c r="M567" s="449"/>
      <c r="N567" s="449"/>
      <c r="O567" s="449"/>
      <c r="P567" s="449"/>
      <c r="Q567" s="449"/>
      <c r="R567" s="449"/>
      <c r="S567" s="449"/>
      <c r="T567" s="449"/>
      <c r="U567" s="449"/>
      <c r="V567" s="449"/>
      <c r="W567" s="449"/>
      <c r="X567" s="449"/>
      <c r="Y567" s="449"/>
      <c r="Z567" s="501"/>
      <c r="AA567" s="449"/>
      <c r="AB567" s="449"/>
      <c r="AC567" s="449"/>
      <c r="AD567" s="449"/>
      <c r="AE567" s="449"/>
      <c r="AF567" s="449"/>
      <c r="AG567" s="449"/>
      <c r="AH567" s="449"/>
      <c r="AI567" s="449"/>
      <c r="AJ567" s="449"/>
      <c r="AK567" s="449"/>
      <c r="AL567" s="449"/>
      <c r="AN567" s="500"/>
      <c r="AO567" s="449"/>
      <c r="AP567" s="449"/>
      <c r="AQ567" s="453"/>
      <c r="AR567" s="449"/>
      <c r="AS567" s="449"/>
      <c r="AT567" s="426"/>
      <c r="AU567" s="421"/>
      <c r="AV567" s="449"/>
      <c r="AW567" s="449"/>
      <c r="AX567" s="449"/>
      <c r="AY567" s="449"/>
      <c r="AZ567" s="449"/>
      <c r="BA567" s="449"/>
      <c r="BB567" s="449"/>
      <c r="BC567" s="449"/>
      <c r="BD567" s="449"/>
      <c r="BE567" s="449"/>
      <c r="BF567" s="449"/>
      <c r="BG567" s="449"/>
      <c r="BH567" s="501"/>
      <c r="BI567" s="449"/>
      <c r="BJ567" s="449"/>
      <c r="BK567" s="449"/>
      <c r="BL567" s="449"/>
      <c r="BM567" s="449"/>
      <c r="BN567" s="449"/>
      <c r="BO567" s="449"/>
      <c r="BP567" s="449"/>
      <c r="BQ567" s="449"/>
      <c r="BR567" s="449"/>
      <c r="BS567" s="449"/>
      <c r="BT567" s="449"/>
    </row>
    <row r="568" spans="1:74" s="536" customFormat="1" ht="15" x14ac:dyDescent="0.25">
      <c r="A568" s="804" t="s">
        <v>966</v>
      </c>
      <c r="B568" s="804"/>
      <c r="C568" s="544"/>
      <c r="D568" s="545">
        <f>+D55-D566</f>
        <v>67640.709999999031</v>
      </c>
      <c r="E568" s="546">
        <f>+E55-E566</f>
        <v>25963.682426000014</v>
      </c>
      <c r="F568" s="546">
        <f>IFERROR(D568-E568,0)</f>
        <v>41677.027573999017</v>
      </c>
      <c r="G568" s="547">
        <f>IFERROR(F568/ABS(E568),0)</f>
        <v>1.6052047968459078</v>
      </c>
      <c r="H568" s="546">
        <f>+H55-H566</f>
        <v>175442.96999999881</v>
      </c>
      <c r="I568" s="546">
        <f>IFERROR(D568-H568,0)</f>
        <v>-107802.25999999978</v>
      </c>
      <c r="J568" s="548">
        <f>IFERROR(I568/ABS(H568),0)</f>
        <v>-0.61445756418738529</v>
      </c>
      <c r="K568" s="507"/>
      <c r="L568" s="546">
        <f t="shared" ref="L568:W568" si="496">+L55-L566</f>
        <v>162417.92000000016</v>
      </c>
      <c r="M568" s="546">
        <f t="shared" si="496"/>
        <v>-143180.8600000001</v>
      </c>
      <c r="N568" s="546">
        <f t="shared" si="496"/>
        <v>273165.74</v>
      </c>
      <c r="O568" s="546">
        <f t="shared" si="496"/>
        <v>-54004.590000000084</v>
      </c>
      <c r="P568" s="546">
        <f t="shared" si="496"/>
        <v>84363.649999999674</v>
      </c>
      <c r="Q568" s="546">
        <f t="shared" si="496"/>
        <v>204534.83000000019</v>
      </c>
      <c r="R568" s="546">
        <f t="shared" si="496"/>
        <v>-76609.329999999958</v>
      </c>
      <c r="S568" s="546">
        <f t="shared" si="496"/>
        <v>-76609.330000000075</v>
      </c>
      <c r="T568" s="546">
        <f t="shared" si="496"/>
        <v>-76609.330000000075</v>
      </c>
      <c r="U568" s="546">
        <f t="shared" si="496"/>
        <v>-76609.329999999958</v>
      </c>
      <c r="V568" s="546">
        <f t="shared" si="496"/>
        <v>-76609.329999999958</v>
      </c>
      <c r="W568" s="546">
        <f t="shared" si="496"/>
        <v>-76609.329999999492</v>
      </c>
      <c r="X568" s="546"/>
      <c r="Y568" s="546">
        <f>+Y55-Y566</f>
        <v>67640.709999999031</v>
      </c>
      <c r="Z568" s="508"/>
      <c r="AA568" s="546">
        <f t="shared" ref="AA568:AL568" si="497">+AA55-AA566</f>
        <v>14620.247499999939</v>
      </c>
      <c r="AB568" s="546">
        <f t="shared" si="497"/>
        <v>14620.247499999939</v>
      </c>
      <c r="AC568" s="546">
        <f t="shared" si="497"/>
        <v>14620.247499999939</v>
      </c>
      <c r="AD568" s="546">
        <f t="shared" si="497"/>
        <v>14620.247499999939</v>
      </c>
      <c r="AE568" s="546">
        <f t="shared" si="497"/>
        <v>14620.247499999939</v>
      </c>
      <c r="AF568" s="546">
        <f t="shared" si="497"/>
        <v>14620.247499999939</v>
      </c>
      <c r="AG568" s="546">
        <f t="shared" si="497"/>
        <v>14620.247499999939</v>
      </c>
      <c r="AH568" s="546">
        <f t="shared" si="497"/>
        <v>14620.247499999939</v>
      </c>
      <c r="AI568" s="546">
        <f t="shared" si="497"/>
        <v>14620.247499999939</v>
      </c>
      <c r="AJ568" s="546">
        <f t="shared" si="497"/>
        <v>14620.247499999939</v>
      </c>
      <c r="AK568" s="546">
        <f t="shared" si="497"/>
        <v>14620.247499999939</v>
      </c>
      <c r="AL568" s="546">
        <f t="shared" si="497"/>
        <v>14620.247499999939</v>
      </c>
      <c r="AN568" s="545">
        <f>+AN55-AN566</f>
        <v>67640.709999999031</v>
      </c>
      <c r="AO568" s="546">
        <f>+AO55-AO566</f>
        <v>-356356.84138603322</v>
      </c>
      <c r="AP568" s="546">
        <f>IFERROR(AO568-AN568,0)</f>
        <v>-423997.55138603225</v>
      </c>
      <c r="AQ568" s="549">
        <f>IFERROR(AP568/ABS(AN568),"-")</f>
        <v>-6.2683781909746115</v>
      </c>
      <c r="AR568" s="546">
        <f>+AR55-AR566</f>
        <v>-356356.84138603322</v>
      </c>
      <c r="AS568" s="546">
        <f>IFERROR(AO568-AR568,0)</f>
        <v>0</v>
      </c>
      <c r="AT568" s="548">
        <f>IFERROR(AS568/ABS(AR568),0)</f>
        <v>0</v>
      </c>
      <c r="AU568" s="507"/>
      <c r="AV568" s="546">
        <f t="shared" ref="AV568:BG568" si="498">+AV55-AV566</f>
        <v>169087.70315233467</v>
      </c>
      <c r="AW568" s="546">
        <f t="shared" si="498"/>
        <v>57911.231524854084</v>
      </c>
      <c r="AX568" s="546">
        <f t="shared" si="498"/>
        <v>-19434.292825294542</v>
      </c>
      <c r="AY568" s="546">
        <f t="shared" si="498"/>
        <v>-259153.79282529454</v>
      </c>
      <c r="AZ568" s="546">
        <f t="shared" si="498"/>
        <v>-15430.292825294542</v>
      </c>
      <c r="BA568" s="546">
        <f t="shared" si="498"/>
        <v>22477.601801746991</v>
      </c>
      <c r="BB568" s="546">
        <f t="shared" si="498"/>
        <v>-78012.508198252995</v>
      </c>
      <c r="BC568" s="546">
        <f t="shared" si="498"/>
        <v>26481.601801746991</v>
      </c>
      <c r="BD568" s="546">
        <f t="shared" si="498"/>
        <v>67477.601801746991</v>
      </c>
      <c r="BE568" s="546">
        <f t="shared" si="498"/>
        <v>-24241.898198252893</v>
      </c>
      <c r="BF568" s="546">
        <f t="shared" si="498"/>
        <v>22477.601801746991</v>
      </c>
      <c r="BG568" s="546">
        <f t="shared" si="498"/>
        <v>-325997.39839781926</v>
      </c>
      <c r="BH568" s="508"/>
      <c r="BI568" s="546">
        <f t="shared" ref="BI568:BT568" si="499">+BI55-BI566</f>
        <v>169087.70315233467</v>
      </c>
      <c r="BJ568" s="546">
        <f t="shared" si="499"/>
        <v>57911.231524854084</v>
      </c>
      <c r="BK568" s="546">
        <f t="shared" si="499"/>
        <v>-19434.292825294542</v>
      </c>
      <c r="BL568" s="546">
        <f t="shared" si="499"/>
        <v>-259153.79282529454</v>
      </c>
      <c r="BM568" s="546">
        <f t="shared" si="499"/>
        <v>-15430.292825294542</v>
      </c>
      <c r="BN568" s="546">
        <f t="shared" si="499"/>
        <v>22477.601801746991</v>
      </c>
      <c r="BO568" s="546">
        <f t="shared" si="499"/>
        <v>-78012.508198252995</v>
      </c>
      <c r="BP568" s="546">
        <f t="shared" si="499"/>
        <v>26481.601801746991</v>
      </c>
      <c r="BQ568" s="546">
        <f t="shared" si="499"/>
        <v>67477.601801746991</v>
      </c>
      <c r="BR568" s="546">
        <f t="shared" si="499"/>
        <v>-24241.898198252893</v>
      </c>
      <c r="BS568" s="546">
        <f t="shared" si="499"/>
        <v>22477.601801746991</v>
      </c>
      <c r="BT568" s="546">
        <f t="shared" si="499"/>
        <v>-325997.39839781926</v>
      </c>
      <c r="BV568" s="400"/>
    </row>
    <row r="569" spans="1:74" ht="9" hidden="1" customHeight="1" x14ac:dyDescent="0.25">
      <c r="A569" s="502"/>
      <c r="B569" s="605"/>
      <c r="C569" s="543"/>
      <c r="D569" s="500"/>
      <c r="E569" s="449"/>
      <c r="F569" s="449"/>
      <c r="G569" s="421"/>
      <c r="H569" s="449"/>
      <c r="I569" s="449"/>
      <c r="J569" s="426"/>
      <c r="K569" s="421"/>
      <c r="L569" s="449"/>
      <c r="M569" s="449"/>
      <c r="N569" s="449"/>
      <c r="O569" s="449"/>
      <c r="P569" s="449"/>
      <c r="Q569" s="449"/>
      <c r="R569" s="449"/>
      <c r="S569" s="449"/>
      <c r="T569" s="449"/>
      <c r="U569" s="449"/>
      <c r="V569" s="449"/>
      <c r="W569" s="449"/>
      <c r="X569" s="449"/>
      <c r="Y569" s="449"/>
      <c r="Z569" s="501"/>
      <c r="AA569" s="449"/>
      <c r="AB569" s="449"/>
      <c r="AC569" s="449"/>
      <c r="AD569" s="449"/>
      <c r="AE569" s="449"/>
      <c r="AF569" s="449"/>
      <c r="AG569" s="449"/>
      <c r="AH569" s="449"/>
      <c r="AI569" s="449"/>
      <c r="AJ569" s="449"/>
      <c r="AK569" s="449"/>
      <c r="AL569" s="449"/>
      <c r="AN569" s="500"/>
      <c r="AO569" s="449"/>
      <c r="AP569" s="449"/>
      <c r="AQ569" s="453"/>
      <c r="AR569" s="449"/>
      <c r="AS569" s="449"/>
      <c r="AT569" s="426"/>
      <c r="AU569" s="421"/>
      <c r="AV569" s="449"/>
      <c r="AW569" s="449"/>
      <c r="AX569" s="449"/>
      <c r="AY569" s="449"/>
      <c r="AZ569" s="449"/>
      <c r="BA569" s="449"/>
      <c r="BB569" s="449"/>
      <c r="BC569" s="449"/>
      <c r="BD569" s="449"/>
      <c r="BE569" s="449"/>
      <c r="BF569" s="449"/>
      <c r="BG569" s="449"/>
      <c r="BH569" s="501"/>
      <c r="BI569" s="449"/>
      <c r="BJ569" s="449"/>
      <c r="BK569" s="449"/>
      <c r="BL569" s="449"/>
      <c r="BM569" s="449"/>
      <c r="BN569" s="449"/>
      <c r="BO569" s="449"/>
      <c r="BP569" s="449"/>
      <c r="BQ569" s="449"/>
      <c r="BR569" s="449"/>
      <c r="BS569" s="449"/>
      <c r="BT569" s="449"/>
    </row>
    <row r="570" spans="1:74" s="536" customFormat="1" ht="15" hidden="1" x14ac:dyDescent="0.25">
      <c r="A570" s="804" t="s">
        <v>967</v>
      </c>
      <c r="B570" s="804"/>
      <c r="C570" s="544"/>
      <c r="D570" s="550"/>
      <c r="E570" s="528">
        <v>2076213</v>
      </c>
      <c r="F570" s="551"/>
      <c r="G570" s="507"/>
      <c r="H570" s="528">
        <v>2076213</v>
      </c>
      <c r="I570" s="551"/>
      <c r="J570" s="529"/>
      <c r="K570" s="507"/>
      <c r="L570" s="551"/>
      <c r="M570" s="551"/>
      <c r="N570" s="551"/>
      <c r="O570" s="551"/>
      <c r="P570" s="551"/>
      <c r="Q570" s="551"/>
      <c r="R570" s="551"/>
      <c r="S570" s="551"/>
      <c r="T570" s="551"/>
      <c r="U570" s="551"/>
      <c r="V570" s="551"/>
      <c r="W570" s="551"/>
      <c r="X570" s="551"/>
      <c r="Y570" s="551"/>
      <c r="Z570" s="508"/>
      <c r="AA570" s="551"/>
      <c r="AB570" s="551"/>
      <c r="AC570" s="551"/>
      <c r="AD570" s="551"/>
      <c r="AE570" s="551"/>
      <c r="AF570" s="551"/>
      <c r="AG570" s="551"/>
      <c r="AH570" s="551"/>
      <c r="AI570" s="551"/>
      <c r="AJ570" s="551"/>
      <c r="AK570" s="551"/>
      <c r="AL570" s="551"/>
      <c r="AN570" s="550"/>
      <c r="AO570" s="528"/>
      <c r="AP570" s="551"/>
      <c r="AQ570" s="499"/>
      <c r="AR570" s="528">
        <f>H572</f>
        <v>2251655.9699999988</v>
      </c>
      <c r="AS570" s="551"/>
      <c r="AT570" s="529"/>
      <c r="AU570" s="507"/>
      <c r="AV570" s="551"/>
      <c r="AW570" s="551"/>
      <c r="AX570" s="551"/>
      <c r="AY570" s="551"/>
      <c r="AZ570" s="551"/>
      <c r="BA570" s="551"/>
      <c r="BB570" s="551"/>
      <c r="BC570" s="551"/>
      <c r="BD570" s="551"/>
      <c r="BE570" s="551"/>
      <c r="BF570" s="551"/>
      <c r="BG570" s="551"/>
      <c r="BH570" s="508"/>
      <c r="BI570" s="551"/>
      <c r="BJ570" s="551"/>
      <c r="BK570" s="551"/>
      <c r="BL570" s="551"/>
      <c r="BM570" s="551"/>
      <c r="BN570" s="551"/>
      <c r="BO570" s="551"/>
      <c r="BP570" s="551"/>
      <c r="BQ570" s="551"/>
      <c r="BR570" s="551"/>
      <c r="BS570" s="551"/>
      <c r="BT570" s="551"/>
      <c r="BV570" s="400"/>
    </row>
    <row r="571" spans="1:74" ht="7.5" hidden="1" customHeight="1" x14ac:dyDescent="0.25">
      <c r="A571" s="502"/>
      <c r="B571" s="605"/>
      <c r="C571" s="543"/>
      <c r="D571" s="500"/>
      <c r="E571" s="449"/>
      <c r="F571" s="449"/>
      <c r="G571" s="421"/>
      <c r="H571" s="449"/>
      <c r="I571" s="449"/>
      <c r="J571" s="426"/>
      <c r="K571" s="421"/>
      <c r="L571" s="449"/>
      <c r="M571" s="449"/>
      <c r="N571" s="449"/>
      <c r="O571" s="449"/>
      <c r="P571" s="449"/>
      <c r="Q571" s="449"/>
      <c r="R571" s="449"/>
      <c r="S571" s="449"/>
      <c r="T571" s="449"/>
      <c r="U571" s="449"/>
      <c r="V571" s="449"/>
      <c r="W571" s="449"/>
      <c r="X571" s="449"/>
      <c r="Y571" s="449"/>
      <c r="Z571" s="501"/>
      <c r="AA571" s="449"/>
      <c r="AB571" s="449"/>
      <c r="AC571" s="449"/>
      <c r="AD571" s="449"/>
      <c r="AE571" s="449"/>
      <c r="AF571" s="449"/>
      <c r="AG571" s="449"/>
      <c r="AH571" s="449"/>
      <c r="AI571" s="449"/>
      <c r="AJ571" s="449"/>
      <c r="AK571" s="449"/>
      <c r="AL571" s="449"/>
      <c r="AN571" s="500"/>
      <c r="AO571" s="449"/>
      <c r="AP571" s="449"/>
      <c r="AQ571" s="453"/>
      <c r="AR571" s="449"/>
      <c r="AS571" s="449"/>
      <c r="AT571" s="426"/>
      <c r="AU571" s="421"/>
      <c r="AV571" s="449"/>
      <c r="AW571" s="449"/>
      <c r="AX571" s="449"/>
      <c r="AY571" s="449"/>
      <c r="AZ571" s="449"/>
      <c r="BA571" s="449"/>
      <c r="BB571" s="449"/>
      <c r="BC571" s="449"/>
      <c r="BD571" s="449"/>
      <c r="BE571" s="449"/>
      <c r="BF571" s="449"/>
      <c r="BG571" s="449"/>
      <c r="BH571" s="501"/>
      <c r="BI571" s="449"/>
      <c r="BJ571" s="449"/>
      <c r="BK571" s="449"/>
      <c r="BL571" s="449"/>
      <c r="BM571" s="449"/>
      <c r="BN571" s="449"/>
      <c r="BO571" s="449"/>
      <c r="BP571" s="449"/>
      <c r="BQ571" s="449"/>
      <c r="BR571" s="449"/>
      <c r="BS571" s="449"/>
      <c r="BT571" s="449"/>
    </row>
    <row r="572" spans="1:74" ht="15.75" hidden="1" thickBot="1" x14ac:dyDescent="0.3">
      <c r="A572" s="804" t="s">
        <v>968</v>
      </c>
      <c r="B572" s="804"/>
      <c r="C572" s="543"/>
      <c r="D572" s="550"/>
      <c r="E572" s="533">
        <f>E568+E570</f>
        <v>2102176.682426</v>
      </c>
      <c r="F572" s="551"/>
      <c r="G572" s="507"/>
      <c r="H572" s="533">
        <f>+H568+H570</f>
        <v>2251655.9699999988</v>
      </c>
      <c r="I572" s="551"/>
      <c r="J572" s="529"/>
      <c r="K572" s="507"/>
      <c r="L572" s="551"/>
      <c r="M572" s="551"/>
      <c r="N572" s="551"/>
      <c r="O572" s="551"/>
      <c r="P572" s="551"/>
      <c r="Q572" s="551"/>
      <c r="R572" s="551"/>
      <c r="S572" s="551"/>
      <c r="T572" s="551"/>
      <c r="U572" s="551"/>
      <c r="V572" s="551"/>
      <c r="W572" s="551"/>
      <c r="X572" s="551"/>
      <c r="Y572" s="551"/>
      <c r="Z572" s="508"/>
      <c r="AA572" s="551"/>
      <c r="AB572" s="551"/>
      <c r="AC572" s="551"/>
      <c r="AD572" s="551"/>
      <c r="AE572" s="551"/>
      <c r="AF572" s="551"/>
      <c r="AG572" s="551"/>
      <c r="AH572" s="551"/>
      <c r="AI572" s="551"/>
      <c r="AJ572" s="551"/>
      <c r="AK572" s="551"/>
      <c r="AL572" s="551"/>
      <c r="AN572" s="550"/>
      <c r="AO572" s="551"/>
      <c r="AP572" s="551"/>
      <c r="AQ572" s="499"/>
      <c r="AR572" s="533">
        <f>+AR568+AR570</f>
        <v>1895299.1286139656</v>
      </c>
      <c r="AS572" s="551"/>
      <c r="AT572" s="529"/>
      <c r="AU572" s="507"/>
      <c r="AV572" s="551"/>
      <c r="AW572" s="551"/>
      <c r="AX572" s="551"/>
      <c r="AY572" s="551"/>
      <c r="AZ572" s="551"/>
      <c r="BA572" s="551"/>
      <c r="BB572" s="551"/>
      <c r="BC572" s="551"/>
      <c r="BD572" s="551"/>
      <c r="BE572" s="551"/>
      <c r="BF572" s="551"/>
      <c r="BG572" s="551"/>
      <c r="BH572" s="508"/>
      <c r="BI572" s="551"/>
      <c r="BJ572" s="551"/>
      <c r="BK572" s="551"/>
      <c r="BL572" s="551"/>
      <c r="BM572" s="551"/>
      <c r="BN572" s="551"/>
      <c r="BO572" s="551"/>
      <c r="BP572" s="551"/>
      <c r="BQ572" s="551"/>
      <c r="BR572" s="551"/>
      <c r="BS572" s="551"/>
      <c r="BT572" s="551"/>
    </row>
    <row r="573" spans="1:74" ht="27.75" customHeight="1" x14ac:dyDescent="0.25">
      <c r="A573" s="502"/>
      <c r="B573" s="502"/>
      <c r="C573" s="543"/>
      <c r="D573" s="500"/>
      <c r="E573" s="449"/>
      <c r="F573" s="449"/>
      <c r="G573" s="421"/>
      <c r="H573" s="449"/>
      <c r="I573" s="449"/>
      <c r="J573" s="426"/>
      <c r="K573" s="421"/>
      <c r="L573" s="449"/>
      <c r="M573" s="449"/>
      <c r="N573" s="449"/>
      <c r="O573" s="449"/>
      <c r="P573" s="449"/>
      <c r="Q573" s="449"/>
      <c r="R573" s="449"/>
      <c r="S573" s="449"/>
      <c r="T573" s="449"/>
      <c r="U573" s="449"/>
      <c r="V573" s="449"/>
      <c r="W573" s="449"/>
      <c r="X573" s="449"/>
      <c r="Y573" s="449"/>
      <c r="Z573" s="501"/>
      <c r="AA573" s="449"/>
      <c r="AB573" s="449"/>
      <c r="AC573" s="449"/>
      <c r="AD573" s="449"/>
      <c r="AE573" s="449"/>
      <c r="AF573" s="449"/>
      <c r="AG573" s="449"/>
      <c r="AH573" s="449"/>
      <c r="AI573" s="449"/>
      <c r="AJ573" s="449"/>
      <c r="AK573" s="449"/>
      <c r="AL573" s="449"/>
      <c r="AN573" s="500"/>
      <c r="AO573" s="648">
        <f>(AO568+AO644)/AO644</f>
        <v>0.79789193373408218</v>
      </c>
      <c r="AP573" s="449"/>
      <c r="AQ573" s="453"/>
      <c r="AR573" s="449"/>
      <c r="AS573" s="449"/>
      <c r="AT573" s="426"/>
      <c r="AU573" s="421"/>
      <c r="AV573" s="449"/>
      <c r="AW573" s="449"/>
      <c r="AX573" s="449"/>
      <c r="AY573" s="449"/>
      <c r="AZ573" s="449"/>
      <c r="BA573" s="449"/>
      <c r="BB573" s="449"/>
      <c r="BC573" s="449"/>
      <c r="BD573" s="449"/>
      <c r="BE573" s="449"/>
      <c r="BF573" s="449"/>
      <c r="BG573" s="449"/>
      <c r="BH573" s="501"/>
      <c r="BI573" s="449"/>
      <c r="BJ573" s="449"/>
      <c r="BK573" s="449"/>
      <c r="BL573" s="449"/>
      <c r="BM573" s="449"/>
      <c r="BN573" s="449"/>
      <c r="BO573" s="449"/>
      <c r="BP573" s="449"/>
      <c r="BQ573" s="449"/>
      <c r="BR573" s="449"/>
      <c r="BS573" s="449"/>
      <c r="BT573" s="449"/>
    </row>
    <row r="574" spans="1:74" ht="18.75" x14ac:dyDescent="0.25">
      <c r="A574" s="502"/>
      <c r="B574" s="552" t="s">
        <v>969</v>
      </c>
      <c r="C574" s="543"/>
      <c r="D574" s="500"/>
      <c r="E574" s="449"/>
      <c r="F574" s="449"/>
      <c r="G574" s="421"/>
      <c r="H574" s="449"/>
      <c r="I574" s="449"/>
      <c r="J574" s="426"/>
      <c r="K574" s="421"/>
      <c r="L574" s="449"/>
      <c r="M574" s="449"/>
      <c r="N574" s="449"/>
      <c r="O574" s="449"/>
      <c r="P574" s="449"/>
      <c r="Q574" s="449"/>
      <c r="R574" s="449"/>
      <c r="S574" s="449"/>
      <c r="T574" s="449"/>
      <c r="U574" s="449"/>
      <c r="V574" s="449"/>
      <c r="W574" s="449"/>
      <c r="X574" s="449"/>
      <c r="Y574" s="449"/>
      <c r="Z574" s="501"/>
      <c r="AA574" s="449"/>
      <c r="AB574" s="449"/>
      <c r="AC574" s="449"/>
      <c r="AD574" s="449"/>
      <c r="AE574" s="449"/>
      <c r="AF574" s="449"/>
      <c r="AG574" s="449"/>
      <c r="AH574" s="449"/>
      <c r="AI574" s="449"/>
      <c r="AJ574" s="449"/>
      <c r="AK574" s="449"/>
      <c r="AL574" s="449"/>
      <c r="AN574" s="500"/>
      <c r="AO574" s="449"/>
      <c r="AP574" s="449"/>
      <c r="AQ574" s="453"/>
      <c r="AR574" s="449"/>
      <c r="AS574" s="449"/>
      <c r="AT574" s="426"/>
      <c r="AU574" s="421"/>
      <c r="AV574" s="449"/>
      <c r="AW574" s="449"/>
      <c r="AX574" s="449"/>
      <c r="AY574" s="449"/>
      <c r="AZ574" s="449"/>
      <c r="BA574" s="449"/>
      <c r="BB574" s="449"/>
      <c r="BC574" s="449"/>
      <c r="BD574" s="449"/>
      <c r="BE574" s="449"/>
      <c r="BF574" s="449"/>
      <c r="BG574" s="449"/>
      <c r="BH574" s="501"/>
      <c r="BI574" s="449"/>
      <c r="BJ574" s="449"/>
      <c r="BK574" s="449"/>
      <c r="BL574" s="449"/>
      <c r="BM574" s="449"/>
      <c r="BN574" s="449"/>
      <c r="BO574" s="449"/>
      <c r="BP574" s="449"/>
      <c r="BQ574" s="449"/>
      <c r="BR574" s="449"/>
      <c r="BS574" s="449"/>
      <c r="BT574" s="449"/>
    </row>
    <row r="575" spans="1:74" ht="6.75" customHeight="1" x14ac:dyDescent="0.25">
      <c r="A575" s="502"/>
      <c r="B575" s="502"/>
      <c r="C575" s="543"/>
      <c r="D575" s="500"/>
      <c r="E575" s="449"/>
      <c r="F575" s="449"/>
      <c r="G575" s="421"/>
      <c r="H575" s="449"/>
      <c r="I575" s="449"/>
      <c r="J575" s="426"/>
      <c r="K575" s="421"/>
      <c r="L575" s="449"/>
      <c r="M575" s="449"/>
      <c r="N575" s="449"/>
      <c r="O575" s="449"/>
      <c r="P575" s="449"/>
      <c r="Q575" s="449"/>
      <c r="R575" s="449"/>
      <c r="S575" s="449"/>
      <c r="T575" s="449"/>
      <c r="U575" s="449"/>
      <c r="V575" s="449"/>
      <c r="W575" s="449"/>
      <c r="X575" s="449"/>
      <c r="Y575" s="449"/>
      <c r="Z575" s="501"/>
      <c r="AA575" s="449"/>
      <c r="AB575" s="449"/>
      <c r="AC575" s="449"/>
      <c r="AD575" s="449"/>
      <c r="AE575" s="449"/>
      <c r="AF575" s="449"/>
      <c r="AG575" s="449"/>
      <c r="AH575" s="449"/>
      <c r="AI575" s="449"/>
      <c r="AJ575" s="449"/>
      <c r="AK575" s="449"/>
      <c r="AL575" s="449"/>
      <c r="AN575" s="500"/>
      <c r="AO575" s="449"/>
      <c r="AP575" s="449"/>
      <c r="AQ575" s="453"/>
      <c r="AR575" s="449"/>
      <c r="AS575" s="449"/>
      <c r="AT575" s="426"/>
      <c r="AU575" s="421"/>
      <c r="AV575" s="449"/>
      <c r="AW575" s="449"/>
      <c r="AX575" s="449"/>
      <c r="AY575" s="449"/>
      <c r="AZ575" s="449"/>
      <c r="BA575" s="449"/>
      <c r="BB575" s="449"/>
      <c r="BC575" s="449"/>
      <c r="BD575" s="449"/>
      <c r="BE575" s="449"/>
      <c r="BF575" s="449"/>
      <c r="BG575" s="449"/>
      <c r="BH575" s="501"/>
      <c r="BI575" s="449"/>
      <c r="BJ575" s="449"/>
      <c r="BK575" s="449"/>
      <c r="BL575" s="449"/>
      <c r="BM575" s="449"/>
      <c r="BN575" s="449"/>
      <c r="BO575" s="449"/>
      <c r="BP575" s="449"/>
      <c r="BQ575" s="449"/>
      <c r="BR575" s="449"/>
      <c r="BS575" s="449"/>
      <c r="BT575" s="449"/>
    </row>
    <row r="576" spans="1:74" ht="15" x14ac:dyDescent="0.25">
      <c r="A576" s="502"/>
      <c r="B576" s="524" t="s">
        <v>970</v>
      </c>
      <c r="C576" s="543"/>
      <c r="D576" s="500"/>
      <c r="E576" s="449"/>
      <c r="F576" s="449"/>
      <c r="G576" s="421"/>
      <c r="H576" s="449"/>
      <c r="I576" s="449"/>
      <c r="J576" s="426"/>
      <c r="K576" s="421"/>
      <c r="L576" s="449"/>
      <c r="M576" s="449"/>
      <c r="N576" s="449"/>
      <c r="O576" s="449"/>
      <c r="P576" s="449"/>
      <c r="Q576" s="449"/>
      <c r="R576" s="449"/>
      <c r="S576" s="449"/>
      <c r="T576" s="449"/>
      <c r="U576" s="449"/>
      <c r="V576" s="449"/>
      <c r="W576" s="449"/>
      <c r="X576" s="449"/>
      <c r="Y576" s="449"/>
      <c r="Z576" s="501"/>
      <c r="AA576" s="449"/>
      <c r="AB576" s="449"/>
      <c r="AC576" s="449"/>
      <c r="AD576" s="449"/>
      <c r="AE576" s="449"/>
      <c r="AF576" s="449"/>
      <c r="AG576" s="449"/>
      <c r="AH576" s="449"/>
      <c r="AI576" s="449"/>
      <c r="AJ576" s="449"/>
      <c r="AK576" s="449"/>
      <c r="AL576" s="449"/>
      <c r="AN576" s="500"/>
      <c r="AO576" s="449"/>
      <c r="AP576" s="449"/>
      <c r="AQ576" s="453"/>
      <c r="AR576" s="449"/>
      <c r="AS576" s="449"/>
      <c r="AT576" s="426"/>
      <c r="AU576" s="421"/>
      <c r="AV576" s="449"/>
      <c r="AW576" s="449"/>
      <c r="AX576" s="449"/>
      <c r="AY576" s="449"/>
      <c r="AZ576" s="449"/>
      <c r="BA576" s="449"/>
      <c r="BB576" s="449"/>
      <c r="BC576" s="449"/>
      <c r="BD576" s="449"/>
      <c r="BE576" s="449"/>
      <c r="BF576" s="449"/>
      <c r="BG576" s="449"/>
      <c r="BH576" s="501"/>
      <c r="BI576" s="449"/>
      <c r="BJ576" s="449"/>
      <c r="BK576" s="449"/>
      <c r="BL576" s="449"/>
      <c r="BM576" s="449"/>
      <c r="BN576" s="449"/>
      <c r="BO576" s="449"/>
      <c r="BP576" s="449"/>
      <c r="BQ576" s="449"/>
      <c r="BR576" s="449"/>
      <c r="BS576" s="449"/>
      <c r="BT576" s="449"/>
    </row>
    <row r="577" spans="1:72" ht="6.75" customHeight="1" x14ac:dyDescent="0.25">
      <c r="A577" s="502"/>
      <c r="B577" s="524"/>
      <c r="C577" s="543"/>
      <c r="D577" s="500"/>
      <c r="E577" s="449"/>
      <c r="F577" s="449"/>
      <c r="G577" s="421"/>
      <c r="H577" s="449"/>
      <c r="I577" s="449"/>
      <c r="J577" s="426"/>
      <c r="K577" s="421"/>
      <c r="L577" s="449"/>
      <c r="M577" s="449"/>
      <c r="N577" s="449"/>
      <c r="O577" s="449"/>
      <c r="P577" s="449"/>
      <c r="Q577" s="449"/>
      <c r="R577" s="449"/>
      <c r="S577" s="449"/>
      <c r="T577" s="449"/>
      <c r="U577" s="449"/>
      <c r="V577" s="449"/>
      <c r="W577" s="449"/>
      <c r="X577" s="449"/>
      <c r="Y577" s="449"/>
      <c r="Z577" s="501"/>
      <c r="AA577" s="449"/>
      <c r="AB577" s="449"/>
      <c r="AC577" s="449"/>
      <c r="AD577" s="449"/>
      <c r="AE577" s="449"/>
      <c r="AF577" s="449"/>
      <c r="AG577" s="449"/>
      <c r="AH577" s="449"/>
      <c r="AI577" s="449"/>
      <c r="AJ577" s="449"/>
      <c r="AK577" s="449"/>
      <c r="AL577" s="449"/>
      <c r="AN577" s="500"/>
      <c r="AO577" s="449"/>
      <c r="AP577" s="449"/>
      <c r="AQ577" s="453"/>
      <c r="AR577" s="449"/>
      <c r="AS577" s="449"/>
      <c r="AT577" s="426"/>
      <c r="AU577" s="421"/>
      <c r="AV577" s="449"/>
      <c r="AW577" s="449"/>
      <c r="AX577" s="449"/>
      <c r="AY577" s="449"/>
      <c r="AZ577" s="449"/>
      <c r="BA577" s="449"/>
      <c r="BB577" s="449"/>
      <c r="BC577" s="449"/>
      <c r="BD577" s="449"/>
      <c r="BE577" s="449"/>
      <c r="BF577" s="449"/>
      <c r="BG577" s="449"/>
      <c r="BH577" s="501"/>
      <c r="BI577" s="449"/>
      <c r="BJ577" s="449"/>
      <c r="BK577" s="449"/>
      <c r="BL577" s="449"/>
      <c r="BM577" s="449"/>
      <c r="BN577" s="449"/>
      <c r="BO577" s="449"/>
      <c r="BP577" s="449"/>
      <c r="BQ577" s="449"/>
      <c r="BR577" s="449"/>
      <c r="BS577" s="449"/>
      <c r="BT577" s="449"/>
    </row>
    <row r="578" spans="1:72" ht="15" hidden="1" x14ac:dyDescent="0.25">
      <c r="A578" s="587" t="s">
        <v>971</v>
      </c>
      <c r="B578" s="502" t="s">
        <v>972</v>
      </c>
      <c r="C578" s="400"/>
      <c r="D578" s="500"/>
      <c r="E578" s="449">
        <v>0</v>
      </c>
      <c r="F578" s="449"/>
      <c r="G578" s="421"/>
      <c r="H578" s="449">
        <v>0</v>
      </c>
      <c r="I578" s="449"/>
      <c r="J578" s="426"/>
      <c r="K578" s="421"/>
      <c r="L578" s="449"/>
      <c r="M578" s="449"/>
      <c r="N578" s="449"/>
      <c r="O578" s="449"/>
      <c r="P578" s="449"/>
      <c r="Q578" s="449"/>
      <c r="R578" s="449"/>
      <c r="S578" s="449"/>
      <c r="T578" s="449"/>
      <c r="U578" s="449"/>
      <c r="V578" s="449"/>
      <c r="W578" s="449"/>
      <c r="X578" s="449"/>
      <c r="Y578" s="449">
        <v>0</v>
      </c>
      <c r="Z578" s="501"/>
      <c r="AA578" s="449"/>
      <c r="AB578" s="449"/>
      <c r="AC578" s="449"/>
      <c r="AD578" s="449"/>
      <c r="AE578" s="449"/>
      <c r="AF578" s="449"/>
      <c r="AG578" s="449"/>
      <c r="AH578" s="449"/>
      <c r="AI578" s="449"/>
      <c r="AJ578" s="449"/>
      <c r="AK578" s="449"/>
      <c r="AL578" s="449"/>
      <c r="AN578" s="500"/>
      <c r="AO578" s="449"/>
      <c r="AP578" s="449"/>
      <c r="AQ578" s="453"/>
      <c r="AR578" s="449">
        <v>0</v>
      </c>
      <c r="AS578" s="449"/>
      <c r="AT578" s="426"/>
      <c r="AU578" s="421"/>
      <c r="AV578" s="449"/>
      <c r="AW578" s="449"/>
      <c r="AX578" s="449"/>
      <c r="AY578" s="449"/>
      <c r="AZ578" s="449"/>
      <c r="BA578" s="449"/>
      <c r="BB578" s="449"/>
      <c r="BC578" s="449"/>
      <c r="BD578" s="449"/>
      <c r="BE578" s="449"/>
      <c r="BF578" s="449"/>
      <c r="BG578" s="449"/>
      <c r="BH578" s="501"/>
      <c r="BI578" s="449"/>
      <c r="BJ578" s="449"/>
      <c r="BK578" s="449"/>
      <c r="BL578" s="449"/>
      <c r="BM578" s="449"/>
      <c r="BN578" s="449"/>
      <c r="BO578" s="449"/>
      <c r="BP578" s="449"/>
      <c r="BQ578" s="449"/>
      <c r="BR578" s="449"/>
      <c r="BS578" s="449"/>
      <c r="BT578" s="449"/>
    </row>
    <row r="579" spans="1:72" ht="15" hidden="1" x14ac:dyDescent="0.25">
      <c r="A579" s="587" t="s">
        <v>973</v>
      </c>
      <c r="B579" s="502" t="s">
        <v>974</v>
      </c>
      <c r="C579" s="400"/>
      <c r="D579" s="500"/>
      <c r="E579" s="449">
        <v>0</v>
      </c>
      <c r="F579" s="449"/>
      <c r="G579" s="421"/>
      <c r="H579" s="449">
        <v>0</v>
      </c>
      <c r="I579" s="449"/>
      <c r="J579" s="426"/>
      <c r="K579" s="421"/>
      <c r="L579" s="449"/>
      <c r="M579" s="449"/>
      <c r="N579" s="449"/>
      <c r="O579" s="449"/>
      <c r="P579" s="449"/>
      <c r="Q579" s="449"/>
      <c r="R579" s="449"/>
      <c r="S579" s="449"/>
      <c r="T579" s="449"/>
      <c r="U579" s="449"/>
      <c r="V579" s="449"/>
      <c r="W579" s="449"/>
      <c r="X579" s="449"/>
      <c r="Y579" s="449">
        <v>0</v>
      </c>
      <c r="Z579" s="501"/>
      <c r="AA579" s="449"/>
      <c r="AB579" s="449"/>
      <c r="AC579" s="449"/>
      <c r="AD579" s="449"/>
      <c r="AE579" s="449"/>
      <c r="AF579" s="449"/>
      <c r="AG579" s="449"/>
      <c r="AH579" s="449"/>
      <c r="AI579" s="449"/>
      <c r="AJ579" s="449"/>
      <c r="AK579" s="449"/>
      <c r="AL579" s="449"/>
      <c r="AN579" s="500"/>
      <c r="AO579" s="449"/>
      <c r="AP579" s="449"/>
      <c r="AQ579" s="453"/>
      <c r="AR579" s="449">
        <v>0</v>
      </c>
      <c r="AS579" s="449"/>
      <c r="AT579" s="426"/>
      <c r="AU579" s="421"/>
      <c r="AV579" s="449"/>
      <c r="AW579" s="449"/>
      <c r="AX579" s="449"/>
      <c r="AY579" s="449"/>
      <c r="AZ579" s="449"/>
      <c r="BA579" s="449"/>
      <c r="BB579" s="449"/>
      <c r="BC579" s="449"/>
      <c r="BD579" s="449"/>
      <c r="BE579" s="449"/>
      <c r="BF579" s="449"/>
      <c r="BG579" s="449"/>
      <c r="BH579" s="501"/>
      <c r="BI579" s="449"/>
      <c r="BJ579" s="449"/>
      <c r="BK579" s="449"/>
      <c r="BL579" s="449"/>
      <c r="BM579" s="449"/>
      <c r="BN579" s="449"/>
      <c r="BO579" s="449"/>
      <c r="BP579" s="449"/>
      <c r="BQ579" s="449"/>
      <c r="BR579" s="449"/>
      <c r="BS579" s="449"/>
      <c r="BT579" s="449"/>
    </row>
    <row r="580" spans="1:72" ht="15" hidden="1" x14ac:dyDescent="0.25">
      <c r="A580" s="587" t="s">
        <v>975</v>
      </c>
      <c r="B580" s="502" t="s">
        <v>976</v>
      </c>
      <c r="C580" s="400"/>
      <c r="D580" s="500"/>
      <c r="E580" s="449">
        <v>0</v>
      </c>
      <c r="F580" s="449"/>
      <c r="G580" s="421"/>
      <c r="H580" s="449">
        <v>0</v>
      </c>
      <c r="I580" s="449"/>
      <c r="J580" s="426"/>
      <c r="K580" s="421"/>
      <c r="L580" s="449"/>
      <c r="M580" s="449"/>
      <c r="N580" s="449"/>
      <c r="O580" s="449"/>
      <c r="P580" s="449"/>
      <c r="Q580" s="449"/>
      <c r="R580" s="449"/>
      <c r="S580" s="449"/>
      <c r="T580" s="449"/>
      <c r="U580" s="449"/>
      <c r="V580" s="449"/>
      <c r="W580" s="449"/>
      <c r="X580" s="449"/>
      <c r="Y580" s="449">
        <v>0</v>
      </c>
      <c r="Z580" s="501"/>
      <c r="AA580" s="449"/>
      <c r="AB580" s="449"/>
      <c r="AC580" s="449"/>
      <c r="AD580" s="449"/>
      <c r="AE580" s="449"/>
      <c r="AF580" s="449"/>
      <c r="AG580" s="449"/>
      <c r="AH580" s="449"/>
      <c r="AI580" s="449"/>
      <c r="AJ580" s="449"/>
      <c r="AK580" s="449"/>
      <c r="AL580" s="449"/>
      <c r="AN580" s="500"/>
      <c r="AO580" s="449"/>
      <c r="AP580" s="449"/>
      <c r="AQ580" s="453"/>
      <c r="AR580" s="449">
        <v>0</v>
      </c>
      <c r="AS580" s="449"/>
      <c r="AT580" s="426"/>
      <c r="AU580" s="421"/>
      <c r="AV580" s="449"/>
      <c r="AW580" s="449"/>
      <c r="AX580" s="449"/>
      <c r="AY580" s="449"/>
      <c r="AZ580" s="449"/>
      <c r="BA580" s="449"/>
      <c r="BB580" s="449"/>
      <c r="BC580" s="449"/>
      <c r="BD580" s="449"/>
      <c r="BE580" s="449"/>
      <c r="BF580" s="449"/>
      <c r="BG580" s="449"/>
      <c r="BH580" s="501"/>
      <c r="BI580" s="449"/>
      <c r="BJ580" s="449"/>
      <c r="BK580" s="449"/>
      <c r="BL580" s="449"/>
      <c r="BM580" s="449"/>
      <c r="BN580" s="449"/>
      <c r="BO580" s="449"/>
      <c r="BP580" s="449"/>
      <c r="BQ580" s="449"/>
      <c r="BR580" s="449"/>
      <c r="BS580" s="449"/>
      <c r="BT580" s="449"/>
    </row>
    <row r="581" spans="1:72" ht="15" hidden="1" x14ac:dyDescent="0.25">
      <c r="A581" s="587" t="s">
        <v>977</v>
      </c>
      <c r="B581" s="502" t="s">
        <v>978</v>
      </c>
      <c r="C581" s="400"/>
      <c r="D581" s="500"/>
      <c r="E581" s="449">
        <v>0</v>
      </c>
      <c r="F581" s="449"/>
      <c r="G581" s="421"/>
      <c r="H581" s="449">
        <v>0</v>
      </c>
      <c r="I581" s="449"/>
      <c r="J581" s="426"/>
      <c r="K581" s="421"/>
      <c r="L581" s="449"/>
      <c r="M581" s="449"/>
      <c r="N581" s="449"/>
      <c r="O581" s="449"/>
      <c r="P581" s="449"/>
      <c r="Q581" s="449"/>
      <c r="R581" s="449"/>
      <c r="S581" s="449"/>
      <c r="T581" s="449"/>
      <c r="U581" s="449"/>
      <c r="V581" s="449"/>
      <c r="W581" s="449"/>
      <c r="X581" s="449"/>
      <c r="Y581" s="449">
        <v>0</v>
      </c>
      <c r="Z581" s="501"/>
      <c r="AA581" s="449"/>
      <c r="AB581" s="449"/>
      <c r="AC581" s="449"/>
      <c r="AD581" s="449"/>
      <c r="AE581" s="449"/>
      <c r="AF581" s="449"/>
      <c r="AG581" s="449"/>
      <c r="AH581" s="449"/>
      <c r="AI581" s="449"/>
      <c r="AJ581" s="449"/>
      <c r="AK581" s="449"/>
      <c r="AL581" s="449"/>
      <c r="AN581" s="500"/>
      <c r="AO581" s="449"/>
      <c r="AP581" s="449"/>
      <c r="AQ581" s="453"/>
      <c r="AR581" s="449">
        <v>0</v>
      </c>
      <c r="AS581" s="449"/>
      <c r="AT581" s="426"/>
      <c r="AU581" s="421"/>
      <c r="AV581" s="449"/>
      <c r="AW581" s="449"/>
      <c r="AX581" s="449"/>
      <c r="AY581" s="449"/>
      <c r="AZ581" s="449"/>
      <c r="BA581" s="449"/>
      <c r="BB581" s="449"/>
      <c r="BC581" s="449"/>
      <c r="BD581" s="449"/>
      <c r="BE581" s="449"/>
      <c r="BF581" s="449"/>
      <c r="BG581" s="449"/>
      <c r="BH581" s="501"/>
      <c r="BI581" s="449"/>
      <c r="BJ581" s="449"/>
      <c r="BK581" s="449"/>
      <c r="BL581" s="449"/>
      <c r="BM581" s="449"/>
      <c r="BN581" s="449"/>
      <c r="BO581" s="449"/>
      <c r="BP581" s="449"/>
      <c r="BQ581" s="449"/>
      <c r="BR581" s="449"/>
      <c r="BS581" s="449"/>
      <c r="BT581" s="449"/>
    </row>
    <row r="582" spans="1:72" ht="15" hidden="1" x14ac:dyDescent="0.25">
      <c r="A582" s="587" t="s">
        <v>979</v>
      </c>
      <c r="B582" s="502" t="s">
        <v>980</v>
      </c>
      <c r="C582" s="400"/>
      <c r="D582" s="500"/>
      <c r="E582" s="449">
        <v>0</v>
      </c>
      <c r="F582" s="449"/>
      <c r="G582" s="421"/>
      <c r="H582" s="449">
        <v>0</v>
      </c>
      <c r="I582" s="449"/>
      <c r="J582" s="426"/>
      <c r="K582" s="421"/>
      <c r="L582" s="449"/>
      <c r="M582" s="449"/>
      <c r="N582" s="449"/>
      <c r="O582" s="449"/>
      <c r="P582" s="449"/>
      <c r="Q582" s="449"/>
      <c r="R582" s="449"/>
      <c r="S582" s="449"/>
      <c r="T582" s="449"/>
      <c r="U582" s="449"/>
      <c r="V582" s="449"/>
      <c r="W582" s="449"/>
      <c r="X582" s="449"/>
      <c r="Y582" s="449">
        <v>0</v>
      </c>
      <c r="Z582" s="501"/>
      <c r="AA582" s="449"/>
      <c r="AB582" s="449"/>
      <c r="AC582" s="449"/>
      <c r="AD582" s="449"/>
      <c r="AE582" s="449"/>
      <c r="AF582" s="449"/>
      <c r="AG582" s="449"/>
      <c r="AH582" s="449"/>
      <c r="AI582" s="449"/>
      <c r="AJ582" s="449"/>
      <c r="AK582" s="449"/>
      <c r="AL582" s="449"/>
      <c r="AN582" s="500"/>
      <c r="AO582" s="449"/>
      <c r="AP582" s="449"/>
      <c r="AQ582" s="453"/>
      <c r="AR582" s="449">
        <v>0</v>
      </c>
      <c r="AS582" s="449"/>
      <c r="AT582" s="426"/>
      <c r="AU582" s="421"/>
      <c r="AV582" s="449"/>
      <c r="AW582" s="449"/>
      <c r="AX582" s="449"/>
      <c r="AY582" s="449"/>
      <c r="AZ582" s="449"/>
      <c r="BA582" s="449"/>
      <c r="BB582" s="449"/>
      <c r="BC582" s="449"/>
      <c r="BD582" s="449"/>
      <c r="BE582" s="449"/>
      <c r="BF582" s="449"/>
      <c r="BG582" s="449"/>
      <c r="BH582" s="501"/>
      <c r="BI582" s="449"/>
      <c r="BJ582" s="449"/>
      <c r="BK582" s="449"/>
      <c r="BL582" s="449"/>
      <c r="BM582" s="449"/>
      <c r="BN582" s="449"/>
      <c r="BO582" s="449"/>
      <c r="BP582" s="449"/>
      <c r="BQ582" s="449"/>
      <c r="BR582" s="449"/>
      <c r="BS582" s="449"/>
      <c r="BT582" s="449"/>
    </row>
    <row r="583" spans="1:72" ht="15" customHeight="1" x14ac:dyDescent="0.25">
      <c r="A583" s="502" t="s">
        <v>981</v>
      </c>
      <c r="B583" s="502" t="s">
        <v>982</v>
      </c>
      <c r="C583" s="400"/>
      <c r="D583" s="500">
        <f>SUM(L583:W583)</f>
        <v>31562</v>
      </c>
      <c r="E583" s="449">
        <v>31562</v>
      </c>
      <c r="F583" s="449">
        <f>IFERROR(D583-E583,0)</f>
        <v>0</v>
      </c>
      <c r="G583" s="421">
        <f>IFERROR(F583/ABS(E583),0)</f>
        <v>0</v>
      </c>
      <c r="H583" s="449">
        <v>31562</v>
      </c>
      <c r="I583" s="449">
        <f>IFERROR(D583-H583,0)</f>
        <v>0</v>
      </c>
      <c r="J583" s="426">
        <f>IFERROR(I583/ABS(H583),0)</f>
        <v>0</v>
      </c>
      <c r="K583" s="421"/>
      <c r="L583" s="449">
        <v>0</v>
      </c>
      <c r="M583" s="449">
        <v>0</v>
      </c>
      <c r="N583" s="449">
        <v>0</v>
      </c>
      <c r="O583" s="449">
        <v>0</v>
      </c>
      <c r="P583" s="449">
        <v>0</v>
      </c>
      <c r="Q583" s="449">
        <v>0</v>
      </c>
      <c r="R583" s="449">
        <f>($H583-SUM($L583:Q583))/R$694</f>
        <v>5260.333333333333</v>
      </c>
      <c r="S583" s="449">
        <f>($H583-SUM($L583:R583))/S$694</f>
        <v>5260.3333333333339</v>
      </c>
      <c r="T583" s="449">
        <f>($H583-SUM($L583:S583))/T$694</f>
        <v>5260.333333333333</v>
      </c>
      <c r="U583" s="449">
        <f>($H583-SUM($L583:T583))/U$694</f>
        <v>5260.333333333333</v>
      </c>
      <c r="V583" s="449">
        <f>($H583-SUM($L583:U583))/V$694</f>
        <v>5260.3333333333339</v>
      </c>
      <c r="W583" s="449">
        <f>($H583-SUM($L583:V583))/W$694</f>
        <v>5260.3333333333358</v>
      </c>
      <c r="X583" s="449"/>
      <c r="Y583" s="449">
        <f>SUM(L583:W583)</f>
        <v>31562</v>
      </c>
      <c r="Z583" s="531"/>
      <c r="AA583" s="449">
        <f t="shared" ref="AA583:AL583" si="500">IFERROR($H583/12,0)</f>
        <v>2630.1666666666665</v>
      </c>
      <c r="AB583" s="449">
        <f t="shared" si="500"/>
        <v>2630.1666666666665</v>
      </c>
      <c r="AC583" s="449">
        <f t="shared" si="500"/>
        <v>2630.1666666666665</v>
      </c>
      <c r="AD583" s="449">
        <f t="shared" si="500"/>
        <v>2630.1666666666665</v>
      </c>
      <c r="AE583" s="449">
        <f t="shared" si="500"/>
        <v>2630.1666666666665</v>
      </c>
      <c r="AF583" s="449">
        <f t="shared" si="500"/>
        <v>2630.1666666666665</v>
      </c>
      <c r="AG583" s="449">
        <f t="shared" si="500"/>
        <v>2630.1666666666665</v>
      </c>
      <c r="AH583" s="449">
        <f t="shared" si="500"/>
        <v>2630.1666666666665</v>
      </c>
      <c r="AI583" s="449">
        <f t="shared" si="500"/>
        <v>2630.1666666666665</v>
      </c>
      <c r="AJ583" s="449">
        <f t="shared" si="500"/>
        <v>2630.1666666666665</v>
      </c>
      <c r="AK583" s="449">
        <f t="shared" si="500"/>
        <v>2630.1666666666665</v>
      </c>
      <c r="AL583" s="449">
        <f t="shared" si="500"/>
        <v>2630.1666666666665</v>
      </c>
      <c r="AN583" s="500">
        <f>SUM(L583:W583)</f>
        <v>31562</v>
      </c>
      <c r="AO583" s="449">
        <f>SUM(BI583:BT583)</f>
        <v>44095.561370000003</v>
      </c>
      <c r="AP583" s="449">
        <f>IFERROR(AO583-AN583,0)</f>
        <v>12533.561370000003</v>
      </c>
      <c r="AQ583" s="453">
        <f>IFERROR(AP583/ABS(AN583),"-")</f>
        <v>0.39710922533426279</v>
      </c>
      <c r="AR583" s="449">
        <f>SUM(BI583:BT583)</f>
        <v>44095.561370000003</v>
      </c>
      <c r="AS583" s="449">
        <f>IFERROR(AO583-AR583,0)</f>
        <v>0</v>
      </c>
      <c r="AT583" s="426">
        <f>IFERROR(AS583/ABS(AR583),0)</f>
        <v>0</v>
      </c>
      <c r="AU583" s="421"/>
      <c r="AV583" s="449">
        <f>BI583</f>
        <v>0</v>
      </c>
      <c r="AW583" s="449">
        <f t="shared" ref="AW583:BG583" si="501">BJ583</f>
        <v>0</v>
      </c>
      <c r="AX583" s="449">
        <f t="shared" si="501"/>
        <v>0</v>
      </c>
      <c r="AY583" s="449">
        <f t="shared" si="501"/>
        <v>0</v>
      </c>
      <c r="AZ583" s="449">
        <f t="shared" si="501"/>
        <v>0</v>
      </c>
      <c r="BA583" s="449">
        <f t="shared" si="501"/>
        <v>0</v>
      </c>
      <c r="BB583" s="449">
        <f t="shared" si="501"/>
        <v>0</v>
      </c>
      <c r="BC583" s="449">
        <f t="shared" si="501"/>
        <v>0</v>
      </c>
      <c r="BD583" s="449">
        <f t="shared" si="501"/>
        <v>0</v>
      </c>
      <c r="BE583" s="449">
        <f t="shared" si="501"/>
        <v>0</v>
      </c>
      <c r="BF583" s="449">
        <f t="shared" si="501"/>
        <v>0</v>
      </c>
      <c r="BG583" s="449">
        <f t="shared" si="501"/>
        <v>44095.561370000003</v>
      </c>
      <c r="BH583" s="531"/>
      <c r="BI583" s="449">
        <f>BI556</f>
        <v>0</v>
      </c>
      <c r="BJ583" s="449">
        <f t="shared" ref="BJ583:BT583" si="502">BJ556</f>
        <v>0</v>
      </c>
      <c r="BK583" s="449">
        <f t="shared" si="502"/>
        <v>0</v>
      </c>
      <c r="BL583" s="449">
        <f t="shared" si="502"/>
        <v>0</v>
      </c>
      <c r="BM583" s="449">
        <f t="shared" si="502"/>
        <v>0</v>
      </c>
      <c r="BN583" s="449">
        <f t="shared" si="502"/>
        <v>0</v>
      </c>
      <c r="BO583" s="449">
        <f t="shared" si="502"/>
        <v>0</v>
      </c>
      <c r="BP583" s="449">
        <f t="shared" si="502"/>
        <v>0</v>
      </c>
      <c r="BQ583" s="449">
        <f t="shared" si="502"/>
        <v>0</v>
      </c>
      <c r="BR583" s="449">
        <f t="shared" si="502"/>
        <v>0</v>
      </c>
      <c r="BS583" s="449">
        <f t="shared" si="502"/>
        <v>0</v>
      </c>
      <c r="BT583" s="449">
        <f t="shared" si="502"/>
        <v>44095.561370000003</v>
      </c>
    </row>
    <row r="584" spans="1:72" s="536" customFormat="1" ht="6" customHeight="1" x14ac:dyDescent="0.25">
      <c r="A584" s="587"/>
      <c r="B584" s="502"/>
      <c r="C584" s="400"/>
      <c r="D584" s="500"/>
      <c r="E584" s="449"/>
      <c r="F584" s="449"/>
      <c r="G584" s="421"/>
      <c r="H584" s="449"/>
      <c r="I584" s="449"/>
      <c r="J584" s="426"/>
      <c r="K584" s="421"/>
      <c r="L584" s="449"/>
      <c r="M584" s="449"/>
      <c r="N584" s="449"/>
      <c r="O584" s="449"/>
      <c r="P584" s="449"/>
      <c r="Q584" s="449"/>
      <c r="R584" s="449"/>
      <c r="S584" s="449"/>
      <c r="T584" s="449"/>
      <c r="U584" s="449"/>
      <c r="V584" s="449"/>
      <c r="W584" s="449"/>
      <c r="X584" s="449"/>
      <c r="Y584" s="449">
        <f>SUM(L584:W584)</f>
        <v>0</v>
      </c>
      <c r="Z584" s="501"/>
      <c r="AA584" s="449"/>
      <c r="AB584" s="449"/>
      <c r="AC584" s="449"/>
      <c r="AD584" s="449"/>
      <c r="AE584" s="449"/>
      <c r="AF584" s="449"/>
      <c r="AG584" s="449"/>
      <c r="AH584" s="449"/>
      <c r="AI584" s="449"/>
      <c r="AJ584" s="449"/>
      <c r="AK584" s="449"/>
      <c r="AL584" s="449"/>
      <c r="AN584" s="500"/>
      <c r="AO584" s="449"/>
      <c r="AP584" s="449"/>
      <c r="AQ584" s="453"/>
      <c r="AR584" s="449"/>
      <c r="AS584" s="449"/>
      <c r="AT584" s="426"/>
      <c r="AU584" s="421"/>
      <c r="AV584" s="449"/>
      <c r="AW584" s="449"/>
      <c r="AX584" s="449"/>
      <c r="AY584" s="449"/>
      <c r="AZ584" s="449"/>
      <c r="BA584" s="449"/>
      <c r="BB584" s="449"/>
      <c r="BC584" s="449"/>
      <c r="BD584" s="449"/>
      <c r="BE584" s="449"/>
      <c r="BF584" s="449"/>
      <c r="BG584" s="449"/>
      <c r="BH584" s="501"/>
      <c r="BI584" s="449"/>
      <c r="BJ584" s="449"/>
      <c r="BK584" s="449"/>
      <c r="BL584" s="449"/>
      <c r="BM584" s="449"/>
      <c r="BN584" s="449"/>
      <c r="BO584" s="449"/>
      <c r="BP584" s="449"/>
      <c r="BQ584" s="449"/>
      <c r="BR584" s="449"/>
      <c r="BS584" s="449"/>
      <c r="BT584" s="449"/>
    </row>
    <row r="585" spans="1:72" s="536" customFormat="1" ht="15" customHeight="1" thickBot="1" x14ac:dyDescent="0.3">
      <c r="A585" s="526"/>
      <c r="B585" s="524" t="s">
        <v>983</v>
      </c>
      <c r="D585" s="532">
        <f>SUM(D578:D584)</f>
        <v>31562</v>
      </c>
      <c r="E585" s="533">
        <f>SUM(E578:E584)</f>
        <v>31562</v>
      </c>
      <c r="F585" s="533">
        <f>IFERROR(D585-E585,0)</f>
        <v>0</v>
      </c>
      <c r="G585" s="520">
        <f>IFERROR(F585/ABS(E585),0)</f>
        <v>0</v>
      </c>
      <c r="H585" s="533">
        <f>SUM(H578:H583)</f>
        <v>31562</v>
      </c>
      <c r="I585" s="533">
        <f>IFERROR(D585-H585,0)</f>
        <v>0</v>
      </c>
      <c r="J585" s="521">
        <f>IFERROR(I585/ABS(H585),0)</f>
        <v>0</v>
      </c>
      <c r="K585" s="507"/>
      <c r="L585" s="533">
        <f>SUM(L578:L584)</f>
        <v>0</v>
      </c>
      <c r="M585" s="533">
        <f t="shared" ref="M585:W585" si="503">SUM(M578:M584)</f>
        <v>0</v>
      </c>
      <c r="N585" s="533">
        <f t="shared" si="503"/>
        <v>0</v>
      </c>
      <c r="O585" s="533">
        <f t="shared" si="503"/>
        <v>0</v>
      </c>
      <c r="P585" s="533">
        <f t="shared" si="503"/>
        <v>0</v>
      </c>
      <c r="Q585" s="533">
        <f t="shared" si="503"/>
        <v>0</v>
      </c>
      <c r="R585" s="533">
        <f t="shared" si="503"/>
        <v>5260.333333333333</v>
      </c>
      <c r="S585" s="533">
        <f t="shared" si="503"/>
        <v>5260.3333333333339</v>
      </c>
      <c r="T585" s="533">
        <f t="shared" si="503"/>
        <v>5260.333333333333</v>
      </c>
      <c r="U585" s="533">
        <f t="shared" si="503"/>
        <v>5260.333333333333</v>
      </c>
      <c r="V585" s="533">
        <f t="shared" si="503"/>
        <v>5260.3333333333339</v>
      </c>
      <c r="W585" s="533">
        <f t="shared" si="503"/>
        <v>5260.3333333333358</v>
      </c>
      <c r="X585" s="533"/>
      <c r="Y585" s="533">
        <f>SUM(Y578:Y584)</f>
        <v>31562</v>
      </c>
      <c r="Z585" s="508"/>
      <c r="AA585" s="533">
        <f t="shared" ref="AA585:AL585" si="504">SUM(AA578:AA584)</f>
        <v>2630.1666666666665</v>
      </c>
      <c r="AB585" s="533">
        <f t="shared" si="504"/>
        <v>2630.1666666666665</v>
      </c>
      <c r="AC585" s="533">
        <f t="shared" si="504"/>
        <v>2630.1666666666665</v>
      </c>
      <c r="AD585" s="533">
        <f t="shared" si="504"/>
        <v>2630.1666666666665</v>
      </c>
      <c r="AE585" s="533">
        <f t="shared" si="504"/>
        <v>2630.1666666666665</v>
      </c>
      <c r="AF585" s="533">
        <f t="shared" si="504"/>
        <v>2630.1666666666665</v>
      </c>
      <c r="AG585" s="533">
        <f t="shared" si="504"/>
        <v>2630.1666666666665</v>
      </c>
      <c r="AH585" s="533">
        <f t="shared" si="504"/>
        <v>2630.1666666666665</v>
      </c>
      <c r="AI585" s="533">
        <f t="shared" si="504"/>
        <v>2630.1666666666665</v>
      </c>
      <c r="AJ585" s="533">
        <f t="shared" si="504"/>
        <v>2630.1666666666665</v>
      </c>
      <c r="AK585" s="533">
        <f t="shared" si="504"/>
        <v>2630.1666666666665</v>
      </c>
      <c r="AL585" s="533">
        <f t="shared" si="504"/>
        <v>2630.1666666666665</v>
      </c>
      <c r="AN585" s="532">
        <f>SUM(AN578:AN584)</f>
        <v>31562</v>
      </c>
      <c r="AO585" s="533">
        <f>SUM(AO578:AO584)</f>
        <v>44095.561370000003</v>
      </c>
      <c r="AP585" s="533">
        <f>IFERROR(AO585-AN585,0)</f>
        <v>12533.561370000003</v>
      </c>
      <c r="AQ585" s="523">
        <f>IFERROR(AP585/ABS(AN585),"-")</f>
        <v>0.39710922533426279</v>
      </c>
      <c r="AR585" s="533">
        <f>SUM(AR578:AR583)</f>
        <v>44095.561370000003</v>
      </c>
      <c r="AS585" s="533">
        <f>IFERROR(AO585-AR585,0)</f>
        <v>0</v>
      </c>
      <c r="AT585" s="521">
        <f>IFERROR(AS585/ABS(AR585),0)</f>
        <v>0</v>
      </c>
      <c r="AU585" s="507"/>
      <c r="AV585" s="533">
        <f>SUM(AV578:AV584)</f>
        <v>0</v>
      </c>
      <c r="AW585" s="533">
        <f t="shared" ref="AW585:BG585" si="505">SUM(AW578:AW584)</f>
        <v>0</v>
      </c>
      <c r="AX585" s="533">
        <f t="shared" si="505"/>
        <v>0</v>
      </c>
      <c r="AY585" s="533">
        <f t="shared" si="505"/>
        <v>0</v>
      </c>
      <c r="AZ585" s="533">
        <f t="shared" si="505"/>
        <v>0</v>
      </c>
      <c r="BA585" s="533">
        <f t="shared" si="505"/>
        <v>0</v>
      </c>
      <c r="BB585" s="533">
        <f t="shared" si="505"/>
        <v>0</v>
      </c>
      <c r="BC585" s="533">
        <f t="shared" si="505"/>
        <v>0</v>
      </c>
      <c r="BD585" s="533">
        <f t="shared" si="505"/>
        <v>0</v>
      </c>
      <c r="BE585" s="533">
        <f t="shared" si="505"/>
        <v>0</v>
      </c>
      <c r="BF585" s="533">
        <f t="shared" si="505"/>
        <v>0</v>
      </c>
      <c r="BG585" s="533">
        <f t="shared" si="505"/>
        <v>44095.561370000003</v>
      </c>
      <c r="BH585" s="508"/>
      <c r="BI585" s="533">
        <f t="shared" ref="BI585:BT585" si="506">SUM(BI578:BI584)</f>
        <v>0</v>
      </c>
      <c r="BJ585" s="533">
        <f t="shared" si="506"/>
        <v>0</v>
      </c>
      <c r="BK585" s="533">
        <f t="shared" si="506"/>
        <v>0</v>
      </c>
      <c r="BL585" s="533">
        <f t="shared" si="506"/>
        <v>0</v>
      </c>
      <c r="BM585" s="533">
        <f t="shared" si="506"/>
        <v>0</v>
      </c>
      <c r="BN585" s="533">
        <f t="shared" si="506"/>
        <v>0</v>
      </c>
      <c r="BO585" s="533">
        <f t="shared" si="506"/>
        <v>0</v>
      </c>
      <c r="BP585" s="533">
        <f t="shared" si="506"/>
        <v>0</v>
      </c>
      <c r="BQ585" s="533">
        <f t="shared" si="506"/>
        <v>0</v>
      </c>
      <c r="BR585" s="533">
        <f t="shared" si="506"/>
        <v>0</v>
      </c>
      <c r="BS585" s="533">
        <f t="shared" si="506"/>
        <v>0</v>
      </c>
      <c r="BT585" s="533">
        <f t="shared" si="506"/>
        <v>44095.561370000003</v>
      </c>
    </row>
    <row r="586" spans="1:72" s="536" customFormat="1" ht="15" customHeight="1" thickTop="1" x14ac:dyDescent="0.25">
      <c r="A586" s="587"/>
      <c r="B586" s="502"/>
      <c r="C586" s="400"/>
      <c r="D586" s="500"/>
      <c r="E586" s="449"/>
      <c r="F586" s="449"/>
      <c r="G586" s="421"/>
      <c r="H586" s="449"/>
      <c r="I586" s="449"/>
      <c r="J586" s="426"/>
      <c r="K586" s="421"/>
      <c r="L586" s="449"/>
      <c r="M586" s="449"/>
      <c r="N586" s="449"/>
      <c r="O586" s="449"/>
      <c r="P586" s="449"/>
      <c r="Q586" s="449"/>
      <c r="R586" s="449"/>
      <c r="S586" s="449"/>
      <c r="T586" s="449"/>
      <c r="U586" s="449"/>
      <c r="V586" s="449"/>
      <c r="W586" s="449"/>
      <c r="X586" s="449"/>
      <c r="Y586" s="449"/>
      <c r="Z586" s="501"/>
      <c r="AA586" s="449"/>
      <c r="AB586" s="449"/>
      <c r="AC586" s="449"/>
      <c r="AD586" s="449"/>
      <c r="AE586" s="449"/>
      <c r="AF586" s="449"/>
      <c r="AG586" s="449"/>
      <c r="AH586" s="449"/>
      <c r="AI586" s="449"/>
      <c r="AJ586" s="449"/>
      <c r="AK586" s="449"/>
      <c r="AL586" s="449"/>
      <c r="AN586" s="500"/>
      <c r="AO586" s="449"/>
      <c r="AP586" s="449"/>
      <c r="AQ586" s="453"/>
      <c r="AR586" s="449"/>
      <c r="AS586" s="449"/>
      <c r="AT586" s="426"/>
      <c r="AU586" s="421"/>
      <c r="AV586" s="449"/>
      <c r="AW586" s="449"/>
      <c r="AX586" s="449"/>
      <c r="AY586" s="449"/>
      <c r="AZ586" s="449"/>
      <c r="BA586" s="449"/>
      <c r="BB586" s="449"/>
      <c r="BC586" s="449"/>
      <c r="BD586" s="449"/>
      <c r="BE586" s="449"/>
      <c r="BF586" s="449"/>
      <c r="BG586" s="449"/>
      <c r="BH586" s="501"/>
      <c r="BI586" s="449"/>
      <c r="BJ586" s="449"/>
      <c r="BK586" s="449"/>
      <c r="BL586" s="449"/>
      <c r="BM586" s="449"/>
      <c r="BN586" s="449"/>
      <c r="BO586" s="449"/>
      <c r="BP586" s="449"/>
      <c r="BQ586" s="449"/>
      <c r="BR586" s="449"/>
      <c r="BS586" s="449"/>
      <c r="BT586" s="449"/>
    </row>
    <row r="587" spans="1:72" s="536" customFormat="1" ht="15" customHeight="1" x14ac:dyDescent="0.25">
      <c r="A587" s="587"/>
      <c r="B587" s="524" t="s">
        <v>984</v>
      </c>
      <c r="C587" s="400"/>
      <c r="D587" s="500"/>
      <c r="E587" s="449"/>
      <c r="F587" s="449"/>
      <c r="G587" s="421"/>
      <c r="H587" s="449"/>
      <c r="I587" s="449"/>
      <c r="J587" s="426"/>
      <c r="K587" s="421"/>
      <c r="L587" s="449"/>
      <c r="M587" s="449"/>
      <c r="N587" s="449"/>
      <c r="O587" s="449"/>
      <c r="P587" s="449"/>
      <c r="Q587" s="449"/>
      <c r="R587" s="449"/>
      <c r="S587" s="449"/>
      <c r="T587" s="449"/>
      <c r="U587" s="449"/>
      <c r="V587" s="449"/>
      <c r="W587" s="449"/>
      <c r="X587" s="449"/>
      <c r="Y587" s="449"/>
      <c r="Z587" s="501"/>
      <c r="AA587" s="449"/>
      <c r="AB587" s="449"/>
      <c r="AC587" s="449"/>
      <c r="AD587" s="449"/>
      <c r="AE587" s="449"/>
      <c r="AF587" s="449"/>
      <c r="AG587" s="449"/>
      <c r="AH587" s="449"/>
      <c r="AI587" s="449"/>
      <c r="AJ587" s="449"/>
      <c r="AK587" s="449"/>
      <c r="AL587" s="449"/>
      <c r="AN587" s="500"/>
      <c r="AO587" s="449"/>
      <c r="AP587" s="449"/>
      <c r="AQ587" s="453"/>
      <c r="AR587" s="449"/>
      <c r="AS587" s="449"/>
      <c r="AT587" s="426"/>
      <c r="AU587" s="421"/>
      <c r="AV587" s="449"/>
      <c r="AW587" s="449"/>
      <c r="AX587" s="449"/>
      <c r="AY587" s="449"/>
      <c r="AZ587" s="449"/>
      <c r="BA587" s="449"/>
      <c r="BB587" s="449"/>
      <c r="BC587" s="449"/>
      <c r="BD587" s="449"/>
      <c r="BE587" s="449"/>
      <c r="BF587" s="449"/>
      <c r="BG587" s="449"/>
      <c r="BH587" s="501"/>
      <c r="BI587" s="449"/>
      <c r="BJ587" s="449"/>
      <c r="BK587" s="449"/>
      <c r="BL587" s="449"/>
      <c r="BM587" s="449"/>
      <c r="BN587" s="449"/>
      <c r="BO587" s="449"/>
      <c r="BP587" s="449"/>
      <c r="BQ587" s="449"/>
      <c r="BR587" s="449"/>
      <c r="BS587" s="449"/>
      <c r="BT587" s="449"/>
    </row>
    <row r="588" spans="1:72" s="536" customFormat="1" ht="5.25" customHeight="1" x14ac:dyDescent="0.25">
      <c r="A588" s="587"/>
      <c r="B588" s="524"/>
      <c r="C588" s="400"/>
      <c r="D588" s="500"/>
      <c r="E588" s="449"/>
      <c r="F588" s="449"/>
      <c r="G588" s="421"/>
      <c r="H588" s="449"/>
      <c r="I588" s="449"/>
      <c r="J588" s="426"/>
      <c r="K588" s="421"/>
      <c r="L588" s="449"/>
      <c r="M588" s="449"/>
      <c r="N588" s="449"/>
      <c r="O588" s="449"/>
      <c r="P588" s="449"/>
      <c r="Q588" s="449"/>
      <c r="R588" s="449"/>
      <c r="S588" s="449"/>
      <c r="T588" s="449"/>
      <c r="U588" s="449"/>
      <c r="V588" s="449"/>
      <c r="W588" s="449"/>
      <c r="X588" s="449"/>
      <c r="Y588" s="449"/>
      <c r="Z588" s="501"/>
      <c r="AA588" s="449"/>
      <c r="AB588" s="449"/>
      <c r="AC588" s="449"/>
      <c r="AD588" s="449"/>
      <c r="AE588" s="449"/>
      <c r="AF588" s="449"/>
      <c r="AG588" s="449"/>
      <c r="AH588" s="449"/>
      <c r="AI588" s="449"/>
      <c r="AJ588" s="449"/>
      <c r="AK588" s="449"/>
      <c r="AL588" s="449"/>
      <c r="AN588" s="500"/>
      <c r="AO588" s="449"/>
      <c r="AP588" s="449"/>
      <c r="AQ588" s="453"/>
      <c r="AR588" s="449"/>
      <c r="AS588" s="449"/>
      <c r="AT588" s="426"/>
      <c r="AU588" s="421"/>
      <c r="AV588" s="449"/>
      <c r="AW588" s="449"/>
      <c r="AX588" s="449"/>
      <c r="AY588" s="449"/>
      <c r="AZ588" s="449"/>
      <c r="BA588" s="449"/>
      <c r="BB588" s="449"/>
      <c r="BC588" s="449"/>
      <c r="BD588" s="449"/>
      <c r="BE588" s="449"/>
      <c r="BF588" s="449"/>
      <c r="BG588" s="449"/>
      <c r="BH588" s="501"/>
      <c r="BI588" s="449"/>
      <c r="BJ588" s="449"/>
      <c r="BK588" s="449"/>
      <c r="BL588" s="449"/>
      <c r="BM588" s="449"/>
      <c r="BN588" s="449"/>
      <c r="BO588" s="449"/>
      <c r="BP588" s="449"/>
      <c r="BQ588" s="449"/>
      <c r="BR588" s="449"/>
      <c r="BS588" s="449"/>
      <c r="BT588" s="449"/>
    </row>
    <row r="589" spans="1:72" ht="15" x14ac:dyDescent="0.25">
      <c r="A589" s="502" t="s">
        <v>985</v>
      </c>
      <c r="B589" s="502" t="s">
        <v>986</v>
      </c>
      <c r="C589" s="538"/>
      <c r="D589" s="500">
        <f t="shared" ref="D589:D597" si="507">SUM(L589:W589)</f>
        <v>23803</v>
      </c>
      <c r="E589" s="449">
        <v>11958</v>
      </c>
      <c r="F589" s="449">
        <f t="shared" ref="F589:F597" si="508">IFERROR(D589-E589,0)</f>
        <v>11845</v>
      </c>
      <c r="G589" s="421">
        <f t="shared" ref="G589:G597" si="509">IFERROR(F589/ABS(E589),0)</f>
        <v>0.99055025924067575</v>
      </c>
      <c r="H589" s="449">
        <v>23803</v>
      </c>
      <c r="I589" s="449">
        <f t="shared" ref="I589:I597" si="510">IFERROR(D589-H589,0)</f>
        <v>0</v>
      </c>
      <c r="J589" s="426">
        <f t="shared" ref="J589:J597" si="511">IFERROR(I589/ABS(H589),0)</f>
        <v>0</v>
      </c>
      <c r="K589" s="421"/>
      <c r="L589" s="449">
        <v>0</v>
      </c>
      <c r="M589" s="449">
        <v>1292.7</v>
      </c>
      <c r="N589" s="449">
        <v>2467.2799999999997</v>
      </c>
      <c r="O589" s="449">
        <v>1748.9900000000007</v>
      </c>
      <c r="P589" s="449">
        <v>1637.1099999999997</v>
      </c>
      <c r="Q589" s="449">
        <v>1637.0100000000002</v>
      </c>
      <c r="R589" s="449">
        <f>($H589-SUM($L589:Q589))/R$694</f>
        <v>2503.3183333333332</v>
      </c>
      <c r="S589" s="449">
        <f>($H589-SUM($L589:R589))/S$694</f>
        <v>2503.3183333333336</v>
      </c>
      <c r="T589" s="449">
        <f>($H589-SUM($L589:S589))/T$694</f>
        <v>2503.3183333333336</v>
      </c>
      <c r="U589" s="449">
        <f>($H589-SUM($L589:T589))/U$694</f>
        <v>2503.3183333333341</v>
      </c>
      <c r="V589" s="449">
        <f>($H589-SUM($L589:U589))/V$694</f>
        <v>2503.3183333333345</v>
      </c>
      <c r="W589" s="449">
        <f>($H589-SUM($L589:V589))/W$694</f>
        <v>2503.3183333333363</v>
      </c>
      <c r="X589" s="449"/>
      <c r="Y589" s="449">
        <f t="shared" ref="Y589:Y597" si="512">SUM(L589:W589)</f>
        <v>23803</v>
      </c>
      <c r="Z589" s="531"/>
      <c r="AA589" s="449">
        <f t="shared" ref="AA589:AL597" si="513">IFERROR($H589/12,0)</f>
        <v>1983.5833333333333</v>
      </c>
      <c r="AB589" s="449">
        <f t="shared" si="513"/>
        <v>1983.5833333333333</v>
      </c>
      <c r="AC589" s="449">
        <f t="shared" si="513"/>
        <v>1983.5833333333333</v>
      </c>
      <c r="AD589" s="449">
        <f t="shared" si="513"/>
        <v>1983.5833333333333</v>
      </c>
      <c r="AE589" s="449">
        <f t="shared" si="513"/>
        <v>1983.5833333333333</v>
      </c>
      <c r="AF589" s="449">
        <f t="shared" si="513"/>
        <v>1983.5833333333333</v>
      </c>
      <c r="AG589" s="449">
        <f t="shared" si="513"/>
        <v>1983.5833333333333</v>
      </c>
      <c r="AH589" s="449">
        <f t="shared" si="513"/>
        <v>1983.5833333333333</v>
      </c>
      <c r="AI589" s="449">
        <f t="shared" si="513"/>
        <v>1983.5833333333333</v>
      </c>
      <c r="AJ589" s="449">
        <f t="shared" si="513"/>
        <v>1983.5833333333333</v>
      </c>
      <c r="AK589" s="449">
        <f t="shared" si="513"/>
        <v>1983.5833333333333</v>
      </c>
      <c r="AL589" s="449">
        <f t="shared" si="513"/>
        <v>1983.5833333333333</v>
      </c>
      <c r="AN589" s="500">
        <f t="shared" ref="AN589:AN597" si="514">SUM(L589:W589)</f>
        <v>23803</v>
      </c>
      <c r="AO589" s="449">
        <f t="shared" ref="AO589:AO597" si="515">SUM(BI589:BT589)</f>
        <v>31610.7</v>
      </c>
      <c r="AP589" s="449">
        <f t="shared" ref="AP589:AP597" si="516">IFERROR(AO589-AN589,0)</f>
        <v>7807.7000000000007</v>
      </c>
      <c r="AQ589" s="453">
        <f t="shared" ref="AQ589:AQ597" si="517">IFERROR(AP589/ABS(AN589),"-")</f>
        <v>0.32801327563752469</v>
      </c>
      <c r="AR589" s="449">
        <f t="shared" ref="AR589:AR597" si="518">SUM(BI589:BT589)</f>
        <v>31610.7</v>
      </c>
      <c r="AS589" s="449">
        <f t="shared" ref="AS589:AS597" si="519">IFERROR(AO589-AR589,0)</f>
        <v>0</v>
      </c>
      <c r="AT589" s="426">
        <f t="shared" ref="AT589:AT597" si="520">IFERROR(AS589/ABS(AR589),0)</f>
        <v>0</v>
      </c>
      <c r="AU589" s="421"/>
      <c r="AV589" s="449">
        <f t="shared" ref="AV589:BG597" si="521">BI589</f>
        <v>0</v>
      </c>
      <c r="AW589" s="449">
        <f t="shared" si="521"/>
        <v>3161.07</v>
      </c>
      <c r="AX589" s="449">
        <f t="shared" si="521"/>
        <v>3161.07</v>
      </c>
      <c r="AY589" s="449">
        <f t="shared" si="521"/>
        <v>3161.07</v>
      </c>
      <c r="AZ589" s="449">
        <f t="shared" si="521"/>
        <v>3161.07</v>
      </c>
      <c r="BA589" s="449">
        <f t="shared" si="521"/>
        <v>3161.07</v>
      </c>
      <c r="BB589" s="449">
        <f t="shared" si="521"/>
        <v>3161.07</v>
      </c>
      <c r="BC589" s="449">
        <f t="shared" si="521"/>
        <v>3161.07</v>
      </c>
      <c r="BD589" s="449">
        <f t="shared" si="521"/>
        <v>3161.07</v>
      </c>
      <c r="BE589" s="449">
        <f t="shared" si="521"/>
        <v>3161.07</v>
      </c>
      <c r="BF589" s="449">
        <f t="shared" si="521"/>
        <v>3161.07</v>
      </c>
      <c r="BG589" s="449">
        <f t="shared" si="521"/>
        <v>0</v>
      </c>
      <c r="BH589" s="400"/>
      <c r="BI589" s="449">
        <v>0</v>
      </c>
      <c r="BJ589" s="449">
        <f>SUM('FY19 Staffing V1-1 (3)'!$P$197:$P$201)/10</f>
        <v>3161.07</v>
      </c>
      <c r="BK589" s="449">
        <f>SUM('FY19 Staffing V1-1 (3)'!$P$197:$P$201)/10</f>
        <v>3161.07</v>
      </c>
      <c r="BL589" s="449">
        <f>SUM('FY19 Staffing V1-1 (3)'!$P$197:$P$201)/10</f>
        <v>3161.07</v>
      </c>
      <c r="BM589" s="449">
        <f>SUM('FY19 Staffing V1-1 (3)'!$P$197:$P$201)/10</f>
        <v>3161.07</v>
      </c>
      <c r="BN589" s="449">
        <f>SUM('FY19 Staffing V1-1 (3)'!$P$197:$P$201)/10</f>
        <v>3161.07</v>
      </c>
      <c r="BO589" s="449">
        <f>SUM('FY19 Staffing V1-1 (3)'!$P$197:$P$201)/10</f>
        <v>3161.07</v>
      </c>
      <c r="BP589" s="449">
        <f>SUM('FY19 Staffing V1-1 (3)'!$P$197:$P$201)/10</f>
        <v>3161.07</v>
      </c>
      <c r="BQ589" s="449">
        <f>SUM('FY19 Staffing V1-1 (3)'!$P$197:$P$201)/10</f>
        <v>3161.07</v>
      </c>
      <c r="BR589" s="449">
        <f>SUM('FY19 Staffing V1-1 (3)'!$P$197:$P$201)/10</f>
        <v>3161.07</v>
      </c>
      <c r="BS589" s="449">
        <f>SUM('FY19 Staffing V1-1 (3)'!$P$197:$P$201)/10</f>
        <v>3161.07</v>
      </c>
      <c r="BT589" s="449">
        <v>0</v>
      </c>
    </row>
    <row r="590" spans="1:72" ht="15" x14ac:dyDescent="0.25">
      <c r="A590" s="502" t="s">
        <v>987</v>
      </c>
      <c r="B590" s="502" t="s">
        <v>988</v>
      </c>
      <c r="C590" s="538"/>
      <c r="D590" s="500">
        <f t="shared" si="507"/>
        <v>0</v>
      </c>
      <c r="E590" s="449">
        <v>11845</v>
      </c>
      <c r="F590" s="449">
        <f t="shared" si="508"/>
        <v>-11845</v>
      </c>
      <c r="G590" s="421">
        <f t="shared" si="509"/>
        <v>-1</v>
      </c>
      <c r="H590" s="449">
        <v>0</v>
      </c>
      <c r="I590" s="449">
        <f t="shared" si="510"/>
        <v>0</v>
      </c>
      <c r="J590" s="426">
        <f t="shared" si="511"/>
        <v>0</v>
      </c>
      <c r="K590" s="421"/>
      <c r="L590" s="449">
        <v>0</v>
      </c>
      <c r="M590" s="449">
        <v>0</v>
      </c>
      <c r="N590" s="449">
        <v>0</v>
      </c>
      <c r="O590" s="449">
        <v>0</v>
      </c>
      <c r="P590" s="449">
        <v>0</v>
      </c>
      <c r="Q590" s="449">
        <v>0</v>
      </c>
      <c r="R590" s="449">
        <f>($H590-SUM($L590:Q590))/R$694</f>
        <v>0</v>
      </c>
      <c r="S590" s="449">
        <f>($H590-SUM($L590:R590))/S$694</f>
        <v>0</v>
      </c>
      <c r="T590" s="449">
        <f>($H590-SUM($L590:S590))/T$694</f>
        <v>0</v>
      </c>
      <c r="U590" s="449">
        <f>($H590-SUM($L590:T590))/U$694</f>
        <v>0</v>
      </c>
      <c r="V590" s="449">
        <f>($H590-SUM($L590:U590))/V$694</f>
        <v>0</v>
      </c>
      <c r="W590" s="449">
        <f>($H590-SUM($L590:V590))/W$694</f>
        <v>0</v>
      </c>
      <c r="X590" s="449"/>
      <c r="Y590" s="449">
        <f t="shared" si="512"/>
        <v>0</v>
      </c>
      <c r="Z590" s="531"/>
      <c r="AA590" s="449">
        <f t="shared" si="513"/>
        <v>0</v>
      </c>
      <c r="AB590" s="449">
        <f t="shared" si="513"/>
        <v>0</v>
      </c>
      <c r="AC590" s="449">
        <f t="shared" si="513"/>
        <v>0</v>
      </c>
      <c r="AD590" s="449">
        <f t="shared" si="513"/>
        <v>0</v>
      </c>
      <c r="AE590" s="449">
        <f t="shared" si="513"/>
        <v>0</v>
      </c>
      <c r="AF590" s="449">
        <f t="shared" si="513"/>
        <v>0</v>
      </c>
      <c r="AG590" s="449">
        <f t="shared" si="513"/>
        <v>0</v>
      </c>
      <c r="AH590" s="449">
        <f t="shared" si="513"/>
        <v>0</v>
      </c>
      <c r="AI590" s="449">
        <f t="shared" si="513"/>
        <v>0</v>
      </c>
      <c r="AJ590" s="449">
        <f t="shared" si="513"/>
        <v>0</v>
      </c>
      <c r="AK590" s="449">
        <f t="shared" si="513"/>
        <v>0</v>
      </c>
      <c r="AL590" s="449">
        <f t="shared" si="513"/>
        <v>0</v>
      </c>
      <c r="AN590" s="500">
        <f t="shared" si="514"/>
        <v>0</v>
      </c>
      <c r="AO590" s="449">
        <f t="shared" si="515"/>
        <v>0</v>
      </c>
      <c r="AP590" s="449">
        <f t="shared" si="516"/>
        <v>0</v>
      </c>
      <c r="AQ590" s="453" t="str">
        <f t="shared" si="517"/>
        <v>-</v>
      </c>
      <c r="AR590" s="449">
        <f t="shared" si="518"/>
        <v>0</v>
      </c>
      <c r="AS590" s="449">
        <f t="shared" si="519"/>
        <v>0</v>
      </c>
      <c r="AT590" s="426">
        <f t="shared" si="520"/>
        <v>0</v>
      </c>
      <c r="AU590" s="421"/>
      <c r="AV590" s="449">
        <f t="shared" si="521"/>
        <v>0</v>
      </c>
      <c r="AW590" s="449">
        <f t="shared" si="521"/>
        <v>0</v>
      </c>
      <c r="AX590" s="449">
        <f t="shared" si="521"/>
        <v>0</v>
      </c>
      <c r="AY590" s="449">
        <f t="shared" si="521"/>
        <v>0</v>
      </c>
      <c r="AZ590" s="449">
        <f t="shared" si="521"/>
        <v>0</v>
      </c>
      <c r="BA590" s="449">
        <f t="shared" si="521"/>
        <v>0</v>
      </c>
      <c r="BB590" s="449">
        <f t="shared" si="521"/>
        <v>0</v>
      </c>
      <c r="BC590" s="449">
        <f t="shared" si="521"/>
        <v>0</v>
      </c>
      <c r="BD590" s="449">
        <f t="shared" si="521"/>
        <v>0</v>
      </c>
      <c r="BE590" s="449">
        <f t="shared" si="521"/>
        <v>0</v>
      </c>
      <c r="BF590" s="449">
        <f t="shared" si="521"/>
        <v>0</v>
      </c>
      <c r="BG590" s="449">
        <f t="shared" si="521"/>
        <v>0</v>
      </c>
      <c r="BH590" s="400"/>
      <c r="BI590" s="449">
        <v>0</v>
      </c>
      <c r="BJ590" s="449">
        <v>0</v>
      </c>
      <c r="BK590" s="449">
        <v>0</v>
      </c>
      <c r="BL590" s="449">
        <v>0</v>
      </c>
      <c r="BM590" s="449">
        <v>0</v>
      </c>
      <c r="BN590" s="449">
        <v>0</v>
      </c>
      <c r="BO590" s="449">
        <v>0</v>
      </c>
      <c r="BP590" s="449">
        <v>0</v>
      </c>
      <c r="BQ590" s="449">
        <v>0</v>
      </c>
      <c r="BR590" s="449">
        <v>0</v>
      </c>
      <c r="BS590" s="449">
        <v>0</v>
      </c>
      <c r="BT590" s="449">
        <v>0</v>
      </c>
    </row>
    <row r="591" spans="1:72" ht="15" x14ac:dyDescent="0.25">
      <c r="A591" s="502" t="s">
        <v>989</v>
      </c>
      <c r="B591" s="502" t="s">
        <v>990</v>
      </c>
      <c r="C591" s="538"/>
      <c r="D591" s="500">
        <f t="shared" si="507"/>
        <v>0</v>
      </c>
      <c r="E591" s="449">
        <v>0</v>
      </c>
      <c r="F591" s="449">
        <f t="shared" si="508"/>
        <v>0</v>
      </c>
      <c r="G591" s="421">
        <f t="shared" si="509"/>
        <v>0</v>
      </c>
      <c r="H591" s="449"/>
      <c r="I591" s="449">
        <f t="shared" si="510"/>
        <v>0</v>
      </c>
      <c r="J591" s="426">
        <f t="shared" si="511"/>
        <v>0</v>
      </c>
      <c r="K591" s="421"/>
      <c r="L591" s="449">
        <v>0</v>
      </c>
      <c r="M591" s="449">
        <v>0</v>
      </c>
      <c r="N591" s="449">
        <v>0</v>
      </c>
      <c r="O591" s="449">
        <v>0</v>
      </c>
      <c r="P591" s="449">
        <v>0</v>
      </c>
      <c r="Q591" s="449">
        <v>0</v>
      </c>
      <c r="R591" s="449">
        <f>($H591-SUM($L591:Q591))/R$694</f>
        <v>0</v>
      </c>
      <c r="S591" s="449">
        <f>($H591-SUM($L591:R591))/S$694</f>
        <v>0</v>
      </c>
      <c r="T591" s="449">
        <f>($H591-SUM($L591:S591))/T$694</f>
        <v>0</v>
      </c>
      <c r="U591" s="449">
        <f>($H591-SUM($L591:T591))/U$694</f>
        <v>0</v>
      </c>
      <c r="V591" s="449">
        <f>($H591-SUM($L591:U591))/V$694</f>
        <v>0</v>
      </c>
      <c r="W591" s="449">
        <f>($H591-SUM($L591:V591))/W$694</f>
        <v>0</v>
      </c>
      <c r="X591" s="449"/>
      <c r="Y591" s="449">
        <f t="shared" si="512"/>
        <v>0</v>
      </c>
      <c r="Z591" s="531"/>
      <c r="AA591" s="449">
        <f t="shared" si="513"/>
        <v>0</v>
      </c>
      <c r="AB591" s="449">
        <f t="shared" si="513"/>
        <v>0</v>
      </c>
      <c r="AC591" s="449">
        <f t="shared" si="513"/>
        <v>0</v>
      </c>
      <c r="AD591" s="449">
        <f t="shared" si="513"/>
        <v>0</v>
      </c>
      <c r="AE591" s="449">
        <f t="shared" si="513"/>
        <v>0</v>
      </c>
      <c r="AF591" s="449">
        <f t="shared" si="513"/>
        <v>0</v>
      </c>
      <c r="AG591" s="449">
        <f t="shared" si="513"/>
        <v>0</v>
      </c>
      <c r="AH591" s="449">
        <f t="shared" si="513"/>
        <v>0</v>
      </c>
      <c r="AI591" s="449">
        <f t="shared" si="513"/>
        <v>0</v>
      </c>
      <c r="AJ591" s="449">
        <f t="shared" si="513"/>
        <v>0</v>
      </c>
      <c r="AK591" s="449">
        <f t="shared" si="513"/>
        <v>0</v>
      </c>
      <c r="AL591" s="449">
        <f t="shared" si="513"/>
        <v>0</v>
      </c>
      <c r="AN591" s="500">
        <f t="shared" si="514"/>
        <v>0</v>
      </c>
      <c r="AO591" s="449">
        <f t="shared" si="515"/>
        <v>0</v>
      </c>
      <c r="AP591" s="449">
        <f t="shared" si="516"/>
        <v>0</v>
      </c>
      <c r="AQ591" s="453" t="str">
        <f t="shared" si="517"/>
        <v>-</v>
      </c>
      <c r="AR591" s="449">
        <f t="shared" si="518"/>
        <v>0</v>
      </c>
      <c r="AS591" s="449">
        <f t="shared" si="519"/>
        <v>0</v>
      </c>
      <c r="AT591" s="426">
        <f t="shared" si="520"/>
        <v>0</v>
      </c>
      <c r="AU591" s="421"/>
      <c r="AV591" s="449">
        <f t="shared" si="521"/>
        <v>0</v>
      </c>
      <c r="AW591" s="449">
        <f t="shared" si="521"/>
        <v>0</v>
      </c>
      <c r="AX591" s="449">
        <f t="shared" si="521"/>
        <v>0</v>
      </c>
      <c r="AY591" s="449">
        <f t="shared" si="521"/>
        <v>0</v>
      </c>
      <c r="AZ591" s="449">
        <f t="shared" si="521"/>
        <v>0</v>
      </c>
      <c r="BA591" s="449">
        <f t="shared" si="521"/>
        <v>0</v>
      </c>
      <c r="BB591" s="449">
        <f t="shared" si="521"/>
        <v>0</v>
      </c>
      <c r="BC591" s="449">
        <f t="shared" si="521"/>
        <v>0</v>
      </c>
      <c r="BD591" s="449">
        <f t="shared" si="521"/>
        <v>0</v>
      </c>
      <c r="BE591" s="449">
        <f t="shared" si="521"/>
        <v>0</v>
      </c>
      <c r="BF591" s="449">
        <f t="shared" si="521"/>
        <v>0</v>
      </c>
      <c r="BG591" s="449">
        <f t="shared" si="521"/>
        <v>0</v>
      </c>
      <c r="BH591" s="400"/>
      <c r="BI591" s="449">
        <v>0</v>
      </c>
      <c r="BJ591" s="449">
        <v>0</v>
      </c>
      <c r="BK591" s="449">
        <v>0</v>
      </c>
      <c r="BL591" s="449">
        <v>0</v>
      </c>
      <c r="BM591" s="449">
        <v>0</v>
      </c>
      <c r="BN591" s="449">
        <v>0</v>
      </c>
      <c r="BO591" s="449">
        <v>0</v>
      </c>
      <c r="BP591" s="449">
        <v>0</v>
      </c>
      <c r="BQ591" s="449">
        <v>0</v>
      </c>
      <c r="BR591" s="449">
        <v>0</v>
      </c>
      <c r="BS591" s="449">
        <v>0</v>
      </c>
      <c r="BT591" s="449">
        <v>0</v>
      </c>
    </row>
    <row r="592" spans="1:72" ht="15" x14ac:dyDescent="0.25">
      <c r="A592" s="502" t="s">
        <v>991</v>
      </c>
      <c r="B592" s="502" t="s">
        <v>992</v>
      </c>
      <c r="C592" s="538"/>
      <c r="D592" s="500">
        <f t="shared" si="507"/>
        <v>4798</v>
      </c>
      <c r="E592" s="449">
        <v>2589</v>
      </c>
      <c r="F592" s="449">
        <f t="shared" si="508"/>
        <v>2209</v>
      </c>
      <c r="G592" s="421">
        <f t="shared" si="509"/>
        <v>0.85322518346852061</v>
      </c>
      <c r="H592" s="449">
        <v>4798</v>
      </c>
      <c r="I592" s="449">
        <f t="shared" si="510"/>
        <v>0</v>
      </c>
      <c r="J592" s="426">
        <f t="shared" si="511"/>
        <v>0</v>
      </c>
      <c r="K592" s="421"/>
      <c r="L592" s="449">
        <v>0</v>
      </c>
      <c r="M592" s="449">
        <v>406.89</v>
      </c>
      <c r="N592" s="449">
        <v>221.44000000000005</v>
      </c>
      <c r="O592" s="449">
        <v>235.20999999999992</v>
      </c>
      <c r="P592" s="449">
        <v>220.19000000000005</v>
      </c>
      <c r="Q592" s="449">
        <v>220.17000000000007</v>
      </c>
      <c r="R592" s="449">
        <f>($H592-SUM($L592:Q592))/R$694</f>
        <v>582.35</v>
      </c>
      <c r="S592" s="449">
        <f>($H592-SUM($L592:R592))/S$694</f>
        <v>582.35</v>
      </c>
      <c r="T592" s="449">
        <f>($H592-SUM($L592:S592))/T$694</f>
        <v>582.35</v>
      </c>
      <c r="U592" s="449">
        <f>($H592-SUM($L592:T592))/U$694</f>
        <v>582.35</v>
      </c>
      <c r="V592" s="449">
        <f>($H592-SUM($L592:U592))/V$694</f>
        <v>582.35000000000014</v>
      </c>
      <c r="W592" s="449">
        <f>($H592-SUM($L592:V592))/W$694</f>
        <v>582.35000000000036</v>
      </c>
      <c r="X592" s="449"/>
      <c r="Y592" s="449">
        <f t="shared" si="512"/>
        <v>4798</v>
      </c>
      <c r="Z592" s="531"/>
      <c r="AA592" s="449">
        <f t="shared" si="513"/>
        <v>399.83333333333331</v>
      </c>
      <c r="AB592" s="449">
        <f t="shared" si="513"/>
        <v>399.83333333333331</v>
      </c>
      <c r="AC592" s="449">
        <f t="shared" si="513"/>
        <v>399.83333333333331</v>
      </c>
      <c r="AD592" s="449">
        <f t="shared" si="513"/>
        <v>399.83333333333331</v>
      </c>
      <c r="AE592" s="449">
        <f t="shared" si="513"/>
        <v>399.83333333333331</v>
      </c>
      <c r="AF592" s="449">
        <f t="shared" si="513"/>
        <v>399.83333333333331</v>
      </c>
      <c r="AG592" s="449">
        <f t="shared" si="513"/>
        <v>399.83333333333331</v>
      </c>
      <c r="AH592" s="449">
        <f t="shared" si="513"/>
        <v>399.83333333333331</v>
      </c>
      <c r="AI592" s="449">
        <f t="shared" si="513"/>
        <v>399.83333333333331</v>
      </c>
      <c r="AJ592" s="449">
        <f t="shared" si="513"/>
        <v>399.83333333333331</v>
      </c>
      <c r="AK592" s="449">
        <f t="shared" si="513"/>
        <v>399.83333333333331</v>
      </c>
      <c r="AL592" s="449">
        <f t="shared" si="513"/>
        <v>399.83333333333331</v>
      </c>
      <c r="AN592" s="500">
        <f t="shared" si="514"/>
        <v>4798</v>
      </c>
      <c r="AO592" s="449">
        <f t="shared" si="515"/>
        <v>6396.618550000002</v>
      </c>
      <c r="AP592" s="449">
        <f t="shared" si="516"/>
        <v>1598.618550000002</v>
      </c>
      <c r="AQ592" s="453">
        <f t="shared" si="517"/>
        <v>0.33318435806586116</v>
      </c>
      <c r="AR592" s="449">
        <f t="shared" si="518"/>
        <v>6396.618550000002</v>
      </c>
      <c r="AS592" s="449">
        <f t="shared" si="519"/>
        <v>0</v>
      </c>
      <c r="AT592" s="426">
        <f t="shared" si="520"/>
        <v>0</v>
      </c>
      <c r="AU592" s="421"/>
      <c r="AV592" s="449">
        <f t="shared" si="521"/>
        <v>0</v>
      </c>
      <c r="AW592" s="449">
        <f t="shared" si="521"/>
        <v>639.66185500000006</v>
      </c>
      <c r="AX592" s="449">
        <f t="shared" si="521"/>
        <v>639.66185500000006</v>
      </c>
      <c r="AY592" s="449">
        <f t="shared" si="521"/>
        <v>639.66185500000006</v>
      </c>
      <c r="AZ592" s="449">
        <f t="shared" si="521"/>
        <v>639.66185500000006</v>
      </c>
      <c r="BA592" s="449">
        <f t="shared" si="521"/>
        <v>639.66185500000006</v>
      </c>
      <c r="BB592" s="449">
        <f t="shared" si="521"/>
        <v>639.66185500000006</v>
      </c>
      <c r="BC592" s="449">
        <f t="shared" si="521"/>
        <v>639.66185500000006</v>
      </c>
      <c r="BD592" s="449">
        <f t="shared" si="521"/>
        <v>639.66185500000006</v>
      </c>
      <c r="BE592" s="449">
        <f t="shared" si="521"/>
        <v>639.66185500000006</v>
      </c>
      <c r="BF592" s="449">
        <f t="shared" si="521"/>
        <v>639.66185500000006</v>
      </c>
      <c r="BG592" s="449">
        <f t="shared" si="521"/>
        <v>0</v>
      </c>
      <c r="BH592" s="400"/>
      <c r="BI592" s="449">
        <v>0</v>
      </c>
      <c r="BJ592" s="449">
        <f>SUM('FY19 Staffing V1-1 (3)'!$Q$197:$R$201,'FY19 Staffing V1-1 (3)'!$T$197:$U$201)/10</f>
        <v>639.66185500000006</v>
      </c>
      <c r="BK592" s="449">
        <f>SUM('FY19 Staffing V1-1 (3)'!$Q$197:$R$201,'FY19 Staffing V1-1 (3)'!$T$197:$U$201)/10</f>
        <v>639.66185500000006</v>
      </c>
      <c r="BL592" s="449">
        <f>SUM('FY19 Staffing V1-1 (3)'!$Q$197:$R$201,'FY19 Staffing V1-1 (3)'!$T$197:$U$201)/10</f>
        <v>639.66185500000006</v>
      </c>
      <c r="BM592" s="449">
        <f>SUM('FY19 Staffing V1-1 (3)'!$Q$197:$R$201,'FY19 Staffing V1-1 (3)'!$T$197:$U$201)/10</f>
        <v>639.66185500000006</v>
      </c>
      <c r="BN592" s="449">
        <f>SUM('FY19 Staffing V1-1 (3)'!$Q$197:$R$201,'FY19 Staffing V1-1 (3)'!$T$197:$U$201)/10</f>
        <v>639.66185500000006</v>
      </c>
      <c r="BO592" s="449">
        <f>SUM('FY19 Staffing V1-1 (3)'!$Q$197:$R$201,'FY19 Staffing V1-1 (3)'!$T$197:$U$201)/10</f>
        <v>639.66185500000006</v>
      </c>
      <c r="BP592" s="449">
        <f>SUM('FY19 Staffing V1-1 (3)'!$Q$197:$R$201,'FY19 Staffing V1-1 (3)'!$T$197:$U$201)/10</f>
        <v>639.66185500000006</v>
      </c>
      <c r="BQ592" s="449">
        <f>SUM('FY19 Staffing V1-1 (3)'!$Q$197:$R$201,'FY19 Staffing V1-1 (3)'!$T$197:$U$201)/10</f>
        <v>639.66185500000006</v>
      </c>
      <c r="BR592" s="449">
        <f>SUM('FY19 Staffing V1-1 (3)'!$Q$197:$R$201,'FY19 Staffing V1-1 (3)'!$T$197:$U$201)/10</f>
        <v>639.66185500000006</v>
      </c>
      <c r="BS592" s="449">
        <f>SUM('FY19 Staffing V1-1 (3)'!$Q$197:$R$201,'FY19 Staffing V1-1 (3)'!$T$197:$U$201)/10</f>
        <v>639.66185500000006</v>
      </c>
      <c r="BT592" s="449">
        <v>0</v>
      </c>
    </row>
    <row r="593" spans="1:72" ht="15" x14ac:dyDescent="0.25">
      <c r="A593" s="502" t="s">
        <v>993</v>
      </c>
      <c r="B593" s="502" t="s">
        <v>994</v>
      </c>
      <c r="C593" s="538"/>
      <c r="D593" s="500">
        <f t="shared" si="507"/>
        <v>0</v>
      </c>
      <c r="E593" s="449">
        <v>2209</v>
      </c>
      <c r="F593" s="449">
        <f t="shared" si="508"/>
        <v>-2209</v>
      </c>
      <c r="G593" s="421">
        <f t="shared" si="509"/>
        <v>-1</v>
      </c>
      <c r="H593" s="449">
        <v>0</v>
      </c>
      <c r="I593" s="449">
        <f t="shared" si="510"/>
        <v>0</v>
      </c>
      <c r="J593" s="426">
        <f t="shared" si="511"/>
        <v>0</v>
      </c>
      <c r="K593" s="421"/>
      <c r="L593" s="449">
        <v>0</v>
      </c>
      <c r="M593" s="449">
        <v>0</v>
      </c>
      <c r="N593" s="449">
        <v>0</v>
      </c>
      <c r="O593" s="449">
        <v>0</v>
      </c>
      <c r="P593" s="449">
        <v>0</v>
      </c>
      <c r="Q593" s="449">
        <v>0</v>
      </c>
      <c r="R593" s="449">
        <f>($H593-SUM($L593:Q593))/R$694</f>
        <v>0</v>
      </c>
      <c r="S593" s="449">
        <f>($H593-SUM($L593:R593))/S$694</f>
        <v>0</v>
      </c>
      <c r="T593" s="449">
        <f>($H593-SUM($L593:S593))/T$694</f>
        <v>0</v>
      </c>
      <c r="U593" s="449">
        <f>($H593-SUM($L593:T593))/U$694</f>
        <v>0</v>
      </c>
      <c r="V593" s="449">
        <f>($H593-SUM($L593:U593))/V$694</f>
        <v>0</v>
      </c>
      <c r="W593" s="449">
        <f>($H593-SUM($L593:V593))/W$694</f>
        <v>0</v>
      </c>
      <c r="X593" s="449"/>
      <c r="Y593" s="449">
        <f t="shared" si="512"/>
        <v>0</v>
      </c>
      <c r="Z593" s="531"/>
      <c r="AA593" s="449">
        <f t="shared" si="513"/>
        <v>0</v>
      </c>
      <c r="AB593" s="449">
        <f t="shared" si="513"/>
        <v>0</v>
      </c>
      <c r="AC593" s="449">
        <f t="shared" si="513"/>
        <v>0</v>
      </c>
      <c r="AD593" s="449">
        <f t="shared" si="513"/>
        <v>0</v>
      </c>
      <c r="AE593" s="449">
        <f t="shared" si="513"/>
        <v>0</v>
      </c>
      <c r="AF593" s="449">
        <f t="shared" si="513"/>
        <v>0</v>
      </c>
      <c r="AG593" s="449">
        <f t="shared" si="513"/>
        <v>0</v>
      </c>
      <c r="AH593" s="449">
        <f t="shared" si="513"/>
        <v>0</v>
      </c>
      <c r="AI593" s="449">
        <f t="shared" si="513"/>
        <v>0</v>
      </c>
      <c r="AJ593" s="449">
        <f t="shared" si="513"/>
        <v>0</v>
      </c>
      <c r="AK593" s="449">
        <f t="shared" si="513"/>
        <v>0</v>
      </c>
      <c r="AL593" s="449">
        <f t="shared" si="513"/>
        <v>0</v>
      </c>
      <c r="AN593" s="500">
        <f t="shared" si="514"/>
        <v>0</v>
      </c>
      <c r="AO593" s="449">
        <f t="shared" si="515"/>
        <v>0</v>
      </c>
      <c r="AP593" s="449">
        <f t="shared" si="516"/>
        <v>0</v>
      </c>
      <c r="AQ593" s="453" t="str">
        <f t="shared" si="517"/>
        <v>-</v>
      </c>
      <c r="AR593" s="449">
        <f t="shared" si="518"/>
        <v>0</v>
      </c>
      <c r="AS593" s="449">
        <f t="shared" si="519"/>
        <v>0</v>
      </c>
      <c r="AT593" s="426">
        <f t="shared" si="520"/>
        <v>0</v>
      </c>
      <c r="AU593" s="421"/>
      <c r="AV593" s="449">
        <f t="shared" si="521"/>
        <v>0</v>
      </c>
      <c r="AW593" s="449">
        <f t="shared" si="521"/>
        <v>0</v>
      </c>
      <c r="AX593" s="449">
        <f t="shared" si="521"/>
        <v>0</v>
      </c>
      <c r="AY593" s="449">
        <f t="shared" si="521"/>
        <v>0</v>
      </c>
      <c r="AZ593" s="449">
        <f t="shared" si="521"/>
        <v>0</v>
      </c>
      <c r="BA593" s="449">
        <f t="shared" si="521"/>
        <v>0</v>
      </c>
      <c r="BB593" s="449">
        <f t="shared" si="521"/>
        <v>0</v>
      </c>
      <c r="BC593" s="449">
        <f t="shared" si="521"/>
        <v>0</v>
      </c>
      <c r="BD593" s="449">
        <f t="shared" si="521"/>
        <v>0</v>
      </c>
      <c r="BE593" s="449">
        <f t="shared" si="521"/>
        <v>0</v>
      </c>
      <c r="BF593" s="449">
        <f t="shared" si="521"/>
        <v>0</v>
      </c>
      <c r="BG593" s="449">
        <f t="shared" si="521"/>
        <v>0</v>
      </c>
      <c r="BH593" s="400"/>
      <c r="BI593" s="449">
        <v>0</v>
      </c>
      <c r="BJ593" s="449">
        <v>0</v>
      </c>
      <c r="BK593" s="449">
        <v>0</v>
      </c>
      <c r="BL593" s="449">
        <v>0</v>
      </c>
      <c r="BM593" s="449">
        <v>0</v>
      </c>
      <c r="BN593" s="449">
        <v>0</v>
      </c>
      <c r="BO593" s="449">
        <v>0</v>
      </c>
      <c r="BP593" s="449">
        <v>0</v>
      </c>
      <c r="BQ593" s="449">
        <v>0</v>
      </c>
      <c r="BR593" s="449">
        <v>0</v>
      </c>
      <c r="BS593" s="449">
        <v>0</v>
      </c>
      <c r="BT593" s="449">
        <v>0</v>
      </c>
    </row>
    <row r="594" spans="1:72" ht="15" x14ac:dyDescent="0.25">
      <c r="A594" s="502" t="s">
        <v>995</v>
      </c>
      <c r="B594" s="502" t="s">
        <v>996</v>
      </c>
      <c r="C594" s="538"/>
      <c r="D594" s="500">
        <f t="shared" si="507"/>
        <v>2009</v>
      </c>
      <c r="E594" s="449">
        <v>1004</v>
      </c>
      <c r="F594" s="449">
        <f t="shared" si="508"/>
        <v>1005</v>
      </c>
      <c r="G594" s="421">
        <f t="shared" si="509"/>
        <v>1.000996015936255</v>
      </c>
      <c r="H594" s="449">
        <v>2009</v>
      </c>
      <c r="I594" s="449">
        <f t="shared" si="510"/>
        <v>0</v>
      </c>
      <c r="J594" s="426">
        <f t="shared" si="511"/>
        <v>0</v>
      </c>
      <c r="K594" s="421"/>
      <c r="L594" s="449">
        <v>0</v>
      </c>
      <c r="M594" s="449">
        <v>0</v>
      </c>
      <c r="N594" s="449">
        <v>0</v>
      </c>
      <c r="O594" s="449">
        <v>411.76</v>
      </c>
      <c r="P594" s="449">
        <v>414.03</v>
      </c>
      <c r="Q594" s="449">
        <v>413.96000000000004</v>
      </c>
      <c r="R594" s="449">
        <f>($H594-SUM($L594:Q594))/R$694</f>
        <v>128.20833333333334</v>
      </c>
      <c r="S594" s="449">
        <f>($H594-SUM($L594:R594))/S$694</f>
        <v>128.20833333333334</v>
      </c>
      <c r="T594" s="449">
        <f>($H594-SUM($L594:S594))/T$694</f>
        <v>128.20833333333337</v>
      </c>
      <c r="U594" s="449">
        <f>($H594-SUM($L594:T594))/U$694</f>
        <v>128.20833333333334</v>
      </c>
      <c r="V594" s="449">
        <f>($H594-SUM($L594:U594))/V$694</f>
        <v>128.20833333333337</v>
      </c>
      <c r="W594" s="449">
        <f>($H594-SUM($L594:V594))/W$694</f>
        <v>128.20833333333348</v>
      </c>
      <c r="X594" s="449"/>
      <c r="Y594" s="449">
        <f t="shared" si="512"/>
        <v>2009</v>
      </c>
      <c r="Z594" s="531"/>
      <c r="AA594" s="449">
        <f t="shared" si="513"/>
        <v>167.41666666666666</v>
      </c>
      <c r="AB594" s="449">
        <f t="shared" si="513"/>
        <v>167.41666666666666</v>
      </c>
      <c r="AC594" s="449">
        <f t="shared" si="513"/>
        <v>167.41666666666666</v>
      </c>
      <c r="AD594" s="449">
        <f t="shared" si="513"/>
        <v>167.41666666666666</v>
      </c>
      <c r="AE594" s="449">
        <f t="shared" si="513"/>
        <v>167.41666666666666</v>
      </c>
      <c r="AF594" s="449">
        <f t="shared" si="513"/>
        <v>167.41666666666666</v>
      </c>
      <c r="AG594" s="449">
        <f t="shared" si="513"/>
        <v>167.41666666666666</v>
      </c>
      <c r="AH594" s="449">
        <f t="shared" si="513"/>
        <v>167.41666666666666</v>
      </c>
      <c r="AI594" s="449">
        <f t="shared" si="513"/>
        <v>167.41666666666666</v>
      </c>
      <c r="AJ594" s="449">
        <f t="shared" si="513"/>
        <v>167.41666666666666</v>
      </c>
      <c r="AK594" s="449">
        <f t="shared" si="513"/>
        <v>167.41666666666666</v>
      </c>
      <c r="AL594" s="449">
        <f t="shared" si="513"/>
        <v>167.41666666666666</v>
      </c>
      <c r="AN594" s="500">
        <f t="shared" si="514"/>
        <v>2009</v>
      </c>
      <c r="AO594" s="449">
        <f t="shared" si="515"/>
        <v>4823.7928199999997</v>
      </c>
      <c r="AP594" s="449">
        <f t="shared" si="516"/>
        <v>2814.7928199999997</v>
      </c>
      <c r="AQ594" s="453">
        <f t="shared" si="517"/>
        <v>1.4010914982578395</v>
      </c>
      <c r="AR594" s="449">
        <f t="shared" si="518"/>
        <v>4823.7928199999997</v>
      </c>
      <c r="AS594" s="449">
        <f t="shared" si="519"/>
        <v>0</v>
      </c>
      <c r="AT594" s="426">
        <f t="shared" si="520"/>
        <v>0</v>
      </c>
      <c r="AU594" s="421"/>
      <c r="AV594" s="449">
        <f t="shared" si="521"/>
        <v>0</v>
      </c>
      <c r="AW594" s="449">
        <f t="shared" si="521"/>
        <v>482.37928200000005</v>
      </c>
      <c r="AX594" s="449">
        <f t="shared" si="521"/>
        <v>482.37928200000005</v>
      </c>
      <c r="AY594" s="449">
        <f t="shared" si="521"/>
        <v>482.37928200000005</v>
      </c>
      <c r="AZ594" s="449">
        <f t="shared" si="521"/>
        <v>482.37928200000005</v>
      </c>
      <c r="BA594" s="449">
        <f t="shared" si="521"/>
        <v>482.37928200000005</v>
      </c>
      <c r="BB594" s="449">
        <f t="shared" si="521"/>
        <v>482.37928200000005</v>
      </c>
      <c r="BC594" s="449">
        <f t="shared" si="521"/>
        <v>482.37928200000005</v>
      </c>
      <c r="BD594" s="449">
        <f t="shared" si="521"/>
        <v>482.37928200000005</v>
      </c>
      <c r="BE594" s="449">
        <f t="shared" si="521"/>
        <v>482.37928200000005</v>
      </c>
      <c r="BF594" s="449">
        <f t="shared" si="521"/>
        <v>482.37928200000005</v>
      </c>
      <c r="BG594" s="449">
        <f t="shared" si="521"/>
        <v>0</v>
      </c>
      <c r="BH594" s="400"/>
      <c r="BI594" s="449">
        <v>0</v>
      </c>
      <c r="BJ594" s="449">
        <f>SUM('FY19 Staffing V1-1 (3)'!$W$197:$W$201)/10</f>
        <v>482.37928200000005</v>
      </c>
      <c r="BK594" s="449">
        <f>SUM('FY19 Staffing V1-1 (3)'!$W$197:$W$201)/10</f>
        <v>482.37928200000005</v>
      </c>
      <c r="BL594" s="449">
        <f>SUM('FY19 Staffing V1-1 (3)'!$W$197:$W$201)/10</f>
        <v>482.37928200000005</v>
      </c>
      <c r="BM594" s="449">
        <f>SUM('FY19 Staffing V1-1 (3)'!$W$197:$W$201)/10</f>
        <v>482.37928200000005</v>
      </c>
      <c r="BN594" s="449">
        <f>SUM('FY19 Staffing V1-1 (3)'!$W$197:$W$201)/10</f>
        <v>482.37928200000005</v>
      </c>
      <c r="BO594" s="449">
        <f>SUM('FY19 Staffing V1-1 (3)'!$W$197:$W$201)/10</f>
        <v>482.37928200000005</v>
      </c>
      <c r="BP594" s="449">
        <f>SUM('FY19 Staffing V1-1 (3)'!$W$197:$W$201)/10</f>
        <v>482.37928200000005</v>
      </c>
      <c r="BQ594" s="449">
        <f>SUM('FY19 Staffing V1-1 (3)'!$W$197:$W$201)/10</f>
        <v>482.37928200000005</v>
      </c>
      <c r="BR594" s="449">
        <f>SUM('FY19 Staffing V1-1 (3)'!$W$197:$W$201)/10</f>
        <v>482.37928200000005</v>
      </c>
      <c r="BS594" s="449">
        <f>SUM('FY19 Staffing V1-1 (3)'!$W$197:$W$201)/10</f>
        <v>482.37928200000005</v>
      </c>
      <c r="BT594" s="449">
        <v>0</v>
      </c>
    </row>
    <row r="595" spans="1:72" ht="15" x14ac:dyDescent="0.25">
      <c r="A595" s="502" t="s">
        <v>997</v>
      </c>
      <c r="B595" s="502" t="s">
        <v>998</v>
      </c>
      <c r="C595" s="538"/>
      <c r="D595" s="500">
        <f t="shared" si="507"/>
        <v>0</v>
      </c>
      <c r="E595" s="449">
        <v>1005</v>
      </c>
      <c r="F595" s="449">
        <f t="shared" si="508"/>
        <v>-1005</v>
      </c>
      <c r="G595" s="421">
        <f t="shared" si="509"/>
        <v>-1</v>
      </c>
      <c r="H595" s="449">
        <v>0</v>
      </c>
      <c r="I595" s="449">
        <f t="shared" si="510"/>
        <v>0</v>
      </c>
      <c r="J595" s="426">
        <f t="shared" si="511"/>
        <v>0</v>
      </c>
      <c r="K595" s="421"/>
      <c r="L595" s="449">
        <v>0</v>
      </c>
      <c r="M595" s="449">
        <v>0</v>
      </c>
      <c r="N595" s="449">
        <v>0</v>
      </c>
      <c r="O595" s="449">
        <v>0</v>
      </c>
      <c r="P595" s="449">
        <v>0</v>
      </c>
      <c r="Q595" s="449">
        <v>0</v>
      </c>
      <c r="R595" s="449">
        <f>($H595-SUM($L595:Q595))/R$694</f>
        <v>0</v>
      </c>
      <c r="S595" s="449">
        <f>($H595-SUM($L595:R595))/S$694</f>
        <v>0</v>
      </c>
      <c r="T595" s="449">
        <f>($H595-SUM($L595:S595))/T$694</f>
        <v>0</v>
      </c>
      <c r="U595" s="449">
        <f>($H595-SUM($L595:T595))/U$694</f>
        <v>0</v>
      </c>
      <c r="V595" s="449">
        <f>($H595-SUM($L595:U595))/V$694</f>
        <v>0</v>
      </c>
      <c r="W595" s="449">
        <f>($H595-SUM($L595:V595))/W$694</f>
        <v>0</v>
      </c>
      <c r="X595" s="449"/>
      <c r="Y595" s="449">
        <f t="shared" si="512"/>
        <v>0</v>
      </c>
      <c r="Z595" s="531"/>
      <c r="AA595" s="449">
        <f t="shared" si="513"/>
        <v>0</v>
      </c>
      <c r="AB595" s="449">
        <f t="shared" si="513"/>
        <v>0</v>
      </c>
      <c r="AC595" s="449">
        <f t="shared" si="513"/>
        <v>0</v>
      </c>
      <c r="AD595" s="449">
        <f t="shared" si="513"/>
        <v>0</v>
      </c>
      <c r="AE595" s="449">
        <f t="shared" si="513"/>
        <v>0</v>
      </c>
      <c r="AF595" s="449">
        <f t="shared" si="513"/>
        <v>0</v>
      </c>
      <c r="AG595" s="449">
        <f t="shared" si="513"/>
        <v>0</v>
      </c>
      <c r="AH595" s="449">
        <f t="shared" si="513"/>
        <v>0</v>
      </c>
      <c r="AI595" s="449">
        <f t="shared" si="513"/>
        <v>0</v>
      </c>
      <c r="AJ595" s="449">
        <f t="shared" si="513"/>
        <v>0</v>
      </c>
      <c r="AK595" s="449">
        <f t="shared" si="513"/>
        <v>0</v>
      </c>
      <c r="AL595" s="449">
        <f t="shared" si="513"/>
        <v>0</v>
      </c>
      <c r="AN595" s="500">
        <f t="shared" si="514"/>
        <v>0</v>
      </c>
      <c r="AO595" s="449">
        <f t="shared" si="515"/>
        <v>0</v>
      </c>
      <c r="AP595" s="449">
        <f t="shared" si="516"/>
        <v>0</v>
      </c>
      <c r="AQ595" s="553" t="str">
        <f t="shared" si="517"/>
        <v>-</v>
      </c>
      <c r="AR595" s="449">
        <f t="shared" si="518"/>
        <v>0</v>
      </c>
      <c r="AS595" s="449">
        <f t="shared" si="519"/>
        <v>0</v>
      </c>
      <c r="AT595" s="426">
        <f t="shared" si="520"/>
        <v>0</v>
      </c>
      <c r="AU595" s="421"/>
      <c r="AV595" s="449">
        <f t="shared" si="521"/>
        <v>0</v>
      </c>
      <c r="AW595" s="449">
        <f t="shared" si="521"/>
        <v>0</v>
      </c>
      <c r="AX595" s="449">
        <f t="shared" si="521"/>
        <v>0</v>
      </c>
      <c r="AY595" s="449">
        <f t="shared" si="521"/>
        <v>0</v>
      </c>
      <c r="AZ595" s="449">
        <f t="shared" si="521"/>
        <v>0</v>
      </c>
      <c r="BA595" s="449">
        <f t="shared" si="521"/>
        <v>0</v>
      </c>
      <c r="BB595" s="449">
        <f t="shared" si="521"/>
        <v>0</v>
      </c>
      <c r="BC595" s="449">
        <f t="shared" si="521"/>
        <v>0</v>
      </c>
      <c r="BD595" s="449">
        <f t="shared" si="521"/>
        <v>0</v>
      </c>
      <c r="BE595" s="449">
        <f t="shared" si="521"/>
        <v>0</v>
      </c>
      <c r="BF595" s="449">
        <f t="shared" si="521"/>
        <v>0</v>
      </c>
      <c r="BG595" s="449">
        <f t="shared" si="521"/>
        <v>0</v>
      </c>
      <c r="BH595" s="400"/>
      <c r="BI595" s="449">
        <v>0</v>
      </c>
      <c r="BJ595" s="449">
        <v>0</v>
      </c>
      <c r="BK595" s="449">
        <v>0</v>
      </c>
      <c r="BL595" s="449">
        <v>0</v>
      </c>
      <c r="BM595" s="449">
        <v>0</v>
      </c>
      <c r="BN595" s="449">
        <v>0</v>
      </c>
      <c r="BO595" s="449">
        <v>0</v>
      </c>
      <c r="BP595" s="449">
        <v>0</v>
      </c>
      <c r="BQ595" s="449">
        <v>0</v>
      </c>
      <c r="BR595" s="449">
        <v>0</v>
      </c>
      <c r="BS595" s="449">
        <v>0</v>
      </c>
      <c r="BT595" s="449">
        <v>0</v>
      </c>
    </row>
    <row r="596" spans="1:72" ht="15" x14ac:dyDescent="0.25">
      <c r="A596" s="502" t="s">
        <v>999</v>
      </c>
      <c r="B596" s="502" t="s">
        <v>1000</v>
      </c>
      <c r="C596" s="538"/>
      <c r="D596" s="500">
        <f t="shared" si="507"/>
        <v>478</v>
      </c>
      <c r="E596" s="449">
        <v>478</v>
      </c>
      <c r="F596" s="449">
        <f t="shared" si="508"/>
        <v>0</v>
      </c>
      <c r="G596" s="421">
        <f t="shared" si="509"/>
        <v>0</v>
      </c>
      <c r="H596" s="449">
        <v>478</v>
      </c>
      <c r="I596" s="449">
        <f t="shared" si="510"/>
        <v>0</v>
      </c>
      <c r="J596" s="426">
        <f t="shared" si="511"/>
        <v>0</v>
      </c>
      <c r="K596" s="421"/>
      <c r="L596" s="449">
        <v>0</v>
      </c>
      <c r="M596" s="449">
        <v>0</v>
      </c>
      <c r="N596" s="449">
        <v>0</v>
      </c>
      <c r="O596" s="449">
        <v>0</v>
      </c>
      <c r="P596" s="449">
        <v>0</v>
      </c>
      <c r="Q596" s="449">
        <v>0</v>
      </c>
      <c r="R596" s="449">
        <f>($H596-SUM($L596:Q596))/R$694</f>
        <v>79.666666666666671</v>
      </c>
      <c r="S596" s="449">
        <f>($H596-SUM($L596:R596))/S$694</f>
        <v>79.666666666666657</v>
      </c>
      <c r="T596" s="449">
        <f>($H596-SUM($L596:S596))/T$694</f>
        <v>79.666666666666671</v>
      </c>
      <c r="U596" s="449">
        <f>($H596-SUM($L596:T596))/U$694</f>
        <v>79.666666666666671</v>
      </c>
      <c r="V596" s="449">
        <f>($H596-SUM($L596:U596))/V$694</f>
        <v>79.666666666666657</v>
      </c>
      <c r="W596" s="449">
        <f>($H596-SUM($L596:V596))/W$694</f>
        <v>79.666666666666629</v>
      </c>
      <c r="X596" s="449"/>
      <c r="Y596" s="449">
        <f t="shared" si="512"/>
        <v>478</v>
      </c>
      <c r="Z596" s="531"/>
      <c r="AA596" s="449">
        <f t="shared" si="513"/>
        <v>39.833333333333336</v>
      </c>
      <c r="AB596" s="449">
        <f t="shared" si="513"/>
        <v>39.833333333333336</v>
      </c>
      <c r="AC596" s="449">
        <f t="shared" si="513"/>
        <v>39.833333333333336</v>
      </c>
      <c r="AD596" s="449">
        <f t="shared" si="513"/>
        <v>39.833333333333336</v>
      </c>
      <c r="AE596" s="449">
        <f t="shared" si="513"/>
        <v>39.833333333333336</v>
      </c>
      <c r="AF596" s="449">
        <f t="shared" si="513"/>
        <v>39.833333333333336</v>
      </c>
      <c r="AG596" s="449">
        <f t="shared" si="513"/>
        <v>39.833333333333336</v>
      </c>
      <c r="AH596" s="449">
        <f t="shared" si="513"/>
        <v>39.833333333333336</v>
      </c>
      <c r="AI596" s="449">
        <f t="shared" si="513"/>
        <v>39.833333333333336</v>
      </c>
      <c r="AJ596" s="449">
        <f t="shared" si="513"/>
        <v>39.833333333333336</v>
      </c>
      <c r="AK596" s="449">
        <f t="shared" si="513"/>
        <v>39.833333333333336</v>
      </c>
      <c r="AL596" s="449">
        <f t="shared" si="513"/>
        <v>39.833333333333336</v>
      </c>
      <c r="AN596" s="500">
        <f t="shared" si="514"/>
        <v>478</v>
      </c>
      <c r="AO596" s="449">
        <f t="shared" si="515"/>
        <v>1264.4499999999996</v>
      </c>
      <c r="AP596" s="449">
        <f t="shared" si="516"/>
        <v>786.44999999999959</v>
      </c>
      <c r="AQ596" s="453">
        <f t="shared" si="517"/>
        <v>1.6452928870292878</v>
      </c>
      <c r="AR596" s="449">
        <f t="shared" si="518"/>
        <v>1264.4499999999996</v>
      </c>
      <c r="AS596" s="449">
        <f t="shared" si="519"/>
        <v>0</v>
      </c>
      <c r="AT596" s="426">
        <f t="shared" si="520"/>
        <v>0</v>
      </c>
      <c r="AU596" s="421"/>
      <c r="AV596" s="449">
        <f t="shared" si="521"/>
        <v>0</v>
      </c>
      <c r="AW596" s="449">
        <f t="shared" si="521"/>
        <v>126.44499999999998</v>
      </c>
      <c r="AX596" s="449">
        <f t="shared" si="521"/>
        <v>126.44499999999998</v>
      </c>
      <c r="AY596" s="449">
        <f t="shared" si="521"/>
        <v>126.44499999999998</v>
      </c>
      <c r="AZ596" s="449">
        <f t="shared" si="521"/>
        <v>126.44499999999998</v>
      </c>
      <c r="BA596" s="449">
        <f t="shared" si="521"/>
        <v>126.44499999999998</v>
      </c>
      <c r="BB596" s="449">
        <f t="shared" si="521"/>
        <v>126.44499999999998</v>
      </c>
      <c r="BC596" s="449">
        <f t="shared" si="521"/>
        <v>126.44499999999998</v>
      </c>
      <c r="BD596" s="449">
        <f t="shared" si="521"/>
        <v>126.44499999999998</v>
      </c>
      <c r="BE596" s="449">
        <f t="shared" si="521"/>
        <v>126.44499999999998</v>
      </c>
      <c r="BF596" s="449">
        <f t="shared" si="521"/>
        <v>126.44499999999998</v>
      </c>
      <c r="BG596" s="449">
        <f t="shared" si="521"/>
        <v>0</v>
      </c>
      <c r="BH596" s="400"/>
      <c r="BI596" s="449">
        <v>0</v>
      </c>
      <c r="BJ596" s="449">
        <f>SUM('FY19 Staffing V1-1 (3)'!$S$197:$S$201)/10</f>
        <v>126.44499999999998</v>
      </c>
      <c r="BK596" s="449">
        <f>SUM('FY19 Staffing V1-1 (3)'!$S$197:$S$201)/10</f>
        <v>126.44499999999998</v>
      </c>
      <c r="BL596" s="449">
        <f>SUM('FY19 Staffing V1-1 (3)'!$S$197:$S$201)/10</f>
        <v>126.44499999999998</v>
      </c>
      <c r="BM596" s="449">
        <f>SUM('FY19 Staffing V1-1 (3)'!$S$197:$S$201)/10</f>
        <v>126.44499999999998</v>
      </c>
      <c r="BN596" s="449">
        <f>SUM('FY19 Staffing V1-1 (3)'!$S$197:$S$201)/10</f>
        <v>126.44499999999998</v>
      </c>
      <c r="BO596" s="449">
        <f>SUM('FY19 Staffing V1-1 (3)'!$S$197:$S$201)/10</f>
        <v>126.44499999999998</v>
      </c>
      <c r="BP596" s="449">
        <f>SUM('FY19 Staffing V1-1 (3)'!$S$197:$S$201)/10</f>
        <v>126.44499999999998</v>
      </c>
      <c r="BQ596" s="449">
        <f>SUM('FY19 Staffing V1-1 (3)'!$S$197:$S$201)/10</f>
        <v>126.44499999999998</v>
      </c>
      <c r="BR596" s="449">
        <f>SUM('FY19 Staffing V1-1 (3)'!$S$197:$S$201)/10</f>
        <v>126.44499999999998</v>
      </c>
      <c r="BS596" s="449">
        <f>SUM('FY19 Staffing V1-1 (3)'!$S$197:$S$201)/10</f>
        <v>126.44499999999998</v>
      </c>
      <c r="BT596" s="449">
        <v>0</v>
      </c>
    </row>
    <row r="597" spans="1:72" ht="15" x14ac:dyDescent="0.25">
      <c r="A597" s="502" t="s">
        <v>1001</v>
      </c>
      <c r="B597" s="502" t="s">
        <v>1002</v>
      </c>
      <c r="C597" s="538"/>
      <c r="D597" s="500">
        <f t="shared" si="507"/>
        <v>474</v>
      </c>
      <c r="E597" s="449">
        <v>474</v>
      </c>
      <c r="F597" s="449">
        <f t="shared" si="508"/>
        <v>0</v>
      </c>
      <c r="G597" s="421">
        <f t="shared" si="509"/>
        <v>0</v>
      </c>
      <c r="H597" s="449">
        <v>474</v>
      </c>
      <c r="I597" s="449">
        <f t="shared" si="510"/>
        <v>0</v>
      </c>
      <c r="J597" s="426">
        <f t="shared" si="511"/>
        <v>0</v>
      </c>
      <c r="K597" s="421"/>
      <c r="L597" s="449">
        <v>0</v>
      </c>
      <c r="M597" s="449">
        <v>0</v>
      </c>
      <c r="N597" s="449">
        <v>0</v>
      </c>
      <c r="O597" s="449">
        <v>0</v>
      </c>
      <c r="P597" s="449">
        <v>0</v>
      </c>
      <c r="Q597" s="449">
        <v>0</v>
      </c>
      <c r="R597" s="449">
        <f>($H597-SUM($L597:Q597))/R$694</f>
        <v>79</v>
      </c>
      <c r="S597" s="449">
        <f>($H597-SUM($L597:R597))/S$694</f>
        <v>79</v>
      </c>
      <c r="T597" s="449">
        <f>($H597-SUM($L597:S597))/T$694</f>
        <v>79</v>
      </c>
      <c r="U597" s="449">
        <f>($H597-SUM($L597:T597))/U$694</f>
        <v>79</v>
      </c>
      <c r="V597" s="449">
        <f>($H597-SUM($L597:U597))/V$694</f>
        <v>79</v>
      </c>
      <c r="W597" s="449">
        <f>($H597-SUM($L597:V597))/W$694</f>
        <v>79</v>
      </c>
      <c r="X597" s="449"/>
      <c r="Y597" s="449">
        <f t="shared" si="512"/>
        <v>474</v>
      </c>
      <c r="Z597" s="531"/>
      <c r="AA597" s="449">
        <f t="shared" si="513"/>
        <v>39.5</v>
      </c>
      <c r="AB597" s="449">
        <f t="shared" si="513"/>
        <v>39.5</v>
      </c>
      <c r="AC597" s="449">
        <f t="shared" si="513"/>
        <v>39.5</v>
      </c>
      <c r="AD597" s="449">
        <f t="shared" si="513"/>
        <v>39.5</v>
      </c>
      <c r="AE597" s="449">
        <f t="shared" si="513"/>
        <v>39.5</v>
      </c>
      <c r="AF597" s="449">
        <f t="shared" si="513"/>
        <v>39.5</v>
      </c>
      <c r="AG597" s="449">
        <f t="shared" si="513"/>
        <v>39.5</v>
      </c>
      <c r="AH597" s="449">
        <f t="shared" si="513"/>
        <v>39.5</v>
      </c>
      <c r="AI597" s="449">
        <f t="shared" si="513"/>
        <v>39.5</v>
      </c>
      <c r="AJ597" s="449">
        <f t="shared" si="513"/>
        <v>39.5</v>
      </c>
      <c r="AK597" s="449">
        <f t="shared" si="513"/>
        <v>39.5</v>
      </c>
      <c r="AL597" s="449">
        <f t="shared" si="513"/>
        <v>39.5</v>
      </c>
      <c r="AN597" s="500">
        <f t="shared" si="514"/>
        <v>474</v>
      </c>
      <c r="AO597" s="449">
        <f t="shared" si="515"/>
        <v>0</v>
      </c>
      <c r="AP597" s="449">
        <f t="shared" si="516"/>
        <v>-474</v>
      </c>
      <c r="AQ597" s="453">
        <f t="shared" si="517"/>
        <v>-1</v>
      </c>
      <c r="AR597" s="449">
        <f t="shared" si="518"/>
        <v>0</v>
      </c>
      <c r="AS597" s="449">
        <f t="shared" si="519"/>
        <v>0</v>
      </c>
      <c r="AT597" s="426">
        <f t="shared" si="520"/>
        <v>0</v>
      </c>
      <c r="AU597" s="421"/>
      <c r="AV597" s="449">
        <f t="shared" si="521"/>
        <v>0</v>
      </c>
      <c r="AW597" s="449">
        <f t="shared" si="521"/>
        <v>0</v>
      </c>
      <c r="AX597" s="449">
        <f t="shared" si="521"/>
        <v>0</v>
      </c>
      <c r="AY597" s="449">
        <f t="shared" si="521"/>
        <v>0</v>
      </c>
      <c r="AZ597" s="449">
        <f t="shared" si="521"/>
        <v>0</v>
      </c>
      <c r="BA597" s="449">
        <f t="shared" si="521"/>
        <v>0</v>
      </c>
      <c r="BB597" s="449">
        <f t="shared" si="521"/>
        <v>0</v>
      </c>
      <c r="BC597" s="449">
        <f t="shared" si="521"/>
        <v>0</v>
      </c>
      <c r="BD597" s="449">
        <f t="shared" si="521"/>
        <v>0</v>
      </c>
      <c r="BE597" s="449">
        <f t="shared" si="521"/>
        <v>0</v>
      </c>
      <c r="BF597" s="449">
        <f t="shared" si="521"/>
        <v>0</v>
      </c>
      <c r="BG597" s="449">
        <f t="shared" si="521"/>
        <v>0</v>
      </c>
      <c r="BH597" s="400"/>
      <c r="BI597" s="449">
        <v>0</v>
      </c>
      <c r="BJ597" s="449">
        <v>0</v>
      </c>
      <c r="BK597" s="449">
        <v>0</v>
      </c>
      <c r="BL597" s="449">
        <v>0</v>
      </c>
      <c r="BM597" s="449">
        <v>0</v>
      </c>
      <c r="BN597" s="449">
        <v>0</v>
      </c>
      <c r="BO597" s="449">
        <v>0</v>
      </c>
      <c r="BP597" s="449">
        <v>0</v>
      </c>
      <c r="BQ597" s="449">
        <v>0</v>
      </c>
      <c r="BR597" s="449">
        <v>0</v>
      </c>
      <c r="BS597" s="449">
        <v>0</v>
      </c>
      <c r="BT597" s="449">
        <v>0</v>
      </c>
    </row>
    <row r="598" spans="1:72" ht="15" hidden="1" x14ac:dyDescent="0.25">
      <c r="A598" s="502" t="s">
        <v>1003</v>
      </c>
      <c r="B598" s="502" t="s">
        <v>1004</v>
      </c>
      <c r="C598" s="538"/>
      <c r="D598" s="500"/>
      <c r="E598" s="449"/>
      <c r="F598" s="449"/>
      <c r="G598" s="421"/>
      <c r="H598" s="449"/>
      <c r="I598" s="449"/>
      <c r="J598" s="426"/>
      <c r="K598" s="421"/>
      <c r="L598" s="449"/>
      <c r="M598" s="449"/>
      <c r="N598" s="449"/>
      <c r="O598" s="449"/>
      <c r="P598" s="449"/>
      <c r="Q598" s="449"/>
      <c r="R598" s="449"/>
      <c r="S598" s="449"/>
      <c r="T598" s="449"/>
      <c r="U598" s="449"/>
      <c r="V598" s="449"/>
      <c r="W598" s="449"/>
      <c r="X598" s="449"/>
      <c r="Y598" s="449">
        <v>0</v>
      </c>
      <c r="Z598" s="531"/>
      <c r="AA598" s="449"/>
      <c r="AB598" s="449"/>
      <c r="AC598" s="449"/>
      <c r="AD598" s="449"/>
      <c r="AE598" s="449"/>
      <c r="AF598" s="449"/>
      <c r="AG598" s="449"/>
      <c r="AH598" s="449"/>
      <c r="AI598" s="449"/>
      <c r="AJ598" s="449"/>
      <c r="AK598" s="449"/>
      <c r="AL598" s="449"/>
      <c r="AN598" s="500"/>
      <c r="AO598" s="449"/>
      <c r="AP598" s="449"/>
      <c r="AQ598" s="453"/>
      <c r="AR598" s="449"/>
      <c r="AS598" s="449"/>
      <c r="AT598" s="426"/>
      <c r="AU598" s="421"/>
      <c r="AV598" s="449"/>
      <c r="AW598" s="449"/>
      <c r="AX598" s="449"/>
      <c r="AY598" s="449"/>
      <c r="AZ598" s="449"/>
      <c r="BA598" s="449"/>
      <c r="BB598" s="449"/>
      <c r="BC598" s="449"/>
      <c r="BD598" s="449"/>
      <c r="BE598" s="449"/>
      <c r="BF598" s="449"/>
      <c r="BG598" s="449"/>
      <c r="BH598" s="531"/>
      <c r="BI598" s="449"/>
      <c r="BJ598" s="449"/>
      <c r="BK598" s="449"/>
      <c r="BL598" s="449"/>
      <c r="BM598" s="449"/>
      <c r="BN598" s="449"/>
      <c r="BO598" s="449"/>
      <c r="BP598" s="449"/>
      <c r="BQ598" s="449"/>
      <c r="BR598" s="449"/>
      <c r="BS598" s="449"/>
      <c r="BT598" s="449"/>
    </row>
    <row r="599" spans="1:72" ht="15" hidden="1" x14ac:dyDescent="0.25">
      <c r="A599" s="502" t="s">
        <v>1005</v>
      </c>
      <c r="B599" s="502" t="s">
        <v>1006</v>
      </c>
      <c r="C599" s="538"/>
      <c r="D599" s="500"/>
      <c r="E599" s="449"/>
      <c r="F599" s="449"/>
      <c r="G599" s="421"/>
      <c r="H599" s="449"/>
      <c r="I599" s="449"/>
      <c r="J599" s="426"/>
      <c r="K599" s="421"/>
      <c r="L599" s="449"/>
      <c r="M599" s="449"/>
      <c r="N599" s="449"/>
      <c r="O599" s="449"/>
      <c r="P599" s="449"/>
      <c r="Q599" s="449"/>
      <c r="R599" s="449"/>
      <c r="S599" s="449"/>
      <c r="T599" s="449"/>
      <c r="U599" s="449"/>
      <c r="V599" s="449"/>
      <c r="W599" s="449"/>
      <c r="X599" s="449"/>
      <c r="Y599" s="449">
        <v>0</v>
      </c>
      <c r="Z599" s="531"/>
      <c r="AA599" s="449"/>
      <c r="AB599" s="449"/>
      <c r="AC599" s="449"/>
      <c r="AD599" s="449"/>
      <c r="AE599" s="449"/>
      <c r="AF599" s="449"/>
      <c r="AG599" s="449"/>
      <c r="AH599" s="449"/>
      <c r="AI599" s="449"/>
      <c r="AJ599" s="449"/>
      <c r="AK599" s="449"/>
      <c r="AL599" s="449"/>
      <c r="AN599" s="500"/>
      <c r="AO599" s="449"/>
      <c r="AP599" s="449"/>
      <c r="AQ599" s="453"/>
      <c r="AR599" s="449"/>
      <c r="AS599" s="449"/>
      <c r="AT599" s="426"/>
      <c r="AU599" s="421"/>
      <c r="AV599" s="449"/>
      <c r="AW599" s="449"/>
      <c r="AX599" s="449"/>
      <c r="AY599" s="449"/>
      <c r="AZ599" s="449"/>
      <c r="BA599" s="449"/>
      <c r="BB599" s="449"/>
      <c r="BC599" s="449"/>
      <c r="BD599" s="449"/>
      <c r="BE599" s="449"/>
      <c r="BF599" s="449"/>
      <c r="BG599" s="449"/>
      <c r="BH599" s="531"/>
      <c r="BI599" s="449"/>
      <c r="BJ599" s="449"/>
      <c r="BK599" s="449"/>
      <c r="BL599" s="449"/>
      <c r="BM599" s="449"/>
      <c r="BN599" s="449"/>
      <c r="BO599" s="449"/>
      <c r="BP599" s="449"/>
      <c r="BQ599" s="449"/>
      <c r="BR599" s="449"/>
      <c r="BS599" s="449"/>
      <c r="BT599" s="449"/>
    </row>
    <row r="600" spans="1:72" ht="15" hidden="1" x14ac:dyDescent="0.25">
      <c r="A600" s="502" t="s">
        <v>1007</v>
      </c>
      <c r="B600" s="502" t="s">
        <v>1008</v>
      </c>
      <c r="C600" s="538"/>
      <c r="D600" s="500"/>
      <c r="E600" s="449"/>
      <c r="F600" s="449"/>
      <c r="G600" s="421"/>
      <c r="H600" s="449"/>
      <c r="I600" s="449"/>
      <c r="J600" s="426"/>
      <c r="K600" s="421"/>
      <c r="L600" s="449"/>
      <c r="M600" s="449"/>
      <c r="N600" s="449"/>
      <c r="O600" s="449"/>
      <c r="P600" s="449"/>
      <c r="Q600" s="449"/>
      <c r="R600" s="449"/>
      <c r="S600" s="449"/>
      <c r="T600" s="449"/>
      <c r="U600" s="449"/>
      <c r="V600" s="449"/>
      <c r="W600" s="449"/>
      <c r="X600" s="449"/>
      <c r="Y600" s="449">
        <v>0</v>
      </c>
      <c r="Z600" s="531"/>
      <c r="AA600" s="449"/>
      <c r="AB600" s="449"/>
      <c r="AC600" s="449"/>
      <c r="AD600" s="449"/>
      <c r="AE600" s="449"/>
      <c r="AF600" s="449"/>
      <c r="AG600" s="449"/>
      <c r="AH600" s="449"/>
      <c r="AI600" s="449"/>
      <c r="AJ600" s="449"/>
      <c r="AK600" s="449"/>
      <c r="AL600" s="449"/>
      <c r="AN600" s="500"/>
      <c r="AO600" s="449"/>
      <c r="AP600" s="449"/>
      <c r="AQ600" s="453"/>
      <c r="AR600" s="449"/>
      <c r="AS600" s="449"/>
      <c r="AT600" s="426"/>
      <c r="AU600" s="421"/>
      <c r="AV600" s="449"/>
      <c r="AW600" s="449"/>
      <c r="AX600" s="449"/>
      <c r="AY600" s="449"/>
      <c r="AZ600" s="449"/>
      <c r="BA600" s="449"/>
      <c r="BB600" s="449"/>
      <c r="BC600" s="449"/>
      <c r="BD600" s="449"/>
      <c r="BE600" s="449"/>
      <c r="BF600" s="449"/>
      <c r="BG600" s="449"/>
      <c r="BH600" s="531"/>
      <c r="BI600" s="449"/>
      <c r="BJ600" s="449"/>
      <c r="BK600" s="449"/>
      <c r="BL600" s="449"/>
      <c r="BM600" s="449"/>
      <c r="BN600" s="449"/>
      <c r="BO600" s="449"/>
      <c r="BP600" s="449"/>
      <c r="BQ600" s="449"/>
      <c r="BR600" s="449"/>
      <c r="BS600" s="449"/>
      <c r="BT600" s="449"/>
    </row>
    <row r="601" spans="1:72" ht="15" hidden="1" x14ac:dyDescent="0.25">
      <c r="A601" s="502" t="s">
        <v>1009</v>
      </c>
      <c r="B601" s="502" t="s">
        <v>1010</v>
      </c>
      <c r="C601" s="538"/>
      <c r="D601" s="500"/>
      <c r="E601" s="449"/>
      <c r="F601" s="449"/>
      <c r="G601" s="421"/>
      <c r="H601" s="449"/>
      <c r="I601" s="449"/>
      <c r="J601" s="426"/>
      <c r="K601" s="421"/>
      <c r="L601" s="449"/>
      <c r="M601" s="449"/>
      <c r="N601" s="449"/>
      <c r="O601" s="449"/>
      <c r="P601" s="449"/>
      <c r="Q601" s="449"/>
      <c r="R601" s="449"/>
      <c r="S601" s="449"/>
      <c r="T601" s="449"/>
      <c r="U601" s="449"/>
      <c r="V601" s="449"/>
      <c r="W601" s="449"/>
      <c r="X601" s="449"/>
      <c r="Y601" s="449">
        <v>0</v>
      </c>
      <c r="Z601" s="531"/>
      <c r="AA601" s="449"/>
      <c r="AB601" s="449"/>
      <c r="AC601" s="449"/>
      <c r="AD601" s="449"/>
      <c r="AE601" s="449"/>
      <c r="AF601" s="449"/>
      <c r="AG601" s="449"/>
      <c r="AH601" s="449"/>
      <c r="AI601" s="449"/>
      <c r="AJ601" s="449"/>
      <c r="AK601" s="449"/>
      <c r="AL601" s="449"/>
      <c r="AN601" s="500"/>
      <c r="AO601" s="449"/>
      <c r="AP601" s="449"/>
      <c r="AQ601" s="453"/>
      <c r="AR601" s="449"/>
      <c r="AS601" s="449"/>
      <c r="AT601" s="426"/>
      <c r="AU601" s="421"/>
      <c r="AV601" s="449"/>
      <c r="AW601" s="449"/>
      <c r="AX601" s="449"/>
      <c r="AY601" s="449"/>
      <c r="AZ601" s="449"/>
      <c r="BA601" s="449"/>
      <c r="BB601" s="449"/>
      <c r="BC601" s="449"/>
      <c r="BD601" s="449"/>
      <c r="BE601" s="449"/>
      <c r="BF601" s="449"/>
      <c r="BG601" s="449"/>
      <c r="BH601" s="531"/>
      <c r="BI601" s="449"/>
      <c r="BJ601" s="449"/>
      <c r="BK601" s="449"/>
      <c r="BL601" s="449"/>
      <c r="BM601" s="449"/>
      <c r="BN601" s="449"/>
      <c r="BO601" s="449"/>
      <c r="BP601" s="449"/>
      <c r="BQ601" s="449"/>
      <c r="BR601" s="449"/>
      <c r="BS601" s="449"/>
      <c r="BT601" s="449"/>
    </row>
    <row r="602" spans="1:72" ht="15" hidden="1" x14ac:dyDescent="0.25">
      <c r="A602" s="502" t="s">
        <v>1011</v>
      </c>
      <c r="B602" s="502" t="s">
        <v>1012</v>
      </c>
      <c r="C602" s="538"/>
      <c r="D602" s="500"/>
      <c r="E602" s="449"/>
      <c r="F602" s="449"/>
      <c r="G602" s="421"/>
      <c r="H602" s="449"/>
      <c r="I602" s="449"/>
      <c r="J602" s="426"/>
      <c r="K602" s="421"/>
      <c r="L602" s="449"/>
      <c r="M602" s="449"/>
      <c r="N602" s="449"/>
      <c r="O602" s="449"/>
      <c r="P602" s="449"/>
      <c r="Q602" s="449"/>
      <c r="R602" s="449"/>
      <c r="S602" s="449"/>
      <c r="T602" s="449"/>
      <c r="U602" s="449"/>
      <c r="V602" s="449"/>
      <c r="W602" s="449"/>
      <c r="X602" s="449"/>
      <c r="Y602" s="449">
        <v>0</v>
      </c>
      <c r="Z602" s="531"/>
      <c r="AA602" s="449"/>
      <c r="AB602" s="449"/>
      <c r="AC602" s="449"/>
      <c r="AD602" s="449"/>
      <c r="AE602" s="449"/>
      <c r="AF602" s="449"/>
      <c r="AG602" s="449"/>
      <c r="AH602" s="449"/>
      <c r="AI602" s="449"/>
      <c r="AJ602" s="449"/>
      <c r="AK602" s="449"/>
      <c r="AL602" s="449"/>
      <c r="AN602" s="500"/>
      <c r="AO602" s="449"/>
      <c r="AP602" s="449"/>
      <c r="AQ602" s="453"/>
      <c r="AR602" s="449"/>
      <c r="AS602" s="449"/>
      <c r="AT602" s="426"/>
      <c r="AU602" s="421"/>
      <c r="AV602" s="449"/>
      <c r="AW602" s="449"/>
      <c r="AX602" s="449"/>
      <c r="AY602" s="449"/>
      <c r="AZ602" s="449"/>
      <c r="BA602" s="449"/>
      <c r="BB602" s="449"/>
      <c r="BC602" s="449"/>
      <c r="BD602" s="449"/>
      <c r="BE602" s="449"/>
      <c r="BF602" s="449"/>
      <c r="BG602" s="449"/>
      <c r="BH602" s="531"/>
      <c r="BI602" s="449"/>
      <c r="BJ602" s="449"/>
      <c r="BK602" s="449"/>
      <c r="BL602" s="449"/>
      <c r="BM602" s="449"/>
      <c r="BN602" s="449"/>
      <c r="BO602" s="449"/>
      <c r="BP602" s="449"/>
      <c r="BQ602" s="449"/>
      <c r="BR602" s="449"/>
      <c r="BS602" s="449"/>
      <c r="BT602" s="449"/>
    </row>
    <row r="603" spans="1:72" ht="15" hidden="1" x14ac:dyDescent="0.25">
      <c r="A603" s="502" t="s">
        <v>1013</v>
      </c>
      <c r="B603" s="502" t="s">
        <v>976</v>
      </c>
      <c r="C603" s="538"/>
      <c r="D603" s="500"/>
      <c r="E603" s="449"/>
      <c r="F603" s="449"/>
      <c r="G603" s="421"/>
      <c r="H603" s="449"/>
      <c r="I603" s="449"/>
      <c r="J603" s="426"/>
      <c r="K603" s="421"/>
      <c r="L603" s="449"/>
      <c r="M603" s="449"/>
      <c r="N603" s="449"/>
      <c r="O603" s="449"/>
      <c r="P603" s="449"/>
      <c r="Q603" s="449"/>
      <c r="R603" s="449"/>
      <c r="S603" s="449"/>
      <c r="T603" s="449"/>
      <c r="U603" s="449"/>
      <c r="V603" s="449"/>
      <c r="W603" s="449"/>
      <c r="X603" s="449"/>
      <c r="Y603" s="449">
        <v>0</v>
      </c>
      <c r="Z603" s="531"/>
      <c r="AA603" s="449"/>
      <c r="AB603" s="449"/>
      <c r="AC603" s="449"/>
      <c r="AD603" s="449"/>
      <c r="AE603" s="449"/>
      <c r="AF603" s="449"/>
      <c r="AG603" s="449"/>
      <c r="AH603" s="449"/>
      <c r="AI603" s="449"/>
      <c r="AJ603" s="449"/>
      <c r="AK603" s="449"/>
      <c r="AL603" s="449"/>
      <c r="AN603" s="500"/>
      <c r="AO603" s="449"/>
      <c r="AP603" s="449"/>
      <c r="AQ603" s="453"/>
      <c r="AR603" s="449"/>
      <c r="AS603" s="449"/>
      <c r="AT603" s="426"/>
      <c r="AU603" s="421"/>
      <c r="AV603" s="449"/>
      <c r="AW603" s="449"/>
      <c r="AX603" s="449"/>
      <c r="AY603" s="449"/>
      <c r="AZ603" s="449"/>
      <c r="BA603" s="449"/>
      <c r="BB603" s="449"/>
      <c r="BC603" s="449"/>
      <c r="BD603" s="449"/>
      <c r="BE603" s="449"/>
      <c r="BF603" s="449"/>
      <c r="BG603" s="449"/>
      <c r="BH603" s="531"/>
      <c r="BI603" s="449"/>
      <c r="BJ603" s="449"/>
      <c r="BK603" s="449"/>
      <c r="BL603" s="449"/>
      <c r="BM603" s="449"/>
      <c r="BN603" s="449"/>
      <c r="BO603" s="449"/>
      <c r="BP603" s="449"/>
      <c r="BQ603" s="449"/>
      <c r="BR603" s="449"/>
      <c r="BS603" s="449"/>
      <c r="BT603" s="449"/>
    </row>
    <row r="604" spans="1:72" ht="15" hidden="1" x14ac:dyDescent="0.25">
      <c r="A604" s="502" t="s">
        <v>1014</v>
      </c>
      <c r="B604" s="502" t="s">
        <v>1015</v>
      </c>
      <c r="C604" s="538"/>
      <c r="D604" s="500"/>
      <c r="E604" s="449"/>
      <c r="F604" s="449"/>
      <c r="G604" s="421"/>
      <c r="H604" s="449"/>
      <c r="I604" s="449"/>
      <c r="J604" s="426"/>
      <c r="K604" s="421"/>
      <c r="L604" s="449"/>
      <c r="M604" s="449"/>
      <c r="N604" s="449"/>
      <c r="O604" s="449"/>
      <c r="P604" s="449"/>
      <c r="Q604" s="449"/>
      <c r="R604" s="449"/>
      <c r="S604" s="449"/>
      <c r="T604" s="449"/>
      <c r="U604" s="449"/>
      <c r="V604" s="449"/>
      <c r="W604" s="449"/>
      <c r="X604" s="449"/>
      <c r="Y604" s="449">
        <v>0</v>
      </c>
      <c r="Z604" s="531"/>
      <c r="AA604" s="449"/>
      <c r="AB604" s="449"/>
      <c r="AC604" s="449"/>
      <c r="AD604" s="449"/>
      <c r="AE604" s="449"/>
      <c r="AF604" s="449"/>
      <c r="AG604" s="449"/>
      <c r="AH604" s="449"/>
      <c r="AI604" s="449"/>
      <c r="AJ604" s="449"/>
      <c r="AK604" s="449"/>
      <c r="AL604" s="449"/>
      <c r="AN604" s="500"/>
      <c r="AO604" s="449"/>
      <c r="AP604" s="449"/>
      <c r="AQ604" s="453"/>
      <c r="AR604" s="449"/>
      <c r="AS604" s="449"/>
      <c r="AT604" s="426"/>
      <c r="AU604" s="421"/>
      <c r="AV604" s="449"/>
      <c r="AW604" s="449"/>
      <c r="AX604" s="449"/>
      <c r="AY604" s="449"/>
      <c r="AZ604" s="449"/>
      <c r="BA604" s="449"/>
      <c r="BB604" s="449"/>
      <c r="BC604" s="449"/>
      <c r="BD604" s="449"/>
      <c r="BE604" s="449"/>
      <c r="BF604" s="449"/>
      <c r="BG604" s="449"/>
      <c r="BH604" s="531"/>
      <c r="BI604" s="449"/>
      <c r="BJ604" s="449"/>
      <c r="BK604" s="449"/>
      <c r="BL604" s="449"/>
      <c r="BM604" s="449"/>
      <c r="BN604" s="449"/>
      <c r="BO604" s="449"/>
      <c r="BP604" s="449"/>
      <c r="BQ604" s="449"/>
      <c r="BR604" s="449"/>
      <c r="BS604" s="449"/>
      <c r="BT604" s="449"/>
    </row>
    <row r="605" spans="1:72" ht="5.25" customHeight="1" x14ac:dyDescent="0.25">
      <c r="A605" s="502"/>
      <c r="B605" s="502"/>
      <c r="C605" s="538"/>
      <c r="D605" s="500"/>
      <c r="E605" s="449"/>
      <c r="F605" s="449"/>
      <c r="G605" s="421"/>
      <c r="H605" s="449"/>
      <c r="I605" s="449"/>
      <c r="J605" s="426"/>
      <c r="K605" s="421"/>
      <c r="L605" s="449"/>
      <c r="M605" s="449"/>
      <c r="N605" s="449"/>
      <c r="O605" s="449"/>
      <c r="P605" s="449"/>
      <c r="Q605" s="449"/>
      <c r="R605" s="449"/>
      <c r="S605" s="449"/>
      <c r="T605" s="449"/>
      <c r="U605" s="449"/>
      <c r="V605" s="449"/>
      <c r="W605" s="449"/>
      <c r="X605" s="449"/>
      <c r="Y605" s="449"/>
      <c r="Z605" s="531"/>
      <c r="AA605" s="449"/>
      <c r="AB605" s="449"/>
      <c r="AC605" s="449"/>
      <c r="AD605" s="449"/>
      <c r="AE605" s="449"/>
      <c r="AF605" s="449"/>
      <c r="AG605" s="449"/>
      <c r="AH605" s="449"/>
      <c r="AI605" s="449"/>
      <c r="AJ605" s="449"/>
      <c r="AK605" s="449"/>
      <c r="AL605" s="449"/>
      <c r="AN605" s="500"/>
      <c r="AO605" s="449"/>
      <c r="AP605" s="449"/>
      <c r="AQ605" s="453"/>
      <c r="AR605" s="449"/>
      <c r="AS605" s="449"/>
      <c r="AT605" s="426"/>
      <c r="AU605" s="421"/>
      <c r="AV605" s="449"/>
      <c r="AW605" s="449"/>
      <c r="AX605" s="449"/>
      <c r="AY605" s="449"/>
      <c r="AZ605" s="449"/>
      <c r="BA605" s="449"/>
      <c r="BB605" s="449"/>
      <c r="BC605" s="449"/>
      <c r="BD605" s="449"/>
      <c r="BE605" s="449"/>
      <c r="BF605" s="449"/>
      <c r="BG605" s="449"/>
      <c r="BH605" s="531"/>
      <c r="BI605" s="449"/>
      <c r="BJ605" s="449"/>
      <c r="BK605" s="449"/>
      <c r="BL605" s="449"/>
      <c r="BM605" s="449"/>
      <c r="BN605" s="449"/>
      <c r="BO605" s="449"/>
      <c r="BP605" s="449"/>
      <c r="BQ605" s="449"/>
      <c r="BR605" s="449"/>
      <c r="BS605" s="449"/>
      <c r="BT605" s="449"/>
    </row>
    <row r="606" spans="1:72" s="536" customFormat="1" ht="15.75" thickBot="1" x14ac:dyDescent="0.3">
      <c r="A606" s="524"/>
      <c r="B606" s="524" t="s">
        <v>1016</v>
      </c>
      <c r="C606" s="535"/>
      <c r="D606" s="532">
        <f>SUM(D589:D605)</f>
        <v>31562</v>
      </c>
      <c r="E606" s="533">
        <f>SUM(E589:E605)</f>
        <v>31562</v>
      </c>
      <c r="F606" s="533">
        <f>IFERROR(D606-E606,0)</f>
        <v>0</v>
      </c>
      <c r="G606" s="520">
        <f>IFERROR(F606/ABS(E606),0)</f>
        <v>0</v>
      </c>
      <c r="H606" s="533">
        <f>SUM(H589:H604)</f>
        <v>31562</v>
      </c>
      <c r="I606" s="533">
        <f>IFERROR(D606-H606,0)</f>
        <v>0</v>
      </c>
      <c r="J606" s="521">
        <f>IFERROR(I606/ABS(H606),0)</f>
        <v>0</v>
      </c>
      <c r="K606" s="507"/>
      <c r="L606" s="533">
        <f>SUM(L589:L605)</f>
        <v>0</v>
      </c>
      <c r="M606" s="533">
        <f t="shared" ref="M606:W606" si="522">SUM(M589:M605)</f>
        <v>1699.5900000000001</v>
      </c>
      <c r="N606" s="533">
        <f t="shared" si="522"/>
        <v>2688.72</v>
      </c>
      <c r="O606" s="533">
        <f t="shared" si="522"/>
        <v>2395.9600000000009</v>
      </c>
      <c r="P606" s="533">
        <f t="shared" si="522"/>
        <v>2271.33</v>
      </c>
      <c r="Q606" s="533">
        <f t="shared" si="522"/>
        <v>2271.1400000000003</v>
      </c>
      <c r="R606" s="533">
        <f t="shared" si="522"/>
        <v>3372.5433333333331</v>
      </c>
      <c r="S606" s="533">
        <f t="shared" si="522"/>
        <v>3372.5433333333335</v>
      </c>
      <c r="T606" s="533">
        <f t="shared" si="522"/>
        <v>3372.5433333333335</v>
      </c>
      <c r="U606" s="533">
        <f t="shared" si="522"/>
        <v>3372.543333333334</v>
      </c>
      <c r="V606" s="533">
        <f t="shared" si="522"/>
        <v>3372.5433333333349</v>
      </c>
      <c r="W606" s="533">
        <f t="shared" si="522"/>
        <v>3372.5433333333367</v>
      </c>
      <c r="X606" s="533"/>
      <c r="Y606" s="533">
        <f>SUM(L606:W606)</f>
        <v>31562.000000000007</v>
      </c>
      <c r="Z606" s="508"/>
      <c r="AA606" s="533">
        <f t="shared" ref="AA606:AL606" si="523">SUM(AA589:AA605)</f>
        <v>2630.1666666666665</v>
      </c>
      <c r="AB606" s="533">
        <f t="shared" si="523"/>
        <v>2630.1666666666665</v>
      </c>
      <c r="AC606" s="533">
        <f t="shared" si="523"/>
        <v>2630.1666666666665</v>
      </c>
      <c r="AD606" s="533">
        <f t="shared" si="523"/>
        <v>2630.1666666666665</v>
      </c>
      <c r="AE606" s="533">
        <f t="shared" si="523"/>
        <v>2630.1666666666665</v>
      </c>
      <c r="AF606" s="533">
        <f t="shared" si="523"/>
        <v>2630.1666666666665</v>
      </c>
      <c r="AG606" s="533">
        <f t="shared" si="523"/>
        <v>2630.1666666666665</v>
      </c>
      <c r="AH606" s="533">
        <f t="shared" si="523"/>
        <v>2630.1666666666665</v>
      </c>
      <c r="AI606" s="533">
        <f t="shared" si="523"/>
        <v>2630.1666666666665</v>
      </c>
      <c r="AJ606" s="533">
        <f t="shared" si="523"/>
        <v>2630.1666666666665</v>
      </c>
      <c r="AK606" s="533">
        <f t="shared" si="523"/>
        <v>2630.1666666666665</v>
      </c>
      <c r="AL606" s="533">
        <f t="shared" si="523"/>
        <v>2630.1666666666665</v>
      </c>
      <c r="AN606" s="532">
        <f>SUM(AN589:AN605)</f>
        <v>31562</v>
      </c>
      <c r="AO606" s="533">
        <f>SUM(AO589:AO605)</f>
        <v>44095.561370000003</v>
      </c>
      <c r="AP606" s="533">
        <f>IFERROR(AO606-AN606,0)</f>
        <v>12533.561370000003</v>
      </c>
      <c r="AQ606" s="523">
        <f>IFERROR(AP606/ABS(AN606),"-")</f>
        <v>0.39710922533426279</v>
      </c>
      <c r="AR606" s="533">
        <f>SUM(AR589:AR604)</f>
        <v>44095.561370000003</v>
      </c>
      <c r="AS606" s="533">
        <f>IFERROR(AO606-AR606,0)</f>
        <v>0</v>
      </c>
      <c r="AT606" s="521">
        <f>IFERROR(AS606/ABS(AR606),0)</f>
        <v>0</v>
      </c>
      <c r="AU606" s="507"/>
      <c r="AV606" s="533">
        <f>SUM(AV589:AV605)</f>
        <v>0</v>
      </c>
      <c r="AW606" s="533">
        <f t="shared" ref="AW606:BG606" si="524">SUM(AW589:AW605)</f>
        <v>4409.5561369999996</v>
      </c>
      <c r="AX606" s="533">
        <f t="shared" si="524"/>
        <v>4409.5561369999996</v>
      </c>
      <c r="AY606" s="533">
        <f t="shared" si="524"/>
        <v>4409.5561369999996</v>
      </c>
      <c r="AZ606" s="533">
        <f t="shared" si="524"/>
        <v>4409.5561369999996</v>
      </c>
      <c r="BA606" s="533">
        <f t="shared" si="524"/>
        <v>4409.5561369999996</v>
      </c>
      <c r="BB606" s="533">
        <f t="shared" si="524"/>
        <v>4409.5561369999996</v>
      </c>
      <c r="BC606" s="533">
        <f t="shared" si="524"/>
        <v>4409.5561369999996</v>
      </c>
      <c r="BD606" s="533">
        <f t="shared" si="524"/>
        <v>4409.5561369999996</v>
      </c>
      <c r="BE606" s="533">
        <f t="shared" si="524"/>
        <v>4409.5561369999996</v>
      </c>
      <c r="BF606" s="533">
        <f t="shared" si="524"/>
        <v>4409.5561369999996</v>
      </c>
      <c r="BG606" s="533">
        <f t="shared" si="524"/>
        <v>0</v>
      </c>
      <c r="BH606" s="508"/>
      <c r="BI606" s="533">
        <f t="shared" ref="BI606:BT606" si="525">SUM(BI589:BI605)</f>
        <v>0</v>
      </c>
      <c r="BJ606" s="533">
        <f t="shared" si="525"/>
        <v>4409.5561369999996</v>
      </c>
      <c r="BK606" s="533">
        <f t="shared" si="525"/>
        <v>4409.5561369999996</v>
      </c>
      <c r="BL606" s="533">
        <f t="shared" si="525"/>
        <v>4409.5561369999996</v>
      </c>
      <c r="BM606" s="533">
        <f t="shared" si="525"/>
        <v>4409.5561369999996</v>
      </c>
      <c r="BN606" s="533">
        <f t="shared" si="525"/>
        <v>4409.5561369999996</v>
      </c>
      <c r="BO606" s="533">
        <f t="shared" si="525"/>
        <v>4409.5561369999996</v>
      </c>
      <c r="BP606" s="533">
        <f t="shared" si="525"/>
        <v>4409.5561369999996</v>
      </c>
      <c r="BQ606" s="533">
        <f t="shared" si="525"/>
        <v>4409.5561369999996</v>
      </c>
      <c r="BR606" s="533">
        <f t="shared" si="525"/>
        <v>4409.5561369999996</v>
      </c>
      <c r="BS606" s="533">
        <f t="shared" si="525"/>
        <v>4409.5561369999996</v>
      </c>
      <c r="BT606" s="533">
        <f t="shared" si="525"/>
        <v>0</v>
      </c>
    </row>
    <row r="607" spans="1:72" ht="9" customHeight="1" thickTop="1" x14ac:dyDescent="0.25">
      <c r="A607" s="502"/>
      <c r="B607" s="502"/>
      <c r="C607" s="538"/>
      <c r="D607" s="500"/>
      <c r="E607" s="449"/>
      <c r="F607" s="449"/>
      <c r="G607" s="421"/>
      <c r="H607" s="449"/>
      <c r="I607" s="449"/>
      <c r="J607" s="426"/>
      <c r="K607" s="421"/>
      <c r="L607" s="449"/>
      <c r="M607" s="449"/>
      <c r="N607" s="449"/>
      <c r="O607" s="449"/>
      <c r="P607" s="449"/>
      <c r="Q607" s="449"/>
      <c r="R607" s="449"/>
      <c r="S607" s="449"/>
      <c r="T607" s="449"/>
      <c r="U607" s="449"/>
      <c r="V607" s="449"/>
      <c r="W607" s="449"/>
      <c r="X607" s="449"/>
      <c r="Y607" s="449"/>
      <c r="Z607" s="531"/>
      <c r="AA607" s="449"/>
      <c r="AB607" s="449"/>
      <c r="AC607" s="449"/>
      <c r="AD607" s="449"/>
      <c r="AE607" s="449"/>
      <c r="AF607" s="449"/>
      <c r="AG607" s="449"/>
      <c r="AH607" s="449"/>
      <c r="AI607" s="449"/>
      <c r="AJ607" s="449"/>
      <c r="AK607" s="449"/>
      <c r="AL607" s="449"/>
      <c r="AN607" s="500"/>
      <c r="AO607" s="449"/>
      <c r="AP607" s="449"/>
      <c r="AQ607" s="453"/>
      <c r="AR607" s="449"/>
      <c r="AS607" s="449"/>
      <c r="AT607" s="426"/>
      <c r="AU607" s="421"/>
      <c r="AV607" s="449"/>
      <c r="AW607" s="449"/>
      <c r="AX607" s="449"/>
      <c r="AY607" s="449"/>
      <c r="AZ607" s="449"/>
      <c r="BA607" s="449"/>
      <c r="BB607" s="449"/>
      <c r="BC607" s="449"/>
      <c r="BD607" s="449"/>
      <c r="BE607" s="449"/>
      <c r="BF607" s="449"/>
      <c r="BG607" s="449"/>
      <c r="BH607" s="531"/>
      <c r="BI607" s="449"/>
      <c r="BJ607" s="449"/>
      <c r="BK607" s="449"/>
      <c r="BL607" s="449"/>
      <c r="BM607" s="449"/>
      <c r="BN607" s="449"/>
      <c r="BO607" s="449"/>
      <c r="BP607" s="449"/>
      <c r="BQ607" s="449"/>
      <c r="BR607" s="449"/>
      <c r="BS607" s="449"/>
      <c r="BT607" s="449"/>
    </row>
    <row r="608" spans="1:72" ht="15" x14ac:dyDescent="0.25">
      <c r="A608" s="524" t="s">
        <v>1017</v>
      </c>
      <c r="B608" s="502"/>
      <c r="C608" s="538"/>
      <c r="D608" s="545">
        <f>+D585-D606</f>
        <v>0</v>
      </c>
      <c r="E608" s="546">
        <f>+E585-E606</f>
        <v>0</v>
      </c>
      <c r="F608" s="546">
        <f>IFERROR(D608-E608,0)</f>
        <v>0</v>
      </c>
      <c r="G608" s="547">
        <f>IFERROR(F608/ABS(E608),0)</f>
        <v>0</v>
      </c>
      <c r="H608" s="546">
        <f>+H585-H606</f>
        <v>0</v>
      </c>
      <c r="I608" s="546">
        <f>IFERROR(D608-H608,0)</f>
        <v>0</v>
      </c>
      <c r="J608" s="548">
        <f>IFERROR(I608/ABS(H608),0)</f>
        <v>0</v>
      </c>
      <c r="K608" s="507"/>
      <c r="L608" s="546">
        <f>+L585-L606</f>
        <v>0</v>
      </c>
      <c r="M608" s="546">
        <f t="shared" ref="M608:W608" si="526">+M585-M606</f>
        <v>-1699.5900000000001</v>
      </c>
      <c r="N608" s="546">
        <f t="shared" si="526"/>
        <v>-2688.72</v>
      </c>
      <c r="O608" s="546">
        <f t="shared" si="526"/>
        <v>-2395.9600000000009</v>
      </c>
      <c r="P608" s="546">
        <f t="shared" si="526"/>
        <v>-2271.33</v>
      </c>
      <c r="Q608" s="546">
        <f t="shared" si="526"/>
        <v>-2271.1400000000003</v>
      </c>
      <c r="R608" s="546">
        <f t="shared" si="526"/>
        <v>1887.79</v>
      </c>
      <c r="S608" s="546">
        <f t="shared" si="526"/>
        <v>1887.7900000000004</v>
      </c>
      <c r="T608" s="546">
        <f t="shared" si="526"/>
        <v>1887.7899999999995</v>
      </c>
      <c r="U608" s="546">
        <f t="shared" si="526"/>
        <v>1887.7899999999991</v>
      </c>
      <c r="V608" s="546">
        <f t="shared" si="526"/>
        <v>1887.7899999999991</v>
      </c>
      <c r="W608" s="546">
        <f t="shared" si="526"/>
        <v>1887.7899999999991</v>
      </c>
      <c r="X608" s="546"/>
      <c r="Y608" s="546">
        <f>SUM(L608:W608)</f>
        <v>-3.637978807091713E-12</v>
      </c>
      <c r="Z608" s="554"/>
      <c r="AA608" s="546">
        <f>+AA585-AA606</f>
        <v>0</v>
      </c>
      <c r="AB608" s="546">
        <f t="shared" ref="AB608:AL608" si="527">+AB585-AB606</f>
        <v>0</v>
      </c>
      <c r="AC608" s="546">
        <f t="shared" si="527"/>
        <v>0</v>
      </c>
      <c r="AD608" s="546">
        <f t="shared" si="527"/>
        <v>0</v>
      </c>
      <c r="AE608" s="546">
        <f t="shared" si="527"/>
        <v>0</v>
      </c>
      <c r="AF608" s="546">
        <f t="shared" si="527"/>
        <v>0</v>
      </c>
      <c r="AG608" s="546">
        <f t="shared" si="527"/>
        <v>0</v>
      </c>
      <c r="AH608" s="546">
        <f t="shared" si="527"/>
        <v>0</v>
      </c>
      <c r="AI608" s="546">
        <f t="shared" si="527"/>
        <v>0</v>
      </c>
      <c r="AJ608" s="546">
        <f t="shared" si="527"/>
        <v>0</v>
      </c>
      <c r="AK608" s="546">
        <f t="shared" si="527"/>
        <v>0</v>
      </c>
      <c r="AL608" s="546">
        <f t="shared" si="527"/>
        <v>0</v>
      </c>
      <c r="AN608" s="545">
        <f>+AN585-AN606</f>
        <v>0</v>
      </c>
      <c r="AO608" s="546">
        <f>+AO585-AO606</f>
        <v>0</v>
      </c>
      <c r="AP608" s="546">
        <f>IFERROR(AO608-AN608,0)</f>
        <v>0</v>
      </c>
      <c r="AQ608" s="549" t="str">
        <f>IFERROR(AP608/ABS(AN608),"-")</f>
        <v>-</v>
      </c>
      <c r="AR608" s="546">
        <f>+AR585-AR606</f>
        <v>0</v>
      </c>
      <c r="AS608" s="546">
        <f>IFERROR(AO608-AR608,0)</f>
        <v>0</v>
      </c>
      <c r="AT608" s="548">
        <f>IFERROR(AS608/ABS(AR608),0)</f>
        <v>0</v>
      </c>
      <c r="AU608" s="507"/>
      <c r="AV608" s="546">
        <f>+AV585-AV606</f>
        <v>0</v>
      </c>
      <c r="AW608" s="546">
        <f t="shared" ref="AW608:BG608" si="528">+AW585-AW606</f>
        <v>-4409.5561369999996</v>
      </c>
      <c r="AX608" s="546">
        <f t="shared" si="528"/>
        <v>-4409.5561369999996</v>
      </c>
      <c r="AY608" s="546">
        <f t="shared" si="528"/>
        <v>-4409.5561369999996</v>
      </c>
      <c r="AZ608" s="546">
        <f t="shared" si="528"/>
        <v>-4409.5561369999996</v>
      </c>
      <c r="BA608" s="546">
        <f t="shared" si="528"/>
        <v>-4409.5561369999996</v>
      </c>
      <c r="BB608" s="546">
        <f t="shared" si="528"/>
        <v>-4409.5561369999996</v>
      </c>
      <c r="BC608" s="546">
        <f t="shared" si="528"/>
        <v>-4409.5561369999996</v>
      </c>
      <c r="BD608" s="546">
        <f t="shared" si="528"/>
        <v>-4409.5561369999996</v>
      </c>
      <c r="BE608" s="546">
        <f t="shared" si="528"/>
        <v>-4409.5561369999996</v>
      </c>
      <c r="BF608" s="546">
        <f t="shared" si="528"/>
        <v>-4409.5561369999996</v>
      </c>
      <c r="BG608" s="546">
        <f t="shared" si="528"/>
        <v>44095.561370000003</v>
      </c>
      <c r="BH608" s="554"/>
      <c r="BI608" s="546">
        <f>+BI585-BI606</f>
        <v>0</v>
      </c>
      <c r="BJ608" s="546">
        <f t="shared" ref="BJ608:BT608" si="529">+BJ585-BJ606</f>
        <v>-4409.5561369999996</v>
      </c>
      <c r="BK608" s="546">
        <f t="shared" si="529"/>
        <v>-4409.5561369999996</v>
      </c>
      <c r="BL608" s="546">
        <f t="shared" si="529"/>
        <v>-4409.5561369999996</v>
      </c>
      <c r="BM608" s="546">
        <f t="shared" si="529"/>
        <v>-4409.5561369999996</v>
      </c>
      <c r="BN608" s="546">
        <f t="shared" si="529"/>
        <v>-4409.5561369999996</v>
      </c>
      <c r="BO608" s="546">
        <f t="shared" si="529"/>
        <v>-4409.5561369999996</v>
      </c>
      <c r="BP608" s="546">
        <f t="shared" si="529"/>
        <v>-4409.5561369999996</v>
      </c>
      <c r="BQ608" s="546">
        <f t="shared" si="529"/>
        <v>-4409.5561369999996</v>
      </c>
      <c r="BR608" s="546">
        <f t="shared" si="529"/>
        <v>-4409.5561369999996</v>
      </c>
      <c r="BS608" s="546">
        <f t="shared" si="529"/>
        <v>-4409.5561369999996</v>
      </c>
      <c r="BT608" s="546">
        <f t="shared" si="529"/>
        <v>44095.561370000003</v>
      </c>
    </row>
    <row r="609" spans="1:72" ht="8.25" hidden="1" customHeight="1" x14ac:dyDescent="0.25">
      <c r="A609" s="502"/>
      <c r="B609" s="502"/>
      <c r="C609" s="538"/>
      <c r="D609" s="500"/>
      <c r="E609" s="449"/>
      <c r="F609" s="449"/>
      <c r="G609" s="421"/>
      <c r="H609" s="449"/>
      <c r="I609" s="449"/>
      <c r="J609" s="426"/>
      <c r="K609" s="421"/>
      <c r="L609" s="449"/>
      <c r="M609" s="449"/>
      <c r="N609" s="449"/>
      <c r="O609" s="449"/>
      <c r="P609" s="449"/>
      <c r="Q609" s="449"/>
      <c r="R609" s="449"/>
      <c r="S609" s="449"/>
      <c r="T609" s="449"/>
      <c r="U609" s="449"/>
      <c r="V609" s="449"/>
      <c r="W609" s="449"/>
      <c r="X609" s="449"/>
      <c r="Y609" s="449"/>
      <c r="Z609" s="531"/>
      <c r="AA609" s="449"/>
      <c r="AB609" s="449"/>
      <c r="AC609" s="449"/>
      <c r="AD609" s="449"/>
      <c r="AE609" s="449"/>
      <c r="AF609" s="449"/>
      <c r="AG609" s="449"/>
      <c r="AH609" s="449"/>
      <c r="AI609" s="449"/>
      <c r="AJ609" s="449"/>
      <c r="AK609" s="449"/>
      <c r="AL609" s="449"/>
      <c r="AN609" s="500"/>
      <c r="AO609" s="449"/>
      <c r="AP609" s="449"/>
      <c r="AQ609" s="453"/>
      <c r="AR609" s="449"/>
      <c r="AS609" s="449"/>
      <c r="AT609" s="426"/>
      <c r="AU609" s="421"/>
      <c r="AV609" s="449"/>
      <c r="AW609" s="449"/>
      <c r="AX609" s="449"/>
      <c r="AY609" s="449"/>
      <c r="AZ609" s="449"/>
      <c r="BA609" s="449"/>
      <c r="BB609" s="449"/>
      <c r="BC609" s="449"/>
      <c r="BD609" s="449"/>
      <c r="BE609" s="449"/>
      <c r="BF609" s="449"/>
      <c r="BG609" s="449"/>
      <c r="BH609" s="531"/>
      <c r="BI609" s="449"/>
      <c r="BJ609" s="449"/>
      <c r="BK609" s="449"/>
      <c r="BL609" s="449"/>
      <c r="BM609" s="449"/>
      <c r="BN609" s="449"/>
      <c r="BO609" s="449"/>
      <c r="BP609" s="449"/>
      <c r="BQ609" s="449"/>
      <c r="BR609" s="449"/>
      <c r="BS609" s="449"/>
      <c r="BT609" s="449"/>
    </row>
    <row r="610" spans="1:72" s="536" customFormat="1" ht="15" hidden="1" x14ac:dyDescent="0.25">
      <c r="A610" s="524" t="s">
        <v>1018</v>
      </c>
      <c r="B610" s="524"/>
      <c r="C610" s="535"/>
      <c r="D610" s="527"/>
      <c r="E610" s="528">
        <v>0</v>
      </c>
      <c r="F610" s="528"/>
      <c r="G610" s="507"/>
      <c r="H610" s="528">
        <v>0</v>
      </c>
      <c r="I610" s="528"/>
      <c r="J610" s="529"/>
      <c r="K610" s="507"/>
      <c r="L610" s="528"/>
      <c r="M610" s="528"/>
      <c r="N610" s="528"/>
      <c r="O610" s="528"/>
      <c r="P610" s="528"/>
      <c r="Q610" s="528"/>
      <c r="R610" s="528"/>
      <c r="S610" s="528"/>
      <c r="T610" s="528"/>
      <c r="U610" s="528"/>
      <c r="V610" s="528"/>
      <c r="W610" s="528"/>
      <c r="X610" s="528"/>
      <c r="Y610" s="528"/>
      <c r="Z610" s="555"/>
      <c r="AA610" s="528"/>
      <c r="AB610" s="528"/>
      <c r="AC610" s="528"/>
      <c r="AD610" s="528"/>
      <c r="AE610" s="528"/>
      <c r="AF610" s="528"/>
      <c r="AG610" s="528"/>
      <c r="AH610" s="528"/>
      <c r="AI610" s="528"/>
      <c r="AJ610" s="528"/>
      <c r="AK610" s="528"/>
      <c r="AL610" s="528"/>
      <c r="AN610" s="527"/>
      <c r="AO610" s="528"/>
      <c r="AP610" s="528"/>
      <c r="AQ610" s="499"/>
      <c r="AR610" s="528">
        <f>H612</f>
        <v>0</v>
      </c>
      <c r="AS610" s="528"/>
      <c r="AT610" s="529"/>
      <c r="AU610" s="507"/>
      <c r="AV610" s="528"/>
      <c r="AW610" s="528"/>
      <c r="AX610" s="528"/>
      <c r="AY610" s="528"/>
      <c r="AZ610" s="528"/>
      <c r="BA610" s="528"/>
      <c r="BB610" s="528"/>
      <c r="BC610" s="528"/>
      <c r="BD610" s="528"/>
      <c r="BE610" s="528"/>
      <c r="BF610" s="528"/>
      <c r="BG610" s="528"/>
      <c r="BH610" s="555"/>
      <c r="BI610" s="528"/>
      <c r="BJ610" s="528"/>
      <c r="BK610" s="528"/>
      <c r="BL610" s="528"/>
      <c r="BM610" s="528"/>
      <c r="BN610" s="528"/>
      <c r="BO610" s="528"/>
      <c r="BP610" s="528"/>
      <c r="BQ610" s="528"/>
      <c r="BR610" s="528"/>
      <c r="BS610" s="528"/>
      <c r="BT610" s="528"/>
    </row>
    <row r="611" spans="1:72" ht="9" hidden="1" customHeight="1" x14ac:dyDescent="0.25">
      <c r="A611" s="502"/>
      <c r="B611" s="502"/>
      <c r="C611" s="538"/>
      <c r="D611" s="500"/>
      <c r="E611" s="449"/>
      <c r="F611" s="449"/>
      <c r="G611" s="421"/>
      <c r="H611" s="449"/>
      <c r="I611" s="449"/>
      <c r="J611" s="426"/>
      <c r="K611" s="421"/>
      <c r="L611" s="449"/>
      <c r="M611" s="449"/>
      <c r="N611" s="449"/>
      <c r="O611" s="449"/>
      <c r="P611" s="449"/>
      <c r="Q611" s="449"/>
      <c r="R611" s="449"/>
      <c r="S611" s="449"/>
      <c r="T611" s="449"/>
      <c r="U611" s="449"/>
      <c r="V611" s="449"/>
      <c r="W611" s="449"/>
      <c r="X611" s="449"/>
      <c r="Y611" s="449"/>
      <c r="Z611" s="531"/>
      <c r="AA611" s="449"/>
      <c r="AB611" s="449"/>
      <c r="AC611" s="449"/>
      <c r="AD611" s="449"/>
      <c r="AE611" s="449"/>
      <c r="AF611" s="449"/>
      <c r="AG611" s="449"/>
      <c r="AH611" s="449"/>
      <c r="AI611" s="449"/>
      <c r="AJ611" s="449"/>
      <c r="AK611" s="449"/>
      <c r="AL611" s="449"/>
      <c r="AN611" s="500"/>
      <c r="AO611" s="449"/>
      <c r="AP611" s="449"/>
      <c r="AQ611" s="453"/>
      <c r="AR611" s="449"/>
      <c r="AS611" s="449"/>
      <c r="AT611" s="426"/>
      <c r="AU611" s="421"/>
      <c r="AV611" s="449"/>
      <c r="AW611" s="449"/>
      <c r="AX611" s="449"/>
      <c r="AY611" s="449"/>
      <c r="AZ611" s="449"/>
      <c r="BA611" s="449"/>
      <c r="BB611" s="449"/>
      <c r="BC611" s="449"/>
      <c r="BD611" s="449"/>
      <c r="BE611" s="449"/>
      <c r="BF611" s="449"/>
      <c r="BG611" s="449"/>
      <c r="BH611" s="531"/>
      <c r="BI611" s="449"/>
      <c r="BJ611" s="449"/>
      <c r="BK611" s="449"/>
      <c r="BL611" s="449"/>
      <c r="BM611" s="449"/>
      <c r="BN611" s="449"/>
      <c r="BO611" s="449"/>
      <c r="BP611" s="449"/>
      <c r="BQ611" s="449"/>
      <c r="BR611" s="449"/>
      <c r="BS611" s="449"/>
      <c r="BT611" s="449"/>
    </row>
    <row r="612" spans="1:72" s="536" customFormat="1" ht="15.75" hidden="1" thickBot="1" x14ac:dyDescent="0.3">
      <c r="A612" s="524" t="s">
        <v>1019</v>
      </c>
      <c r="B612" s="524"/>
      <c r="C612" s="535"/>
      <c r="D612" s="550"/>
      <c r="E612" s="533">
        <f>E608+E610</f>
        <v>0</v>
      </c>
      <c r="F612" s="551"/>
      <c r="G612" s="507"/>
      <c r="H612" s="533">
        <f>+H608+H610</f>
        <v>0</v>
      </c>
      <c r="I612" s="551"/>
      <c r="J612" s="529"/>
      <c r="K612" s="507"/>
      <c r="L612" s="551"/>
      <c r="M612" s="551"/>
      <c r="N612" s="551"/>
      <c r="O612" s="551"/>
      <c r="P612" s="551"/>
      <c r="Q612" s="551"/>
      <c r="R612" s="551"/>
      <c r="S612" s="551"/>
      <c r="T612" s="551"/>
      <c r="U612" s="551"/>
      <c r="V612" s="551"/>
      <c r="W612" s="551"/>
      <c r="X612" s="551"/>
      <c r="Y612" s="528"/>
      <c r="Z612" s="555"/>
      <c r="AA612" s="551"/>
      <c r="AB612" s="551"/>
      <c r="AC612" s="551"/>
      <c r="AD612" s="551"/>
      <c r="AE612" s="551"/>
      <c r="AF612" s="551"/>
      <c r="AG612" s="551"/>
      <c r="AH612" s="551"/>
      <c r="AI612" s="551"/>
      <c r="AJ612" s="551"/>
      <c r="AK612" s="551"/>
      <c r="AL612" s="551"/>
      <c r="AN612" s="550"/>
      <c r="AO612" s="551"/>
      <c r="AP612" s="551"/>
      <c r="AQ612" s="499"/>
      <c r="AR612" s="533">
        <f>+AR608+AR610</f>
        <v>0</v>
      </c>
      <c r="AS612" s="551"/>
      <c r="AT612" s="529"/>
      <c r="AU612" s="507"/>
      <c r="AV612" s="551"/>
      <c r="AW612" s="551"/>
      <c r="AX612" s="551"/>
      <c r="AY612" s="551"/>
      <c r="AZ612" s="551"/>
      <c r="BA612" s="551"/>
      <c r="BB612" s="551"/>
      <c r="BC612" s="551"/>
      <c r="BD612" s="551"/>
      <c r="BE612" s="551"/>
      <c r="BF612" s="551"/>
      <c r="BG612" s="551"/>
      <c r="BH612" s="555"/>
      <c r="BI612" s="551"/>
      <c r="BJ612" s="551"/>
      <c r="BK612" s="551"/>
      <c r="BL612" s="551"/>
      <c r="BM612" s="551"/>
      <c r="BN612" s="551"/>
      <c r="BO612" s="551"/>
      <c r="BP612" s="551"/>
      <c r="BQ612" s="551"/>
      <c r="BR612" s="551"/>
      <c r="BS612" s="551"/>
      <c r="BT612" s="551"/>
    </row>
    <row r="613" spans="1:72" ht="26.25" hidden="1" customHeight="1" x14ac:dyDescent="0.25">
      <c r="A613" s="502"/>
      <c r="B613" s="502"/>
      <c r="C613" s="538"/>
      <c r="D613" s="500"/>
      <c r="E613" s="449"/>
      <c r="F613" s="449"/>
      <c r="G613" s="421"/>
      <c r="H613" s="449"/>
      <c r="I613" s="449"/>
      <c r="J613" s="426"/>
      <c r="K613" s="421"/>
      <c r="L613" s="449"/>
      <c r="M613" s="449"/>
      <c r="N613" s="449"/>
      <c r="O613" s="449"/>
      <c r="P613" s="449"/>
      <c r="Q613" s="449"/>
      <c r="R613" s="449"/>
      <c r="S613" s="449"/>
      <c r="T613" s="449"/>
      <c r="U613" s="449"/>
      <c r="V613" s="449"/>
      <c r="W613" s="449"/>
      <c r="X613" s="449"/>
      <c r="Y613" s="449"/>
      <c r="Z613" s="531"/>
      <c r="AA613" s="449"/>
      <c r="AB613" s="449"/>
      <c r="AC613" s="449"/>
      <c r="AD613" s="449"/>
      <c r="AE613" s="449"/>
      <c r="AF613" s="449"/>
      <c r="AG613" s="449"/>
      <c r="AH613" s="449"/>
      <c r="AI613" s="449"/>
      <c r="AJ613" s="449"/>
      <c r="AK613" s="449"/>
      <c r="AL613" s="449"/>
      <c r="AN613" s="500"/>
      <c r="AO613" s="449"/>
      <c r="AP613" s="449"/>
      <c r="AQ613" s="453"/>
      <c r="AR613" s="449"/>
      <c r="AS613" s="449"/>
      <c r="AT613" s="426"/>
      <c r="AU613" s="421"/>
      <c r="AV613" s="449"/>
      <c r="AW613" s="449"/>
      <c r="AX613" s="449"/>
      <c r="AY613" s="449"/>
      <c r="AZ613" s="449"/>
      <c r="BA613" s="449"/>
      <c r="BB613" s="449"/>
      <c r="BC613" s="449"/>
      <c r="BD613" s="449"/>
      <c r="BE613" s="449"/>
      <c r="BF613" s="449"/>
      <c r="BG613" s="449"/>
      <c r="BH613" s="531"/>
      <c r="BI613" s="449"/>
      <c r="BJ613" s="449"/>
      <c r="BK613" s="449"/>
      <c r="BL613" s="449"/>
      <c r="BM613" s="449"/>
      <c r="BN613" s="449"/>
      <c r="BO613" s="449"/>
      <c r="BP613" s="449"/>
      <c r="BQ613" s="449"/>
      <c r="BR613" s="449"/>
      <c r="BS613" s="449"/>
      <c r="BT613" s="449"/>
    </row>
    <row r="614" spans="1:72" s="536" customFormat="1" ht="15.75" hidden="1" x14ac:dyDescent="0.25">
      <c r="A614" s="619" t="s">
        <v>1020</v>
      </c>
      <c r="B614" s="524"/>
      <c r="C614" s="535"/>
      <c r="D614" s="527"/>
      <c r="E614" s="528"/>
      <c r="F614" s="528"/>
      <c r="G614" s="507"/>
      <c r="H614" s="528"/>
      <c r="I614" s="528"/>
      <c r="J614" s="529"/>
      <c r="K614" s="507"/>
      <c r="L614" s="528"/>
      <c r="M614" s="528"/>
      <c r="N614" s="528"/>
      <c r="O614" s="528"/>
      <c r="P614" s="528"/>
      <c r="Q614" s="528"/>
      <c r="R614" s="528"/>
      <c r="S614" s="528"/>
      <c r="T614" s="528"/>
      <c r="U614" s="528"/>
      <c r="V614" s="528"/>
      <c r="W614" s="528"/>
      <c r="X614" s="528"/>
      <c r="Y614" s="528"/>
      <c r="Z614" s="530"/>
      <c r="AA614" s="528"/>
      <c r="AB614" s="528"/>
      <c r="AC614" s="528"/>
      <c r="AD614" s="528"/>
      <c r="AE614" s="528"/>
      <c r="AF614" s="528"/>
      <c r="AG614" s="528"/>
      <c r="AH614" s="528"/>
      <c r="AI614" s="528"/>
      <c r="AJ614" s="528"/>
      <c r="AK614" s="528"/>
      <c r="AL614" s="528"/>
      <c r="AN614" s="527"/>
      <c r="AO614" s="528"/>
      <c r="AP614" s="528"/>
      <c r="AQ614" s="499"/>
      <c r="AR614" s="528"/>
      <c r="AS614" s="528"/>
      <c r="AT614" s="529"/>
      <c r="AU614" s="507"/>
      <c r="AV614" s="528"/>
      <c r="AW614" s="528"/>
      <c r="AX614" s="528"/>
      <c r="AY614" s="528"/>
      <c r="AZ614" s="528"/>
      <c r="BA614" s="528"/>
      <c r="BB614" s="528"/>
      <c r="BC614" s="528"/>
      <c r="BD614" s="528"/>
      <c r="BE614" s="528"/>
      <c r="BF614" s="528"/>
      <c r="BG614" s="528"/>
      <c r="BH614" s="530"/>
      <c r="BI614" s="528"/>
      <c r="BJ614" s="528"/>
      <c r="BK614" s="528"/>
      <c r="BL614" s="528"/>
      <c r="BM614" s="528"/>
      <c r="BN614" s="528"/>
      <c r="BO614" s="528"/>
      <c r="BP614" s="528"/>
      <c r="BQ614" s="528"/>
      <c r="BR614" s="528"/>
      <c r="BS614" s="528"/>
      <c r="BT614" s="528"/>
    </row>
    <row r="615" spans="1:72" ht="6" hidden="1" customHeight="1" x14ac:dyDescent="0.25">
      <c r="A615" s="502"/>
      <c r="B615" s="502"/>
      <c r="C615" s="538"/>
      <c r="D615" s="500"/>
      <c r="E615" s="449"/>
      <c r="F615" s="449"/>
      <c r="G615" s="421"/>
      <c r="H615" s="449"/>
      <c r="I615" s="449"/>
      <c r="J615" s="426"/>
      <c r="K615" s="421"/>
      <c r="L615" s="449"/>
      <c r="M615" s="449"/>
      <c r="N615" s="449"/>
      <c r="O615" s="449"/>
      <c r="P615" s="449"/>
      <c r="Q615" s="449"/>
      <c r="R615" s="449"/>
      <c r="S615" s="449"/>
      <c r="T615" s="449"/>
      <c r="U615" s="449"/>
      <c r="V615" s="449"/>
      <c r="W615" s="449"/>
      <c r="X615" s="449"/>
      <c r="Y615" s="449"/>
      <c r="Z615" s="531"/>
      <c r="AA615" s="449"/>
      <c r="AB615" s="449"/>
      <c r="AC615" s="449"/>
      <c r="AD615" s="449"/>
      <c r="AE615" s="449"/>
      <c r="AF615" s="449"/>
      <c r="AG615" s="449"/>
      <c r="AH615" s="449"/>
      <c r="AI615" s="449"/>
      <c r="AJ615" s="449"/>
      <c r="AK615" s="449"/>
      <c r="AL615" s="449"/>
      <c r="AN615" s="500"/>
      <c r="AO615" s="449"/>
      <c r="AP615" s="449"/>
      <c r="AQ615" s="453"/>
      <c r="AR615" s="449"/>
      <c r="AS615" s="449"/>
      <c r="AT615" s="426"/>
      <c r="AU615" s="421"/>
      <c r="AV615" s="449"/>
      <c r="AW615" s="449"/>
      <c r="AX615" s="449"/>
      <c r="AY615" s="449"/>
      <c r="AZ615" s="449"/>
      <c r="BA615" s="449"/>
      <c r="BB615" s="449"/>
      <c r="BC615" s="449"/>
      <c r="BD615" s="449"/>
      <c r="BE615" s="449"/>
      <c r="BF615" s="449"/>
      <c r="BG615" s="449"/>
      <c r="BH615" s="531"/>
      <c r="BI615" s="449"/>
      <c r="BJ615" s="449"/>
      <c r="BK615" s="449"/>
      <c r="BL615" s="449"/>
      <c r="BM615" s="449"/>
      <c r="BN615" s="449"/>
      <c r="BO615" s="449"/>
      <c r="BP615" s="449"/>
      <c r="BQ615" s="449"/>
      <c r="BR615" s="449"/>
      <c r="BS615" s="449"/>
      <c r="BT615" s="449"/>
    </row>
    <row r="616" spans="1:72" ht="15" hidden="1" x14ac:dyDescent="0.25">
      <c r="A616" s="524" t="s">
        <v>1021</v>
      </c>
      <c r="B616" s="502"/>
      <c r="C616" s="538"/>
      <c r="D616" s="550">
        <f>+D568+D608</f>
        <v>67640.709999999031</v>
      </c>
      <c r="E616" s="551">
        <f>+E568+E608</f>
        <v>25963.682426000014</v>
      </c>
      <c r="F616" s="551">
        <f>IFERROR(D616-E616,0)</f>
        <v>41677.027573999017</v>
      </c>
      <c r="G616" s="507">
        <f>IFERROR(F616/ABS(E616),0)</f>
        <v>1.6052047968459078</v>
      </c>
      <c r="H616" s="551">
        <f>+H568+H608</f>
        <v>175442.96999999881</v>
      </c>
      <c r="I616" s="551">
        <f>IFERROR(D616-H616,0)</f>
        <v>-107802.25999999978</v>
      </c>
      <c r="J616" s="529">
        <f>IFERROR(I616/ABS(H616),0)</f>
        <v>-0.61445756418738529</v>
      </c>
      <c r="K616" s="507"/>
      <c r="L616" s="551">
        <f t="shared" ref="L616:W616" si="530">+L568+L608</f>
        <v>162417.92000000016</v>
      </c>
      <c r="M616" s="551">
        <f t="shared" si="530"/>
        <v>-144880.4500000001</v>
      </c>
      <c r="N616" s="551">
        <f t="shared" si="530"/>
        <v>270477.02</v>
      </c>
      <c r="O616" s="551">
        <f t="shared" si="530"/>
        <v>-56400.550000000083</v>
      </c>
      <c r="P616" s="551">
        <f t="shared" si="530"/>
        <v>82092.319999999672</v>
      </c>
      <c r="Q616" s="551">
        <f t="shared" si="530"/>
        <v>202263.69000000018</v>
      </c>
      <c r="R616" s="551">
        <f t="shared" si="530"/>
        <v>-74721.539999999964</v>
      </c>
      <c r="S616" s="551">
        <f t="shared" si="530"/>
        <v>-74721.540000000081</v>
      </c>
      <c r="T616" s="551">
        <f t="shared" si="530"/>
        <v>-74721.540000000081</v>
      </c>
      <c r="U616" s="551">
        <f t="shared" si="530"/>
        <v>-74721.539999999964</v>
      </c>
      <c r="V616" s="551">
        <f t="shared" si="530"/>
        <v>-74721.539999999964</v>
      </c>
      <c r="W616" s="551">
        <f t="shared" si="530"/>
        <v>-74721.539999999499</v>
      </c>
      <c r="X616" s="551"/>
      <c r="Y616" s="551">
        <f>+Y568+Y608</f>
        <v>67640.709999999031</v>
      </c>
      <c r="Z616" s="508"/>
      <c r="AA616" s="551">
        <f t="shared" ref="AA616:AL616" si="531">+AA568+AA608</f>
        <v>14620.247499999939</v>
      </c>
      <c r="AB616" s="551">
        <f t="shared" si="531"/>
        <v>14620.247499999939</v>
      </c>
      <c r="AC616" s="551">
        <f t="shared" si="531"/>
        <v>14620.247499999939</v>
      </c>
      <c r="AD616" s="551">
        <f t="shared" si="531"/>
        <v>14620.247499999939</v>
      </c>
      <c r="AE616" s="551">
        <f t="shared" si="531"/>
        <v>14620.247499999939</v>
      </c>
      <c r="AF616" s="551">
        <f t="shared" si="531"/>
        <v>14620.247499999939</v>
      </c>
      <c r="AG616" s="551">
        <f t="shared" si="531"/>
        <v>14620.247499999939</v>
      </c>
      <c r="AH616" s="551">
        <f t="shared" si="531"/>
        <v>14620.247499999939</v>
      </c>
      <c r="AI616" s="551">
        <f t="shared" si="531"/>
        <v>14620.247499999939</v>
      </c>
      <c r="AJ616" s="551">
        <f t="shared" si="531"/>
        <v>14620.247499999939</v>
      </c>
      <c r="AK616" s="551">
        <f t="shared" si="531"/>
        <v>14620.247499999939</v>
      </c>
      <c r="AL616" s="551">
        <f t="shared" si="531"/>
        <v>14620.247499999939</v>
      </c>
      <c r="AN616" s="550">
        <f>+AN568+AN608</f>
        <v>67640.709999999031</v>
      </c>
      <c r="AO616" s="551">
        <f>+AO568+AO608</f>
        <v>-356356.84138603322</v>
      </c>
      <c r="AP616" s="551">
        <f>IFERROR(AO616-AN616,0)</f>
        <v>-423997.55138603225</v>
      </c>
      <c r="AQ616" s="499">
        <f>IFERROR(AP616/ABS(AN616),"-")</f>
        <v>-6.2683781909746115</v>
      </c>
      <c r="AR616" s="551">
        <f>+AR568+AR608</f>
        <v>-356356.84138603322</v>
      </c>
      <c r="AS616" s="551">
        <f>IFERROR(AO616-AR616,0)</f>
        <v>0</v>
      </c>
      <c r="AT616" s="529">
        <f>IFERROR(AS616/ABS(AR616),0)</f>
        <v>0</v>
      </c>
      <c r="AU616" s="507"/>
      <c r="AV616" s="551">
        <f t="shared" ref="AV616:BG616" si="532">+AV568+AV608</f>
        <v>169087.70315233467</v>
      </c>
      <c r="AW616" s="551">
        <f t="shared" si="532"/>
        <v>53501.675387854084</v>
      </c>
      <c r="AX616" s="551">
        <f t="shared" si="532"/>
        <v>-23843.848962294542</v>
      </c>
      <c r="AY616" s="551">
        <f t="shared" si="532"/>
        <v>-263563.34896229452</v>
      </c>
      <c r="AZ616" s="551">
        <f t="shared" si="532"/>
        <v>-19839.848962294542</v>
      </c>
      <c r="BA616" s="551">
        <f t="shared" si="532"/>
        <v>18068.045664746991</v>
      </c>
      <c r="BB616" s="551">
        <f t="shared" si="532"/>
        <v>-82422.064335253002</v>
      </c>
      <c r="BC616" s="551">
        <f t="shared" si="532"/>
        <v>22072.045664746991</v>
      </c>
      <c r="BD616" s="551">
        <f t="shared" si="532"/>
        <v>63068.045664746991</v>
      </c>
      <c r="BE616" s="551">
        <f t="shared" si="532"/>
        <v>-28651.454335252893</v>
      </c>
      <c r="BF616" s="551">
        <f t="shared" si="532"/>
        <v>18068.045664746991</v>
      </c>
      <c r="BG616" s="551">
        <f t="shared" si="532"/>
        <v>-281901.83702781925</v>
      </c>
      <c r="BH616" s="508"/>
      <c r="BI616" s="551">
        <f t="shared" ref="BI616:BT616" si="533">+BI568+BI608</f>
        <v>169087.70315233467</v>
      </c>
      <c r="BJ616" s="551">
        <f t="shared" si="533"/>
        <v>53501.675387854084</v>
      </c>
      <c r="BK616" s="551">
        <f t="shared" si="533"/>
        <v>-23843.848962294542</v>
      </c>
      <c r="BL616" s="551">
        <f t="shared" si="533"/>
        <v>-263563.34896229452</v>
      </c>
      <c r="BM616" s="551">
        <f t="shared" si="533"/>
        <v>-19839.848962294542</v>
      </c>
      <c r="BN616" s="551">
        <f t="shared" si="533"/>
        <v>18068.045664746991</v>
      </c>
      <c r="BO616" s="551">
        <f t="shared" si="533"/>
        <v>-82422.064335253002</v>
      </c>
      <c r="BP616" s="551">
        <f t="shared" si="533"/>
        <v>22072.045664746991</v>
      </c>
      <c r="BQ616" s="551">
        <f t="shared" si="533"/>
        <v>63068.045664746991</v>
      </c>
      <c r="BR616" s="551">
        <f t="shared" si="533"/>
        <v>-28651.454335252893</v>
      </c>
      <c r="BS616" s="551">
        <f t="shared" si="533"/>
        <v>18068.045664746991</v>
      </c>
      <c r="BT616" s="551">
        <f t="shared" si="533"/>
        <v>-281901.83702781925</v>
      </c>
    </row>
    <row r="617" spans="1:72" ht="9" hidden="1" customHeight="1" x14ac:dyDescent="0.25">
      <c r="A617" s="502"/>
      <c r="B617" s="502"/>
      <c r="C617" s="538"/>
      <c r="D617" s="500"/>
      <c r="E617" s="449"/>
      <c r="F617" s="449"/>
      <c r="G617" s="421"/>
      <c r="H617" s="449"/>
      <c r="I617" s="449"/>
      <c r="J617" s="426"/>
      <c r="K617" s="421"/>
      <c r="L617" s="449"/>
      <c r="M617" s="449"/>
      <c r="N617" s="449"/>
      <c r="O617" s="449"/>
      <c r="P617" s="449"/>
      <c r="Q617" s="449"/>
      <c r="R617" s="449"/>
      <c r="S617" s="449"/>
      <c r="T617" s="449"/>
      <c r="U617" s="449"/>
      <c r="V617" s="449"/>
      <c r="W617" s="449"/>
      <c r="X617" s="449"/>
      <c r="Y617" s="449"/>
      <c r="Z617" s="531"/>
      <c r="AA617" s="449"/>
      <c r="AB617" s="449"/>
      <c r="AC617" s="449"/>
      <c r="AD617" s="449"/>
      <c r="AE617" s="449"/>
      <c r="AF617" s="449"/>
      <c r="AG617" s="449"/>
      <c r="AH617" s="449"/>
      <c r="AI617" s="449"/>
      <c r="AJ617" s="449"/>
      <c r="AK617" s="449"/>
      <c r="AL617" s="449"/>
      <c r="AN617" s="500"/>
      <c r="AO617" s="449"/>
      <c r="AP617" s="449"/>
      <c r="AQ617" s="453"/>
      <c r="AR617" s="449"/>
      <c r="AS617" s="449"/>
      <c r="AT617" s="426"/>
      <c r="AU617" s="421"/>
      <c r="AV617" s="449"/>
      <c r="AW617" s="449"/>
      <c r="AX617" s="449"/>
      <c r="AY617" s="449"/>
      <c r="AZ617" s="449"/>
      <c r="BA617" s="449"/>
      <c r="BB617" s="449"/>
      <c r="BC617" s="449"/>
      <c r="BD617" s="449"/>
      <c r="BE617" s="449"/>
      <c r="BF617" s="449"/>
      <c r="BG617" s="449"/>
      <c r="BH617" s="531"/>
      <c r="BI617" s="449"/>
      <c r="BJ617" s="449"/>
      <c r="BK617" s="449"/>
      <c r="BL617" s="449"/>
      <c r="BM617" s="449"/>
      <c r="BN617" s="449"/>
      <c r="BO617" s="449"/>
      <c r="BP617" s="449"/>
      <c r="BQ617" s="449"/>
      <c r="BR617" s="449"/>
      <c r="BS617" s="449"/>
      <c r="BT617" s="449"/>
    </row>
    <row r="618" spans="1:72" ht="15" hidden="1" x14ac:dyDescent="0.25">
      <c r="A618" s="524" t="s">
        <v>1022</v>
      </c>
      <c r="B618" s="502"/>
      <c r="C618" s="538"/>
      <c r="D618" s="550"/>
      <c r="E618" s="551">
        <v>2076213</v>
      </c>
      <c r="F618" s="551"/>
      <c r="G618" s="507"/>
      <c r="H618" s="551">
        <v>2076213</v>
      </c>
      <c r="I618" s="551"/>
      <c r="J618" s="529"/>
      <c r="K618" s="507"/>
      <c r="L618" s="551"/>
      <c r="M618" s="551"/>
      <c r="N618" s="551"/>
      <c r="O618" s="551"/>
      <c r="P618" s="551"/>
      <c r="Q618" s="551"/>
      <c r="R618" s="551"/>
      <c r="S618" s="551"/>
      <c r="T618" s="551"/>
      <c r="U618" s="551"/>
      <c r="V618" s="551"/>
      <c r="W618" s="551"/>
      <c r="X618" s="551"/>
      <c r="Y618" s="551"/>
      <c r="Z618" s="508"/>
      <c r="AA618" s="551"/>
      <c r="AB618" s="551"/>
      <c r="AC618" s="551"/>
      <c r="AD618" s="551"/>
      <c r="AE618" s="551"/>
      <c r="AF618" s="551"/>
      <c r="AG618" s="551"/>
      <c r="AH618" s="551"/>
      <c r="AI618" s="551"/>
      <c r="AJ618" s="551"/>
      <c r="AK618" s="551"/>
      <c r="AL618" s="551"/>
      <c r="AN618" s="550"/>
      <c r="AO618" s="551"/>
      <c r="AP618" s="551"/>
      <c r="AQ618" s="499"/>
      <c r="AR618" s="528">
        <f>H620</f>
        <v>2251655.9699999988</v>
      </c>
      <c r="AS618" s="551"/>
      <c r="AT618" s="529"/>
      <c r="AU618" s="507"/>
      <c r="AV618" s="551"/>
      <c r="AW618" s="551"/>
      <c r="AX618" s="551"/>
      <c r="AY618" s="551"/>
      <c r="AZ618" s="551"/>
      <c r="BA618" s="551"/>
      <c r="BB618" s="551"/>
      <c r="BC618" s="551"/>
      <c r="BD618" s="551"/>
      <c r="BE618" s="551"/>
      <c r="BF618" s="551"/>
      <c r="BG618" s="551"/>
      <c r="BH618" s="508"/>
      <c r="BI618" s="551"/>
      <c r="BJ618" s="551"/>
      <c r="BK618" s="551"/>
      <c r="BL618" s="551"/>
      <c r="BM618" s="551"/>
      <c r="BN618" s="551"/>
      <c r="BO618" s="551"/>
      <c r="BP618" s="551"/>
      <c r="BQ618" s="551"/>
      <c r="BR618" s="551"/>
      <c r="BS618" s="551"/>
      <c r="BT618" s="551"/>
    </row>
    <row r="619" spans="1:72" ht="7.5" hidden="1" customHeight="1" x14ac:dyDescent="0.25">
      <c r="A619" s="502"/>
      <c r="B619" s="502"/>
      <c r="C619" s="538"/>
      <c r="D619" s="500"/>
      <c r="E619" s="449"/>
      <c r="F619" s="449"/>
      <c r="G619" s="421"/>
      <c r="H619" s="449"/>
      <c r="I619" s="449"/>
      <c r="J619" s="426"/>
      <c r="K619" s="421"/>
      <c r="L619" s="449"/>
      <c r="M619" s="449"/>
      <c r="N619" s="449"/>
      <c r="O619" s="449"/>
      <c r="P619" s="449"/>
      <c r="Q619" s="449"/>
      <c r="R619" s="449"/>
      <c r="S619" s="449"/>
      <c r="T619" s="449"/>
      <c r="U619" s="449"/>
      <c r="V619" s="449"/>
      <c r="W619" s="449"/>
      <c r="X619" s="449"/>
      <c r="Y619" s="449"/>
      <c r="Z619" s="531"/>
      <c r="AA619" s="449"/>
      <c r="AB619" s="449"/>
      <c r="AC619" s="449"/>
      <c r="AD619" s="449"/>
      <c r="AE619" s="449"/>
      <c r="AF619" s="449"/>
      <c r="AG619" s="449"/>
      <c r="AH619" s="449"/>
      <c r="AI619" s="449"/>
      <c r="AJ619" s="449"/>
      <c r="AK619" s="449"/>
      <c r="AL619" s="449"/>
      <c r="AN619" s="500"/>
      <c r="AO619" s="449"/>
      <c r="AP619" s="449"/>
      <c r="AQ619" s="453"/>
      <c r="AR619" s="449"/>
      <c r="AS619" s="449"/>
      <c r="AT619" s="426"/>
      <c r="AU619" s="421"/>
      <c r="AV619" s="449"/>
      <c r="AW619" s="449"/>
      <c r="AX619" s="449"/>
      <c r="AY619" s="449"/>
      <c r="AZ619" s="449"/>
      <c r="BA619" s="449"/>
      <c r="BB619" s="449"/>
      <c r="BC619" s="449"/>
      <c r="BD619" s="449"/>
      <c r="BE619" s="449"/>
      <c r="BF619" s="449"/>
      <c r="BG619" s="449"/>
      <c r="BH619" s="531"/>
      <c r="BI619" s="449"/>
      <c r="BJ619" s="449"/>
      <c r="BK619" s="449"/>
      <c r="BL619" s="449"/>
      <c r="BM619" s="449"/>
      <c r="BN619" s="449"/>
      <c r="BO619" s="449"/>
      <c r="BP619" s="449"/>
      <c r="BQ619" s="449"/>
      <c r="BR619" s="449"/>
      <c r="BS619" s="449"/>
      <c r="BT619" s="449"/>
    </row>
    <row r="620" spans="1:72" ht="15.75" hidden="1" thickBot="1" x14ac:dyDescent="0.3">
      <c r="A620" s="524" t="s">
        <v>1023</v>
      </c>
      <c r="B620" s="502"/>
      <c r="C620" s="538"/>
      <c r="D620" s="550"/>
      <c r="E620" s="533">
        <f>E616+E618</f>
        <v>2102176.682426</v>
      </c>
      <c r="F620" s="551"/>
      <c r="G620" s="507"/>
      <c r="H620" s="533">
        <f>+H616+H618</f>
        <v>2251655.9699999988</v>
      </c>
      <c r="I620" s="551"/>
      <c r="J620" s="529"/>
      <c r="K620" s="507"/>
      <c r="L620" s="551"/>
      <c r="M620" s="551"/>
      <c r="N620" s="551"/>
      <c r="O620" s="551"/>
      <c r="P620" s="551"/>
      <c r="Q620" s="551"/>
      <c r="R620" s="551"/>
      <c r="S620" s="551"/>
      <c r="T620" s="551"/>
      <c r="U620" s="551"/>
      <c r="V620" s="551"/>
      <c r="W620" s="551"/>
      <c r="X620" s="551"/>
      <c r="Y620" s="551"/>
      <c r="Z620" s="508"/>
      <c r="AA620" s="551"/>
      <c r="AB620" s="551"/>
      <c r="AC620" s="551"/>
      <c r="AD620" s="551"/>
      <c r="AE620" s="551"/>
      <c r="AF620" s="551"/>
      <c r="AG620" s="551"/>
      <c r="AH620" s="551"/>
      <c r="AI620" s="551"/>
      <c r="AJ620" s="551"/>
      <c r="AK620" s="551"/>
      <c r="AL620" s="551"/>
      <c r="AN620" s="550"/>
      <c r="AO620" s="551"/>
      <c r="AP620" s="551"/>
      <c r="AQ620" s="499"/>
      <c r="AR620" s="533">
        <f>+AR616+AR618</f>
        <v>1895299.1286139656</v>
      </c>
      <c r="AS620" s="551"/>
      <c r="AT620" s="529"/>
      <c r="AU620" s="507"/>
      <c r="AV620" s="551"/>
      <c r="AW620" s="551"/>
      <c r="AX620" s="551"/>
      <c r="AY620" s="551"/>
      <c r="AZ620" s="551"/>
      <c r="BA620" s="551"/>
      <c r="BB620" s="551"/>
      <c r="BC620" s="551"/>
      <c r="BD620" s="551"/>
      <c r="BE620" s="551"/>
      <c r="BF620" s="551"/>
      <c r="BG620" s="551"/>
      <c r="BH620" s="508"/>
      <c r="BI620" s="551"/>
      <c r="BJ620" s="551"/>
      <c r="BK620" s="551"/>
      <c r="BL620" s="551"/>
      <c r="BM620" s="551"/>
      <c r="BN620" s="551"/>
      <c r="BO620" s="551"/>
      <c r="BP620" s="551"/>
      <c r="BQ620" s="551"/>
      <c r="BR620" s="551"/>
      <c r="BS620" s="551"/>
      <c r="BT620" s="551"/>
    </row>
    <row r="621" spans="1:72" ht="15" hidden="1" x14ac:dyDescent="0.25">
      <c r="A621" s="502"/>
      <c r="B621" s="502"/>
      <c r="C621" s="538"/>
      <c r="D621" s="500"/>
      <c r="E621" s="449"/>
      <c r="F621" s="449"/>
      <c r="G621" s="421"/>
      <c r="H621" s="449"/>
      <c r="I621" s="449"/>
      <c r="J621" s="426"/>
      <c r="K621" s="421"/>
      <c r="L621" s="449"/>
      <c r="M621" s="449"/>
      <c r="N621" s="449"/>
      <c r="O621" s="449"/>
      <c r="P621" s="449"/>
      <c r="Q621" s="449"/>
      <c r="R621" s="449"/>
      <c r="S621" s="449"/>
      <c r="T621" s="449"/>
      <c r="U621" s="449"/>
      <c r="V621" s="449"/>
      <c r="W621" s="449"/>
      <c r="X621" s="449"/>
      <c r="Y621" s="449"/>
      <c r="Z621" s="531"/>
      <c r="AA621" s="449"/>
      <c r="AB621" s="449"/>
      <c r="AC621" s="449"/>
      <c r="AD621" s="449"/>
      <c r="AE621" s="449"/>
      <c r="AF621" s="449"/>
      <c r="AG621" s="449"/>
      <c r="AH621" s="449"/>
      <c r="AI621" s="449"/>
      <c r="AJ621" s="449"/>
      <c r="AK621" s="449"/>
      <c r="AL621" s="449"/>
      <c r="AN621" s="500"/>
      <c r="AO621" s="449"/>
      <c r="AP621" s="449"/>
      <c r="AQ621" s="453"/>
      <c r="AR621" s="449"/>
      <c r="AS621" s="449"/>
      <c r="AT621" s="426"/>
      <c r="AU621" s="421"/>
      <c r="AV621" s="449"/>
      <c r="AW621" s="449"/>
      <c r="AX621" s="449"/>
      <c r="AY621" s="449"/>
      <c r="AZ621" s="449"/>
      <c r="BA621" s="449"/>
      <c r="BB621" s="449"/>
      <c r="BC621" s="449"/>
      <c r="BD621" s="449"/>
      <c r="BE621" s="449"/>
      <c r="BF621" s="449"/>
      <c r="BG621" s="449"/>
      <c r="BH621" s="531"/>
      <c r="BI621" s="449"/>
      <c r="BJ621" s="449"/>
      <c r="BK621" s="449"/>
      <c r="BL621" s="449"/>
      <c r="BM621" s="449"/>
      <c r="BN621" s="449"/>
      <c r="BO621" s="449"/>
      <c r="BP621" s="449"/>
      <c r="BQ621" s="449"/>
      <c r="BR621" s="449"/>
      <c r="BS621" s="449"/>
      <c r="BT621" s="449"/>
    </row>
    <row r="622" spans="1:72" ht="15" x14ac:dyDescent="0.25">
      <c r="A622" s="502"/>
      <c r="B622" s="502"/>
      <c r="C622" s="538"/>
      <c r="D622" s="500"/>
      <c r="E622" s="449"/>
      <c r="F622" s="449"/>
      <c r="G622" s="421"/>
      <c r="H622" s="449"/>
      <c r="I622" s="449"/>
      <c r="J622" s="426"/>
      <c r="K622" s="421"/>
      <c r="L622" s="449"/>
      <c r="M622" s="449"/>
      <c r="N622" s="449"/>
      <c r="O622" s="449"/>
      <c r="P622" s="449"/>
      <c r="Q622" s="449"/>
      <c r="R622" s="449"/>
      <c r="S622" s="449"/>
      <c r="T622" s="449"/>
      <c r="U622" s="449"/>
      <c r="V622" s="449"/>
      <c r="W622" s="449"/>
      <c r="X622" s="449"/>
      <c r="Y622" s="449"/>
      <c r="Z622" s="531"/>
      <c r="AA622" s="449"/>
      <c r="AB622" s="449"/>
      <c r="AC622" s="449"/>
      <c r="AD622" s="449"/>
      <c r="AE622" s="449"/>
      <c r="AF622" s="449"/>
      <c r="AG622" s="449"/>
      <c r="AH622" s="449"/>
      <c r="AI622" s="449"/>
      <c r="AJ622" s="449"/>
      <c r="AK622" s="449"/>
      <c r="AL622" s="449"/>
      <c r="AN622" s="500"/>
      <c r="AO622" s="449"/>
      <c r="AP622" s="449"/>
      <c r="AQ622" s="453"/>
      <c r="AR622" s="449"/>
      <c r="AS622" s="449"/>
      <c r="AT622" s="426"/>
      <c r="AU622" s="421"/>
      <c r="AV622" s="449"/>
      <c r="AW622" s="449"/>
      <c r="AX622" s="449"/>
      <c r="AY622" s="449"/>
      <c r="AZ622" s="449"/>
      <c r="BA622" s="449"/>
      <c r="BB622" s="449"/>
      <c r="BC622" s="449"/>
      <c r="BD622" s="449"/>
      <c r="BE622" s="449"/>
      <c r="BF622" s="449"/>
      <c r="BG622" s="449"/>
      <c r="BH622" s="531"/>
      <c r="BI622" s="449"/>
      <c r="BJ622" s="449"/>
      <c r="BK622" s="449"/>
      <c r="BL622" s="449"/>
      <c r="BM622" s="449"/>
      <c r="BN622" s="449"/>
      <c r="BO622" s="449"/>
      <c r="BP622" s="449"/>
      <c r="BQ622" s="449"/>
      <c r="BR622" s="449"/>
      <c r="BS622" s="449"/>
      <c r="BT622" s="449"/>
    </row>
    <row r="623" spans="1:72" ht="18.75" x14ac:dyDescent="0.25">
      <c r="A623" s="502"/>
      <c r="B623" s="552" t="s">
        <v>1024</v>
      </c>
      <c r="C623" s="538"/>
      <c r="D623" s="500"/>
      <c r="E623" s="449"/>
      <c r="F623" s="449"/>
      <c r="G623" s="421"/>
      <c r="H623" s="449"/>
      <c r="I623" s="449"/>
      <c r="J623" s="426"/>
      <c r="K623" s="421"/>
      <c r="L623" s="449"/>
      <c r="M623" s="449"/>
      <c r="N623" s="449"/>
      <c r="O623" s="449"/>
      <c r="P623" s="449"/>
      <c r="Q623" s="449"/>
      <c r="R623" s="449"/>
      <c r="S623" s="449"/>
      <c r="T623" s="449"/>
      <c r="U623" s="449"/>
      <c r="V623" s="449"/>
      <c r="W623" s="449"/>
      <c r="X623" s="449"/>
      <c r="Y623" s="449"/>
      <c r="Z623" s="531"/>
      <c r="AA623" s="449"/>
      <c r="AB623" s="449"/>
      <c r="AC623" s="449"/>
      <c r="AD623" s="449"/>
      <c r="AE623" s="449"/>
      <c r="AF623" s="449"/>
      <c r="AG623" s="449"/>
      <c r="AH623" s="449"/>
      <c r="AI623" s="449"/>
      <c r="AJ623" s="449"/>
      <c r="AK623" s="449"/>
      <c r="AL623" s="449"/>
      <c r="AN623" s="500"/>
      <c r="AO623" s="449"/>
      <c r="AP623" s="449"/>
      <c r="AQ623" s="453"/>
      <c r="AR623" s="449"/>
      <c r="AS623" s="449"/>
      <c r="AT623" s="426"/>
      <c r="AU623" s="421"/>
      <c r="AV623" s="449"/>
      <c r="AW623" s="449"/>
      <c r="AX623" s="449"/>
      <c r="AY623" s="449"/>
      <c r="AZ623" s="449"/>
      <c r="BA623" s="449"/>
      <c r="BB623" s="449"/>
      <c r="BC623" s="449"/>
      <c r="BD623" s="449"/>
      <c r="BE623" s="449"/>
      <c r="BF623" s="449"/>
      <c r="BG623" s="449"/>
      <c r="BH623" s="531"/>
      <c r="BI623" s="449"/>
      <c r="BJ623" s="449"/>
      <c r="BK623" s="449"/>
      <c r="BL623" s="449"/>
      <c r="BM623" s="449"/>
      <c r="BN623" s="449"/>
      <c r="BO623" s="449"/>
      <c r="BP623" s="449"/>
      <c r="BQ623" s="449"/>
      <c r="BR623" s="449"/>
      <c r="BS623" s="449"/>
      <c r="BT623" s="449"/>
    </row>
    <row r="624" spans="1:72" ht="6.75" customHeight="1" x14ac:dyDescent="0.25">
      <c r="A624" s="502"/>
      <c r="B624" s="502"/>
      <c r="C624" s="538"/>
      <c r="D624" s="500"/>
      <c r="E624" s="449"/>
      <c r="F624" s="449"/>
      <c r="G624" s="421"/>
      <c r="H624" s="449"/>
      <c r="I624" s="449"/>
      <c r="J624" s="426"/>
      <c r="K624" s="421"/>
      <c r="L624" s="449"/>
      <c r="M624" s="449"/>
      <c r="N624" s="449"/>
      <c r="O624" s="449"/>
      <c r="P624" s="449"/>
      <c r="Q624" s="449"/>
      <c r="R624" s="449"/>
      <c r="S624" s="449"/>
      <c r="T624" s="449"/>
      <c r="U624" s="449"/>
      <c r="V624" s="449"/>
      <c r="W624" s="449"/>
      <c r="X624" s="449"/>
      <c r="Y624" s="449"/>
      <c r="Z624" s="531"/>
      <c r="AA624" s="449"/>
      <c r="AB624" s="449"/>
      <c r="AC624" s="449"/>
      <c r="AD624" s="449"/>
      <c r="AE624" s="449"/>
      <c r="AF624" s="449"/>
      <c r="AG624" s="449"/>
      <c r="AH624" s="449"/>
      <c r="AI624" s="449"/>
      <c r="AJ624" s="449"/>
      <c r="AK624" s="449"/>
      <c r="AL624" s="449"/>
      <c r="AN624" s="500"/>
      <c r="AO624" s="449"/>
      <c r="AP624" s="449"/>
      <c r="AQ624" s="453"/>
      <c r="AR624" s="449"/>
      <c r="AS624" s="449"/>
      <c r="AT624" s="426"/>
      <c r="AU624" s="421"/>
      <c r="AV624" s="449"/>
      <c r="AW624" s="449"/>
      <c r="AX624" s="449"/>
      <c r="AY624" s="449"/>
      <c r="AZ624" s="449"/>
      <c r="BA624" s="449"/>
      <c r="BB624" s="449"/>
      <c r="BC624" s="449"/>
      <c r="BD624" s="449"/>
      <c r="BE624" s="449"/>
      <c r="BF624" s="449"/>
      <c r="BG624" s="449"/>
      <c r="BH624" s="531"/>
      <c r="BI624" s="449"/>
      <c r="BJ624" s="449"/>
      <c r="BK624" s="449"/>
      <c r="BL624" s="449"/>
      <c r="BM624" s="449"/>
      <c r="BN624" s="449"/>
      <c r="BO624" s="449"/>
      <c r="BP624" s="449"/>
      <c r="BQ624" s="449"/>
      <c r="BR624" s="449"/>
      <c r="BS624" s="449"/>
      <c r="BT624" s="449"/>
    </row>
    <row r="625" spans="1:72" s="536" customFormat="1" ht="15" x14ac:dyDescent="0.25">
      <c r="A625" s="524"/>
      <c r="B625" s="524" t="s">
        <v>1025</v>
      </c>
      <c r="C625" s="535"/>
      <c r="D625" s="527"/>
      <c r="E625" s="528"/>
      <c r="F625" s="528"/>
      <c r="G625" s="507"/>
      <c r="H625" s="528"/>
      <c r="I625" s="528"/>
      <c r="J625" s="529"/>
      <c r="K625" s="507"/>
      <c r="L625" s="528"/>
      <c r="M625" s="528"/>
      <c r="N625" s="528"/>
      <c r="O625" s="528"/>
      <c r="P625" s="528"/>
      <c r="Q625" s="528"/>
      <c r="R625" s="528"/>
      <c r="S625" s="528"/>
      <c r="T625" s="528"/>
      <c r="U625" s="528"/>
      <c r="V625" s="528"/>
      <c r="W625" s="528"/>
      <c r="X625" s="528"/>
      <c r="Y625" s="528"/>
      <c r="Z625" s="530"/>
      <c r="AA625" s="528"/>
      <c r="AB625" s="528"/>
      <c r="AC625" s="528"/>
      <c r="AD625" s="528"/>
      <c r="AE625" s="528"/>
      <c r="AF625" s="528"/>
      <c r="AG625" s="528"/>
      <c r="AH625" s="528"/>
      <c r="AI625" s="528"/>
      <c r="AJ625" s="528"/>
      <c r="AK625" s="528"/>
      <c r="AL625" s="528"/>
      <c r="AN625" s="527"/>
      <c r="AO625" s="528"/>
      <c r="AP625" s="528"/>
      <c r="AQ625" s="499"/>
      <c r="AR625" s="528"/>
      <c r="AS625" s="528"/>
      <c r="AT625" s="529"/>
      <c r="AU625" s="507"/>
      <c r="AV625" s="528"/>
      <c r="AW625" s="528"/>
      <c r="AX625" s="528"/>
      <c r="AY625" s="528"/>
      <c r="AZ625" s="528"/>
      <c r="BA625" s="528"/>
      <c r="BB625" s="528"/>
      <c r="BC625" s="528"/>
      <c r="BD625" s="528"/>
      <c r="BE625" s="528"/>
      <c r="BF625" s="528"/>
      <c r="BG625" s="528"/>
      <c r="BH625" s="530"/>
      <c r="BI625" s="528"/>
      <c r="BJ625" s="528"/>
      <c r="BK625" s="528"/>
      <c r="BL625" s="528"/>
      <c r="BM625" s="528"/>
      <c r="BN625" s="528"/>
      <c r="BO625" s="528"/>
      <c r="BP625" s="528"/>
      <c r="BQ625" s="528"/>
      <c r="BR625" s="528"/>
      <c r="BS625" s="528"/>
      <c r="BT625" s="528"/>
    </row>
    <row r="626" spans="1:72" s="536" customFormat="1" ht="5.25" customHeight="1" x14ac:dyDescent="0.25">
      <c r="A626" s="524"/>
      <c r="B626" s="524"/>
      <c r="C626" s="535"/>
      <c r="D626" s="527"/>
      <c r="E626" s="528"/>
      <c r="F626" s="528"/>
      <c r="G626" s="507"/>
      <c r="H626" s="528"/>
      <c r="I626" s="528"/>
      <c r="J626" s="529"/>
      <c r="K626" s="507"/>
      <c r="L626" s="528"/>
      <c r="M626" s="528"/>
      <c r="N626" s="528"/>
      <c r="O626" s="528"/>
      <c r="P626" s="528"/>
      <c r="Q626" s="528"/>
      <c r="R626" s="528"/>
      <c r="S626" s="528"/>
      <c r="T626" s="528"/>
      <c r="U626" s="528"/>
      <c r="V626" s="528"/>
      <c r="W626" s="528"/>
      <c r="X626" s="528"/>
      <c r="Y626" s="528"/>
      <c r="Z626" s="530"/>
      <c r="AA626" s="528"/>
      <c r="AB626" s="528"/>
      <c r="AC626" s="528"/>
      <c r="AD626" s="528"/>
      <c r="AE626" s="528"/>
      <c r="AF626" s="528"/>
      <c r="AG626" s="528"/>
      <c r="AH626" s="528"/>
      <c r="AI626" s="528"/>
      <c r="AJ626" s="528"/>
      <c r="AK626" s="528"/>
      <c r="AL626" s="528"/>
      <c r="AN626" s="527"/>
      <c r="AO626" s="528"/>
      <c r="AP626" s="528"/>
      <c r="AQ626" s="499"/>
      <c r="AR626" s="528"/>
      <c r="AS626" s="528"/>
      <c r="AT626" s="529"/>
      <c r="AU626" s="507"/>
      <c r="AV626" s="528"/>
      <c r="AW626" s="528"/>
      <c r="AX626" s="528"/>
      <c r="AY626" s="528"/>
      <c r="AZ626" s="528"/>
      <c r="BA626" s="528"/>
      <c r="BB626" s="528"/>
      <c r="BC626" s="528"/>
      <c r="BD626" s="528"/>
      <c r="BE626" s="528"/>
      <c r="BF626" s="528"/>
      <c r="BG626" s="528"/>
      <c r="BH626" s="530"/>
      <c r="BI626" s="528"/>
      <c r="BJ626" s="528"/>
      <c r="BK626" s="528"/>
      <c r="BL626" s="528"/>
      <c r="BM626" s="528"/>
      <c r="BN626" s="528"/>
      <c r="BO626" s="528"/>
      <c r="BP626" s="528"/>
      <c r="BQ626" s="528"/>
      <c r="BR626" s="528"/>
      <c r="BS626" s="528"/>
      <c r="BT626" s="528"/>
    </row>
    <row r="627" spans="1:72" ht="15" x14ac:dyDescent="0.25">
      <c r="A627" s="502" t="s">
        <v>1026</v>
      </c>
      <c r="B627" s="502" t="s">
        <v>972</v>
      </c>
      <c r="C627" s="400"/>
      <c r="D627" s="500">
        <f>SUM(L627:W627)</f>
        <v>27891.46</v>
      </c>
      <c r="E627" s="449">
        <v>20000</v>
      </c>
      <c r="F627" s="449">
        <f>IFERROR(D627-E627,0)</f>
        <v>7891.4599999999991</v>
      </c>
      <c r="G627" s="421">
        <f>IFERROR(F627/ABS(E627),0)</f>
        <v>0.39457299999999995</v>
      </c>
      <c r="H627" s="449">
        <v>20000</v>
      </c>
      <c r="I627" s="449">
        <f>IFERROR(D627-H627,0)</f>
        <v>7891.4599999999991</v>
      </c>
      <c r="J627" s="426">
        <f>IFERROR(I627/ABS(H627),0)</f>
        <v>0.39457299999999995</v>
      </c>
      <c r="K627" s="421"/>
      <c r="L627" s="449">
        <v>6153.82</v>
      </c>
      <c r="M627" s="449">
        <v>3580.58</v>
      </c>
      <c r="N627" s="449">
        <v>2681.8099999999995</v>
      </c>
      <c r="O627" s="449">
        <v>8361.6000000000022</v>
      </c>
      <c r="P627" s="449">
        <v>2574.8199999999997</v>
      </c>
      <c r="Q627" s="449">
        <v>4538.8299999999981</v>
      </c>
      <c r="R627" s="449">
        <v>0</v>
      </c>
      <c r="S627" s="449">
        <v>0</v>
      </c>
      <c r="T627" s="449">
        <v>0</v>
      </c>
      <c r="U627" s="449">
        <v>0</v>
      </c>
      <c r="V627" s="449">
        <v>0</v>
      </c>
      <c r="W627" s="449">
        <v>0</v>
      </c>
      <c r="X627" s="449"/>
      <c r="Y627" s="449">
        <f>SUM(L627:W627)</f>
        <v>27891.46</v>
      </c>
      <c r="Z627" s="501"/>
      <c r="AA627" s="449">
        <f t="shared" ref="AA627:AL628" si="534">IFERROR($H627/12,0)</f>
        <v>1666.6666666666667</v>
      </c>
      <c r="AB627" s="449">
        <f t="shared" si="534"/>
        <v>1666.6666666666667</v>
      </c>
      <c r="AC627" s="449">
        <f t="shared" si="534"/>
        <v>1666.6666666666667</v>
      </c>
      <c r="AD627" s="449">
        <f t="shared" si="534"/>
        <v>1666.6666666666667</v>
      </c>
      <c r="AE627" s="449">
        <f t="shared" si="534"/>
        <v>1666.6666666666667</v>
      </c>
      <c r="AF627" s="449">
        <f t="shared" si="534"/>
        <v>1666.6666666666667</v>
      </c>
      <c r="AG627" s="449">
        <f t="shared" si="534"/>
        <v>1666.6666666666667</v>
      </c>
      <c r="AH627" s="449">
        <f t="shared" si="534"/>
        <v>1666.6666666666667</v>
      </c>
      <c r="AI627" s="449">
        <f t="shared" si="534"/>
        <v>1666.6666666666667</v>
      </c>
      <c r="AJ627" s="449">
        <f t="shared" si="534"/>
        <v>1666.6666666666667</v>
      </c>
      <c r="AK627" s="449">
        <f t="shared" si="534"/>
        <v>1666.6666666666667</v>
      </c>
      <c r="AL627" s="449">
        <f t="shared" si="534"/>
        <v>1666.6666666666667</v>
      </c>
      <c r="AN627" s="500">
        <f>SUM(L627:W627)</f>
        <v>27891.46</v>
      </c>
      <c r="AO627" s="449">
        <f>SUM(BI627:BT627)</f>
        <v>27891.460000000003</v>
      </c>
      <c r="AP627" s="449">
        <f>IFERROR(AO627-AN627,0)</f>
        <v>3.637978807091713E-12</v>
      </c>
      <c r="AQ627" s="453">
        <f>IFERROR(AP627/ABS(AN627),"-")</f>
        <v>1.3043343041532115E-16</v>
      </c>
      <c r="AR627" s="449">
        <f>SUM(BI627:BT627)</f>
        <v>27891.460000000003</v>
      </c>
      <c r="AS627" s="449">
        <f>IFERROR(AO627-AR627,0)</f>
        <v>0</v>
      </c>
      <c r="AT627" s="426">
        <f>IFERROR(AS627/ABS(AR627),0)</f>
        <v>0</v>
      </c>
      <c r="AU627" s="421"/>
      <c r="AV627" s="449">
        <f t="shared" ref="AV627:BG628" si="535">BI627</f>
        <v>2324.2883333333334</v>
      </c>
      <c r="AW627" s="449">
        <f t="shared" si="535"/>
        <v>2324.2883333333334</v>
      </c>
      <c r="AX627" s="449">
        <f t="shared" si="535"/>
        <v>2324.2883333333334</v>
      </c>
      <c r="AY627" s="449">
        <f t="shared" si="535"/>
        <v>2324.2883333333334</v>
      </c>
      <c r="AZ627" s="449">
        <f t="shared" si="535"/>
        <v>2324.2883333333334</v>
      </c>
      <c r="BA627" s="449">
        <f t="shared" si="535"/>
        <v>2324.2883333333334</v>
      </c>
      <c r="BB627" s="449">
        <f t="shared" si="535"/>
        <v>2324.2883333333334</v>
      </c>
      <c r="BC627" s="449">
        <f t="shared" si="535"/>
        <v>2324.2883333333334</v>
      </c>
      <c r="BD627" s="449">
        <f t="shared" si="535"/>
        <v>2324.2883333333334</v>
      </c>
      <c r="BE627" s="449">
        <f t="shared" si="535"/>
        <v>2324.2883333333334</v>
      </c>
      <c r="BF627" s="449">
        <f t="shared" si="535"/>
        <v>2324.2883333333334</v>
      </c>
      <c r="BG627" s="449">
        <f t="shared" si="535"/>
        <v>2324.2883333333334</v>
      </c>
      <c r="BH627" s="400"/>
      <c r="BI627" s="449">
        <f t="shared" ref="BI627:BT627" si="536">+$AN627/12</f>
        <v>2324.2883333333334</v>
      </c>
      <c r="BJ627" s="449">
        <f t="shared" si="536"/>
        <v>2324.2883333333334</v>
      </c>
      <c r="BK627" s="449">
        <f t="shared" si="536"/>
        <v>2324.2883333333334</v>
      </c>
      <c r="BL627" s="449">
        <f t="shared" si="536"/>
        <v>2324.2883333333334</v>
      </c>
      <c r="BM627" s="449">
        <f t="shared" si="536"/>
        <v>2324.2883333333334</v>
      </c>
      <c r="BN627" s="449">
        <f t="shared" si="536"/>
        <v>2324.2883333333334</v>
      </c>
      <c r="BO627" s="449">
        <f t="shared" si="536"/>
        <v>2324.2883333333334</v>
      </c>
      <c r="BP627" s="449">
        <f t="shared" si="536"/>
        <v>2324.2883333333334</v>
      </c>
      <c r="BQ627" s="449">
        <f t="shared" si="536"/>
        <v>2324.2883333333334</v>
      </c>
      <c r="BR627" s="449">
        <f t="shared" si="536"/>
        <v>2324.2883333333334</v>
      </c>
      <c r="BS627" s="449">
        <f t="shared" si="536"/>
        <v>2324.2883333333334</v>
      </c>
      <c r="BT627" s="449">
        <f t="shared" si="536"/>
        <v>2324.2883333333334</v>
      </c>
    </row>
    <row r="628" spans="1:72" ht="15" x14ac:dyDescent="0.25">
      <c r="A628" s="502" t="s">
        <v>1027</v>
      </c>
      <c r="B628" s="502" t="s">
        <v>1028</v>
      </c>
      <c r="C628" s="400"/>
      <c r="D628" s="500">
        <f>SUM(L628:W628)</f>
        <v>1311098</v>
      </c>
      <c r="E628" s="449">
        <v>1415585.63</v>
      </c>
      <c r="F628" s="449">
        <f>IFERROR(D628-E628,0)</f>
        <v>-104487.62999999989</v>
      </c>
      <c r="G628" s="421">
        <f>IFERROR(F628/ABS(E628),0)</f>
        <v>-7.3812299154237593E-2</v>
      </c>
      <c r="H628" s="449">
        <v>1311098</v>
      </c>
      <c r="I628" s="449">
        <f>IFERROR(D628-H628,0)</f>
        <v>0</v>
      </c>
      <c r="J628" s="426">
        <f>IFERROR(I628/ABS(H628),0)</f>
        <v>0</v>
      </c>
      <c r="K628" s="421"/>
      <c r="L628" s="449">
        <v>77038.23</v>
      </c>
      <c r="M628" s="449">
        <v>77038.23</v>
      </c>
      <c r="N628" s="449">
        <v>77038.23000000001</v>
      </c>
      <c r="O628" s="449">
        <v>77038.229999999981</v>
      </c>
      <c r="P628" s="449">
        <v>77038.23000000004</v>
      </c>
      <c r="Q628" s="449">
        <v>140080.16999999993</v>
      </c>
      <c r="R628" s="449">
        <f>($H628-SUM($L628:Q628))/R$694</f>
        <v>130971.11333333334</v>
      </c>
      <c r="S628" s="449">
        <f>($H628-SUM($L628:R628))/S$694</f>
        <v>130971.11333333333</v>
      </c>
      <c r="T628" s="449">
        <f>($H628-SUM($L628:S628))/T$694</f>
        <v>130971.11333333334</v>
      </c>
      <c r="U628" s="449">
        <f>($H628-SUM($L628:T628))/U$694</f>
        <v>130971.11333333336</v>
      </c>
      <c r="V628" s="449">
        <f>($H628-SUM($L628:U628))/V$694</f>
        <v>130971.1133333334</v>
      </c>
      <c r="W628" s="449">
        <f>($H628-SUM($L628:V628))/W$694</f>
        <v>130971.11333333328</v>
      </c>
      <c r="X628" s="449"/>
      <c r="Y628" s="449">
        <f>SUM(L628:W628)</f>
        <v>1311098</v>
      </c>
      <c r="Z628" s="501"/>
      <c r="AA628" s="449">
        <f t="shared" si="534"/>
        <v>109258.16666666667</v>
      </c>
      <c r="AB628" s="449">
        <f t="shared" si="534"/>
        <v>109258.16666666667</v>
      </c>
      <c r="AC628" s="449">
        <f t="shared" si="534"/>
        <v>109258.16666666667</v>
      </c>
      <c r="AD628" s="449">
        <f t="shared" si="534"/>
        <v>109258.16666666667</v>
      </c>
      <c r="AE628" s="449">
        <f t="shared" si="534"/>
        <v>109258.16666666667</v>
      </c>
      <c r="AF628" s="449">
        <f t="shared" si="534"/>
        <v>109258.16666666667</v>
      </c>
      <c r="AG628" s="449">
        <f t="shared" si="534"/>
        <v>109258.16666666667</v>
      </c>
      <c r="AH628" s="449">
        <f t="shared" si="534"/>
        <v>109258.16666666667</v>
      </c>
      <c r="AI628" s="449">
        <f t="shared" si="534"/>
        <v>109258.16666666667</v>
      </c>
      <c r="AJ628" s="449">
        <f t="shared" si="534"/>
        <v>109258.16666666667</v>
      </c>
      <c r="AK628" s="449">
        <f t="shared" si="534"/>
        <v>109258.16666666667</v>
      </c>
      <c r="AL628" s="449">
        <f t="shared" si="534"/>
        <v>109258.16666666667</v>
      </c>
      <c r="AN628" s="500">
        <f>SUM(L628:W628)</f>
        <v>1311098</v>
      </c>
      <c r="AO628" s="449">
        <f>SUM(BI628:BT628)</f>
        <v>1763199.5000000002</v>
      </c>
      <c r="AP628" s="449">
        <f>IFERROR(AO628-AN628,0)</f>
        <v>452101.50000000023</v>
      </c>
      <c r="AQ628" s="453">
        <f>IFERROR(AP628/ABS(AN628),"-")</f>
        <v>0.34482662623236421</v>
      </c>
      <c r="AR628" s="449">
        <f>SUM(BI628:BT628)</f>
        <v>1763199.5000000002</v>
      </c>
      <c r="AS628" s="449">
        <f>IFERROR(AO628-AR628,0)</f>
        <v>0</v>
      </c>
      <c r="AT628" s="426">
        <f>IFERROR(AS628/ABS(AR628),0)</f>
        <v>0</v>
      </c>
      <c r="AU628" s="421"/>
      <c r="AV628" s="449">
        <f t="shared" si="535"/>
        <v>146933.29166666666</v>
      </c>
      <c r="AW628" s="449">
        <f t="shared" si="535"/>
        <v>146933.29166666666</v>
      </c>
      <c r="AX628" s="449">
        <f t="shared" si="535"/>
        <v>146933.29166666666</v>
      </c>
      <c r="AY628" s="449">
        <f t="shared" si="535"/>
        <v>146933.29166666666</v>
      </c>
      <c r="AZ628" s="449">
        <f t="shared" si="535"/>
        <v>146933.29166666666</v>
      </c>
      <c r="BA628" s="449">
        <f t="shared" si="535"/>
        <v>146933.29166666666</v>
      </c>
      <c r="BB628" s="449">
        <f t="shared" si="535"/>
        <v>146933.29166666666</v>
      </c>
      <c r="BC628" s="449">
        <f t="shared" si="535"/>
        <v>146933.29166666666</v>
      </c>
      <c r="BD628" s="449">
        <f t="shared" si="535"/>
        <v>146933.29166666666</v>
      </c>
      <c r="BE628" s="449">
        <f t="shared" si="535"/>
        <v>146933.29166666666</v>
      </c>
      <c r="BF628" s="449">
        <f t="shared" si="535"/>
        <v>146933.29166666666</v>
      </c>
      <c r="BG628" s="449">
        <f t="shared" si="535"/>
        <v>146933.29166666666</v>
      </c>
      <c r="BH628" s="400"/>
      <c r="BI628" s="449">
        <f>BI$509+BI$510</f>
        <v>146933.29166666666</v>
      </c>
      <c r="BJ628" s="449">
        <f t="shared" ref="BJ628:BT628" si="537">BJ$509+BJ$510</f>
        <v>146933.29166666666</v>
      </c>
      <c r="BK628" s="449">
        <f t="shared" si="537"/>
        <v>146933.29166666666</v>
      </c>
      <c r="BL628" s="449">
        <f t="shared" si="537"/>
        <v>146933.29166666666</v>
      </c>
      <c r="BM628" s="449">
        <f t="shared" si="537"/>
        <v>146933.29166666666</v>
      </c>
      <c r="BN628" s="449">
        <f t="shared" si="537"/>
        <v>146933.29166666666</v>
      </c>
      <c r="BO628" s="449">
        <f t="shared" si="537"/>
        <v>146933.29166666666</v>
      </c>
      <c r="BP628" s="449">
        <f t="shared" si="537"/>
        <v>146933.29166666666</v>
      </c>
      <c r="BQ628" s="449">
        <f t="shared" si="537"/>
        <v>146933.29166666666</v>
      </c>
      <c r="BR628" s="449">
        <f t="shared" si="537"/>
        <v>146933.29166666666</v>
      </c>
      <c r="BS628" s="449">
        <f t="shared" si="537"/>
        <v>146933.29166666666</v>
      </c>
      <c r="BT628" s="449">
        <f t="shared" si="537"/>
        <v>146933.29166666666</v>
      </c>
    </row>
    <row r="629" spans="1:72" ht="6.75" customHeight="1" x14ac:dyDescent="0.25">
      <c r="A629" s="587"/>
      <c r="B629" s="502"/>
      <c r="C629" s="400"/>
      <c r="D629" s="500"/>
      <c r="E629" s="449"/>
      <c r="F629" s="449"/>
      <c r="G629" s="421"/>
      <c r="H629" s="449"/>
      <c r="I629" s="449"/>
      <c r="J629" s="426"/>
      <c r="K629" s="421"/>
      <c r="L629" s="449"/>
      <c r="M629" s="449"/>
      <c r="N629" s="449"/>
      <c r="O629" s="449"/>
      <c r="P629" s="449"/>
      <c r="Q629" s="449"/>
      <c r="R629" s="449"/>
      <c r="S629" s="449"/>
      <c r="T629" s="449"/>
      <c r="U629" s="449"/>
      <c r="V629" s="449"/>
      <c r="W629" s="449"/>
      <c r="X629" s="449"/>
      <c r="Y629" s="449"/>
      <c r="Z629" s="501"/>
      <c r="AA629" s="449"/>
      <c r="AB629" s="449"/>
      <c r="AC629" s="449"/>
      <c r="AD629" s="449"/>
      <c r="AE629" s="449"/>
      <c r="AF629" s="449"/>
      <c r="AG629" s="449"/>
      <c r="AH629" s="449"/>
      <c r="AI629" s="449"/>
      <c r="AJ629" s="449"/>
      <c r="AK629" s="449"/>
      <c r="AL629" s="449"/>
      <c r="AN629" s="500"/>
      <c r="AO629" s="449"/>
      <c r="AP629" s="449"/>
      <c r="AQ629" s="453"/>
      <c r="AR629" s="449"/>
      <c r="AS629" s="449"/>
      <c r="AT629" s="426"/>
      <c r="AU629" s="421"/>
      <c r="AV629" s="449"/>
      <c r="AW629" s="449"/>
      <c r="AX629" s="449"/>
      <c r="AY629" s="449"/>
      <c r="AZ629" s="449"/>
      <c r="BA629" s="449"/>
      <c r="BB629" s="449"/>
      <c r="BC629" s="449"/>
      <c r="BD629" s="449"/>
      <c r="BE629" s="449"/>
      <c r="BF629" s="449"/>
      <c r="BG629" s="449"/>
      <c r="BH629" s="501"/>
      <c r="BI629" s="449"/>
      <c r="BJ629" s="449"/>
      <c r="BK629" s="449"/>
      <c r="BL629" s="449"/>
      <c r="BM629" s="449"/>
      <c r="BN629" s="449"/>
      <c r="BO629" s="449"/>
      <c r="BP629" s="449"/>
      <c r="BQ629" s="449"/>
      <c r="BR629" s="449"/>
      <c r="BS629" s="449"/>
      <c r="BT629" s="449"/>
    </row>
    <row r="630" spans="1:72" s="536" customFormat="1" ht="15.75" thickBot="1" x14ac:dyDescent="0.3">
      <c r="A630" s="526"/>
      <c r="B630" s="524" t="s">
        <v>1029</v>
      </c>
      <c r="D630" s="532">
        <f>SUM(D627:D629)</f>
        <v>1338989.46</v>
      </c>
      <c r="E630" s="533">
        <f>SUM(E627:E629)</f>
        <v>1435585.63</v>
      </c>
      <c r="F630" s="533">
        <f>IFERROR(D630-E630,0)</f>
        <v>-96596.169999999925</v>
      </c>
      <c r="G630" s="520">
        <f>IFERROR(F630/ABS(E630),0)</f>
        <v>-6.7286944074523736E-2</v>
      </c>
      <c r="H630" s="533">
        <f>SUM(H627:H628)</f>
        <v>1331098</v>
      </c>
      <c r="I630" s="533">
        <f>IFERROR(D630-H630,0)</f>
        <v>7891.4599999999627</v>
      </c>
      <c r="J630" s="521">
        <f>IFERROR(I630/ABS(H630),0)</f>
        <v>5.9285341875654259E-3</v>
      </c>
      <c r="K630" s="507"/>
      <c r="L630" s="533">
        <f>SUM(L627:L629)</f>
        <v>83192.049999999988</v>
      </c>
      <c r="M630" s="533">
        <f t="shared" ref="M630:W630" si="538">SUM(M627:M629)</f>
        <v>80618.81</v>
      </c>
      <c r="N630" s="533">
        <f t="shared" si="538"/>
        <v>79720.040000000008</v>
      </c>
      <c r="O630" s="533">
        <f t="shared" si="538"/>
        <v>85399.829999999987</v>
      </c>
      <c r="P630" s="533">
        <f t="shared" si="538"/>
        <v>79613.050000000047</v>
      </c>
      <c r="Q630" s="533">
        <f t="shared" si="538"/>
        <v>144618.99999999991</v>
      </c>
      <c r="R630" s="533">
        <f t="shared" si="538"/>
        <v>130971.11333333334</v>
      </c>
      <c r="S630" s="533">
        <f t="shared" si="538"/>
        <v>130971.11333333333</v>
      </c>
      <c r="T630" s="533">
        <f t="shared" si="538"/>
        <v>130971.11333333334</v>
      </c>
      <c r="U630" s="533">
        <f t="shared" si="538"/>
        <v>130971.11333333336</v>
      </c>
      <c r="V630" s="533">
        <f t="shared" si="538"/>
        <v>130971.1133333334</v>
      </c>
      <c r="W630" s="533">
        <f t="shared" si="538"/>
        <v>130971.11333333328</v>
      </c>
      <c r="X630" s="533"/>
      <c r="Y630" s="533">
        <f>SUM(Y627:Y629)</f>
        <v>1338989.46</v>
      </c>
      <c r="Z630" s="508"/>
      <c r="AA630" s="533">
        <f t="shared" ref="AA630:AL630" si="539">SUM(AA627:AA629)</f>
        <v>110924.83333333334</v>
      </c>
      <c r="AB630" s="533">
        <f t="shared" si="539"/>
        <v>110924.83333333334</v>
      </c>
      <c r="AC630" s="533">
        <f t="shared" si="539"/>
        <v>110924.83333333334</v>
      </c>
      <c r="AD630" s="533">
        <f t="shared" si="539"/>
        <v>110924.83333333334</v>
      </c>
      <c r="AE630" s="533">
        <f t="shared" si="539"/>
        <v>110924.83333333334</v>
      </c>
      <c r="AF630" s="533">
        <f t="shared" si="539"/>
        <v>110924.83333333334</v>
      </c>
      <c r="AG630" s="533">
        <f t="shared" si="539"/>
        <v>110924.83333333334</v>
      </c>
      <c r="AH630" s="533">
        <f t="shared" si="539"/>
        <v>110924.83333333334</v>
      </c>
      <c r="AI630" s="533">
        <f t="shared" si="539"/>
        <v>110924.83333333334</v>
      </c>
      <c r="AJ630" s="533">
        <f t="shared" si="539"/>
        <v>110924.83333333334</v>
      </c>
      <c r="AK630" s="533">
        <f t="shared" si="539"/>
        <v>110924.83333333334</v>
      </c>
      <c r="AL630" s="533">
        <f t="shared" si="539"/>
        <v>110924.83333333334</v>
      </c>
      <c r="AN630" s="532">
        <f>SUM(AN627:AN629)</f>
        <v>1338989.46</v>
      </c>
      <c r="AO630" s="533">
        <f>SUM(AO627:AO629)</f>
        <v>1791090.9600000002</v>
      </c>
      <c r="AP630" s="533">
        <f>IFERROR(AO630-AN630,0)</f>
        <v>452101.50000000023</v>
      </c>
      <c r="AQ630" s="523">
        <f>IFERROR(AP630/ABS(AN630),"-")</f>
        <v>0.33764380789076581</v>
      </c>
      <c r="AR630" s="533">
        <f>SUM(AR627:AR628)</f>
        <v>1791090.9600000002</v>
      </c>
      <c r="AS630" s="533">
        <f>IFERROR(AO630-AR630,0)</f>
        <v>0</v>
      </c>
      <c r="AT630" s="521">
        <f>IFERROR(AS630/ABS(AR630),0)</f>
        <v>0</v>
      </c>
      <c r="AU630" s="507"/>
      <c r="AV630" s="533">
        <f>SUM(AV627:AV629)</f>
        <v>149257.57999999999</v>
      </c>
      <c r="AW630" s="533">
        <f t="shared" ref="AW630:BG630" si="540">SUM(AW627:AW629)</f>
        <v>149257.57999999999</v>
      </c>
      <c r="AX630" s="533">
        <f t="shared" si="540"/>
        <v>149257.57999999999</v>
      </c>
      <c r="AY630" s="533">
        <f t="shared" si="540"/>
        <v>149257.57999999999</v>
      </c>
      <c r="AZ630" s="533">
        <f t="shared" si="540"/>
        <v>149257.57999999999</v>
      </c>
      <c r="BA630" s="533">
        <f t="shared" si="540"/>
        <v>149257.57999999999</v>
      </c>
      <c r="BB630" s="533">
        <f t="shared" si="540"/>
        <v>149257.57999999999</v>
      </c>
      <c r="BC630" s="533">
        <f t="shared" si="540"/>
        <v>149257.57999999999</v>
      </c>
      <c r="BD630" s="533">
        <f t="shared" si="540"/>
        <v>149257.57999999999</v>
      </c>
      <c r="BE630" s="533">
        <f t="shared" si="540"/>
        <v>149257.57999999999</v>
      </c>
      <c r="BF630" s="533">
        <f t="shared" si="540"/>
        <v>149257.57999999999</v>
      </c>
      <c r="BG630" s="533">
        <f t="shared" si="540"/>
        <v>149257.57999999999</v>
      </c>
      <c r="BH630" s="508"/>
      <c r="BI630" s="533">
        <f t="shared" ref="BI630:BT630" si="541">SUM(BI627:BI629)</f>
        <v>149257.57999999999</v>
      </c>
      <c r="BJ630" s="533">
        <f t="shared" si="541"/>
        <v>149257.57999999999</v>
      </c>
      <c r="BK630" s="533">
        <f t="shared" si="541"/>
        <v>149257.57999999999</v>
      </c>
      <c r="BL630" s="533">
        <f t="shared" si="541"/>
        <v>149257.57999999999</v>
      </c>
      <c r="BM630" s="533">
        <f t="shared" si="541"/>
        <v>149257.57999999999</v>
      </c>
      <c r="BN630" s="533">
        <f t="shared" si="541"/>
        <v>149257.57999999999</v>
      </c>
      <c r="BO630" s="533">
        <f t="shared" si="541"/>
        <v>149257.57999999999</v>
      </c>
      <c r="BP630" s="533">
        <f t="shared" si="541"/>
        <v>149257.57999999999</v>
      </c>
      <c r="BQ630" s="533">
        <f t="shared" si="541"/>
        <v>149257.57999999999</v>
      </c>
      <c r="BR630" s="533">
        <f t="shared" si="541"/>
        <v>149257.57999999999</v>
      </c>
      <c r="BS630" s="533">
        <f t="shared" si="541"/>
        <v>149257.57999999999</v>
      </c>
      <c r="BT630" s="533">
        <f t="shared" si="541"/>
        <v>149257.57999999999</v>
      </c>
    </row>
    <row r="631" spans="1:72" ht="15.75" thickTop="1" x14ac:dyDescent="0.25">
      <c r="A631" s="587"/>
      <c r="B631" s="502"/>
      <c r="C631" s="400"/>
      <c r="D631" s="500"/>
      <c r="E631" s="449"/>
      <c r="F631" s="449"/>
      <c r="G631" s="421"/>
      <c r="H631" s="449"/>
      <c r="I631" s="449"/>
      <c r="J631" s="426"/>
      <c r="K631" s="421"/>
      <c r="L631" s="449"/>
      <c r="M631" s="449"/>
      <c r="N631" s="449"/>
      <c r="O631" s="449"/>
      <c r="P631" s="449"/>
      <c r="Q631" s="449"/>
      <c r="R631" s="449"/>
      <c r="S631" s="449"/>
      <c r="T631" s="449"/>
      <c r="U631" s="449"/>
      <c r="V631" s="449"/>
      <c r="W631" s="449"/>
      <c r="X631" s="449"/>
      <c r="Y631" s="449"/>
      <c r="Z631" s="501"/>
      <c r="AA631" s="449"/>
      <c r="AB631" s="449"/>
      <c r="AC631" s="449"/>
      <c r="AD631" s="449"/>
      <c r="AE631" s="449"/>
      <c r="AF631" s="449"/>
      <c r="AG631" s="449"/>
      <c r="AH631" s="449"/>
      <c r="AI631" s="449"/>
      <c r="AJ631" s="449"/>
      <c r="AK631" s="449"/>
      <c r="AL631" s="449"/>
      <c r="AN631" s="500"/>
      <c r="AO631" s="449"/>
      <c r="AP631" s="449"/>
      <c r="AQ631" s="453"/>
      <c r="AR631" s="449"/>
      <c r="AS631" s="449"/>
      <c r="AT631" s="426"/>
      <c r="AU631" s="421"/>
      <c r="AV631" s="449"/>
      <c r="AW631" s="449"/>
      <c r="AX631" s="449"/>
      <c r="AY631" s="449"/>
      <c r="AZ631" s="449"/>
      <c r="BA631" s="449"/>
      <c r="BB631" s="449"/>
      <c r="BC631" s="449"/>
      <c r="BD631" s="449"/>
      <c r="BE631" s="449"/>
      <c r="BF631" s="449"/>
      <c r="BG631" s="449"/>
      <c r="BH631" s="501"/>
      <c r="BI631" s="449"/>
      <c r="BJ631" s="449"/>
      <c r="BK631" s="449"/>
      <c r="BL631" s="449"/>
      <c r="BM631" s="449"/>
      <c r="BN631" s="449"/>
      <c r="BO631" s="449"/>
      <c r="BP631" s="449"/>
      <c r="BQ631" s="449"/>
      <c r="BR631" s="449"/>
      <c r="BS631" s="449"/>
      <c r="BT631" s="449"/>
    </row>
    <row r="632" spans="1:72" ht="15" x14ac:dyDescent="0.25">
      <c r="A632" s="587"/>
      <c r="B632" s="524" t="s">
        <v>1030</v>
      </c>
      <c r="C632" s="400"/>
      <c r="D632" s="500"/>
      <c r="E632" s="449"/>
      <c r="F632" s="449"/>
      <c r="G632" s="421"/>
      <c r="H632" s="449"/>
      <c r="I632" s="449"/>
      <c r="J632" s="426"/>
      <c r="K632" s="421"/>
      <c r="L632" s="449"/>
      <c r="M632" s="449"/>
      <c r="N632" s="449"/>
      <c r="O632" s="449"/>
      <c r="P632" s="449"/>
      <c r="Q632" s="449"/>
      <c r="R632" s="449"/>
      <c r="S632" s="449"/>
      <c r="T632" s="449"/>
      <c r="U632" s="449"/>
      <c r="V632" s="449"/>
      <c r="W632" s="449"/>
      <c r="X632" s="449"/>
      <c r="Y632" s="449"/>
      <c r="Z632" s="501"/>
      <c r="AA632" s="449"/>
      <c r="AB632" s="449"/>
      <c r="AC632" s="449"/>
      <c r="AD632" s="449"/>
      <c r="AE632" s="449"/>
      <c r="AF632" s="449"/>
      <c r="AG632" s="449"/>
      <c r="AH632" s="449"/>
      <c r="AI632" s="449"/>
      <c r="AJ632" s="449"/>
      <c r="AK632" s="449"/>
      <c r="AL632" s="449"/>
      <c r="AN632" s="500"/>
      <c r="AO632" s="449"/>
      <c r="AP632" s="449"/>
      <c r="AQ632" s="453"/>
      <c r="AR632" s="449"/>
      <c r="AS632" s="449"/>
      <c r="AT632" s="426"/>
      <c r="AU632" s="421"/>
      <c r="AV632" s="449"/>
      <c r="AW632" s="449"/>
      <c r="AX632" s="449"/>
      <c r="AY632" s="449"/>
      <c r="AZ632" s="449"/>
      <c r="BA632" s="449"/>
      <c r="BB632" s="449"/>
      <c r="BC632" s="449"/>
      <c r="BD632" s="449"/>
      <c r="BE632" s="449"/>
      <c r="BF632" s="449"/>
      <c r="BG632" s="449"/>
      <c r="BH632" s="501"/>
      <c r="BI632" s="449"/>
      <c r="BJ632" s="449"/>
      <c r="BK632" s="449"/>
      <c r="BL632" s="449"/>
      <c r="BM632" s="449"/>
      <c r="BN632" s="449"/>
      <c r="BO632" s="449"/>
      <c r="BP632" s="449"/>
      <c r="BQ632" s="449"/>
      <c r="BR632" s="449"/>
      <c r="BS632" s="449"/>
      <c r="BT632" s="449"/>
    </row>
    <row r="633" spans="1:72" ht="5.25" customHeight="1" x14ac:dyDescent="0.25">
      <c r="A633" s="587"/>
      <c r="B633" s="524"/>
      <c r="C633" s="400"/>
      <c r="D633" s="500"/>
      <c r="E633" s="449"/>
      <c r="F633" s="449"/>
      <c r="G633" s="421"/>
      <c r="H633" s="449"/>
      <c r="I633" s="449"/>
      <c r="J633" s="426"/>
      <c r="K633" s="421"/>
      <c r="L633" s="449"/>
      <c r="M633" s="449"/>
      <c r="N633" s="449"/>
      <c r="O633" s="449"/>
      <c r="P633" s="449"/>
      <c r="Q633" s="449"/>
      <c r="R633" s="449"/>
      <c r="S633" s="449"/>
      <c r="T633" s="449"/>
      <c r="U633" s="449"/>
      <c r="V633" s="449"/>
      <c r="W633" s="449"/>
      <c r="X633" s="449"/>
      <c r="Y633" s="449"/>
      <c r="Z633" s="501"/>
      <c r="AA633" s="449"/>
      <c r="AB633" s="449"/>
      <c r="AC633" s="449"/>
      <c r="AD633" s="449"/>
      <c r="AE633" s="449"/>
      <c r="AF633" s="449"/>
      <c r="AG633" s="449"/>
      <c r="AH633" s="449"/>
      <c r="AI633" s="449"/>
      <c r="AJ633" s="449"/>
      <c r="AK633" s="449"/>
      <c r="AL633" s="449"/>
      <c r="AN633" s="500"/>
      <c r="AO633" s="449"/>
      <c r="AP633" s="449"/>
      <c r="AQ633" s="453"/>
      <c r="AR633" s="449"/>
      <c r="AS633" s="449"/>
      <c r="AT633" s="426"/>
      <c r="AU633" s="421"/>
      <c r="AV633" s="449"/>
      <c r="AW633" s="449"/>
      <c r="AX633" s="449"/>
      <c r="AY633" s="449"/>
      <c r="AZ633" s="449"/>
      <c r="BA633" s="449"/>
      <c r="BB633" s="449"/>
      <c r="BC633" s="449"/>
      <c r="BD633" s="449"/>
      <c r="BE633" s="449"/>
      <c r="BF633" s="449"/>
      <c r="BG633" s="449"/>
      <c r="BH633" s="501"/>
      <c r="BI633" s="449"/>
      <c r="BJ633" s="449"/>
      <c r="BK633" s="449"/>
      <c r="BL633" s="449"/>
      <c r="BM633" s="449"/>
      <c r="BN633" s="449"/>
      <c r="BO633" s="449"/>
      <c r="BP633" s="449"/>
      <c r="BQ633" s="449"/>
      <c r="BR633" s="449"/>
      <c r="BS633" s="449"/>
      <c r="BT633" s="449"/>
    </row>
    <row r="634" spans="1:72" ht="15" x14ac:dyDescent="0.25">
      <c r="A634" s="502" t="s">
        <v>1031</v>
      </c>
      <c r="B634" s="502" t="s">
        <v>1032</v>
      </c>
      <c r="C634" s="538"/>
      <c r="D634" s="500">
        <f t="shared" ref="D634:D646" si="542">SUM(L634:W634)</f>
        <v>0</v>
      </c>
      <c r="E634" s="449">
        <v>0</v>
      </c>
      <c r="F634" s="449">
        <f t="shared" ref="F634:F646" si="543">IFERROR(D634-E634,0)</f>
        <v>0</v>
      </c>
      <c r="G634" s="421">
        <f t="shared" ref="G634:G646" si="544">IFERROR(F634/ABS(E634),0)</f>
        <v>0</v>
      </c>
      <c r="H634" s="449">
        <v>0</v>
      </c>
      <c r="I634" s="449">
        <f t="shared" ref="I634:I646" si="545">IFERROR(D634-H634,0)</f>
        <v>0</v>
      </c>
      <c r="J634" s="426">
        <f t="shared" ref="J634:J646" si="546">IFERROR(I634/ABS(H634),0)</f>
        <v>0</v>
      </c>
      <c r="K634" s="421"/>
      <c r="L634" s="449">
        <v>0</v>
      </c>
      <c r="M634" s="449">
        <v>0</v>
      </c>
      <c r="N634" s="449">
        <v>0</v>
      </c>
      <c r="O634" s="449">
        <v>0</v>
      </c>
      <c r="P634" s="449">
        <v>0</v>
      </c>
      <c r="Q634" s="449">
        <v>0</v>
      </c>
      <c r="R634" s="449">
        <f>($H634-SUM($L634:Q634))/R$694</f>
        <v>0</v>
      </c>
      <c r="S634" s="449">
        <f>($H634-SUM($L634:R634))/S$694</f>
        <v>0</v>
      </c>
      <c r="T634" s="449">
        <f>($H634-SUM($L634:S634))/T$694</f>
        <v>0</v>
      </c>
      <c r="U634" s="449">
        <f>($H634-SUM($L634:T634))/U$694</f>
        <v>0</v>
      </c>
      <c r="V634" s="449">
        <f>($H634-SUM($L634:U634))/V$694</f>
        <v>0</v>
      </c>
      <c r="W634" s="449">
        <f>($H634-SUM($L634:V634))/W$694</f>
        <v>0</v>
      </c>
      <c r="X634" s="449"/>
      <c r="Y634" s="449">
        <f t="shared" ref="Y634:Y646" si="547">SUM(L634:W634)</f>
        <v>0</v>
      </c>
      <c r="Z634" s="531"/>
      <c r="AA634" s="449">
        <f t="shared" ref="AA634:AL646" si="548">IFERROR($H634/12,0)</f>
        <v>0</v>
      </c>
      <c r="AB634" s="449">
        <f t="shared" si="548"/>
        <v>0</v>
      </c>
      <c r="AC634" s="449">
        <f t="shared" si="548"/>
        <v>0</v>
      </c>
      <c r="AD634" s="449">
        <f t="shared" si="548"/>
        <v>0</v>
      </c>
      <c r="AE634" s="449">
        <f t="shared" si="548"/>
        <v>0</v>
      </c>
      <c r="AF634" s="449">
        <f t="shared" si="548"/>
        <v>0</v>
      </c>
      <c r="AG634" s="449">
        <f t="shared" si="548"/>
        <v>0</v>
      </c>
      <c r="AH634" s="449">
        <f t="shared" si="548"/>
        <v>0</v>
      </c>
      <c r="AI634" s="449">
        <f t="shared" si="548"/>
        <v>0</v>
      </c>
      <c r="AJ634" s="449">
        <f t="shared" si="548"/>
        <v>0</v>
      </c>
      <c r="AK634" s="449">
        <f t="shared" si="548"/>
        <v>0</v>
      </c>
      <c r="AL634" s="449">
        <f t="shared" si="548"/>
        <v>0</v>
      </c>
      <c r="AN634" s="500">
        <f t="shared" ref="AN634:AN646" si="549">SUM(L634:W634)</f>
        <v>0</v>
      </c>
      <c r="AO634" s="449">
        <f t="shared" ref="AO634:AO646" si="550">SUM(BI634:BT634)</f>
        <v>0</v>
      </c>
      <c r="AP634" s="449">
        <f t="shared" ref="AP634:AP646" si="551">IFERROR(AO634-AN634,0)</f>
        <v>0</v>
      </c>
      <c r="AQ634" s="453" t="str">
        <f t="shared" ref="AQ634:AQ646" si="552">IFERROR(AP634/ABS(AN634),"-")</f>
        <v>-</v>
      </c>
      <c r="AR634" s="449">
        <f t="shared" ref="AR634:AR646" si="553">SUM(BI634:BT634)</f>
        <v>0</v>
      </c>
      <c r="AS634" s="449">
        <f t="shared" ref="AS634:AS646" si="554">IFERROR(AO634-AR634,0)</f>
        <v>0</v>
      </c>
      <c r="AT634" s="426">
        <f t="shared" ref="AT634:AT646" si="555">IFERROR(AS634/ABS(AR634),0)</f>
        <v>0</v>
      </c>
      <c r="AU634" s="421"/>
      <c r="AV634" s="449">
        <f t="shared" ref="AV634:BG646" si="556">BI634</f>
        <v>0</v>
      </c>
      <c r="AW634" s="449">
        <f t="shared" si="556"/>
        <v>0</v>
      </c>
      <c r="AX634" s="449">
        <f t="shared" si="556"/>
        <v>0</v>
      </c>
      <c r="AY634" s="449">
        <f t="shared" si="556"/>
        <v>0</v>
      </c>
      <c r="AZ634" s="449">
        <f t="shared" si="556"/>
        <v>0</v>
      </c>
      <c r="BA634" s="449">
        <f t="shared" si="556"/>
        <v>0</v>
      </c>
      <c r="BB634" s="449">
        <f t="shared" si="556"/>
        <v>0</v>
      </c>
      <c r="BC634" s="449">
        <f t="shared" si="556"/>
        <v>0</v>
      </c>
      <c r="BD634" s="449">
        <f t="shared" si="556"/>
        <v>0</v>
      </c>
      <c r="BE634" s="449">
        <f t="shared" si="556"/>
        <v>0</v>
      </c>
      <c r="BF634" s="449">
        <f t="shared" si="556"/>
        <v>0</v>
      </c>
      <c r="BG634" s="449">
        <f t="shared" si="556"/>
        <v>0</v>
      </c>
      <c r="BH634" s="400"/>
      <c r="BI634" s="449">
        <f t="shared" ref="BI634:BT640" si="557">IFERROR((($H634/$H$5)*BI$5)/12,0)</f>
        <v>0</v>
      </c>
      <c r="BJ634" s="449">
        <f t="shared" si="557"/>
        <v>0</v>
      </c>
      <c r="BK634" s="449">
        <f t="shared" si="557"/>
        <v>0</v>
      </c>
      <c r="BL634" s="449">
        <f t="shared" si="557"/>
        <v>0</v>
      </c>
      <c r="BM634" s="449">
        <f t="shared" si="557"/>
        <v>0</v>
      </c>
      <c r="BN634" s="449">
        <f t="shared" si="557"/>
        <v>0</v>
      </c>
      <c r="BO634" s="449">
        <f t="shared" si="557"/>
        <v>0</v>
      </c>
      <c r="BP634" s="449">
        <f t="shared" si="557"/>
        <v>0</v>
      </c>
      <c r="BQ634" s="449">
        <f t="shared" si="557"/>
        <v>0</v>
      </c>
      <c r="BR634" s="449">
        <f t="shared" si="557"/>
        <v>0</v>
      </c>
      <c r="BS634" s="449">
        <f t="shared" si="557"/>
        <v>0</v>
      </c>
      <c r="BT634" s="449">
        <f t="shared" si="557"/>
        <v>0</v>
      </c>
    </row>
    <row r="635" spans="1:72" ht="15" x14ac:dyDescent="0.25">
      <c r="A635" s="502" t="s">
        <v>1033</v>
      </c>
      <c r="B635" s="502" t="s">
        <v>1034</v>
      </c>
      <c r="C635" s="538"/>
      <c r="D635" s="500">
        <f t="shared" si="542"/>
        <v>0</v>
      </c>
      <c r="E635" s="449">
        <v>0</v>
      </c>
      <c r="F635" s="449">
        <f t="shared" si="543"/>
        <v>0</v>
      </c>
      <c r="G635" s="421">
        <f t="shared" si="544"/>
        <v>0</v>
      </c>
      <c r="H635" s="449">
        <v>0</v>
      </c>
      <c r="I635" s="449">
        <f t="shared" si="545"/>
        <v>0</v>
      </c>
      <c r="J635" s="426">
        <f t="shared" si="546"/>
        <v>0</v>
      </c>
      <c r="K635" s="421"/>
      <c r="L635" s="449">
        <v>0</v>
      </c>
      <c r="M635" s="449">
        <v>0</v>
      </c>
      <c r="N635" s="449">
        <v>0</v>
      </c>
      <c r="O635" s="449">
        <v>0</v>
      </c>
      <c r="P635" s="449">
        <v>0</v>
      </c>
      <c r="Q635" s="449">
        <v>0</v>
      </c>
      <c r="R635" s="449">
        <f>($H635-SUM($L635:Q635))/R$694</f>
        <v>0</v>
      </c>
      <c r="S635" s="449">
        <f>($H635-SUM($L635:R635))/S$694</f>
        <v>0</v>
      </c>
      <c r="T635" s="449">
        <f>($H635-SUM($L635:S635))/T$694</f>
        <v>0</v>
      </c>
      <c r="U635" s="449">
        <f>($H635-SUM($L635:T635))/U$694</f>
        <v>0</v>
      </c>
      <c r="V635" s="449">
        <f>($H635-SUM($L635:U635))/V$694</f>
        <v>0</v>
      </c>
      <c r="W635" s="449">
        <f>($H635-SUM($L635:V635))/W$694</f>
        <v>0</v>
      </c>
      <c r="X635" s="449"/>
      <c r="Y635" s="449">
        <f t="shared" si="547"/>
        <v>0</v>
      </c>
      <c r="Z635" s="531"/>
      <c r="AA635" s="449">
        <f t="shared" si="548"/>
        <v>0</v>
      </c>
      <c r="AB635" s="449">
        <f t="shared" si="548"/>
        <v>0</v>
      </c>
      <c r="AC635" s="449">
        <f t="shared" si="548"/>
        <v>0</v>
      </c>
      <c r="AD635" s="449">
        <f t="shared" si="548"/>
        <v>0</v>
      </c>
      <c r="AE635" s="449">
        <f t="shared" si="548"/>
        <v>0</v>
      </c>
      <c r="AF635" s="449">
        <f t="shared" si="548"/>
        <v>0</v>
      </c>
      <c r="AG635" s="449">
        <f t="shared" si="548"/>
        <v>0</v>
      </c>
      <c r="AH635" s="449">
        <f t="shared" si="548"/>
        <v>0</v>
      </c>
      <c r="AI635" s="449">
        <f t="shared" si="548"/>
        <v>0</v>
      </c>
      <c r="AJ635" s="449">
        <f t="shared" si="548"/>
        <v>0</v>
      </c>
      <c r="AK635" s="449">
        <f t="shared" si="548"/>
        <v>0</v>
      </c>
      <c r="AL635" s="449">
        <f t="shared" si="548"/>
        <v>0</v>
      </c>
      <c r="AN635" s="500">
        <f t="shared" si="549"/>
        <v>0</v>
      </c>
      <c r="AO635" s="449">
        <f t="shared" si="550"/>
        <v>0</v>
      </c>
      <c r="AP635" s="449">
        <f t="shared" si="551"/>
        <v>0</v>
      </c>
      <c r="AQ635" s="453" t="str">
        <f t="shared" si="552"/>
        <v>-</v>
      </c>
      <c r="AR635" s="449">
        <f t="shared" si="553"/>
        <v>0</v>
      </c>
      <c r="AS635" s="449">
        <f t="shared" si="554"/>
        <v>0</v>
      </c>
      <c r="AT635" s="426">
        <f t="shared" si="555"/>
        <v>0</v>
      </c>
      <c r="AU635" s="421"/>
      <c r="AV635" s="449">
        <f t="shared" si="556"/>
        <v>0</v>
      </c>
      <c r="AW635" s="449">
        <f t="shared" si="556"/>
        <v>0</v>
      </c>
      <c r="AX635" s="449">
        <f t="shared" si="556"/>
        <v>0</v>
      </c>
      <c r="AY635" s="449">
        <f t="shared" si="556"/>
        <v>0</v>
      </c>
      <c r="AZ635" s="449">
        <f t="shared" si="556"/>
        <v>0</v>
      </c>
      <c r="BA635" s="449">
        <f t="shared" si="556"/>
        <v>0</v>
      </c>
      <c r="BB635" s="449">
        <f t="shared" si="556"/>
        <v>0</v>
      </c>
      <c r="BC635" s="449">
        <f t="shared" si="556"/>
        <v>0</v>
      </c>
      <c r="BD635" s="449">
        <f t="shared" si="556"/>
        <v>0</v>
      </c>
      <c r="BE635" s="449">
        <f t="shared" si="556"/>
        <v>0</v>
      </c>
      <c r="BF635" s="449">
        <f t="shared" si="556"/>
        <v>0</v>
      </c>
      <c r="BG635" s="449">
        <f t="shared" si="556"/>
        <v>0</v>
      </c>
      <c r="BH635" s="400"/>
      <c r="BI635" s="449">
        <f t="shared" si="557"/>
        <v>0</v>
      </c>
      <c r="BJ635" s="449">
        <f t="shared" si="557"/>
        <v>0</v>
      </c>
      <c r="BK635" s="449">
        <f t="shared" si="557"/>
        <v>0</v>
      </c>
      <c r="BL635" s="449">
        <f t="shared" si="557"/>
        <v>0</v>
      </c>
      <c r="BM635" s="449">
        <f t="shared" si="557"/>
        <v>0</v>
      </c>
      <c r="BN635" s="449">
        <f t="shared" si="557"/>
        <v>0</v>
      </c>
      <c r="BO635" s="449">
        <f t="shared" si="557"/>
        <v>0</v>
      </c>
      <c r="BP635" s="449">
        <f t="shared" si="557"/>
        <v>0</v>
      </c>
      <c r="BQ635" s="449">
        <f t="shared" si="557"/>
        <v>0</v>
      </c>
      <c r="BR635" s="449">
        <f t="shared" si="557"/>
        <v>0</v>
      </c>
      <c r="BS635" s="449">
        <f t="shared" si="557"/>
        <v>0</v>
      </c>
      <c r="BT635" s="449">
        <f t="shared" si="557"/>
        <v>0</v>
      </c>
    </row>
    <row r="636" spans="1:72" ht="15" x14ac:dyDescent="0.25">
      <c r="A636" s="502" t="s">
        <v>1035</v>
      </c>
      <c r="B636" s="502" t="s">
        <v>1036</v>
      </c>
      <c r="C636" s="538"/>
      <c r="D636" s="500">
        <f t="shared" si="542"/>
        <v>0</v>
      </c>
      <c r="E636" s="449">
        <v>0</v>
      </c>
      <c r="F636" s="449">
        <f t="shared" si="543"/>
        <v>0</v>
      </c>
      <c r="G636" s="421">
        <f t="shared" si="544"/>
        <v>0</v>
      </c>
      <c r="H636" s="449">
        <v>0</v>
      </c>
      <c r="I636" s="449">
        <f t="shared" si="545"/>
        <v>0</v>
      </c>
      <c r="J636" s="426">
        <f t="shared" si="546"/>
        <v>0</v>
      </c>
      <c r="K636" s="421"/>
      <c r="L636" s="449">
        <v>0</v>
      </c>
      <c r="M636" s="449">
        <v>0</v>
      </c>
      <c r="N636" s="449">
        <v>0</v>
      </c>
      <c r="O636" s="449">
        <v>0</v>
      </c>
      <c r="P636" s="449">
        <v>0</v>
      </c>
      <c r="Q636" s="449">
        <v>0</v>
      </c>
      <c r="R636" s="449">
        <f>($H636-SUM($L636:Q636))/R$694</f>
        <v>0</v>
      </c>
      <c r="S636" s="449">
        <f>($H636-SUM($L636:R636))/S$694</f>
        <v>0</v>
      </c>
      <c r="T636" s="449">
        <f>($H636-SUM($L636:S636))/T$694</f>
        <v>0</v>
      </c>
      <c r="U636" s="449">
        <f>($H636-SUM($L636:T636))/U$694</f>
        <v>0</v>
      </c>
      <c r="V636" s="449">
        <f>($H636-SUM($L636:U636))/V$694</f>
        <v>0</v>
      </c>
      <c r="W636" s="449">
        <f>($H636-SUM($L636:V636))/W$694</f>
        <v>0</v>
      </c>
      <c r="X636" s="449"/>
      <c r="Y636" s="449">
        <f t="shared" si="547"/>
        <v>0</v>
      </c>
      <c r="Z636" s="531"/>
      <c r="AA636" s="449">
        <f t="shared" si="548"/>
        <v>0</v>
      </c>
      <c r="AB636" s="449">
        <f t="shared" si="548"/>
        <v>0</v>
      </c>
      <c r="AC636" s="449">
        <f t="shared" si="548"/>
        <v>0</v>
      </c>
      <c r="AD636" s="449">
        <f t="shared" si="548"/>
        <v>0</v>
      </c>
      <c r="AE636" s="449">
        <f t="shared" si="548"/>
        <v>0</v>
      </c>
      <c r="AF636" s="449">
        <f t="shared" si="548"/>
        <v>0</v>
      </c>
      <c r="AG636" s="449">
        <f t="shared" si="548"/>
        <v>0</v>
      </c>
      <c r="AH636" s="449">
        <f t="shared" si="548"/>
        <v>0</v>
      </c>
      <c r="AI636" s="449">
        <f t="shared" si="548"/>
        <v>0</v>
      </c>
      <c r="AJ636" s="449">
        <f t="shared" si="548"/>
        <v>0</v>
      </c>
      <c r="AK636" s="449">
        <f t="shared" si="548"/>
        <v>0</v>
      </c>
      <c r="AL636" s="449">
        <f t="shared" si="548"/>
        <v>0</v>
      </c>
      <c r="AN636" s="500">
        <f t="shared" si="549"/>
        <v>0</v>
      </c>
      <c r="AO636" s="449">
        <f t="shared" si="550"/>
        <v>0</v>
      </c>
      <c r="AP636" s="449">
        <f t="shared" si="551"/>
        <v>0</v>
      </c>
      <c r="AQ636" s="453" t="str">
        <f t="shared" si="552"/>
        <v>-</v>
      </c>
      <c r="AR636" s="449">
        <f t="shared" si="553"/>
        <v>0</v>
      </c>
      <c r="AS636" s="449">
        <f t="shared" si="554"/>
        <v>0</v>
      </c>
      <c r="AT636" s="426">
        <f t="shared" si="555"/>
        <v>0</v>
      </c>
      <c r="AU636" s="421"/>
      <c r="AV636" s="449">
        <f t="shared" si="556"/>
        <v>0</v>
      </c>
      <c r="AW636" s="449">
        <f t="shared" si="556"/>
        <v>0</v>
      </c>
      <c r="AX636" s="449">
        <f t="shared" si="556"/>
        <v>0</v>
      </c>
      <c r="AY636" s="449">
        <f t="shared" si="556"/>
        <v>0</v>
      </c>
      <c r="AZ636" s="449">
        <f t="shared" si="556"/>
        <v>0</v>
      </c>
      <c r="BA636" s="449">
        <f t="shared" si="556"/>
        <v>0</v>
      </c>
      <c r="BB636" s="449">
        <f t="shared" si="556"/>
        <v>0</v>
      </c>
      <c r="BC636" s="449">
        <f t="shared" si="556"/>
        <v>0</v>
      </c>
      <c r="BD636" s="449">
        <f t="shared" si="556"/>
        <v>0</v>
      </c>
      <c r="BE636" s="449">
        <f t="shared" si="556"/>
        <v>0</v>
      </c>
      <c r="BF636" s="449">
        <f t="shared" si="556"/>
        <v>0</v>
      </c>
      <c r="BG636" s="449">
        <f t="shared" si="556"/>
        <v>0</v>
      </c>
      <c r="BH636" s="400"/>
      <c r="BI636" s="449">
        <f t="shared" si="557"/>
        <v>0</v>
      </c>
      <c r="BJ636" s="449">
        <f t="shared" si="557"/>
        <v>0</v>
      </c>
      <c r="BK636" s="449">
        <f t="shared" si="557"/>
        <v>0</v>
      </c>
      <c r="BL636" s="449">
        <f t="shared" si="557"/>
        <v>0</v>
      </c>
      <c r="BM636" s="449">
        <f t="shared" si="557"/>
        <v>0</v>
      </c>
      <c r="BN636" s="449">
        <f t="shared" si="557"/>
        <v>0</v>
      </c>
      <c r="BO636" s="449">
        <f t="shared" si="557"/>
        <v>0</v>
      </c>
      <c r="BP636" s="449">
        <f t="shared" si="557"/>
        <v>0</v>
      </c>
      <c r="BQ636" s="449">
        <f t="shared" si="557"/>
        <v>0</v>
      </c>
      <c r="BR636" s="449">
        <f t="shared" si="557"/>
        <v>0</v>
      </c>
      <c r="BS636" s="449">
        <f t="shared" si="557"/>
        <v>0</v>
      </c>
      <c r="BT636" s="449">
        <f t="shared" si="557"/>
        <v>0</v>
      </c>
    </row>
    <row r="637" spans="1:72" ht="15" x14ac:dyDescent="0.25">
      <c r="A637" s="502" t="s">
        <v>1037</v>
      </c>
      <c r="B637" s="502" t="s">
        <v>1038</v>
      </c>
      <c r="C637" s="538"/>
      <c r="D637" s="500">
        <f t="shared" si="542"/>
        <v>0</v>
      </c>
      <c r="E637" s="449">
        <v>0</v>
      </c>
      <c r="F637" s="449">
        <f t="shared" si="543"/>
        <v>0</v>
      </c>
      <c r="G637" s="421">
        <f t="shared" si="544"/>
        <v>0</v>
      </c>
      <c r="H637" s="449">
        <v>0</v>
      </c>
      <c r="I637" s="449">
        <f t="shared" si="545"/>
        <v>0</v>
      </c>
      <c r="J637" s="426">
        <f t="shared" si="546"/>
        <v>0</v>
      </c>
      <c r="K637" s="421"/>
      <c r="L637" s="449">
        <v>0</v>
      </c>
      <c r="M637" s="449">
        <v>0</v>
      </c>
      <c r="N637" s="449">
        <v>0</v>
      </c>
      <c r="O637" s="449">
        <v>0</v>
      </c>
      <c r="P637" s="449">
        <v>0</v>
      </c>
      <c r="Q637" s="449">
        <v>0</v>
      </c>
      <c r="R637" s="449">
        <f>($H637-SUM($L637:Q637))/R$694</f>
        <v>0</v>
      </c>
      <c r="S637" s="449">
        <f>($H637-SUM($L637:R637))/S$694</f>
        <v>0</v>
      </c>
      <c r="T637" s="449">
        <f>($H637-SUM($L637:S637))/T$694</f>
        <v>0</v>
      </c>
      <c r="U637" s="449">
        <f>($H637-SUM($L637:T637))/U$694</f>
        <v>0</v>
      </c>
      <c r="V637" s="449">
        <f>($H637-SUM($L637:U637))/V$694</f>
        <v>0</v>
      </c>
      <c r="W637" s="449">
        <f>($H637-SUM($L637:V637))/W$694</f>
        <v>0</v>
      </c>
      <c r="X637" s="449"/>
      <c r="Y637" s="449">
        <f t="shared" si="547"/>
        <v>0</v>
      </c>
      <c r="Z637" s="531"/>
      <c r="AA637" s="449">
        <f t="shared" si="548"/>
        <v>0</v>
      </c>
      <c r="AB637" s="449">
        <f t="shared" si="548"/>
        <v>0</v>
      </c>
      <c r="AC637" s="449">
        <f t="shared" si="548"/>
        <v>0</v>
      </c>
      <c r="AD637" s="449">
        <f t="shared" si="548"/>
        <v>0</v>
      </c>
      <c r="AE637" s="449">
        <f t="shared" si="548"/>
        <v>0</v>
      </c>
      <c r="AF637" s="449">
        <f t="shared" si="548"/>
        <v>0</v>
      </c>
      <c r="AG637" s="449">
        <f t="shared" si="548"/>
        <v>0</v>
      </c>
      <c r="AH637" s="449">
        <f t="shared" si="548"/>
        <v>0</v>
      </c>
      <c r="AI637" s="449">
        <f t="shared" si="548"/>
        <v>0</v>
      </c>
      <c r="AJ637" s="449">
        <f t="shared" si="548"/>
        <v>0</v>
      </c>
      <c r="AK637" s="449">
        <f t="shared" si="548"/>
        <v>0</v>
      </c>
      <c r="AL637" s="449">
        <f t="shared" si="548"/>
        <v>0</v>
      </c>
      <c r="AN637" s="500">
        <f t="shared" si="549"/>
        <v>0</v>
      </c>
      <c r="AO637" s="449">
        <f t="shared" si="550"/>
        <v>0</v>
      </c>
      <c r="AP637" s="449">
        <f t="shared" si="551"/>
        <v>0</v>
      </c>
      <c r="AQ637" s="453" t="str">
        <f t="shared" si="552"/>
        <v>-</v>
      </c>
      <c r="AR637" s="449">
        <f t="shared" si="553"/>
        <v>0</v>
      </c>
      <c r="AS637" s="449">
        <f t="shared" si="554"/>
        <v>0</v>
      </c>
      <c r="AT637" s="426">
        <f t="shared" si="555"/>
        <v>0</v>
      </c>
      <c r="AU637" s="421"/>
      <c r="AV637" s="449">
        <f t="shared" si="556"/>
        <v>0</v>
      </c>
      <c r="AW637" s="449">
        <f t="shared" si="556"/>
        <v>0</v>
      </c>
      <c r="AX637" s="449">
        <f t="shared" si="556"/>
        <v>0</v>
      </c>
      <c r="AY637" s="449">
        <f t="shared" si="556"/>
        <v>0</v>
      </c>
      <c r="AZ637" s="449">
        <f t="shared" si="556"/>
        <v>0</v>
      </c>
      <c r="BA637" s="449">
        <f t="shared" si="556"/>
        <v>0</v>
      </c>
      <c r="BB637" s="449">
        <f t="shared" si="556"/>
        <v>0</v>
      </c>
      <c r="BC637" s="449">
        <f t="shared" si="556"/>
        <v>0</v>
      </c>
      <c r="BD637" s="449">
        <f t="shared" si="556"/>
        <v>0</v>
      </c>
      <c r="BE637" s="449">
        <f t="shared" si="556"/>
        <v>0</v>
      </c>
      <c r="BF637" s="449">
        <f t="shared" si="556"/>
        <v>0</v>
      </c>
      <c r="BG637" s="449">
        <f t="shared" si="556"/>
        <v>0</v>
      </c>
      <c r="BH637" s="400"/>
      <c r="BI637" s="449">
        <f t="shared" si="557"/>
        <v>0</v>
      </c>
      <c r="BJ637" s="449">
        <f t="shared" si="557"/>
        <v>0</v>
      </c>
      <c r="BK637" s="449">
        <f t="shared" si="557"/>
        <v>0</v>
      </c>
      <c r="BL637" s="449">
        <f t="shared" si="557"/>
        <v>0</v>
      </c>
      <c r="BM637" s="449">
        <f t="shared" si="557"/>
        <v>0</v>
      </c>
      <c r="BN637" s="449">
        <f t="shared" si="557"/>
        <v>0</v>
      </c>
      <c r="BO637" s="449">
        <f t="shared" si="557"/>
        <v>0</v>
      </c>
      <c r="BP637" s="449">
        <f t="shared" si="557"/>
        <v>0</v>
      </c>
      <c r="BQ637" s="449">
        <f t="shared" si="557"/>
        <v>0</v>
      </c>
      <c r="BR637" s="449">
        <f t="shared" si="557"/>
        <v>0</v>
      </c>
      <c r="BS637" s="449">
        <f t="shared" si="557"/>
        <v>0</v>
      </c>
      <c r="BT637" s="449">
        <f t="shared" si="557"/>
        <v>0</v>
      </c>
    </row>
    <row r="638" spans="1:72" ht="15" x14ac:dyDescent="0.25">
      <c r="A638" s="502" t="s">
        <v>1039</v>
      </c>
      <c r="B638" s="502" t="s">
        <v>1040</v>
      </c>
      <c r="C638" s="538"/>
      <c r="D638" s="500">
        <f t="shared" si="542"/>
        <v>334375</v>
      </c>
      <c r="E638" s="449">
        <v>0</v>
      </c>
      <c r="F638" s="449">
        <f t="shared" si="543"/>
        <v>334375</v>
      </c>
      <c r="G638" s="421">
        <f t="shared" si="544"/>
        <v>0</v>
      </c>
      <c r="H638" s="449">
        <v>334375</v>
      </c>
      <c r="I638" s="449">
        <f t="shared" si="545"/>
        <v>0</v>
      </c>
      <c r="J638" s="426">
        <f t="shared" si="546"/>
        <v>0</v>
      </c>
      <c r="K638" s="421"/>
      <c r="L638" s="449">
        <v>0</v>
      </c>
      <c r="M638" s="449">
        <v>334375.45</v>
      </c>
      <c r="N638" s="449">
        <v>0</v>
      </c>
      <c r="O638" s="449">
        <v>0</v>
      </c>
      <c r="P638" s="449">
        <v>0</v>
      </c>
      <c r="Q638" s="449">
        <v>-66625</v>
      </c>
      <c r="R638" s="449">
        <f>($H638-SUM($L638:Q638))/R$694</f>
        <v>11104.091666666665</v>
      </c>
      <c r="S638" s="449">
        <f>($H638-SUM($L638:R638))/S$694</f>
        <v>11104.091666666664</v>
      </c>
      <c r="T638" s="449">
        <f>($H638-SUM($L638:S638))/T$694</f>
        <v>11104.09166666666</v>
      </c>
      <c r="U638" s="449">
        <f>($H638-SUM($L638:T638))/U$694</f>
        <v>11104.091666666654</v>
      </c>
      <c r="V638" s="449">
        <f>($H638-SUM($L638:U638))/V$694</f>
        <v>11104.091666666645</v>
      </c>
      <c r="W638" s="449">
        <f>($H638-SUM($L638:V638))/W$694</f>
        <v>11104.091666666674</v>
      </c>
      <c r="X638" s="449"/>
      <c r="Y638" s="449">
        <f t="shared" si="547"/>
        <v>334375</v>
      </c>
      <c r="Z638" s="531"/>
      <c r="AA638" s="449">
        <f t="shared" si="548"/>
        <v>27864.583333333332</v>
      </c>
      <c r="AB638" s="449">
        <f t="shared" si="548"/>
        <v>27864.583333333332</v>
      </c>
      <c r="AC638" s="449">
        <f t="shared" si="548"/>
        <v>27864.583333333332</v>
      </c>
      <c r="AD638" s="449">
        <f t="shared" si="548"/>
        <v>27864.583333333332</v>
      </c>
      <c r="AE638" s="449">
        <f t="shared" si="548"/>
        <v>27864.583333333332</v>
      </c>
      <c r="AF638" s="449">
        <f t="shared" si="548"/>
        <v>27864.583333333332</v>
      </c>
      <c r="AG638" s="449">
        <f t="shared" si="548"/>
        <v>27864.583333333332</v>
      </c>
      <c r="AH638" s="449">
        <f t="shared" si="548"/>
        <v>27864.583333333332</v>
      </c>
      <c r="AI638" s="449">
        <f t="shared" si="548"/>
        <v>27864.583333333332</v>
      </c>
      <c r="AJ638" s="449">
        <f t="shared" si="548"/>
        <v>27864.583333333332</v>
      </c>
      <c r="AK638" s="449">
        <f t="shared" si="548"/>
        <v>27864.583333333332</v>
      </c>
      <c r="AL638" s="449">
        <f t="shared" si="548"/>
        <v>27864.583333333332</v>
      </c>
      <c r="AN638" s="500">
        <f t="shared" si="549"/>
        <v>334375</v>
      </c>
      <c r="AO638" s="449">
        <f t="shared" si="550"/>
        <v>0</v>
      </c>
      <c r="AP638" s="449">
        <f t="shared" si="551"/>
        <v>-334375</v>
      </c>
      <c r="AQ638" s="453">
        <f t="shared" si="552"/>
        <v>-1</v>
      </c>
      <c r="AR638" s="449">
        <f t="shared" si="553"/>
        <v>0</v>
      </c>
      <c r="AS638" s="449">
        <f t="shared" si="554"/>
        <v>0</v>
      </c>
      <c r="AT638" s="426">
        <f t="shared" si="555"/>
        <v>0</v>
      </c>
      <c r="AU638" s="421"/>
      <c r="AV638" s="449">
        <f t="shared" si="556"/>
        <v>0</v>
      </c>
      <c r="AW638" s="449">
        <f t="shared" si="556"/>
        <v>0</v>
      </c>
      <c r="AX638" s="449">
        <f t="shared" si="556"/>
        <v>0</v>
      </c>
      <c r="AY638" s="449">
        <f t="shared" si="556"/>
        <v>0</v>
      </c>
      <c r="AZ638" s="449">
        <f t="shared" si="556"/>
        <v>0</v>
      </c>
      <c r="BA638" s="449">
        <f t="shared" si="556"/>
        <v>0</v>
      </c>
      <c r="BB638" s="449">
        <f t="shared" si="556"/>
        <v>0</v>
      </c>
      <c r="BC638" s="449">
        <f t="shared" si="556"/>
        <v>0</v>
      </c>
      <c r="BD638" s="449">
        <f t="shared" si="556"/>
        <v>0</v>
      </c>
      <c r="BE638" s="449">
        <f t="shared" si="556"/>
        <v>0</v>
      </c>
      <c r="BF638" s="449">
        <f t="shared" si="556"/>
        <v>0</v>
      </c>
      <c r="BG638" s="449">
        <f t="shared" si="556"/>
        <v>0</v>
      </c>
      <c r="BH638" s="400"/>
      <c r="BI638" s="449">
        <v>0</v>
      </c>
      <c r="BJ638" s="449">
        <v>0</v>
      </c>
      <c r="BK638" s="449">
        <v>0</v>
      </c>
      <c r="BL638" s="449">
        <v>0</v>
      </c>
      <c r="BM638" s="449">
        <v>0</v>
      </c>
      <c r="BN638" s="449">
        <v>0</v>
      </c>
      <c r="BO638" s="449">
        <v>0</v>
      </c>
      <c r="BP638" s="449">
        <v>0</v>
      </c>
      <c r="BQ638" s="449">
        <v>0</v>
      </c>
      <c r="BR638" s="449">
        <v>0</v>
      </c>
      <c r="BS638" s="449">
        <v>0</v>
      </c>
      <c r="BT638" s="449">
        <v>0</v>
      </c>
    </row>
    <row r="639" spans="1:72" ht="15" x14ac:dyDescent="0.25">
      <c r="A639" s="502" t="s">
        <v>1041</v>
      </c>
      <c r="B639" s="502" t="s">
        <v>1042</v>
      </c>
      <c r="C639" s="538"/>
      <c r="D639" s="500">
        <f t="shared" si="542"/>
        <v>32500</v>
      </c>
      <c r="E639" s="449">
        <v>0</v>
      </c>
      <c r="F639" s="449">
        <f t="shared" si="543"/>
        <v>32500</v>
      </c>
      <c r="G639" s="421">
        <f t="shared" si="544"/>
        <v>0</v>
      </c>
      <c r="H639" s="449">
        <v>32500</v>
      </c>
      <c r="I639" s="449">
        <f t="shared" si="545"/>
        <v>0</v>
      </c>
      <c r="J639" s="426">
        <f t="shared" si="546"/>
        <v>0</v>
      </c>
      <c r="K639" s="421"/>
      <c r="L639" s="449">
        <v>0</v>
      </c>
      <c r="M639" s="449">
        <v>32499.91</v>
      </c>
      <c r="N639" s="449">
        <v>0</v>
      </c>
      <c r="O639" s="449">
        <v>0</v>
      </c>
      <c r="P639" s="449">
        <v>0</v>
      </c>
      <c r="Q639" s="449">
        <v>0</v>
      </c>
      <c r="R639" s="449">
        <f>($H639-SUM($L639:Q639))/R$694</f>
        <v>1.5000000000024253E-2</v>
      </c>
      <c r="S639" s="449">
        <f>($H639-SUM($L639:R639))/S$694</f>
        <v>1.5000000000145518E-2</v>
      </c>
      <c r="T639" s="449">
        <f>($H639-SUM($L639:S639))/T$694</f>
        <v>1.5000000000327418E-2</v>
      </c>
      <c r="U639" s="449">
        <f>($H639-SUM($L639:T639))/U$694</f>
        <v>1.5000000000630584E-2</v>
      </c>
      <c r="V639" s="449">
        <f>($H639-SUM($L639:U639))/V$694</f>
        <v>1.5000000001236913E-2</v>
      </c>
      <c r="W639" s="449">
        <f>($H639-SUM($L639:V639))/W$694</f>
        <v>1.4999999999417923E-2</v>
      </c>
      <c r="X639" s="449"/>
      <c r="Y639" s="449">
        <f t="shared" si="547"/>
        <v>32500</v>
      </c>
      <c r="Z639" s="531"/>
      <c r="AA639" s="449">
        <f t="shared" si="548"/>
        <v>2708.3333333333335</v>
      </c>
      <c r="AB639" s="449">
        <f t="shared" si="548"/>
        <v>2708.3333333333335</v>
      </c>
      <c r="AC639" s="449">
        <f t="shared" si="548"/>
        <v>2708.3333333333335</v>
      </c>
      <c r="AD639" s="449">
        <f t="shared" si="548"/>
        <v>2708.3333333333335</v>
      </c>
      <c r="AE639" s="449">
        <f t="shared" si="548"/>
        <v>2708.3333333333335</v>
      </c>
      <c r="AF639" s="449">
        <f t="shared" si="548"/>
        <v>2708.3333333333335</v>
      </c>
      <c r="AG639" s="449">
        <f t="shared" si="548"/>
        <v>2708.3333333333335</v>
      </c>
      <c r="AH639" s="449">
        <f t="shared" si="548"/>
        <v>2708.3333333333335</v>
      </c>
      <c r="AI639" s="449">
        <f t="shared" si="548"/>
        <v>2708.3333333333335</v>
      </c>
      <c r="AJ639" s="449">
        <f t="shared" si="548"/>
        <v>2708.3333333333335</v>
      </c>
      <c r="AK639" s="449">
        <f t="shared" si="548"/>
        <v>2708.3333333333335</v>
      </c>
      <c r="AL639" s="449">
        <f t="shared" si="548"/>
        <v>2708.3333333333335</v>
      </c>
      <c r="AN639" s="500">
        <f t="shared" si="549"/>
        <v>32500</v>
      </c>
      <c r="AO639" s="449">
        <f t="shared" si="550"/>
        <v>0</v>
      </c>
      <c r="AP639" s="449">
        <f t="shared" si="551"/>
        <v>-32500</v>
      </c>
      <c r="AQ639" s="453">
        <f t="shared" si="552"/>
        <v>-1</v>
      </c>
      <c r="AR639" s="449">
        <f t="shared" si="553"/>
        <v>0</v>
      </c>
      <c r="AS639" s="449">
        <f t="shared" si="554"/>
        <v>0</v>
      </c>
      <c r="AT639" s="426">
        <f t="shared" si="555"/>
        <v>0</v>
      </c>
      <c r="AU639" s="421"/>
      <c r="AV639" s="449">
        <f t="shared" si="556"/>
        <v>0</v>
      </c>
      <c r="AW639" s="449">
        <f t="shared" si="556"/>
        <v>0</v>
      </c>
      <c r="AX639" s="449">
        <f t="shared" si="556"/>
        <v>0</v>
      </c>
      <c r="AY639" s="449">
        <f t="shared" si="556"/>
        <v>0</v>
      </c>
      <c r="AZ639" s="449">
        <f t="shared" si="556"/>
        <v>0</v>
      </c>
      <c r="BA639" s="449">
        <f t="shared" si="556"/>
        <v>0</v>
      </c>
      <c r="BB639" s="449">
        <f t="shared" si="556"/>
        <v>0</v>
      </c>
      <c r="BC639" s="449">
        <f t="shared" si="556"/>
        <v>0</v>
      </c>
      <c r="BD639" s="449">
        <f t="shared" si="556"/>
        <v>0</v>
      </c>
      <c r="BE639" s="449">
        <f t="shared" si="556"/>
        <v>0</v>
      </c>
      <c r="BF639" s="449">
        <f t="shared" si="556"/>
        <v>0</v>
      </c>
      <c r="BG639" s="449">
        <f t="shared" si="556"/>
        <v>0</v>
      </c>
      <c r="BH639" s="400"/>
      <c r="BI639" s="449">
        <v>0</v>
      </c>
      <c r="BJ639" s="449">
        <v>0</v>
      </c>
      <c r="BK639" s="449">
        <v>0</v>
      </c>
      <c r="BL639" s="449">
        <v>0</v>
      </c>
      <c r="BM639" s="449">
        <v>0</v>
      </c>
      <c r="BN639" s="449">
        <v>0</v>
      </c>
      <c r="BO639" s="449">
        <v>0</v>
      </c>
      <c r="BP639" s="449">
        <v>0</v>
      </c>
      <c r="BQ639" s="449">
        <v>0</v>
      </c>
      <c r="BR639" s="449">
        <v>0</v>
      </c>
      <c r="BS639" s="449">
        <v>0</v>
      </c>
      <c r="BT639" s="449">
        <v>0</v>
      </c>
    </row>
    <row r="640" spans="1:72" ht="15" x14ac:dyDescent="0.25">
      <c r="A640" s="502" t="s">
        <v>1043</v>
      </c>
      <c r="B640" s="502" t="s">
        <v>1044</v>
      </c>
      <c r="C640" s="538"/>
      <c r="D640" s="500">
        <f t="shared" si="542"/>
        <v>0</v>
      </c>
      <c r="E640" s="449">
        <v>0</v>
      </c>
      <c r="F640" s="449">
        <f t="shared" si="543"/>
        <v>0</v>
      </c>
      <c r="G640" s="421">
        <f t="shared" si="544"/>
        <v>0</v>
      </c>
      <c r="H640" s="449">
        <v>0</v>
      </c>
      <c r="I640" s="449">
        <f t="shared" si="545"/>
        <v>0</v>
      </c>
      <c r="J640" s="426">
        <f t="shared" si="546"/>
        <v>0</v>
      </c>
      <c r="K640" s="421"/>
      <c r="L640" s="449">
        <v>0</v>
      </c>
      <c r="M640" s="449">
        <v>0</v>
      </c>
      <c r="N640" s="449">
        <v>0</v>
      </c>
      <c r="O640" s="449">
        <v>0</v>
      </c>
      <c r="P640" s="449">
        <v>0</v>
      </c>
      <c r="Q640" s="449">
        <v>0</v>
      </c>
      <c r="R640" s="449">
        <f>($H640-SUM($L640:Q640))/R$694</f>
        <v>0</v>
      </c>
      <c r="S640" s="449">
        <f>($H640-SUM($L640:R640))/S$694</f>
        <v>0</v>
      </c>
      <c r="T640" s="449">
        <f>($H640-SUM($L640:S640))/T$694</f>
        <v>0</v>
      </c>
      <c r="U640" s="449">
        <f>($H640-SUM($L640:T640))/U$694</f>
        <v>0</v>
      </c>
      <c r="V640" s="449">
        <f>($H640-SUM($L640:U640))/V$694</f>
        <v>0</v>
      </c>
      <c r="W640" s="449">
        <f>($H640-SUM($L640:V640))/W$694</f>
        <v>0</v>
      </c>
      <c r="X640" s="449"/>
      <c r="Y640" s="449">
        <f t="shared" si="547"/>
        <v>0</v>
      </c>
      <c r="Z640" s="531"/>
      <c r="AA640" s="449">
        <f t="shared" si="548"/>
        <v>0</v>
      </c>
      <c r="AB640" s="449">
        <f t="shared" si="548"/>
        <v>0</v>
      </c>
      <c r="AC640" s="449">
        <f t="shared" si="548"/>
        <v>0</v>
      </c>
      <c r="AD640" s="449">
        <f t="shared" si="548"/>
        <v>0</v>
      </c>
      <c r="AE640" s="449">
        <f t="shared" si="548"/>
        <v>0</v>
      </c>
      <c r="AF640" s="449">
        <f t="shared" si="548"/>
        <v>0</v>
      </c>
      <c r="AG640" s="449">
        <f t="shared" si="548"/>
        <v>0</v>
      </c>
      <c r="AH640" s="449">
        <f t="shared" si="548"/>
        <v>0</v>
      </c>
      <c r="AI640" s="449">
        <f t="shared" si="548"/>
        <v>0</v>
      </c>
      <c r="AJ640" s="449">
        <f t="shared" si="548"/>
        <v>0</v>
      </c>
      <c r="AK640" s="449">
        <f t="shared" si="548"/>
        <v>0</v>
      </c>
      <c r="AL640" s="449">
        <f t="shared" si="548"/>
        <v>0</v>
      </c>
      <c r="AN640" s="500">
        <f t="shared" si="549"/>
        <v>0</v>
      </c>
      <c r="AO640" s="449">
        <f t="shared" si="550"/>
        <v>0</v>
      </c>
      <c r="AP640" s="449">
        <f t="shared" si="551"/>
        <v>0</v>
      </c>
      <c r="AQ640" s="453" t="str">
        <f t="shared" si="552"/>
        <v>-</v>
      </c>
      <c r="AR640" s="449">
        <f t="shared" si="553"/>
        <v>0</v>
      </c>
      <c r="AS640" s="449">
        <f t="shared" si="554"/>
        <v>0</v>
      </c>
      <c r="AT640" s="426">
        <f t="shared" si="555"/>
        <v>0</v>
      </c>
      <c r="AU640" s="421"/>
      <c r="AV640" s="449">
        <f t="shared" si="556"/>
        <v>0</v>
      </c>
      <c r="AW640" s="449">
        <f t="shared" si="556"/>
        <v>0</v>
      </c>
      <c r="AX640" s="449">
        <f t="shared" si="556"/>
        <v>0</v>
      </c>
      <c r="AY640" s="449">
        <f t="shared" si="556"/>
        <v>0</v>
      </c>
      <c r="AZ640" s="449">
        <f t="shared" si="556"/>
        <v>0</v>
      </c>
      <c r="BA640" s="449">
        <f t="shared" si="556"/>
        <v>0</v>
      </c>
      <c r="BB640" s="449">
        <f t="shared" si="556"/>
        <v>0</v>
      </c>
      <c r="BC640" s="449">
        <f t="shared" si="556"/>
        <v>0</v>
      </c>
      <c r="BD640" s="449">
        <f t="shared" si="556"/>
        <v>0</v>
      </c>
      <c r="BE640" s="449">
        <f t="shared" si="556"/>
        <v>0</v>
      </c>
      <c r="BF640" s="449">
        <f t="shared" si="556"/>
        <v>0</v>
      </c>
      <c r="BG640" s="449">
        <f t="shared" si="556"/>
        <v>0</v>
      </c>
      <c r="BH640" s="400"/>
      <c r="BI640" s="449">
        <f t="shared" si="557"/>
        <v>0</v>
      </c>
      <c r="BJ640" s="449">
        <f t="shared" si="557"/>
        <v>0</v>
      </c>
      <c r="BK640" s="449">
        <f t="shared" si="557"/>
        <v>0</v>
      </c>
      <c r="BL640" s="449">
        <f t="shared" si="557"/>
        <v>0</v>
      </c>
      <c r="BM640" s="449">
        <f t="shared" si="557"/>
        <v>0</v>
      </c>
      <c r="BN640" s="449">
        <f t="shared" si="557"/>
        <v>0</v>
      </c>
      <c r="BO640" s="449">
        <f t="shared" si="557"/>
        <v>0</v>
      </c>
      <c r="BP640" s="449">
        <f t="shared" si="557"/>
        <v>0</v>
      </c>
      <c r="BQ640" s="449">
        <f t="shared" si="557"/>
        <v>0</v>
      </c>
      <c r="BR640" s="449">
        <f t="shared" si="557"/>
        <v>0</v>
      </c>
      <c r="BS640" s="449">
        <f t="shared" si="557"/>
        <v>0</v>
      </c>
      <c r="BT640" s="449">
        <f t="shared" si="557"/>
        <v>0</v>
      </c>
    </row>
    <row r="641" spans="1:72" ht="15" x14ac:dyDescent="0.25">
      <c r="A641" s="502" t="s">
        <v>1045</v>
      </c>
      <c r="B641" s="502" t="s">
        <v>1046</v>
      </c>
      <c r="C641" s="538"/>
      <c r="D641" s="500">
        <f t="shared" si="542"/>
        <v>449114</v>
      </c>
      <c r="E641" s="449">
        <v>449114.375</v>
      </c>
      <c r="F641" s="449">
        <f t="shared" si="543"/>
        <v>-0.375</v>
      </c>
      <c r="G641" s="421">
        <f t="shared" si="544"/>
        <v>-8.3497661369667806E-7</v>
      </c>
      <c r="H641" s="449">
        <v>449114</v>
      </c>
      <c r="I641" s="449">
        <f t="shared" si="545"/>
        <v>0</v>
      </c>
      <c r="J641" s="426">
        <f t="shared" si="546"/>
        <v>0</v>
      </c>
      <c r="K641" s="421"/>
      <c r="L641" s="449">
        <v>0</v>
      </c>
      <c r="M641" s="449">
        <v>0</v>
      </c>
      <c r="N641" s="449">
        <v>0</v>
      </c>
      <c r="O641" s="449">
        <v>0</v>
      </c>
      <c r="P641" s="449">
        <v>0</v>
      </c>
      <c r="Q641" s="449">
        <v>0</v>
      </c>
      <c r="R641" s="449">
        <f>($H641-SUM($L641:Q641))/R$694</f>
        <v>74852.333333333328</v>
      </c>
      <c r="S641" s="449">
        <f>($H641-SUM($L641:R641))/S$694</f>
        <v>74852.333333333343</v>
      </c>
      <c r="T641" s="449">
        <f>($H641-SUM($L641:S641))/T$694</f>
        <v>74852.333333333328</v>
      </c>
      <c r="U641" s="449">
        <f>($H641-SUM($L641:T641))/U$694</f>
        <v>74852.333333333328</v>
      </c>
      <c r="V641" s="449">
        <f>($H641-SUM($L641:U641))/V$694</f>
        <v>74852.333333333343</v>
      </c>
      <c r="W641" s="449">
        <f>($H641-SUM($L641:V641))/W$694</f>
        <v>74852.333333333372</v>
      </c>
      <c r="X641" s="449"/>
      <c r="Y641" s="449">
        <f t="shared" si="547"/>
        <v>449114</v>
      </c>
      <c r="Z641" s="531"/>
      <c r="AA641" s="449">
        <f t="shared" si="548"/>
        <v>37426.166666666664</v>
      </c>
      <c r="AB641" s="449">
        <f t="shared" si="548"/>
        <v>37426.166666666664</v>
      </c>
      <c r="AC641" s="449">
        <f t="shared" si="548"/>
        <v>37426.166666666664</v>
      </c>
      <c r="AD641" s="449">
        <f t="shared" si="548"/>
        <v>37426.166666666664</v>
      </c>
      <c r="AE641" s="449">
        <f t="shared" si="548"/>
        <v>37426.166666666664</v>
      </c>
      <c r="AF641" s="449">
        <f t="shared" si="548"/>
        <v>37426.166666666664</v>
      </c>
      <c r="AG641" s="449">
        <f t="shared" si="548"/>
        <v>37426.166666666664</v>
      </c>
      <c r="AH641" s="449">
        <f t="shared" si="548"/>
        <v>37426.166666666664</v>
      </c>
      <c r="AI641" s="449">
        <f t="shared" si="548"/>
        <v>37426.166666666664</v>
      </c>
      <c r="AJ641" s="449">
        <f t="shared" si="548"/>
        <v>37426.166666666664</v>
      </c>
      <c r="AK641" s="449">
        <f t="shared" si="548"/>
        <v>37426.166666666664</v>
      </c>
      <c r="AL641" s="449">
        <f t="shared" si="548"/>
        <v>37426.166666666664</v>
      </c>
      <c r="AN641" s="500">
        <f t="shared" si="549"/>
        <v>449114</v>
      </c>
      <c r="AO641" s="449">
        <f t="shared" si="550"/>
        <v>449114.00000000006</v>
      </c>
      <c r="AP641" s="449">
        <f t="shared" si="551"/>
        <v>5.8207660913467407E-11</v>
      </c>
      <c r="AQ641" s="453">
        <f t="shared" si="552"/>
        <v>1.296055364862093E-16</v>
      </c>
      <c r="AR641" s="449">
        <f t="shared" si="553"/>
        <v>449114.00000000006</v>
      </c>
      <c r="AS641" s="449">
        <f t="shared" si="554"/>
        <v>0</v>
      </c>
      <c r="AT641" s="426">
        <f t="shared" si="555"/>
        <v>0</v>
      </c>
      <c r="AU641" s="421"/>
      <c r="AV641" s="449">
        <f t="shared" si="556"/>
        <v>37426.166666666664</v>
      </c>
      <c r="AW641" s="449">
        <f t="shared" si="556"/>
        <v>37426.166666666664</v>
      </c>
      <c r="AX641" s="449">
        <f t="shared" si="556"/>
        <v>37426.166666666664</v>
      </c>
      <c r="AY641" s="449">
        <f t="shared" si="556"/>
        <v>37426.166666666664</v>
      </c>
      <c r="AZ641" s="449">
        <f t="shared" si="556"/>
        <v>37426.166666666664</v>
      </c>
      <c r="BA641" s="449">
        <f t="shared" si="556"/>
        <v>37426.166666666664</v>
      </c>
      <c r="BB641" s="449">
        <f t="shared" si="556"/>
        <v>37426.166666666664</v>
      </c>
      <c r="BC641" s="449">
        <f t="shared" si="556"/>
        <v>37426.166666666664</v>
      </c>
      <c r="BD641" s="449">
        <f t="shared" si="556"/>
        <v>37426.166666666664</v>
      </c>
      <c r="BE641" s="449">
        <f t="shared" si="556"/>
        <v>37426.166666666664</v>
      </c>
      <c r="BF641" s="449">
        <f t="shared" si="556"/>
        <v>37426.166666666664</v>
      </c>
      <c r="BG641" s="449">
        <f t="shared" si="556"/>
        <v>37426.166666666664</v>
      </c>
      <c r="BH641" s="400"/>
      <c r="BI641" s="449">
        <f t="shared" ref="BI641:BT642" si="558">IFERROR($H641/12,0)</f>
        <v>37426.166666666664</v>
      </c>
      <c r="BJ641" s="449">
        <f t="shared" si="558"/>
        <v>37426.166666666664</v>
      </c>
      <c r="BK641" s="449">
        <f t="shared" si="558"/>
        <v>37426.166666666664</v>
      </c>
      <c r="BL641" s="449">
        <f t="shared" si="558"/>
        <v>37426.166666666664</v>
      </c>
      <c r="BM641" s="449">
        <f t="shared" si="558"/>
        <v>37426.166666666664</v>
      </c>
      <c r="BN641" s="449">
        <f t="shared" si="558"/>
        <v>37426.166666666664</v>
      </c>
      <c r="BO641" s="449">
        <f t="shared" si="558"/>
        <v>37426.166666666664</v>
      </c>
      <c r="BP641" s="449">
        <f t="shared" si="558"/>
        <v>37426.166666666664</v>
      </c>
      <c r="BQ641" s="449">
        <f t="shared" si="558"/>
        <v>37426.166666666664</v>
      </c>
      <c r="BR641" s="449">
        <f t="shared" si="558"/>
        <v>37426.166666666664</v>
      </c>
      <c r="BS641" s="449">
        <f t="shared" si="558"/>
        <v>37426.166666666664</v>
      </c>
      <c r="BT641" s="449">
        <f t="shared" si="558"/>
        <v>37426.166666666664</v>
      </c>
    </row>
    <row r="642" spans="1:72" ht="15" x14ac:dyDescent="0.25">
      <c r="A642" s="502" t="s">
        <v>1047</v>
      </c>
      <c r="B642" s="502" t="s">
        <v>1048</v>
      </c>
      <c r="C642" s="538"/>
      <c r="D642" s="500">
        <f t="shared" si="542"/>
        <v>20308</v>
      </c>
      <c r="E642" s="449">
        <v>20307.5</v>
      </c>
      <c r="F642" s="449">
        <f t="shared" si="543"/>
        <v>0.5</v>
      </c>
      <c r="G642" s="421">
        <f t="shared" si="544"/>
        <v>2.4621445278837867E-5</v>
      </c>
      <c r="H642" s="449">
        <v>20308</v>
      </c>
      <c r="I642" s="449">
        <f t="shared" si="545"/>
        <v>0</v>
      </c>
      <c r="J642" s="426">
        <f t="shared" si="546"/>
        <v>0</v>
      </c>
      <c r="K642" s="421"/>
      <c r="L642" s="449">
        <v>0</v>
      </c>
      <c r="M642" s="449">
        <v>0</v>
      </c>
      <c r="N642" s="449">
        <v>0</v>
      </c>
      <c r="O642" s="449">
        <v>0</v>
      </c>
      <c r="P642" s="449">
        <v>0</v>
      </c>
      <c r="Q642" s="449">
        <v>0</v>
      </c>
      <c r="R642" s="449">
        <f>($H642-SUM($L642:Q642))/R$694</f>
        <v>3384.6666666666665</v>
      </c>
      <c r="S642" s="449">
        <f>($H642-SUM($L642:R642))/S$694</f>
        <v>3384.6666666666665</v>
      </c>
      <c r="T642" s="449">
        <f>($H642-SUM($L642:S642))/T$694</f>
        <v>3384.666666666667</v>
      </c>
      <c r="U642" s="449">
        <f>($H642-SUM($L642:T642))/U$694</f>
        <v>3384.6666666666665</v>
      </c>
      <c r="V642" s="449">
        <f>($H642-SUM($L642:U642))/V$694</f>
        <v>3384.666666666667</v>
      </c>
      <c r="W642" s="449">
        <f>($H642-SUM($L642:V642))/W$694</f>
        <v>3384.6666666666679</v>
      </c>
      <c r="X642" s="449"/>
      <c r="Y642" s="449">
        <f t="shared" si="547"/>
        <v>20308</v>
      </c>
      <c r="Z642" s="531"/>
      <c r="AA642" s="449">
        <f t="shared" si="548"/>
        <v>1692.3333333333333</v>
      </c>
      <c r="AB642" s="449">
        <f t="shared" si="548"/>
        <v>1692.3333333333333</v>
      </c>
      <c r="AC642" s="449">
        <f t="shared" si="548"/>
        <v>1692.3333333333333</v>
      </c>
      <c r="AD642" s="449">
        <f t="shared" si="548"/>
        <v>1692.3333333333333</v>
      </c>
      <c r="AE642" s="449">
        <f t="shared" si="548"/>
        <v>1692.3333333333333</v>
      </c>
      <c r="AF642" s="449">
        <f t="shared" si="548"/>
        <v>1692.3333333333333</v>
      </c>
      <c r="AG642" s="449">
        <f t="shared" si="548"/>
        <v>1692.3333333333333</v>
      </c>
      <c r="AH642" s="449">
        <f t="shared" si="548"/>
        <v>1692.3333333333333</v>
      </c>
      <c r="AI642" s="449">
        <f t="shared" si="548"/>
        <v>1692.3333333333333</v>
      </c>
      <c r="AJ642" s="449">
        <f t="shared" si="548"/>
        <v>1692.3333333333333</v>
      </c>
      <c r="AK642" s="449">
        <f t="shared" si="548"/>
        <v>1692.3333333333333</v>
      </c>
      <c r="AL642" s="449">
        <f t="shared" si="548"/>
        <v>1692.3333333333333</v>
      </c>
      <c r="AN642" s="500">
        <f t="shared" si="549"/>
        <v>20308</v>
      </c>
      <c r="AO642" s="449">
        <f t="shared" si="550"/>
        <v>20308</v>
      </c>
      <c r="AP642" s="449">
        <f t="shared" si="551"/>
        <v>0</v>
      </c>
      <c r="AQ642" s="453">
        <f t="shared" si="552"/>
        <v>0</v>
      </c>
      <c r="AR642" s="449">
        <f t="shared" si="553"/>
        <v>20308</v>
      </c>
      <c r="AS642" s="449">
        <f t="shared" si="554"/>
        <v>0</v>
      </c>
      <c r="AT642" s="426">
        <f t="shared" si="555"/>
        <v>0</v>
      </c>
      <c r="AU642" s="421"/>
      <c r="AV642" s="449">
        <f t="shared" si="556"/>
        <v>1692.3333333333333</v>
      </c>
      <c r="AW642" s="449">
        <f t="shared" si="556"/>
        <v>1692.3333333333333</v>
      </c>
      <c r="AX642" s="449">
        <f t="shared" si="556"/>
        <v>1692.3333333333333</v>
      </c>
      <c r="AY642" s="449">
        <f t="shared" si="556"/>
        <v>1692.3333333333333</v>
      </c>
      <c r="AZ642" s="449">
        <f t="shared" si="556"/>
        <v>1692.3333333333333</v>
      </c>
      <c r="BA642" s="449">
        <f t="shared" si="556"/>
        <v>1692.3333333333333</v>
      </c>
      <c r="BB642" s="449">
        <f t="shared" si="556"/>
        <v>1692.3333333333333</v>
      </c>
      <c r="BC642" s="449">
        <f t="shared" si="556"/>
        <v>1692.3333333333333</v>
      </c>
      <c r="BD642" s="449">
        <f t="shared" si="556"/>
        <v>1692.3333333333333</v>
      </c>
      <c r="BE642" s="449">
        <f t="shared" si="556"/>
        <v>1692.3333333333333</v>
      </c>
      <c r="BF642" s="449">
        <f t="shared" si="556"/>
        <v>1692.3333333333333</v>
      </c>
      <c r="BG642" s="449">
        <f t="shared" si="556"/>
        <v>1692.3333333333333</v>
      </c>
      <c r="BH642" s="400"/>
      <c r="BI642" s="449">
        <f t="shared" si="558"/>
        <v>1692.3333333333333</v>
      </c>
      <c r="BJ642" s="449">
        <f t="shared" si="558"/>
        <v>1692.3333333333333</v>
      </c>
      <c r="BK642" s="449">
        <f t="shared" si="558"/>
        <v>1692.3333333333333</v>
      </c>
      <c r="BL642" s="449">
        <f t="shared" si="558"/>
        <v>1692.3333333333333</v>
      </c>
      <c r="BM642" s="449">
        <f t="shared" si="558"/>
        <v>1692.3333333333333</v>
      </c>
      <c r="BN642" s="449">
        <f t="shared" si="558"/>
        <v>1692.3333333333333</v>
      </c>
      <c r="BO642" s="449">
        <f t="shared" si="558"/>
        <v>1692.3333333333333</v>
      </c>
      <c r="BP642" s="449">
        <f t="shared" si="558"/>
        <v>1692.3333333333333</v>
      </c>
      <c r="BQ642" s="449">
        <f t="shared" si="558"/>
        <v>1692.3333333333333</v>
      </c>
      <c r="BR642" s="449">
        <f t="shared" si="558"/>
        <v>1692.3333333333333</v>
      </c>
      <c r="BS642" s="449">
        <f t="shared" si="558"/>
        <v>1692.3333333333333</v>
      </c>
      <c r="BT642" s="449">
        <f t="shared" si="558"/>
        <v>1692.3333333333333</v>
      </c>
    </row>
    <row r="643" spans="1:72" ht="15" customHeight="1" x14ac:dyDescent="0.25">
      <c r="A643" s="502" t="s">
        <v>1049</v>
      </c>
      <c r="B643" s="502" t="s">
        <v>1050</v>
      </c>
      <c r="C643" s="538"/>
      <c r="D643" s="500">
        <f t="shared" si="542"/>
        <v>0</v>
      </c>
      <c r="E643" s="449">
        <v>0</v>
      </c>
      <c r="F643" s="449">
        <f t="shared" si="543"/>
        <v>0</v>
      </c>
      <c r="G643" s="421">
        <f t="shared" si="544"/>
        <v>0</v>
      </c>
      <c r="H643" s="449">
        <v>0</v>
      </c>
      <c r="I643" s="449">
        <f t="shared" si="545"/>
        <v>0</v>
      </c>
      <c r="J643" s="426">
        <f t="shared" si="546"/>
        <v>0</v>
      </c>
      <c r="K643" s="421"/>
      <c r="L643" s="449">
        <v>0</v>
      </c>
      <c r="M643" s="449">
        <v>0</v>
      </c>
      <c r="N643" s="449">
        <v>0</v>
      </c>
      <c r="O643" s="449">
        <v>0</v>
      </c>
      <c r="P643" s="449">
        <v>0</v>
      </c>
      <c r="Q643" s="449">
        <v>0</v>
      </c>
      <c r="R643" s="449">
        <f>($H643-SUM($L643:Q643))/R$694</f>
        <v>0</v>
      </c>
      <c r="S643" s="449">
        <f>($H643-SUM($L643:R643))/S$694</f>
        <v>0</v>
      </c>
      <c r="T643" s="449">
        <f>($H643-SUM($L643:S643))/T$694</f>
        <v>0</v>
      </c>
      <c r="U643" s="449">
        <f>($H643-SUM($L643:T643))/U$694</f>
        <v>0</v>
      </c>
      <c r="V643" s="449">
        <f>($H643-SUM($L643:U643))/V$694</f>
        <v>0</v>
      </c>
      <c r="W643" s="449">
        <f>($H643-SUM($L643:V643))/W$694</f>
        <v>0</v>
      </c>
      <c r="X643" s="449"/>
      <c r="Y643" s="449">
        <f t="shared" si="547"/>
        <v>0</v>
      </c>
      <c r="Z643" s="531"/>
      <c r="AA643" s="449">
        <f t="shared" si="548"/>
        <v>0</v>
      </c>
      <c r="AB643" s="449">
        <f t="shared" si="548"/>
        <v>0</v>
      </c>
      <c r="AC643" s="449">
        <f t="shared" si="548"/>
        <v>0</v>
      </c>
      <c r="AD643" s="449">
        <f t="shared" si="548"/>
        <v>0</v>
      </c>
      <c r="AE643" s="449">
        <f t="shared" si="548"/>
        <v>0</v>
      </c>
      <c r="AF643" s="449">
        <f t="shared" si="548"/>
        <v>0</v>
      </c>
      <c r="AG643" s="449">
        <f t="shared" si="548"/>
        <v>0</v>
      </c>
      <c r="AH643" s="449">
        <f t="shared" si="548"/>
        <v>0</v>
      </c>
      <c r="AI643" s="449">
        <f t="shared" si="548"/>
        <v>0</v>
      </c>
      <c r="AJ643" s="449">
        <f t="shared" si="548"/>
        <v>0</v>
      </c>
      <c r="AK643" s="449">
        <f t="shared" si="548"/>
        <v>0</v>
      </c>
      <c r="AL643" s="449">
        <f t="shared" si="548"/>
        <v>0</v>
      </c>
      <c r="AN643" s="500">
        <f t="shared" si="549"/>
        <v>0</v>
      </c>
      <c r="AO643" s="449">
        <f t="shared" si="550"/>
        <v>0</v>
      </c>
      <c r="AP643" s="449">
        <f t="shared" si="551"/>
        <v>0</v>
      </c>
      <c r="AQ643" s="453" t="str">
        <f t="shared" si="552"/>
        <v>-</v>
      </c>
      <c r="AR643" s="449">
        <f t="shared" si="553"/>
        <v>0</v>
      </c>
      <c r="AS643" s="449">
        <f t="shared" si="554"/>
        <v>0</v>
      </c>
      <c r="AT643" s="426">
        <f t="shared" si="555"/>
        <v>0</v>
      </c>
      <c r="AU643" s="421"/>
      <c r="AV643" s="449">
        <f t="shared" si="556"/>
        <v>0</v>
      </c>
      <c r="AW643" s="449">
        <f t="shared" si="556"/>
        <v>0</v>
      </c>
      <c r="AX643" s="449">
        <f t="shared" si="556"/>
        <v>0</v>
      </c>
      <c r="AY643" s="449">
        <f t="shared" si="556"/>
        <v>0</v>
      </c>
      <c r="AZ643" s="449">
        <f t="shared" si="556"/>
        <v>0</v>
      </c>
      <c r="BA643" s="449">
        <f t="shared" si="556"/>
        <v>0</v>
      </c>
      <c r="BB643" s="449">
        <f t="shared" si="556"/>
        <v>0</v>
      </c>
      <c r="BC643" s="449">
        <f t="shared" si="556"/>
        <v>0</v>
      </c>
      <c r="BD643" s="449">
        <f t="shared" si="556"/>
        <v>0</v>
      </c>
      <c r="BE643" s="449">
        <f t="shared" si="556"/>
        <v>0</v>
      </c>
      <c r="BF643" s="449">
        <f t="shared" si="556"/>
        <v>0</v>
      </c>
      <c r="BG643" s="449">
        <f t="shared" si="556"/>
        <v>0</v>
      </c>
      <c r="BH643" s="400"/>
      <c r="BI643" s="449">
        <f t="shared" ref="BI643:BT643" si="559">IFERROR((($H643/$H$5)*BI$5)/12,0)</f>
        <v>0</v>
      </c>
      <c r="BJ643" s="449">
        <f t="shared" si="559"/>
        <v>0</v>
      </c>
      <c r="BK643" s="449">
        <f t="shared" si="559"/>
        <v>0</v>
      </c>
      <c r="BL643" s="449">
        <f t="shared" si="559"/>
        <v>0</v>
      </c>
      <c r="BM643" s="449">
        <f t="shared" si="559"/>
        <v>0</v>
      </c>
      <c r="BN643" s="449">
        <f t="shared" si="559"/>
        <v>0</v>
      </c>
      <c r="BO643" s="449">
        <f t="shared" si="559"/>
        <v>0</v>
      </c>
      <c r="BP643" s="449">
        <f t="shared" si="559"/>
        <v>0</v>
      </c>
      <c r="BQ643" s="449">
        <f t="shared" si="559"/>
        <v>0</v>
      </c>
      <c r="BR643" s="449">
        <f t="shared" si="559"/>
        <v>0</v>
      </c>
      <c r="BS643" s="449">
        <f t="shared" si="559"/>
        <v>0</v>
      </c>
      <c r="BT643" s="449">
        <f t="shared" si="559"/>
        <v>0</v>
      </c>
    </row>
    <row r="644" spans="1:72" ht="15" customHeight="1" x14ac:dyDescent="0.25">
      <c r="A644" s="612" t="s">
        <v>1051</v>
      </c>
      <c r="B644" s="502" t="s">
        <v>1052</v>
      </c>
      <c r="C644" s="538"/>
      <c r="D644" s="500">
        <f t="shared" si="542"/>
        <v>1677350</v>
      </c>
      <c r="E644" s="449">
        <v>1677350</v>
      </c>
      <c r="F644" s="449">
        <f t="shared" si="543"/>
        <v>0</v>
      </c>
      <c r="G644" s="421">
        <f t="shared" si="544"/>
        <v>0</v>
      </c>
      <c r="H644" s="449">
        <v>1677350</v>
      </c>
      <c r="I644" s="449">
        <f t="shared" si="545"/>
        <v>0</v>
      </c>
      <c r="J644" s="426">
        <f t="shared" si="546"/>
        <v>0</v>
      </c>
      <c r="K644" s="421"/>
      <c r="L644" s="449">
        <v>0</v>
      </c>
      <c r="M644" s="449">
        <v>0</v>
      </c>
      <c r="N644" s="449">
        <v>0</v>
      </c>
      <c r="O644" s="449">
        <v>0</v>
      </c>
      <c r="P644" s="449">
        <v>0</v>
      </c>
      <c r="Q644" s="449">
        <v>840481</v>
      </c>
      <c r="R644" s="449">
        <f>($H644-SUM($L644:Q644))/R$694</f>
        <v>139478.16666666666</v>
      </c>
      <c r="S644" s="449">
        <f>($H644-SUM($L644:R644))/S$694</f>
        <v>139478.16666666669</v>
      </c>
      <c r="T644" s="449">
        <f>($H644-SUM($L644:S644))/T$694</f>
        <v>139478.16666666669</v>
      </c>
      <c r="U644" s="449">
        <f>($H644-SUM($L644:T644))/U$694</f>
        <v>139478.16666666666</v>
      </c>
      <c r="V644" s="449">
        <f>($H644-SUM($L644:U644))/V$694</f>
        <v>139478.16666666663</v>
      </c>
      <c r="W644" s="449">
        <f>($H644-SUM($L644:V644))/W$694</f>
        <v>139478.16666666651</v>
      </c>
      <c r="X644" s="449"/>
      <c r="Y644" s="449">
        <f t="shared" si="547"/>
        <v>1677350</v>
      </c>
      <c r="Z644" s="531"/>
      <c r="AA644" s="449">
        <f t="shared" si="548"/>
        <v>139779.16666666666</v>
      </c>
      <c r="AB644" s="449">
        <f t="shared" si="548"/>
        <v>139779.16666666666</v>
      </c>
      <c r="AC644" s="449">
        <f t="shared" si="548"/>
        <v>139779.16666666666</v>
      </c>
      <c r="AD644" s="449">
        <f t="shared" si="548"/>
        <v>139779.16666666666</v>
      </c>
      <c r="AE644" s="449">
        <f t="shared" si="548"/>
        <v>139779.16666666666</v>
      </c>
      <c r="AF644" s="449">
        <f t="shared" si="548"/>
        <v>139779.16666666666</v>
      </c>
      <c r="AG644" s="449">
        <f t="shared" si="548"/>
        <v>139779.16666666666</v>
      </c>
      <c r="AH644" s="449">
        <f t="shared" si="548"/>
        <v>139779.16666666666</v>
      </c>
      <c r="AI644" s="449">
        <f t="shared" si="548"/>
        <v>139779.16666666666</v>
      </c>
      <c r="AJ644" s="449">
        <f t="shared" si="548"/>
        <v>139779.16666666666</v>
      </c>
      <c r="AK644" s="449">
        <f t="shared" si="548"/>
        <v>139779.16666666666</v>
      </c>
      <c r="AL644" s="449">
        <f t="shared" si="548"/>
        <v>139779.16666666666</v>
      </c>
      <c r="AN644" s="500">
        <f t="shared" si="549"/>
        <v>1677350</v>
      </c>
      <c r="AO644" s="449">
        <f t="shared" si="550"/>
        <v>1763199.5</v>
      </c>
      <c r="AP644" s="449">
        <f t="shared" si="551"/>
        <v>85849.5</v>
      </c>
      <c r="AQ644" s="453">
        <f t="shared" si="552"/>
        <v>5.1181625778758164E-2</v>
      </c>
      <c r="AR644" s="449">
        <f t="shared" si="553"/>
        <v>1763199.5</v>
      </c>
      <c r="AS644" s="449">
        <f t="shared" si="554"/>
        <v>0</v>
      </c>
      <c r="AT644" s="426">
        <f t="shared" si="555"/>
        <v>0</v>
      </c>
      <c r="AU644" s="421"/>
      <c r="AV644" s="449">
        <f t="shared" si="556"/>
        <v>0</v>
      </c>
      <c r="AW644" s="449">
        <f t="shared" si="556"/>
        <v>0</v>
      </c>
      <c r="AX644" s="449">
        <f t="shared" si="556"/>
        <v>0</v>
      </c>
      <c r="AY644" s="449">
        <f t="shared" si="556"/>
        <v>0</v>
      </c>
      <c r="AZ644" s="449">
        <f t="shared" si="556"/>
        <v>0</v>
      </c>
      <c r="BA644" s="449">
        <f t="shared" si="556"/>
        <v>881599.75</v>
      </c>
      <c r="BB644" s="449">
        <f t="shared" si="556"/>
        <v>0</v>
      </c>
      <c r="BC644" s="449">
        <f t="shared" si="556"/>
        <v>0</v>
      </c>
      <c r="BD644" s="449">
        <f t="shared" si="556"/>
        <v>0</v>
      </c>
      <c r="BE644" s="449">
        <f t="shared" si="556"/>
        <v>0</v>
      </c>
      <c r="BF644" s="449">
        <f t="shared" si="556"/>
        <v>0</v>
      </c>
      <c r="BG644" s="449">
        <f t="shared" si="556"/>
        <v>881599.75</v>
      </c>
      <c r="BH644" s="400"/>
      <c r="BI644" s="449">
        <v>0</v>
      </c>
      <c r="BJ644" s="449">
        <v>0</v>
      </c>
      <c r="BK644" s="449">
        <v>0</v>
      </c>
      <c r="BL644" s="449">
        <v>0</v>
      </c>
      <c r="BM644" s="449">
        <v>0</v>
      </c>
      <c r="BN644" s="449">
        <f>1763199.5*0.5</f>
        <v>881599.75</v>
      </c>
      <c r="BO644" s="449">
        <v>0</v>
      </c>
      <c r="BP644" s="449">
        <v>0</v>
      </c>
      <c r="BQ644" s="449">
        <v>0</v>
      </c>
      <c r="BR644" s="449">
        <v>0</v>
      </c>
      <c r="BS644" s="449">
        <v>0</v>
      </c>
      <c r="BT644" s="449">
        <f>1763199.5*0.5</f>
        <v>881599.75</v>
      </c>
    </row>
    <row r="645" spans="1:72" ht="15" customHeight="1" x14ac:dyDescent="0.25">
      <c r="A645" s="502" t="s">
        <v>1053</v>
      </c>
      <c r="B645" s="502" t="s">
        <v>1052</v>
      </c>
      <c r="C645" s="538"/>
      <c r="D645" s="500">
        <f t="shared" si="542"/>
        <v>0</v>
      </c>
      <c r="E645" s="449">
        <v>0</v>
      </c>
      <c r="F645" s="449">
        <f t="shared" si="543"/>
        <v>0</v>
      </c>
      <c r="G645" s="421">
        <f t="shared" si="544"/>
        <v>0</v>
      </c>
      <c r="H645" s="449">
        <v>0</v>
      </c>
      <c r="I645" s="449">
        <f t="shared" si="545"/>
        <v>0</v>
      </c>
      <c r="J645" s="426">
        <f t="shared" si="546"/>
        <v>0</v>
      </c>
      <c r="K645" s="421"/>
      <c r="L645" s="449">
        <v>0</v>
      </c>
      <c r="M645" s="449">
        <v>0</v>
      </c>
      <c r="N645" s="449">
        <v>0</v>
      </c>
      <c r="O645" s="449">
        <v>0</v>
      </c>
      <c r="P645" s="449">
        <v>0</v>
      </c>
      <c r="Q645" s="449">
        <v>0</v>
      </c>
      <c r="R645" s="449">
        <f>($H645-SUM($L645:Q645))/R$694</f>
        <v>0</v>
      </c>
      <c r="S645" s="449">
        <f>($H645-SUM($L645:R645))/S$694</f>
        <v>0</v>
      </c>
      <c r="T645" s="449">
        <f>($H645-SUM($L645:S645))/T$694</f>
        <v>0</v>
      </c>
      <c r="U645" s="449">
        <f>($H645-SUM($L645:T645))/U$694</f>
        <v>0</v>
      </c>
      <c r="V645" s="449">
        <f>($H645-SUM($L645:U645))/V$694</f>
        <v>0</v>
      </c>
      <c r="W645" s="449">
        <f>($H645-SUM($L645:V645))/W$694</f>
        <v>0</v>
      </c>
      <c r="X645" s="449"/>
      <c r="Y645" s="449">
        <f t="shared" si="547"/>
        <v>0</v>
      </c>
      <c r="Z645" s="531"/>
      <c r="AA645" s="449">
        <f t="shared" si="548"/>
        <v>0</v>
      </c>
      <c r="AB645" s="449">
        <f t="shared" si="548"/>
        <v>0</v>
      </c>
      <c r="AC645" s="449">
        <f t="shared" si="548"/>
        <v>0</v>
      </c>
      <c r="AD645" s="449">
        <f t="shared" si="548"/>
        <v>0</v>
      </c>
      <c r="AE645" s="449">
        <f t="shared" si="548"/>
        <v>0</v>
      </c>
      <c r="AF645" s="449">
        <f t="shared" si="548"/>
        <v>0</v>
      </c>
      <c r="AG645" s="449">
        <f t="shared" si="548"/>
        <v>0</v>
      </c>
      <c r="AH645" s="449">
        <f t="shared" si="548"/>
        <v>0</v>
      </c>
      <c r="AI645" s="449">
        <f t="shared" si="548"/>
        <v>0</v>
      </c>
      <c r="AJ645" s="449">
        <f t="shared" si="548"/>
        <v>0</v>
      </c>
      <c r="AK645" s="449">
        <f t="shared" si="548"/>
        <v>0</v>
      </c>
      <c r="AL645" s="449">
        <f t="shared" si="548"/>
        <v>0</v>
      </c>
      <c r="AN645" s="500">
        <f t="shared" si="549"/>
        <v>0</v>
      </c>
      <c r="AO645" s="449">
        <f t="shared" si="550"/>
        <v>0</v>
      </c>
      <c r="AP645" s="449">
        <f t="shared" si="551"/>
        <v>0</v>
      </c>
      <c r="AQ645" s="553" t="str">
        <f t="shared" si="552"/>
        <v>-</v>
      </c>
      <c r="AR645" s="449">
        <f t="shared" si="553"/>
        <v>0</v>
      </c>
      <c r="AS645" s="449">
        <f t="shared" si="554"/>
        <v>0</v>
      </c>
      <c r="AT645" s="426">
        <f t="shared" si="555"/>
        <v>0</v>
      </c>
      <c r="AU645" s="421"/>
      <c r="AV645" s="449">
        <f t="shared" si="556"/>
        <v>0</v>
      </c>
      <c r="AW645" s="449">
        <f t="shared" si="556"/>
        <v>0</v>
      </c>
      <c r="AX645" s="449">
        <f t="shared" si="556"/>
        <v>0</v>
      </c>
      <c r="AY645" s="449">
        <f t="shared" si="556"/>
        <v>0</v>
      </c>
      <c r="AZ645" s="449">
        <f t="shared" si="556"/>
        <v>0</v>
      </c>
      <c r="BA645" s="449">
        <f t="shared" si="556"/>
        <v>0</v>
      </c>
      <c r="BB645" s="449">
        <f t="shared" si="556"/>
        <v>0</v>
      </c>
      <c r="BC645" s="449">
        <f t="shared" si="556"/>
        <v>0</v>
      </c>
      <c r="BD645" s="449">
        <f t="shared" si="556"/>
        <v>0</v>
      </c>
      <c r="BE645" s="449">
        <f t="shared" si="556"/>
        <v>0</v>
      </c>
      <c r="BF645" s="449">
        <f t="shared" si="556"/>
        <v>0</v>
      </c>
      <c r="BG645" s="449">
        <f t="shared" si="556"/>
        <v>0</v>
      </c>
      <c r="BH645" s="400"/>
      <c r="BI645" s="449">
        <f t="shared" ref="BI645:BT645" si="560">IFERROR((($H645/$H$5)*BI$5)/12,0)</f>
        <v>0</v>
      </c>
      <c r="BJ645" s="449">
        <f t="shared" si="560"/>
        <v>0</v>
      </c>
      <c r="BK645" s="449">
        <f t="shared" si="560"/>
        <v>0</v>
      </c>
      <c r="BL645" s="449">
        <f t="shared" si="560"/>
        <v>0</v>
      </c>
      <c r="BM645" s="449">
        <f t="shared" si="560"/>
        <v>0</v>
      </c>
      <c r="BN645" s="449">
        <f t="shared" si="560"/>
        <v>0</v>
      </c>
      <c r="BO645" s="449">
        <f t="shared" si="560"/>
        <v>0</v>
      </c>
      <c r="BP645" s="449">
        <f t="shared" si="560"/>
        <v>0</v>
      </c>
      <c r="BQ645" s="449">
        <f t="shared" si="560"/>
        <v>0</v>
      </c>
      <c r="BR645" s="449">
        <f t="shared" si="560"/>
        <v>0</v>
      </c>
      <c r="BS645" s="449">
        <f t="shared" si="560"/>
        <v>0</v>
      </c>
      <c r="BT645" s="449">
        <f t="shared" si="560"/>
        <v>0</v>
      </c>
    </row>
    <row r="646" spans="1:72" ht="15" customHeight="1" x14ac:dyDescent="0.25">
      <c r="A646" s="502" t="s">
        <v>1054</v>
      </c>
      <c r="B646" s="502" t="s">
        <v>1055</v>
      </c>
      <c r="C646" s="538"/>
      <c r="D646" s="500">
        <f t="shared" si="542"/>
        <v>9627</v>
      </c>
      <c r="E646" s="449">
        <v>3595.02</v>
      </c>
      <c r="F646" s="449">
        <f t="shared" si="543"/>
        <v>6031.98</v>
      </c>
      <c r="G646" s="421">
        <f t="shared" si="544"/>
        <v>1.6778710549593603</v>
      </c>
      <c r="H646" s="449">
        <v>7000</v>
      </c>
      <c r="I646" s="449">
        <f t="shared" si="545"/>
        <v>2627</v>
      </c>
      <c r="J646" s="426">
        <f t="shared" si="546"/>
        <v>0.37528571428571428</v>
      </c>
      <c r="K646" s="421"/>
      <c r="L646" s="449">
        <v>0</v>
      </c>
      <c r="M646" s="449">
        <v>0</v>
      </c>
      <c r="N646" s="449">
        <v>0</v>
      </c>
      <c r="O646" s="449">
        <v>9627</v>
      </c>
      <c r="P646" s="449">
        <v>0</v>
      </c>
      <c r="Q646" s="449">
        <v>0</v>
      </c>
      <c r="R646" s="449">
        <v>0</v>
      </c>
      <c r="S646" s="449">
        <v>0</v>
      </c>
      <c r="T646" s="449">
        <v>0</v>
      </c>
      <c r="U646" s="449">
        <v>0</v>
      </c>
      <c r="V646" s="449">
        <v>0</v>
      </c>
      <c r="W646" s="449">
        <v>0</v>
      </c>
      <c r="X646" s="449"/>
      <c r="Y646" s="449">
        <f t="shared" si="547"/>
        <v>9627</v>
      </c>
      <c r="Z646" s="531"/>
      <c r="AA646" s="449">
        <f t="shared" si="548"/>
        <v>583.33333333333337</v>
      </c>
      <c r="AB646" s="449">
        <f t="shared" si="548"/>
        <v>583.33333333333337</v>
      </c>
      <c r="AC646" s="449">
        <f t="shared" si="548"/>
        <v>583.33333333333337</v>
      </c>
      <c r="AD646" s="449">
        <f t="shared" si="548"/>
        <v>583.33333333333337</v>
      </c>
      <c r="AE646" s="449">
        <f t="shared" si="548"/>
        <v>583.33333333333337</v>
      </c>
      <c r="AF646" s="449">
        <f t="shared" si="548"/>
        <v>583.33333333333337</v>
      </c>
      <c r="AG646" s="449">
        <f t="shared" si="548"/>
        <v>583.33333333333337</v>
      </c>
      <c r="AH646" s="449">
        <f t="shared" si="548"/>
        <v>583.33333333333337</v>
      </c>
      <c r="AI646" s="449">
        <f t="shared" si="548"/>
        <v>583.33333333333337</v>
      </c>
      <c r="AJ646" s="449">
        <f t="shared" si="548"/>
        <v>583.33333333333337</v>
      </c>
      <c r="AK646" s="449">
        <f t="shared" si="548"/>
        <v>583.33333333333337</v>
      </c>
      <c r="AL646" s="449">
        <f t="shared" si="548"/>
        <v>583.33333333333337</v>
      </c>
      <c r="AN646" s="500">
        <f t="shared" si="549"/>
        <v>9627</v>
      </c>
      <c r="AO646" s="449">
        <f t="shared" si="550"/>
        <v>10585.833734939757</v>
      </c>
      <c r="AP646" s="449">
        <f t="shared" si="551"/>
        <v>958.83373493975705</v>
      </c>
      <c r="AQ646" s="453">
        <f t="shared" si="552"/>
        <v>9.9598393574296978E-2</v>
      </c>
      <c r="AR646" s="449">
        <f t="shared" si="553"/>
        <v>10585.833734939757</v>
      </c>
      <c r="AS646" s="449">
        <f t="shared" si="554"/>
        <v>0</v>
      </c>
      <c r="AT646" s="426">
        <f t="shared" si="555"/>
        <v>0</v>
      </c>
      <c r="AU646" s="421"/>
      <c r="AV646" s="449">
        <f t="shared" si="556"/>
        <v>882.15281124497994</v>
      </c>
      <c r="AW646" s="449">
        <f t="shared" si="556"/>
        <v>882.15281124497994</v>
      </c>
      <c r="AX646" s="449">
        <f t="shared" si="556"/>
        <v>882.15281124497994</v>
      </c>
      <c r="AY646" s="449">
        <f t="shared" si="556"/>
        <v>882.15281124497994</v>
      </c>
      <c r="AZ646" s="449">
        <f t="shared" si="556"/>
        <v>882.15281124497994</v>
      </c>
      <c r="BA646" s="449">
        <f t="shared" si="556"/>
        <v>882.15281124497994</v>
      </c>
      <c r="BB646" s="449">
        <f t="shared" si="556"/>
        <v>882.15281124497994</v>
      </c>
      <c r="BC646" s="449">
        <f t="shared" si="556"/>
        <v>882.15281124497994</v>
      </c>
      <c r="BD646" s="449">
        <f t="shared" si="556"/>
        <v>882.15281124497994</v>
      </c>
      <c r="BE646" s="449">
        <f t="shared" si="556"/>
        <v>882.15281124497994</v>
      </c>
      <c r="BF646" s="449">
        <f t="shared" si="556"/>
        <v>882.15281124497994</v>
      </c>
      <c r="BG646" s="449">
        <f t="shared" si="556"/>
        <v>882.15281124497994</v>
      </c>
      <c r="BH646" s="400"/>
      <c r="BI646" s="449">
        <f t="shared" ref="BI646:BT646" si="561">IFERROR((($D646/$H$5)*BI$5)/12,0)</f>
        <v>882.15281124497994</v>
      </c>
      <c r="BJ646" s="449">
        <f t="shared" si="561"/>
        <v>882.15281124497994</v>
      </c>
      <c r="BK646" s="449">
        <f t="shared" si="561"/>
        <v>882.15281124497994</v>
      </c>
      <c r="BL646" s="449">
        <f t="shared" si="561"/>
        <v>882.15281124497994</v>
      </c>
      <c r="BM646" s="449">
        <f t="shared" si="561"/>
        <v>882.15281124497994</v>
      </c>
      <c r="BN646" s="449">
        <f t="shared" si="561"/>
        <v>882.15281124497994</v>
      </c>
      <c r="BO646" s="449">
        <f t="shared" si="561"/>
        <v>882.15281124497994</v>
      </c>
      <c r="BP646" s="449">
        <f t="shared" si="561"/>
        <v>882.15281124497994</v>
      </c>
      <c r="BQ646" s="449">
        <f t="shared" si="561"/>
        <v>882.15281124497994</v>
      </c>
      <c r="BR646" s="449">
        <f t="shared" si="561"/>
        <v>882.15281124497994</v>
      </c>
      <c r="BS646" s="449">
        <f t="shared" si="561"/>
        <v>882.15281124497994</v>
      </c>
      <c r="BT646" s="449">
        <f t="shared" si="561"/>
        <v>882.15281124497994</v>
      </c>
    </row>
    <row r="647" spans="1:72" s="536" customFormat="1" ht="8.25" customHeight="1" x14ac:dyDescent="0.25">
      <c r="A647" s="502"/>
      <c r="B647" s="502"/>
      <c r="C647" s="538"/>
      <c r="D647" s="500"/>
      <c r="E647" s="449"/>
      <c r="F647" s="449"/>
      <c r="G647" s="421"/>
      <c r="H647" s="449"/>
      <c r="I647" s="449"/>
      <c r="J647" s="426"/>
      <c r="K647" s="421"/>
      <c r="L647" s="449"/>
      <c r="M647" s="449"/>
      <c r="N647" s="449"/>
      <c r="O647" s="449"/>
      <c r="P647" s="449"/>
      <c r="Q647" s="449"/>
      <c r="R647" s="449"/>
      <c r="S647" s="449"/>
      <c r="T647" s="449"/>
      <c r="U647" s="449"/>
      <c r="V647" s="449"/>
      <c r="W647" s="449"/>
      <c r="X647" s="449"/>
      <c r="Y647" s="449"/>
      <c r="Z647" s="531"/>
      <c r="AA647" s="449"/>
      <c r="AB647" s="449"/>
      <c r="AC647" s="449"/>
      <c r="AD647" s="449"/>
      <c r="AE647" s="449"/>
      <c r="AF647" s="449"/>
      <c r="AG647" s="449"/>
      <c r="AH647" s="449"/>
      <c r="AI647" s="449"/>
      <c r="AJ647" s="449"/>
      <c r="AK647" s="449"/>
      <c r="AL647" s="449"/>
      <c r="AN647" s="500"/>
      <c r="AO647" s="449"/>
      <c r="AP647" s="449"/>
      <c r="AQ647" s="453"/>
      <c r="AR647" s="449"/>
      <c r="AS647" s="449"/>
      <c r="AT647" s="426"/>
      <c r="AU647" s="421"/>
      <c r="AV647" s="449"/>
      <c r="AW647" s="449"/>
      <c r="AX647" s="449"/>
      <c r="AY647" s="449"/>
      <c r="AZ647" s="449"/>
      <c r="BA647" s="449"/>
      <c r="BB647" s="449"/>
      <c r="BC647" s="449"/>
      <c r="BD647" s="449"/>
      <c r="BE647" s="449"/>
      <c r="BF647" s="449"/>
      <c r="BG647" s="449"/>
      <c r="BH647" s="531"/>
      <c r="BI647" s="449"/>
      <c r="BJ647" s="449"/>
      <c r="BK647" s="449"/>
      <c r="BL647" s="449"/>
      <c r="BM647" s="449"/>
      <c r="BN647" s="449"/>
      <c r="BO647" s="449"/>
      <c r="BP647" s="449"/>
      <c r="BQ647" s="449"/>
      <c r="BR647" s="449"/>
      <c r="BS647" s="449"/>
      <c r="BT647" s="449"/>
    </row>
    <row r="648" spans="1:72" s="536" customFormat="1" ht="15" customHeight="1" thickBot="1" x14ac:dyDescent="0.3">
      <c r="A648" s="524"/>
      <c r="B648" s="524" t="s">
        <v>1056</v>
      </c>
      <c r="C648" s="535"/>
      <c r="D648" s="532">
        <f>SUM(D634:D647)</f>
        <v>2523274</v>
      </c>
      <c r="E648" s="533">
        <f>SUM(E634:E647)</f>
        <v>2150366.895</v>
      </c>
      <c r="F648" s="533">
        <f>IFERROR(D648-E648,0)</f>
        <v>372907.10499999998</v>
      </c>
      <c r="G648" s="520">
        <f>IFERROR(F648/ABS(E648),0)</f>
        <v>0.1734155719505717</v>
      </c>
      <c r="H648" s="533">
        <f>SUM(H634:H646)</f>
        <v>2520647</v>
      </c>
      <c r="I648" s="533">
        <f>IFERROR(D648-H648,0)</f>
        <v>2627</v>
      </c>
      <c r="J648" s="521">
        <f>IFERROR(I648/ABS(H648),0)</f>
        <v>1.0421927386103647E-3</v>
      </c>
      <c r="K648" s="507"/>
      <c r="L648" s="533">
        <f>SUM(L634:L647)</f>
        <v>0</v>
      </c>
      <c r="M648" s="533">
        <f t="shared" ref="M648:W648" si="562">SUM(M634:M647)</f>
        <v>366875.36</v>
      </c>
      <c r="N648" s="533">
        <f t="shared" si="562"/>
        <v>0</v>
      </c>
      <c r="O648" s="533">
        <f t="shared" si="562"/>
        <v>9627</v>
      </c>
      <c r="P648" s="533">
        <f t="shared" si="562"/>
        <v>0</v>
      </c>
      <c r="Q648" s="533">
        <f t="shared" si="562"/>
        <v>773856</v>
      </c>
      <c r="R648" s="533">
        <f t="shared" si="562"/>
        <v>228819.27333333332</v>
      </c>
      <c r="S648" s="533">
        <f t="shared" si="562"/>
        <v>228819.27333333337</v>
      </c>
      <c r="T648" s="533">
        <f t="shared" si="562"/>
        <v>228819.27333333335</v>
      </c>
      <c r="U648" s="533">
        <f t="shared" si="562"/>
        <v>228819.27333333332</v>
      </c>
      <c r="V648" s="533">
        <f t="shared" si="562"/>
        <v>228819.27333333329</v>
      </c>
      <c r="W648" s="533">
        <f t="shared" si="562"/>
        <v>228819.27333333323</v>
      </c>
      <c r="X648" s="533"/>
      <c r="Y648" s="533">
        <f>SUM(L648:W648)</f>
        <v>2523274.0000000005</v>
      </c>
      <c r="Z648" s="508"/>
      <c r="AA648" s="533">
        <f t="shared" ref="AA648:AL648" si="563">SUM(AA634:AA647)</f>
        <v>210053.91666666666</v>
      </c>
      <c r="AB648" s="533">
        <f t="shared" si="563"/>
        <v>210053.91666666666</v>
      </c>
      <c r="AC648" s="533">
        <f t="shared" si="563"/>
        <v>210053.91666666666</v>
      </c>
      <c r="AD648" s="533">
        <f t="shared" si="563"/>
        <v>210053.91666666666</v>
      </c>
      <c r="AE648" s="533">
        <f t="shared" si="563"/>
        <v>210053.91666666666</v>
      </c>
      <c r="AF648" s="533">
        <f t="shared" si="563"/>
        <v>210053.91666666666</v>
      </c>
      <c r="AG648" s="533">
        <f t="shared" si="563"/>
        <v>210053.91666666666</v>
      </c>
      <c r="AH648" s="533">
        <f t="shared" si="563"/>
        <v>210053.91666666666</v>
      </c>
      <c r="AI648" s="533">
        <f t="shared" si="563"/>
        <v>210053.91666666666</v>
      </c>
      <c r="AJ648" s="533">
        <f t="shared" si="563"/>
        <v>210053.91666666666</v>
      </c>
      <c r="AK648" s="533">
        <f t="shared" si="563"/>
        <v>210053.91666666666</v>
      </c>
      <c r="AL648" s="533">
        <f t="shared" si="563"/>
        <v>210053.91666666666</v>
      </c>
      <c r="AN648" s="532">
        <f>SUM(AN634:AN647)</f>
        <v>2523274</v>
      </c>
      <c r="AO648" s="533">
        <f>SUM(AO634:AO647)</f>
        <v>2243207.3337349398</v>
      </c>
      <c r="AP648" s="533">
        <f>IFERROR(AO648-AN648,0)</f>
        <v>-280066.66626506019</v>
      </c>
      <c r="AQ648" s="523">
        <f>IFERROR(AP648/ABS(AN648),"-")</f>
        <v>-0.11099336269666323</v>
      </c>
      <c r="AR648" s="533">
        <f>SUM(AR634:AR647)</f>
        <v>2243207.3337349398</v>
      </c>
      <c r="AS648" s="533">
        <f>IFERROR(AO648-AR648,0)</f>
        <v>0</v>
      </c>
      <c r="AT648" s="521">
        <f>IFERROR(AS648/ABS(AR648),0)</f>
        <v>0</v>
      </c>
      <c r="AU648" s="507"/>
      <c r="AV648" s="533">
        <f>SUM(AV634:AV647)</f>
        <v>40000.652811244981</v>
      </c>
      <c r="AW648" s="533">
        <f t="shared" ref="AW648:BG648" si="564">SUM(AW634:AW647)</f>
        <v>40000.652811244981</v>
      </c>
      <c r="AX648" s="533">
        <f t="shared" si="564"/>
        <v>40000.652811244981</v>
      </c>
      <c r="AY648" s="533">
        <f t="shared" si="564"/>
        <v>40000.652811244981</v>
      </c>
      <c r="AZ648" s="533">
        <f t="shared" si="564"/>
        <v>40000.652811244981</v>
      </c>
      <c r="BA648" s="533">
        <f t="shared" si="564"/>
        <v>921600.40281124495</v>
      </c>
      <c r="BB648" s="533">
        <f t="shared" si="564"/>
        <v>40000.652811244981</v>
      </c>
      <c r="BC648" s="533">
        <f t="shared" si="564"/>
        <v>40000.652811244981</v>
      </c>
      <c r="BD648" s="533">
        <f t="shared" si="564"/>
        <v>40000.652811244981</v>
      </c>
      <c r="BE648" s="533">
        <f t="shared" si="564"/>
        <v>40000.652811244981</v>
      </c>
      <c r="BF648" s="533">
        <f t="shared" si="564"/>
        <v>40000.652811244981</v>
      </c>
      <c r="BG648" s="533">
        <f t="shared" si="564"/>
        <v>921600.40281124495</v>
      </c>
      <c r="BH648" s="508"/>
      <c r="BI648" s="533">
        <f t="shared" ref="BI648:BT648" si="565">SUM(BI634:BI647)</f>
        <v>40000.652811244981</v>
      </c>
      <c r="BJ648" s="533">
        <f t="shared" si="565"/>
        <v>40000.652811244981</v>
      </c>
      <c r="BK648" s="533">
        <f t="shared" si="565"/>
        <v>40000.652811244981</v>
      </c>
      <c r="BL648" s="533">
        <f t="shared" si="565"/>
        <v>40000.652811244981</v>
      </c>
      <c r="BM648" s="533">
        <f t="shared" si="565"/>
        <v>40000.652811244981</v>
      </c>
      <c r="BN648" s="533">
        <f t="shared" si="565"/>
        <v>921600.40281124495</v>
      </c>
      <c r="BO648" s="533">
        <f t="shared" si="565"/>
        <v>40000.652811244981</v>
      </c>
      <c r="BP648" s="533">
        <f t="shared" si="565"/>
        <v>40000.652811244981</v>
      </c>
      <c r="BQ648" s="533">
        <f t="shared" si="565"/>
        <v>40000.652811244981</v>
      </c>
      <c r="BR648" s="533">
        <f t="shared" si="565"/>
        <v>40000.652811244981</v>
      </c>
      <c r="BS648" s="533">
        <f t="shared" si="565"/>
        <v>40000.652811244981</v>
      </c>
      <c r="BT648" s="533">
        <f t="shared" si="565"/>
        <v>921600.40281124495</v>
      </c>
    </row>
    <row r="649" spans="1:72" s="536" customFormat="1" ht="15" customHeight="1" thickTop="1" x14ac:dyDescent="0.25">
      <c r="A649" s="502"/>
      <c r="B649" s="502"/>
      <c r="C649" s="538"/>
      <c r="D649" s="500"/>
      <c r="E649" s="449"/>
      <c r="F649" s="449"/>
      <c r="G649" s="421"/>
      <c r="H649" s="449"/>
      <c r="I649" s="449"/>
      <c r="J649" s="426"/>
      <c r="K649" s="421"/>
      <c r="L649" s="449"/>
      <c r="M649" s="449"/>
      <c r="N649" s="449"/>
      <c r="O649" s="449"/>
      <c r="P649" s="449"/>
      <c r="Q649" s="449"/>
      <c r="R649" s="449"/>
      <c r="S649" s="449"/>
      <c r="T649" s="449"/>
      <c r="U649" s="449"/>
      <c r="V649" s="449"/>
      <c r="W649" s="449"/>
      <c r="X649" s="449"/>
      <c r="Y649" s="449"/>
      <c r="Z649" s="531"/>
      <c r="AA649" s="449"/>
      <c r="AB649" s="449"/>
      <c r="AC649" s="449"/>
      <c r="AD649" s="449"/>
      <c r="AE649" s="449"/>
      <c r="AF649" s="449"/>
      <c r="AG649" s="449"/>
      <c r="AH649" s="449"/>
      <c r="AI649" s="449"/>
      <c r="AJ649" s="449"/>
      <c r="AK649" s="449"/>
      <c r="AL649" s="449"/>
      <c r="AN649" s="500"/>
      <c r="AO649" s="449"/>
      <c r="AP649" s="449"/>
      <c r="AQ649" s="453"/>
      <c r="AR649" s="449"/>
      <c r="AS649" s="449"/>
      <c r="AT649" s="426"/>
      <c r="AU649" s="421"/>
      <c r="AV649" s="449"/>
      <c r="AW649" s="449"/>
      <c r="AX649" s="449"/>
      <c r="AY649" s="449"/>
      <c r="AZ649" s="449"/>
      <c r="BA649" s="449"/>
      <c r="BB649" s="449"/>
      <c r="BC649" s="449"/>
      <c r="BD649" s="449"/>
      <c r="BE649" s="449"/>
      <c r="BF649" s="449"/>
      <c r="BG649" s="449"/>
      <c r="BH649" s="531"/>
      <c r="BI649" s="449"/>
      <c r="BJ649" s="449"/>
      <c r="BK649" s="449"/>
      <c r="BL649" s="449"/>
      <c r="BM649" s="449"/>
      <c r="BN649" s="449"/>
      <c r="BO649" s="449"/>
      <c r="BP649" s="449"/>
      <c r="BQ649" s="449"/>
      <c r="BR649" s="449"/>
      <c r="BS649" s="449"/>
      <c r="BT649" s="449"/>
    </row>
    <row r="650" spans="1:72" s="536" customFormat="1" ht="15" customHeight="1" x14ac:dyDescent="0.25">
      <c r="A650" s="524" t="s">
        <v>1057</v>
      </c>
      <c r="B650" s="502"/>
      <c r="C650" s="538"/>
      <c r="D650" s="550">
        <f>+D630-D648</f>
        <v>-1184284.54</v>
      </c>
      <c r="E650" s="551">
        <f>+E630-E648</f>
        <v>-714781.26500000013</v>
      </c>
      <c r="F650" s="551">
        <f>IFERROR(D650-E650,0)</f>
        <v>-469503.27499999991</v>
      </c>
      <c r="G650" s="507">
        <f>IFERROR(F650/ABS(E650),0)</f>
        <v>-0.65684888229408167</v>
      </c>
      <c r="H650" s="551">
        <f>+H630-H648</f>
        <v>-1189549</v>
      </c>
      <c r="I650" s="551">
        <f>IFERROR(D650-H650,0)</f>
        <v>5264.4599999999627</v>
      </c>
      <c r="J650" s="529">
        <f>IFERROR(I650/ABS(H650),0)</f>
        <v>4.4255932290304667E-3</v>
      </c>
      <c r="K650" s="507"/>
      <c r="L650" s="551">
        <f t="shared" ref="L650:W650" si="566">+L630-L648</f>
        <v>83192.049999999988</v>
      </c>
      <c r="M650" s="551">
        <f t="shared" si="566"/>
        <v>-286256.55</v>
      </c>
      <c r="N650" s="551">
        <f t="shared" si="566"/>
        <v>79720.040000000008</v>
      </c>
      <c r="O650" s="551">
        <f t="shared" si="566"/>
        <v>75772.829999999987</v>
      </c>
      <c r="P650" s="551">
        <f t="shared" si="566"/>
        <v>79613.050000000047</v>
      </c>
      <c r="Q650" s="551">
        <f t="shared" si="566"/>
        <v>-629237.00000000012</v>
      </c>
      <c r="R650" s="551">
        <f t="shared" si="566"/>
        <v>-97848.159999999974</v>
      </c>
      <c r="S650" s="551">
        <f t="shared" si="566"/>
        <v>-97848.160000000047</v>
      </c>
      <c r="T650" s="551">
        <f t="shared" si="566"/>
        <v>-97848.16</v>
      </c>
      <c r="U650" s="551">
        <f t="shared" si="566"/>
        <v>-97848.15999999996</v>
      </c>
      <c r="V650" s="551">
        <f t="shared" si="566"/>
        <v>-97848.159999999887</v>
      </c>
      <c r="W650" s="551">
        <f t="shared" si="566"/>
        <v>-97848.159999999945</v>
      </c>
      <c r="X650" s="551"/>
      <c r="Y650" s="551">
        <f>SUM(L650:W650)</f>
        <v>-1184284.5399999998</v>
      </c>
      <c r="Z650" s="508"/>
      <c r="AA650" s="551">
        <f t="shared" ref="AA650:AL650" si="567">+AA630-AA648</f>
        <v>-99129.083333333314</v>
      </c>
      <c r="AB650" s="551">
        <f t="shared" si="567"/>
        <v>-99129.083333333314</v>
      </c>
      <c r="AC650" s="551">
        <f t="shared" si="567"/>
        <v>-99129.083333333314</v>
      </c>
      <c r="AD650" s="551">
        <f t="shared" si="567"/>
        <v>-99129.083333333314</v>
      </c>
      <c r="AE650" s="551">
        <f t="shared" si="567"/>
        <v>-99129.083333333314</v>
      </c>
      <c r="AF650" s="551">
        <f t="shared" si="567"/>
        <v>-99129.083333333314</v>
      </c>
      <c r="AG650" s="551">
        <f t="shared" si="567"/>
        <v>-99129.083333333314</v>
      </c>
      <c r="AH650" s="551">
        <f t="shared" si="567"/>
        <v>-99129.083333333314</v>
      </c>
      <c r="AI650" s="551">
        <f t="shared" si="567"/>
        <v>-99129.083333333314</v>
      </c>
      <c r="AJ650" s="551">
        <f t="shared" si="567"/>
        <v>-99129.083333333314</v>
      </c>
      <c r="AK650" s="551">
        <f t="shared" si="567"/>
        <v>-99129.083333333314</v>
      </c>
      <c r="AL650" s="551">
        <f t="shared" si="567"/>
        <v>-99129.083333333314</v>
      </c>
      <c r="AN650" s="550">
        <f>+AN630-AN648</f>
        <v>-1184284.54</v>
      </c>
      <c r="AO650" s="551">
        <f>+AO630-AO648</f>
        <v>-452116.37373493961</v>
      </c>
      <c r="AP650" s="551">
        <f>IFERROR(AO650-AN650,0)</f>
        <v>732168.16626506043</v>
      </c>
      <c r="AQ650" s="499">
        <f>IFERROR(AP650/ABS(AN650),"-")</f>
        <v>0.61823670033306388</v>
      </c>
      <c r="AR650" s="551">
        <f>+AR630-AR648</f>
        <v>-452116.37373493961</v>
      </c>
      <c r="AS650" s="551">
        <f>IFERROR(AO650-AR650,0)</f>
        <v>0</v>
      </c>
      <c r="AT650" s="529">
        <f>IFERROR(AS650/ABS(AR650),0)</f>
        <v>0</v>
      </c>
      <c r="AU650" s="507"/>
      <c r="AV650" s="551">
        <f t="shared" ref="AV650:BG650" si="568">+AV630-AV648</f>
        <v>109256.92718875501</v>
      </c>
      <c r="AW650" s="551">
        <f t="shared" si="568"/>
        <v>109256.92718875501</v>
      </c>
      <c r="AX650" s="551">
        <f t="shared" si="568"/>
        <v>109256.92718875501</v>
      </c>
      <c r="AY650" s="551">
        <f t="shared" si="568"/>
        <v>109256.92718875501</v>
      </c>
      <c r="AZ650" s="551">
        <f t="shared" si="568"/>
        <v>109256.92718875501</v>
      </c>
      <c r="BA650" s="551">
        <f t="shared" si="568"/>
        <v>-772342.82281124499</v>
      </c>
      <c r="BB650" s="551">
        <f t="shared" si="568"/>
        <v>109256.92718875501</v>
      </c>
      <c r="BC650" s="551">
        <f t="shared" si="568"/>
        <v>109256.92718875501</v>
      </c>
      <c r="BD650" s="551">
        <f t="shared" si="568"/>
        <v>109256.92718875501</v>
      </c>
      <c r="BE650" s="551">
        <f t="shared" si="568"/>
        <v>109256.92718875501</v>
      </c>
      <c r="BF650" s="551">
        <f t="shared" si="568"/>
        <v>109256.92718875501</v>
      </c>
      <c r="BG650" s="551">
        <f t="shared" si="568"/>
        <v>-772342.82281124499</v>
      </c>
      <c r="BH650" s="508"/>
      <c r="BI650" s="551">
        <f t="shared" ref="BI650:BT650" si="569">+BI630-BI648</f>
        <v>109256.92718875501</v>
      </c>
      <c r="BJ650" s="551">
        <f t="shared" si="569"/>
        <v>109256.92718875501</v>
      </c>
      <c r="BK650" s="551">
        <f t="shared" si="569"/>
        <v>109256.92718875501</v>
      </c>
      <c r="BL650" s="551">
        <f t="shared" si="569"/>
        <v>109256.92718875501</v>
      </c>
      <c r="BM650" s="551">
        <f t="shared" si="569"/>
        <v>109256.92718875501</v>
      </c>
      <c r="BN650" s="551">
        <f t="shared" si="569"/>
        <v>-772342.82281124499</v>
      </c>
      <c r="BO650" s="551">
        <f t="shared" si="569"/>
        <v>109256.92718875501</v>
      </c>
      <c r="BP650" s="551">
        <f t="shared" si="569"/>
        <v>109256.92718875501</v>
      </c>
      <c r="BQ650" s="551">
        <f t="shared" si="569"/>
        <v>109256.92718875501</v>
      </c>
      <c r="BR650" s="551">
        <f t="shared" si="569"/>
        <v>109256.92718875501</v>
      </c>
      <c r="BS650" s="551">
        <f t="shared" si="569"/>
        <v>109256.92718875501</v>
      </c>
      <c r="BT650" s="551">
        <f t="shared" si="569"/>
        <v>-772342.82281124499</v>
      </c>
    </row>
    <row r="651" spans="1:72" s="536" customFormat="1" ht="9" hidden="1" customHeight="1" x14ac:dyDescent="0.25">
      <c r="A651" s="502"/>
      <c r="B651" s="502"/>
      <c r="C651" s="538"/>
      <c r="D651" s="500"/>
      <c r="E651" s="449"/>
      <c r="F651" s="449"/>
      <c r="G651" s="421"/>
      <c r="H651" s="449"/>
      <c r="I651" s="449"/>
      <c r="J651" s="426"/>
      <c r="K651" s="421"/>
      <c r="L651" s="449"/>
      <c r="M651" s="449"/>
      <c r="N651" s="449"/>
      <c r="O651" s="449"/>
      <c r="P651" s="449"/>
      <c r="Q651" s="449"/>
      <c r="R651" s="449"/>
      <c r="S651" s="449"/>
      <c r="T651" s="449"/>
      <c r="U651" s="449"/>
      <c r="V651" s="449"/>
      <c r="W651" s="449"/>
      <c r="X651" s="449"/>
      <c r="Y651" s="449"/>
      <c r="Z651" s="531"/>
      <c r="AA651" s="449"/>
      <c r="AB651" s="449"/>
      <c r="AC651" s="449"/>
      <c r="AD651" s="449"/>
      <c r="AE651" s="449"/>
      <c r="AF651" s="449"/>
      <c r="AG651" s="449"/>
      <c r="AH651" s="449"/>
      <c r="AI651" s="449"/>
      <c r="AJ651" s="449"/>
      <c r="AK651" s="449"/>
      <c r="AL651" s="449"/>
      <c r="AN651" s="500"/>
      <c r="AO651" s="449"/>
      <c r="AP651" s="449"/>
      <c r="AQ651" s="453"/>
      <c r="AR651" s="449"/>
      <c r="AS651" s="449"/>
      <c r="AT651" s="426"/>
      <c r="AU651" s="421"/>
      <c r="AV651" s="449"/>
      <c r="AW651" s="449"/>
      <c r="AX651" s="449"/>
      <c r="AY651" s="449"/>
      <c r="AZ651" s="449"/>
      <c r="BA651" s="449"/>
      <c r="BB651" s="449"/>
      <c r="BC651" s="449"/>
      <c r="BD651" s="449"/>
      <c r="BE651" s="449"/>
      <c r="BF651" s="449"/>
      <c r="BG651" s="449"/>
      <c r="BH651" s="531"/>
      <c r="BI651" s="449"/>
      <c r="BJ651" s="449"/>
      <c r="BK651" s="449"/>
      <c r="BL651" s="449"/>
      <c r="BM651" s="449"/>
      <c r="BN651" s="449"/>
      <c r="BO651" s="449"/>
      <c r="BP651" s="449"/>
      <c r="BQ651" s="449"/>
      <c r="BR651" s="449"/>
      <c r="BS651" s="449"/>
      <c r="BT651" s="449"/>
    </row>
    <row r="652" spans="1:72" s="536" customFormat="1" ht="15" hidden="1" customHeight="1" x14ac:dyDescent="0.25">
      <c r="A652" s="524" t="s">
        <v>1058</v>
      </c>
      <c r="B652" s="502"/>
      <c r="C652" s="538"/>
      <c r="D652" s="550"/>
      <c r="E652" s="551">
        <v>-1859211</v>
      </c>
      <c r="F652" s="551"/>
      <c r="G652" s="507"/>
      <c r="H652" s="551">
        <v>-1859211</v>
      </c>
      <c r="I652" s="551"/>
      <c r="J652" s="529"/>
      <c r="K652" s="507"/>
      <c r="L652" s="551"/>
      <c r="M652" s="551"/>
      <c r="N652" s="551"/>
      <c r="O652" s="551"/>
      <c r="P652" s="551"/>
      <c r="Q652" s="551"/>
      <c r="R652" s="551"/>
      <c r="S652" s="551"/>
      <c r="T652" s="551"/>
      <c r="U652" s="551"/>
      <c r="V652" s="551"/>
      <c r="W652" s="551"/>
      <c r="X652" s="551"/>
      <c r="Y652" s="551"/>
      <c r="Z652" s="508"/>
      <c r="AA652" s="551"/>
      <c r="AB652" s="551"/>
      <c r="AC652" s="551"/>
      <c r="AD652" s="551"/>
      <c r="AE652" s="551"/>
      <c r="AF652" s="551"/>
      <c r="AG652" s="551"/>
      <c r="AH652" s="551"/>
      <c r="AI652" s="551"/>
      <c r="AJ652" s="551"/>
      <c r="AK652" s="551"/>
      <c r="AL652" s="551"/>
      <c r="AN652" s="550"/>
      <c r="AO652" s="551"/>
      <c r="AP652" s="551"/>
      <c r="AQ652" s="499"/>
      <c r="AR652" s="528">
        <f>H654</f>
        <v>-3048760</v>
      </c>
      <c r="AS652" s="551"/>
      <c r="AT652" s="529"/>
      <c r="AU652" s="507"/>
      <c r="AV652" s="551"/>
      <c r="AW652" s="551"/>
      <c r="AX652" s="551"/>
      <c r="AY652" s="551"/>
      <c r="AZ652" s="551"/>
      <c r="BA652" s="551"/>
      <c r="BB652" s="551"/>
      <c r="BC652" s="551"/>
      <c r="BD652" s="551"/>
      <c r="BE652" s="551"/>
      <c r="BF652" s="551"/>
      <c r="BG652" s="551"/>
      <c r="BH652" s="508"/>
      <c r="BI652" s="551"/>
      <c r="BJ652" s="551"/>
      <c r="BK652" s="551"/>
      <c r="BL652" s="551"/>
      <c r="BM652" s="551"/>
      <c r="BN652" s="551"/>
      <c r="BO652" s="551"/>
      <c r="BP652" s="551"/>
      <c r="BQ652" s="551"/>
      <c r="BR652" s="551"/>
      <c r="BS652" s="551"/>
      <c r="BT652" s="551"/>
    </row>
    <row r="653" spans="1:72" s="536" customFormat="1" ht="7.5" hidden="1" customHeight="1" x14ac:dyDescent="0.25">
      <c r="A653" s="502"/>
      <c r="B653" s="502"/>
      <c r="C653" s="538"/>
      <c r="D653" s="500"/>
      <c r="E653" s="449"/>
      <c r="F653" s="449"/>
      <c r="G653" s="421"/>
      <c r="H653" s="449"/>
      <c r="I653" s="449"/>
      <c r="J653" s="426"/>
      <c r="K653" s="421"/>
      <c r="L653" s="449"/>
      <c r="M653" s="449"/>
      <c r="N653" s="449"/>
      <c r="O653" s="449"/>
      <c r="P653" s="449"/>
      <c r="Q653" s="449"/>
      <c r="R653" s="449"/>
      <c r="S653" s="449"/>
      <c r="T653" s="449"/>
      <c r="U653" s="449"/>
      <c r="V653" s="449"/>
      <c r="W653" s="449"/>
      <c r="X653" s="449"/>
      <c r="Y653" s="449"/>
      <c r="Z653" s="531"/>
      <c r="AA653" s="449"/>
      <c r="AB653" s="449"/>
      <c r="AC653" s="449"/>
      <c r="AD653" s="449"/>
      <c r="AE653" s="449"/>
      <c r="AF653" s="449"/>
      <c r="AG653" s="449"/>
      <c r="AH653" s="449"/>
      <c r="AI653" s="449"/>
      <c r="AJ653" s="449"/>
      <c r="AK653" s="449"/>
      <c r="AL653" s="449"/>
      <c r="AN653" s="500"/>
      <c r="AO653" s="449"/>
      <c r="AP653" s="449"/>
      <c r="AQ653" s="453"/>
      <c r="AR653" s="449"/>
      <c r="AS653" s="449"/>
      <c r="AT653" s="426"/>
      <c r="AU653" s="421"/>
      <c r="AV653" s="449"/>
      <c r="AW653" s="449"/>
      <c r="AX653" s="449"/>
      <c r="AY653" s="449"/>
      <c r="AZ653" s="449"/>
      <c r="BA653" s="449"/>
      <c r="BB653" s="449"/>
      <c r="BC653" s="449"/>
      <c r="BD653" s="449"/>
      <c r="BE653" s="449"/>
      <c r="BF653" s="449"/>
      <c r="BG653" s="449"/>
      <c r="BH653" s="531"/>
      <c r="BI653" s="449"/>
      <c r="BJ653" s="449"/>
      <c r="BK653" s="449"/>
      <c r="BL653" s="449"/>
      <c r="BM653" s="449"/>
      <c r="BN653" s="449"/>
      <c r="BO653" s="449"/>
      <c r="BP653" s="449"/>
      <c r="BQ653" s="449"/>
      <c r="BR653" s="449"/>
      <c r="BS653" s="449"/>
      <c r="BT653" s="449"/>
    </row>
    <row r="654" spans="1:72" s="536" customFormat="1" ht="15" hidden="1" customHeight="1" thickBot="1" x14ac:dyDescent="0.3">
      <c r="A654" s="524" t="s">
        <v>1059</v>
      </c>
      <c r="B654" s="502"/>
      <c r="C654" s="538"/>
      <c r="D654" s="550"/>
      <c r="E654" s="533">
        <f>E650+E652</f>
        <v>-2573992.2650000001</v>
      </c>
      <c r="F654" s="551"/>
      <c r="G654" s="507"/>
      <c r="H654" s="533">
        <f>+H650+H652</f>
        <v>-3048760</v>
      </c>
      <c r="I654" s="551"/>
      <c r="J654" s="529"/>
      <c r="K654" s="507"/>
      <c r="L654" s="551"/>
      <c r="M654" s="551"/>
      <c r="N654" s="551"/>
      <c r="O654" s="551"/>
      <c r="P654" s="551"/>
      <c r="Q654" s="551"/>
      <c r="R654" s="551"/>
      <c r="S654" s="551"/>
      <c r="T654" s="551"/>
      <c r="U654" s="551"/>
      <c r="V654" s="551"/>
      <c r="W654" s="551"/>
      <c r="X654" s="551"/>
      <c r="Y654" s="551"/>
      <c r="Z654" s="508"/>
      <c r="AA654" s="551"/>
      <c r="AB654" s="551"/>
      <c r="AC654" s="551"/>
      <c r="AD654" s="551"/>
      <c r="AE654" s="551"/>
      <c r="AF654" s="551"/>
      <c r="AG654" s="551"/>
      <c r="AH654" s="551"/>
      <c r="AI654" s="551"/>
      <c r="AJ654" s="551"/>
      <c r="AK654" s="551"/>
      <c r="AL654" s="551"/>
      <c r="AN654" s="550"/>
      <c r="AO654" s="551"/>
      <c r="AP654" s="551"/>
      <c r="AQ654" s="499"/>
      <c r="AR654" s="533">
        <f>+AR650+AR652</f>
        <v>-3500876.3737349398</v>
      </c>
      <c r="AS654" s="551"/>
      <c r="AT654" s="529"/>
      <c r="AU654" s="507"/>
      <c r="AV654" s="551"/>
      <c r="AW654" s="551"/>
      <c r="AX654" s="551"/>
      <c r="AY654" s="551"/>
      <c r="AZ654" s="551"/>
      <c r="BA654" s="551"/>
      <c r="BB654" s="551"/>
      <c r="BC654" s="551"/>
      <c r="BD654" s="551"/>
      <c r="BE654" s="551"/>
      <c r="BF654" s="551"/>
      <c r="BG654" s="551"/>
      <c r="BH654" s="508"/>
      <c r="BI654" s="551"/>
      <c r="BJ654" s="551"/>
      <c r="BK654" s="551"/>
      <c r="BL654" s="551"/>
      <c r="BM654" s="551"/>
      <c r="BN654" s="551"/>
      <c r="BO654" s="551"/>
      <c r="BP654" s="551"/>
      <c r="BQ654" s="551"/>
      <c r="BR654" s="551"/>
      <c r="BS654" s="551"/>
      <c r="BT654" s="551"/>
    </row>
    <row r="655" spans="1:72" s="536" customFormat="1" ht="15" hidden="1" customHeight="1" thickTop="1" x14ac:dyDescent="0.25">
      <c r="A655" s="502"/>
      <c r="B655" s="502"/>
      <c r="C655" s="538"/>
      <c r="D655" s="500"/>
      <c r="E655" s="449"/>
      <c r="F655" s="449"/>
      <c r="G655" s="421"/>
      <c r="H655" s="449"/>
      <c r="I655" s="449"/>
      <c r="J655" s="426"/>
      <c r="K655" s="421"/>
      <c r="L655" s="449"/>
      <c r="M655" s="449"/>
      <c r="N655" s="449"/>
      <c r="O655" s="449"/>
      <c r="P655" s="449"/>
      <c r="Q655" s="449"/>
      <c r="R655" s="449"/>
      <c r="S655" s="449"/>
      <c r="T655" s="449"/>
      <c r="U655" s="449"/>
      <c r="V655" s="449"/>
      <c r="W655" s="449"/>
      <c r="X655" s="449"/>
      <c r="Y655" s="449"/>
      <c r="Z655" s="531"/>
      <c r="AA655" s="449"/>
      <c r="AB655" s="449"/>
      <c r="AC655" s="449"/>
      <c r="AD655" s="449"/>
      <c r="AE655" s="449"/>
      <c r="AF655" s="449"/>
      <c r="AG655" s="449"/>
      <c r="AH655" s="449"/>
      <c r="AI655" s="449"/>
      <c r="AJ655" s="449"/>
      <c r="AK655" s="449"/>
      <c r="AL655" s="449"/>
      <c r="AN655" s="500"/>
      <c r="AO655" s="449"/>
      <c r="AP655" s="449"/>
      <c r="AQ655" s="453"/>
      <c r="AR655" s="449"/>
      <c r="AS655" s="449"/>
      <c r="AT655" s="426"/>
      <c r="AU655" s="421"/>
      <c r="AV655" s="449"/>
      <c r="AW655" s="449"/>
      <c r="AX655" s="449"/>
      <c r="AY655" s="449"/>
      <c r="AZ655" s="449"/>
      <c r="BA655" s="449"/>
      <c r="BB655" s="449"/>
      <c r="BC655" s="449"/>
      <c r="BD655" s="449"/>
      <c r="BE655" s="449"/>
      <c r="BF655" s="449"/>
      <c r="BG655" s="449"/>
      <c r="BH655" s="531"/>
      <c r="BI655" s="449"/>
      <c r="BJ655" s="449"/>
      <c r="BK655" s="449"/>
      <c r="BL655" s="449"/>
      <c r="BM655" s="449"/>
      <c r="BN655" s="449"/>
      <c r="BO655" s="449"/>
      <c r="BP655" s="449"/>
      <c r="BQ655" s="449"/>
      <c r="BR655" s="449"/>
      <c r="BS655" s="449"/>
      <c r="BT655" s="449"/>
    </row>
    <row r="656" spans="1:72" s="536" customFormat="1" ht="15" customHeight="1" x14ac:dyDescent="0.25">
      <c r="A656" s="502"/>
      <c r="B656" s="502"/>
      <c r="C656" s="538"/>
      <c r="D656" s="500"/>
      <c r="E656" s="449"/>
      <c r="F656" s="449"/>
      <c r="G656" s="421"/>
      <c r="H656" s="449"/>
      <c r="I656" s="449"/>
      <c r="J656" s="426"/>
      <c r="K656" s="421"/>
      <c r="L656" s="449"/>
      <c r="M656" s="449"/>
      <c r="N656" s="449"/>
      <c r="O656" s="449"/>
      <c r="P656" s="449"/>
      <c r="Q656" s="449"/>
      <c r="R656" s="449"/>
      <c r="S656" s="449"/>
      <c r="T656" s="449"/>
      <c r="U656" s="449"/>
      <c r="V656" s="449"/>
      <c r="W656" s="449"/>
      <c r="X656" s="449"/>
      <c r="Y656" s="449"/>
      <c r="Z656" s="531"/>
      <c r="AA656" s="449"/>
      <c r="AB656" s="449"/>
      <c r="AC656" s="449"/>
      <c r="AD656" s="449"/>
      <c r="AE656" s="449"/>
      <c r="AF656" s="449"/>
      <c r="AG656" s="449"/>
      <c r="AH656" s="449"/>
      <c r="AI656" s="449"/>
      <c r="AJ656" s="449"/>
      <c r="AK656" s="449"/>
      <c r="AL656" s="449"/>
      <c r="AN656" s="500"/>
      <c r="AO656" s="449"/>
      <c r="AP656" s="449"/>
      <c r="AQ656" s="453"/>
      <c r="AR656" s="449"/>
      <c r="AS656" s="449"/>
      <c r="AT656" s="426"/>
      <c r="AU656" s="421"/>
      <c r="AV656" s="449"/>
      <c r="AW656" s="449"/>
      <c r="AX656" s="449"/>
      <c r="AY656" s="449"/>
      <c r="AZ656" s="449"/>
      <c r="BA656" s="449"/>
      <c r="BB656" s="449"/>
      <c r="BC656" s="449"/>
      <c r="BD656" s="449"/>
      <c r="BE656" s="449"/>
      <c r="BF656" s="449"/>
      <c r="BG656" s="449"/>
      <c r="BH656" s="531"/>
      <c r="BI656" s="449"/>
      <c r="BJ656" s="449"/>
      <c r="BK656" s="449"/>
      <c r="BL656" s="449"/>
      <c r="BM656" s="449"/>
      <c r="BN656" s="449"/>
      <c r="BO656" s="449"/>
      <c r="BP656" s="449"/>
      <c r="BQ656" s="449"/>
      <c r="BR656" s="449"/>
      <c r="BS656" s="449"/>
      <c r="BT656" s="449"/>
    </row>
    <row r="657" spans="1:72" s="536" customFormat="1" ht="15" customHeight="1" x14ac:dyDescent="0.25">
      <c r="A657" s="502"/>
      <c r="B657" s="552" t="s">
        <v>1060</v>
      </c>
      <c r="C657" s="538"/>
      <c r="D657" s="500"/>
      <c r="E657" s="449"/>
      <c r="F657" s="449"/>
      <c r="G657" s="421"/>
      <c r="H657" s="449"/>
      <c r="I657" s="449"/>
      <c r="J657" s="426"/>
      <c r="K657" s="421"/>
      <c r="L657" s="449"/>
      <c r="M657" s="449"/>
      <c r="N657" s="449"/>
      <c r="O657" s="449"/>
      <c r="P657" s="449"/>
      <c r="Q657" s="449"/>
      <c r="R657" s="449"/>
      <c r="S657" s="449"/>
      <c r="T657" s="449"/>
      <c r="U657" s="449"/>
      <c r="V657" s="449"/>
      <c r="W657" s="449"/>
      <c r="X657" s="449"/>
      <c r="Y657" s="449"/>
      <c r="Z657" s="531"/>
      <c r="AA657" s="449"/>
      <c r="AB657" s="449"/>
      <c r="AC657" s="449"/>
      <c r="AD657" s="449"/>
      <c r="AE657" s="449"/>
      <c r="AF657" s="449"/>
      <c r="AG657" s="449"/>
      <c r="AH657" s="449"/>
      <c r="AI657" s="449"/>
      <c r="AJ657" s="449"/>
      <c r="AK657" s="449"/>
      <c r="AL657" s="449"/>
      <c r="AN657" s="500"/>
      <c r="AO657" s="449"/>
      <c r="AP657" s="449"/>
      <c r="AQ657" s="453"/>
      <c r="AR657" s="449"/>
      <c r="AS657" s="449"/>
      <c r="AT657" s="426"/>
      <c r="AU657" s="421"/>
      <c r="AV657" s="449"/>
      <c r="AW657" s="449"/>
      <c r="AX657" s="449"/>
      <c r="AY657" s="449"/>
      <c r="AZ657" s="449"/>
      <c r="BA657" s="449"/>
      <c r="BB657" s="449"/>
      <c r="BC657" s="449"/>
      <c r="BD657" s="449"/>
      <c r="BE657" s="449"/>
      <c r="BF657" s="449"/>
      <c r="BG657" s="449"/>
      <c r="BH657" s="531"/>
      <c r="BI657" s="449"/>
      <c r="BJ657" s="449"/>
      <c r="BK657" s="449"/>
      <c r="BL657" s="449"/>
      <c r="BM657" s="449"/>
      <c r="BN657" s="449"/>
      <c r="BO657" s="449"/>
      <c r="BP657" s="449"/>
      <c r="BQ657" s="449"/>
      <c r="BR657" s="449"/>
      <c r="BS657" s="449"/>
      <c r="BT657" s="449"/>
    </row>
    <row r="658" spans="1:72" s="536" customFormat="1" ht="15" customHeight="1" x14ac:dyDescent="0.25">
      <c r="A658" s="502"/>
      <c r="B658" s="502"/>
      <c r="C658" s="538"/>
      <c r="D658" s="500"/>
      <c r="E658" s="449"/>
      <c r="F658" s="449"/>
      <c r="G658" s="421"/>
      <c r="H658" s="449"/>
      <c r="I658" s="449"/>
      <c r="J658" s="426"/>
      <c r="K658" s="421"/>
      <c r="L658" s="449"/>
      <c r="M658" s="449"/>
      <c r="N658" s="449"/>
      <c r="O658" s="449"/>
      <c r="P658" s="449"/>
      <c r="Q658" s="449"/>
      <c r="R658" s="449"/>
      <c r="S658" s="449"/>
      <c r="T658" s="449"/>
      <c r="U658" s="449"/>
      <c r="V658" s="449"/>
      <c r="W658" s="449"/>
      <c r="X658" s="449"/>
      <c r="Y658" s="449"/>
      <c r="Z658" s="531"/>
      <c r="AA658" s="449"/>
      <c r="AB658" s="449"/>
      <c r="AC658" s="449"/>
      <c r="AD658" s="449"/>
      <c r="AE658" s="449"/>
      <c r="AF658" s="449"/>
      <c r="AG658" s="449"/>
      <c r="AH658" s="449"/>
      <c r="AI658" s="449"/>
      <c r="AJ658" s="449"/>
      <c r="AK658" s="449"/>
      <c r="AL658" s="449"/>
      <c r="AN658" s="500"/>
      <c r="AO658" s="449"/>
      <c r="AP658" s="449"/>
      <c r="AQ658" s="453"/>
      <c r="AR658" s="449"/>
      <c r="AS658" s="449"/>
      <c r="AT658" s="426"/>
      <c r="AU658" s="421"/>
      <c r="AV658" s="449"/>
      <c r="AW658" s="449"/>
      <c r="AX658" s="449"/>
      <c r="AY658" s="449"/>
      <c r="AZ658" s="449"/>
      <c r="BA658" s="449"/>
      <c r="BB658" s="449"/>
      <c r="BC658" s="449"/>
      <c r="BD658" s="449"/>
      <c r="BE658" s="449"/>
      <c r="BF658" s="449"/>
      <c r="BG658" s="449"/>
      <c r="BH658" s="531"/>
      <c r="BI658" s="449"/>
      <c r="BJ658" s="449"/>
      <c r="BK658" s="449"/>
      <c r="BL658" s="449"/>
      <c r="BM658" s="449"/>
      <c r="BN658" s="449"/>
      <c r="BO658" s="449"/>
      <c r="BP658" s="449"/>
      <c r="BQ658" s="449"/>
      <c r="BR658" s="449"/>
      <c r="BS658" s="449"/>
      <c r="BT658" s="449"/>
    </row>
    <row r="659" spans="1:72" s="536" customFormat="1" ht="15" customHeight="1" x14ac:dyDescent="0.25">
      <c r="A659" s="502"/>
      <c r="B659" s="524" t="s">
        <v>1061</v>
      </c>
      <c r="C659" s="538"/>
      <c r="D659" s="500"/>
      <c r="E659" s="449"/>
      <c r="F659" s="449"/>
      <c r="G659" s="421"/>
      <c r="H659" s="449"/>
      <c r="I659" s="449"/>
      <c r="J659" s="426"/>
      <c r="K659" s="421"/>
      <c r="L659" s="449"/>
      <c r="M659" s="449"/>
      <c r="N659" s="449"/>
      <c r="O659" s="449"/>
      <c r="P659" s="449"/>
      <c r="Q659" s="449"/>
      <c r="R659" s="449"/>
      <c r="S659" s="449"/>
      <c r="T659" s="449"/>
      <c r="U659" s="449"/>
      <c r="V659" s="449"/>
      <c r="W659" s="449"/>
      <c r="X659" s="449"/>
      <c r="Y659" s="449"/>
      <c r="Z659" s="531"/>
      <c r="AA659" s="449"/>
      <c r="AB659" s="449"/>
      <c r="AC659" s="449"/>
      <c r="AD659" s="449"/>
      <c r="AE659" s="449"/>
      <c r="AF659" s="449"/>
      <c r="AG659" s="449"/>
      <c r="AH659" s="449"/>
      <c r="AI659" s="449"/>
      <c r="AJ659" s="449"/>
      <c r="AK659" s="449"/>
      <c r="AL659" s="449"/>
      <c r="AN659" s="500"/>
      <c r="AO659" s="449"/>
      <c r="AP659" s="449"/>
      <c r="AQ659" s="453"/>
      <c r="AR659" s="449"/>
      <c r="AS659" s="449"/>
      <c r="AT659" s="426"/>
      <c r="AU659" s="421"/>
      <c r="AV659" s="449"/>
      <c r="AW659" s="449"/>
      <c r="AX659" s="449"/>
      <c r="AY659" s="449"/>
      <c r="AZ659" s="449"/>
      <c r="BA659" s="449"/>
      <c r="BB659" s="449"/>
      <c r="BC659" s="449"/>
      <c r="BD659" s="449"/>
      <c r="BE659" s="449"/>
      <c r="BF659" s="449"/>
      <c r="BG659" s="449"/>
      <c r="BH659" s="531"/>
      <c r="BI659" s="449"/>
      <c r="BJ659" s="449"/>
      <c r="BK659" s="449"/>
      <c r="BL659" s="449"/>
      <c r="BM659" s="449"/>
      <c r="BN659" s="449"/>
      <c r="BO659" s="449"/>
      <c r="BP659" s="449"/>
      <c r="BQ659" s="449"/>
      <c r="BR659" s="449"/>
      <c r="BS659" s="449"/>
      <c r="BT659" s="449"/>
    </row>
    <row r="660" spans="1:72" ht="15" customHeight="1" x14ac:dyDescent="0.25">
      <c r="A660" s="502" t="s">
        <v>1062</v>
      </c>
      <c r="B660" s="502" t="s">
        <v>1063</v>
      </c>
      <c r="C660" s="400"/>
      <c r="D660" s="500">
        <f t="shared" ref="D660:D666" si="570">SUM(L660:W660)</f>
        <v>16075</v>
      </c>
      <c r="E660" s="449">
        <v>16075</v>
      </c>
      <c r="F660" s="449">
        <f t="shared" ref="F660:F666" si="571">IFERROR(D660-E660,0)</f>
        <v>0</v>
      </c>
      <c r="G660" s="421">
        <f t="shared" ref="G660:G666" si="572">IFERROR(F660/ABS(E660),0)</f>
        <v>0</v>
      </c>
      <c r="H660" s="449">
        <v>16075</v>
      </c>
      <c r="I660" s="449">
        <f t="shared" ref="I660:I666" si="573">IFERROR(D660-H660,0)</f>
        <v>0</v>
      </c>
      <c r="J660" s="426">
        <f t="shared" ref="J660:J666" si="574">IFERROR(I660/ABS(H660),0)</f>
        <v>0</v>
      </c>
      <c r="K660" s="421"/>
      <c r="L660" s="449">
        <v>465.2</v>
      </c>
      <c r="M660" s="449">
        <v>0</v>
      </c>
      <c r="N660" s="449">
        <v>0</v>
      </c>
      <c r="O660" s="449">
        <v>0</v>
      </c>
      <c r="P660" s="449">
        <v>39.600000000000023</v>
      </c>
      <c r="Q660" s="449">
        <v>15.949999999999989</v>
      </c>
      <c r="R660" s="449">
        <f>($H660-SUM($L660:Q660))/R$694</f>
        <v>2592.375</v>
      </c>
      <c r="S660" s="449">
        <f>($H660-SUM($L660:R660))/S$694</f>
        <v>2592.375</v>
      </c>
      <c r="T660" s="449">
        <f>($H660-SUM($L660:S660))/T$694</f>
        <v>2592.375</v>
      </c>
      <c r="U660" s="449">
        <f>($H660-SUM($L660:T660))/U$694</f>
        <v>2592.375</v>
      </c>
      <c r="V660" s="449">
        <f>($H660-SUM($L660:U660))/V$694</f>
        <v>2592.375</v>
      </c>
      <c r="W660" s="449">
        <f>($H660-SUM($L660:V660))/W$694</f>
        <v>2592.375</v>
      </c>
      <c r="X660" s="449"/>
      <c r="Y660" s="449">
        <f t="shared" ref="Y660:Y666" si="575">SUM(L660:W660)</f>
        <v>16075</v>
      </c>
      <c r="Z660" s="501"/>
      <c r="AA660" s="449">
        <f t="shared" ref="AA660:AL666" si="576">IFERROR($H660/12,0)</f>
        <v>1339.5833333333333</v>
      </c>
      <c r="AB660" s="449">
        <f t="shared" si="576"/>
        <v>1339.5833333333333</v>
      </c>
      <c r="AC660" s="449">
        <f t="shared" si="576"/>
        <v>1339.5833333333333</v>
      </c>
      <c r="AD660" s="449">
        <f t="shared" si="576"/>
        <v>1339.5833333333333</v>
      </c>
      <c r="AE660" s="449">
        <f t="shared" si="576"/>
        <v>1339.5833333333333</v>
      </c>
      <c r="AF660" s="449">
        <f t="shared" si="576"/>
        <v>1339.5833333333333</v>
      </c>
      <c r="AG660" s="449">
        <f t="shared" si="576"/>
        <v>1339.5833333333333</v>
      </c>
      <c r="AH660" s="449">
        <f t="shared" si="576"/>
        <v>1339.5833333333333</v>
      </c>
      <c r="AI660" s="449">
        <f t="shared" si="576"/>
        <v>1339.5833333333333</v>
      </c>
      <c r="AJ660" s="449">
        <f t="shared" si="576"/>
        <v>1339.5833333333333</v>
      </c>
      <c r="AK660" s="449">
        <f t="shared" si="576"/>
        <v>1339.5833333333333</v>
      </c>
      <c r="AL660" s="449">
        <f t="shared" si="576"/>
        <v>1339.5833333333333</v>
      </c>
      <c r="AN660" s="500">
        <f t="shared" ref="AN660:AN666" si="577">SUM(L660:W660)</f>
        <v>16075</v>
      </c>
      <c r="AO660" s="449">
        <f t="shared" ref="AO660:AO666" si="578">SUM(BI660:BT660)</f>
        <v>17676.04417670683</v>
      </c>
      <c r="AP660" s="449">
        <f t="shared" ref="AP660:AP666" si="579">IFERROR(AO660-AN660,0)</f>
        <v>1601.0441767068296</v>
      </c>
      <c r="AQ660" s="453">
        <f t="shared" ref="AQ660:AQ666" si="580">IFERROR(AP660/ABS(AN660),"-")</f>
        <v>9.9598393574297325E-2</v>
      </c>
      <c r="AR660" s="449">
        <f t="shared" ref="AR660:AR666" si="581">SUM(BI660:BT660)</f>
        <v>17676.04417670683</v>
      </c>
      <c r="AS660" s="449">
        <f t="shared" ref="AS660:AS666" si="582">IFERROR(AO660-AR660,0)</f>
        <v>0</v>
      </c>
      <c r="AT660" s="426">
        <f t="shared" ref="AT660:AT666" si="583">IFERROR(AS660/ABS(AR660),0)</f>
        <v>0</v>
      </c>
      <c r="AU660" s="421"/>
      <c r="AV660" s="449">
        <f t="shared" ref="AV660:BG666" si="584">BI660</f>
        <v>1473.0036813922359</v>
      </c>
      <c r="AW660" s="449">
        <f t="shared" si="584"/>
        <v>1473.0036813922359</v>
      </c>
      <c r="AX660" s="449">
        <f t="shared" si="584"/>
        <v>1473.0036813922359</v>
      </c>
      <c r="AY660" s="449">
        <f t="shared" si="584"/>
        <v>1473.0036813922359</v>
      </c>
      <c r="AZ660" s="449">
        <f t="shared" si="584"/>
        <v>1473.0036813922359</v>
      </c>
      <c r="BA660" s="449">
        <f t="shared" si="584"/>
        <v>1473.0036813922359</v>
      </c>
      <c r="BB660" s="449">
        <f t="shared" si="584"/>
        <v>1473.0036813922359</v>
      </c>
      <c r="BC660" s="449">
        <f t="shared" si="584"/>
        <v>1473.0036813922359</v>
      </c>
      <c r="BD660" s="449">
        <f t="shared" si="584"/>
        <v>1473.0036813922359</v>
      </c>
      <c r="BE660" s="449">
        <f t="shared" si="584"/>
        <v>1473.0036813922359</v>
      </c>
      <c r="BF660" s="449">
        <f t="shared" si="584"/>
        <v>1473.0036813922359</v>
      </c>
      <c r="BG660" s="449">
        <f t="shared" si="584"/>
        <v>1473.0036813922359</v>
      </c>
      <c r="BH660" s="400"/>
      <c r="BI660" s="449">
        <f t="shared" ref="BI660:BT662" si="585">IFERROR((($H660/$H$5)*BI$5)/12,0)</f>
        <v>1473.0036813922359</v>
      </c>
      <c r="BJ660" s="449">
        <f t="shared" si="585"/>
        <v>1473.0036813922359</v>
      </c>
      <c r="BK660" s="449">
        <f t="shared" si="585"/>
        <v>1473.0036813922359</v>
      </c>
      <c r="BL660" s="449">
        <f t="shared" si="585"/>
        <v>1473.0036813922359</v>
      </c>
      <c r="BM660" s="449">
        <f t="shared" si="585"/>
        <v>1473.0036813922359</v>
      </c>
      <c r="BN660" s="449">
        <f t="shared" si="585"/>
        <v>1473.0036813922359</v>
      </c>
      <c r="BO660" s="449">
        <f t="shared" si="585"/>
        <v>1473.0036813922359</v>
      </c>
      <c r="BP660" s="449">
        <f t="shared" si="585"/>
        <v>1473.0036813922359</v>
      </c>
      <c r="BQ660" s="449">
        <f t="shared" si="585"/>
        <v>1473.0036813922359</v>
      </c>
      <c r="BR660" s="449">
        <f t="shared" si="585"/>
        <v>1473.0036813922359</v>
      </c>
      <c r="BS660" s="449">
        <f t="shared" si="585"/>
        <v>1473.0036813922359</v>
      </c>
      <c r="BT660" s="449">
        <f t="shared" si="585"/>
        <v>1473.0036813922359</v>
      </c>
    </row>
    <row r="661" spans="1:72" ht="15" customHeight="1" x14ac:dyDescent="0.25">
      <c r="A661" s="502" t="s">
        <v>1064</v>
      </c>
      <c r="B661" s="502" t="s">
        <v>1065</v>
      </c>
      <c r="C661" s="400"/>
      <c r="D661" s="500">
        <f t="shared" si="570"/>
        <v>48225</v>
      </c>
      <c r="E661" s="449">
        <v>48225</v>
      </c>
      <c r="F661" s="449">
        <f t="shared" si="571"/>
        <v>0</v>
      </c>
      <c r="G661" s="421">
        <f t="shared" si="572"/>
        <v>0</v>
      </c>
      <c r="H661" s="449">
        <v>48225</v>
      </c>
      <c r="I661" s="449">
        <f t="shared" si="573"/>
        <v>0</v>
      </c>
      <c r="J661" s="426">
        <f t="shared" si="574"/>
        <v>0</v>
      </c>
      <c r="K661" s="421"/>
      <c r="L661" s="449">
        <v>0</v>
      </c>
      <c r="M661" s="449">
        <v>0</v>
      </c>
      <c r="N661" s="449">
        <v>0</v>
      </c>
      <c r="O661" s="449">
        <v>8700</v>
      </c>
      <c r="P661" s="449">
        <v>1839</v>
      </c>
      <c r="Q661" s="449">
        <v>1654</v>
      </c>
      <c r="R661" s="449">
        <f>($H661-SUM($L661:Q661))/R$694</f>
        <v>6005.333333333333</v>
      </c>
      <c r="S661" s="449">
        <f>($H661-SUM($L661:R661))/S$694</f>
        <v>6005.3333333333339</v>
      </c>
      <c r="T661" s="449">
        <f>($H661-SUM($L661:S661))/T$694</f>
        <v>6005.3333333333339</v>
      </c>
      <c r="U661" s="449">
        <f>($H661-SUM($L661:T661))/U$694</f>
        <v>6005.333333333333</v>
      </c>
      <c r="V661" s="449">
        <f>($H661-SUM($L661:U661))/V$694</f>
        <v>6005.3333333333321</v>
      </c>
      <c r="W661" s="449">
        <f>($H661-SUM($L661:V661))/W$694</f>
        <v>6005.3333333333285</v>
      </c>
      <c r="X661" s="449"/>
      <c r="Y661" s="449">
        <f t="shared" si="575"/>
        <v>48225</v>
      </c>
      <c r="Z661" s="501"/>
      <c r="AA661" s="449">
        <f t="shared" si="576"/>
        <v>4018.75</v>
      </c>
      <c r="AB661" s="449">
        <f t="shared" si="576"/>
        <v>4018.75</v>
      </c>
      <c r="AC661" s="449">
        <f t="shared" si="576"/>
        <v>4018.75</v>
      </c>
      <c r="AD661" s="449">
        <f t="shared" si="576"/>
        <v>4018.75</v>
      </c>
      <c r="AE661" s="449">
        <f t="shared" si="576"/>
        <v>4018.75</v>
      </c>
      <c r="AF661" s="449">
        <f t="shared" si="576"/>
        <v>4018.75</v>
      </c>
      <c r="AG661" s="449">
        <f t="shared" si="576"/>
        <v>4018.75</v>
      </c>
      <c r="AH661" s="449">
        <f t="shared" si="576"/>
        <v>4018.75</v>
      </c>
      <c r="AI661" s="449">
        <f t="shared" si="576"/>
        <v>4018.75</v>
      </c>
      <c r="AJ661" s="449">
        <f t="shared" si="576"/>
        <v>4018.75</v>
      </c>
      <c r="AK661" s="449">
        <f t="shared" si="576"/>
        <v>4018.75</v>
      </c>
      <c r="AL661" s="449">
        <f t="shared" si="576"/>
        <v>4018.75</v>
      </c>
      <c r="AN661" s="500">
        <f t="shared" si="577"/>
        <v>48225</v>
      </c>
      <c r="AO661" s="449">
        <f t="shared" si="578"/>
        <v>53028.1325301205</v>
      </c>
      <c r="AP661" s="449">
        <f t="shared" si="579"/>
        <v>4803.1325301204997</v>
      </c>
      <c r="AQ661" s="453">
        <f t="shared" si="580"/>
        <v>9.9598393574297561E-2</v>
      </c>
      <c r="AR661" s="449">
        <f t="shared" si="581"/>
        <v>53028.1325301205</v>
      </c>
      <c r="AS661" s="449">
        <f t="shared" si="582"/>
        <v>0</v>
      </c>
      <c r="AT661" s="426">
        <f t="shared" si="583"/>
        <v>0</v>
      </c>
      <c r="AU661" s="421"/>
      <c r="AV661" s="449">
        <f t="shared" si="584"/>
        <v>4419.0110441767074</v>
      </c>
      <c r="AW661" s="449">
        <f t="shared" si="584"/>
        <v>4419.0110441767074</v>
      </c>
      <c r="AX661" s="449">
        <f t="shared" si="584"/>
        <v>4419.0110441767074</v>
      </c>
      <c r="AY661" s="449">
        <f t="shared" si="584"/>
        <v>4419.0110441767074</v>
      </c>
      <c r="AZ661" s="449">
        <f t="shared" si="584"/>
        <v>4419.0110441767074</v>
      </c>
      <c r="BA661" s="449">
        <f t="shared" si="584"/>
        <v>4419.0110441767074</v>
      </c>
      <c r="BB661" s="449">
        <f t="shared" si="584"/>
        <v>4419.0110441767074</v>
      </c>
      <c r="BC661" s="449">
        <f t="shared" si="584"/>
        <v>4419.0110441767074</v>
      </c>
      <c r="BD661" s="449">
        <f t="shared" si="584"/>
        <v>4419.0110441767074</v>
      </c>
      <c r="BE661" s="449">
        <f t="shared" si="584"/>
        <v>4419.0110441767074</v>
      </c>
      <c r="BF661" s="449">
        <f t="shared" si="584"/>
        <v>4419.0110441767074</v>
      </c>
      <c r="BG661" s="449">
        <f t="shared" si="584"/>
        <v>4419.0110441767074</v>
      </c>
      <c r="BH661" s="400"/>
      <c r="BI661" s="449">
        <f t="shared" si="585"/>
        <v>4419.0110441767074</v>
      </c>
      <c r="BJ661" s="449">
        <f t="shared" si="585"/>
        <v>4419.0110441767074</v>
      </c>
      <c r="BK661" s="449">
        <f t="shared" si="585"/>
        <v>4419.0110441767074</v>
      </c>
      <c r="BL661" s="449">
        <f t="shared" si="585"/>
        <v>4419.0110441767074</v>
      </c>
      <c r="BM661" s="449">
        <f t="shared" si="585"/>
        <v>4419.0110441767074</v>
      </c>
      <c r="BN661" s="449">
        <f t="shared" si="585"/>
        <v>4419.0110441767074</v>
      </c>
      <c r="BO661" s="449">
        <f t="shared" si="585"/>
        <v>4419.0110441767074</v>
      </c>
      <c r="BP661" s="449">
        <f t="shared" si="585"/>
        <v>4419.0110441767074</v>
      </c>
      <c r="BQ661" s="449">
        <f t="shared" si="585"/>
        <v>4419.0110441767074</v>
      </c>
      <c r="BR661" s="449">
        <f t="shared" si="585"/>
        <v>4419.0110441767074</v>
      </c>
      <c r="BS661" s="449">
        <f t="shared" si="585"/>
        <v>4419.0110441767074</v>
      </c>
      <c r="BT661" s="449">
        <f t="shared" si="585"/>
        <v>4419.0110441767074</v>
      </c>
    </row>
    <row r="662" spans="1:72" ht="15" customHeight="1" x14ac:dyDescent="0.25">
      <c r="A662" s="502" t="s">
        <v>1066</v>
      </c>
      <c r="B662" s="502" t="s">
        <v>1067</v>
      </c>
      <c r="C662" s="400"/>
      <c r="D662" s="500">
        <f t="shared" si="570"/>
        <v>102880</v>
      </c>
      <c r="E662" s="449">
        <v>102880</v>
      </c>
      <c r="F662" s="449">
        <f t="shared" si="571"/>
        <v>0</v>
      </c>
      <c r="G662" s="421">
        <f t="shared" si="572"/>
        <v>0</v>
      </c>
      <c r="H662" s="449">
        <v>102880</v>
      </c>
      <c r="I662" s="449">
        <f t="shared" si="573"/>
        <v>0</v>
      </c>
      <c r="J662" s="426">
        <f t="shared" si="574"/>
        <v>0</v>
      </c>
      <c r="K662" s="421"/>
      <c r="L662" s="449">
        <v>6.39</v>
      </c>
      <c r="M662" s="449">
        <v>0</v>
      </c>
      <c r="N662" s="449">
        <v>1247.9399999999998</v>
      </c>
      <c r="O662" s="449">
        <v>27448.239999999998</v>
      </c>
      <c r="P662" s="449">
        <v>890.88000000000102</v>
      </c>
      <c r="Q662" s="449">
        <v>695.52999999999884</v>
      </c>
      <c r="R662" s="449">
        <f>($H662-SUM($L662:Q662))/R$694</f>
        <v>12098.503333333334</v>
      </c>
      <c r="S662" s="449">
        <f>($H662-SUM($L662:R662))/S$694</f>
        <v>12098.503333333332</v>
      </c>
      <c r="T662" s="449">
        <f>($H662-SUM($L662:S662))/T$694</f>
        <v>12098.503333333332</v>
      </c>
      <c r="U662" s="449">
        <f>($H662-SUM($L662:T662))/U$694</f>
        <v>12098.503333333332</v>
      </c>
      <c r="V662" s="449">
        <f>($H662-SUM($L662:U662))/V$694</f>
        <v>12098.503333333334</v>
      </c>
      <c r="W662" s="449">
        <f>($H662-SUM($L662:V662))/W$694</f>
        <v>12098.503333333327</v>
      </c>
      <c r="X662" s="449"/>
      <c r="Y662" s="449">
        <f t="shared" si="575"/>
        <v>102880</v>
      </c>
      <c r="Z662" s="501"/>
      <c r="AA662" s="449">
        <f t="shared" si="576"/>
        <v>8573.3333333333339</v>
      </c>
      <c r="AB662" s="449">
        <f t="shared" si="576"/>
        <v>8573.3333333333339</v>
      </c>
      <c r="AC662" s="449">
        <f t="shared" si="576"/>
        <v>8573.3333333333339</v>
      </c>
      <c r="AD662" s="449">
        <f t="shared" si="576"/>
        <v>8573.3333333333339</v>
      </c>
      <c r="AE662" s="449">
        <f t="shared" si="576"/>
        <v>8573.3333333333339</v>
      </c>
      <c r="AF662" s="449">
        <f t="shared" si="576"/>
        <v>8573.3333333333339</v>
      </c>
      <c r="AG662" s="449">
        <f t="shared" si="576"/>
        <v>8573.3333333333339</v>
      </c>
      <c r="AH662" s="449">
        <f t="shared" si="576"/>
        <v>8573.3333333333339</v>
      </c>
      <c r="AI662" s="449">
        <f t="shared" si="576"/>
        <v>8573.3333333333339</v>
      </c>
      <c r="AJ662" s="449">
        <f t="shared" si="576"/>
        <v>8573.3333333333339</v>
      </c>
      <c r="AK662" s="449">
        <f t="shared" si="576"/>
        <v>8573.3333333333339</v>
      </c>
      <c r="AL662" s="449">
        <f t="shared" si="576"/>
        <v>8573.3333333333339</v>
      </c>
      <c r="AN662" s="500">
        <f t="shared" si="577"/>
        <v>102880</v>
      </c>
      <c r="AO662" s="449">
        <f t="shared" si="578"/>
        <v>113126.6827309237</v>
      </c>
      <c r="AP662" s="449">
        <f t="shared" si="579"/>
        <v>10246.682730923698</v>
      </c>
      <c r="AQ662" s="453">
        <f t="shared" si="580"/>
        <v>9.9598393574297214E-2</v>
      </c>
      <c r="AR662" s="449">
        <f t="shared" si="581"/>
        <v>113126.6827309237</v>
      </c>
      <c r="AS662" s="449">
        <f t="shared" si="582"/>
        <v>0</v>
      </c>
      <c r="AT662" s="426">
        <f t="shared" si="583"/>
        <v>0</v>
      </c>
      <c r="AU662" s="421"/>
      <c r="AV662" s="449">
        <f t="shared" si="584"/>
        <v>9427.2235609103082</v>
      </c>
      <c r="AW662" s="449">
        <f t="shared" si="584"/>
        <v>9427.2235609103082</v>
      </c>
      <c r="AX662" s="449">
        <f t="shared" si="584"/>
        <v>9427.2235609103082</v>
      </c>
      <c r="AY662" s="449">
        <f t="shared" si="584"/>
        <v>9427.2235609103082</v>
      </c>
      <c r="AZ662" s="449">
        <f t="shared" si="584"/>
        <v>9427.2235609103082</v>
      </c>
      <c r="BA662" s="449">
        <f t="shared" si="584"/>
        <v>9427.2235609103082</v>
      </c>
      <c r="BB662" s="449">
        <f t="shared" si="584"/>
        <v>9427.2235609103082</v>
      </c>
      <c r="BC662" s="449">
        <f t="shared" si="584"/>
        <v>9427.2235609103082</v>
      </c>
      <c r="BD662" s="449">
        <f t="shared" si="584"/>
        <v>9427.2235609103082</v>
      </c>
      <c r="BE662" s="449">
        <f t="shared" si="584"/>
        <v>9427.2235609103082</v>
      </c>
      <c r="BF662" s="449">
        <f t="shared" si="584"/>
        <v>9427.2235609103082</v>
      </c>
      <c r="BG662" s="449">
        <f t="shared" si="584"/>
        <v>9427.2235609103082</v>
      </c>
      <c r="BH662" s="400"/>
      <c r="BI662" s="449">
        <f t="shared" si="585"/>
        <v>9427.2235609103082</v>
      </c>
      <c r="BJ662" s="449">
        <f t="shared" si="585"/>
        <v>9427.2235609103082</v>
      </c>
      <c r="BK662" s="449">
        <f t="shared" si="585"/>
        <v>9427.2235609103082</v>
      </c>
      <c r="BL662" s="449">
        <f t="shared" si="585"/>
        <v>9427.2235609103082</v>
      </c>
      <c r="BM662" s="449">
        <f t="shared" si="585"/>
        <v>9427.2235609103082</v>
      </c>
      <c r="BN662" s="449">
        <f t="shared" si="585"/>
        <v>9427.2235609103082</v>
      </c>
      <c r="BO662" s="449">
        <f t="shared" si="585"/>
        <v>9427.2235609103082</v>
      </c>
      <c r="BP662" s="449">
        <f t="shared" si="585"/>
        <v>9427.2235609103082</v>
      </c>
      <c r="BQ662" s="449">
        <f t="shared" si="585"/>
        <v>9427.2235609103082</v>
      </c>
      <c r="BR662" s="449">
        <f t="shared" si="585"/>
        <v>9427.2235609103082</v>
      </c>
      <c r="BS662" s="449">
        <f t="shared" si="585"/>
        <v>9427.2235609103082</v>
      </c>
      <c r="BT662" s="449">
        <f t="shared" si="585"/>
        <v>9427.2235609103082</v>
      </c>
    </row>
    <row r="663" spans="1:72" ht="15" x14ac:dyDescent="0.25">
      <c r="A663" s="502" t="s">
        <v>1068</v>
      </c>
      <c r="B663" s="502" t="s">
        <v>1069</v>
      </c>
      <c r="C663" s="400"/>
      <c r="D663" s="500">
        <f t="shared" si="570"/>
        <v>5000</v>
      </c>
      <c r="E663" s="449">
        <v>5000</v>
      </c>
      <c r="F663" s="449">
        <f t="shared" si="571"/>
        <v>0</v>
      </c>
      <c r="G663" s="421">
        <f t="shared" si="572"/>
        <v>0</v>
      </c>
      <c r="H663" s="449">
        <v>5000</v>
      </c>
      <c r="I663" s="449">
        <f t="shared" si="573"/>
        <v>0</v>
      </c>
      <c r="J663" s="426">
        <f t="shared" si="574"/>
        <v>0</v>
      </c>
      <c r="K663" s="421"/>
      <c r="L663" s="449">
        <v>0</v>
      </c>
      <c r="M663" s="449">
        <v>0</v>
      </c>
      <c r="N663" s="449">
        <v>0</v>
      </c>
      <c r="O663" s="449">
        <v>0</v>
      </c>
      <c r="P663" s="449">
        <v>0</v>
      </c>
      <c r="Q663" s="449">
        <v>100</v>
      </c>
      <c r="R663" s="449">
        <f>($H663-SUM($L663:Q663))/R$694</f>
        <v>816.66666666666663</v>
      </c>
      <c r="S663" s="449">
        <f>($H663-SUM($L663:R663))/S$694</f>
        <v>816.66666666666674</v>
      </c>
      <c r="T663" s="449">
        <f>($H663-SUM($L663:S663))/T$694</f>
        <v>816.66666666666663</v>
      </c>
      <c r="U663" s="449">
        <f>($H663-SUM($L663:T663))/U$694</f>
        <v>816.66666666666663</v>
      </c>
      <c r="V663" s="449">
        <f>($H663-SUM($L663:U663))/V$694</f>
        <v>816.66666666666674</v>
      </c>
      <c r="W663" s="449">
        <f>($H663-SUM($L663:V663))/W$694</f>
        <v>816.66666666666697</v>
      </c>
      <c r="X663" s="449"/>
      <c r="Y663" s="449">
        <f t="shared" si="575"/>
        <v>5000</v>
      </c>
      <c r="Z663" s="501"/>
      <c r="AA663" s="449">
        <f t="shared" si="576"/>
        <v>416.66666666666669</v>
      </c>
      <c r="AB663" s="449">
        <f t="shared" si="576"/>
        <v>416.66666666666669</v>
      </c>
      <c r="AC663" s="449">
        <f t="shared" si="576"/>
        <v>416.66666666666669</v>
      </c>
      <c r="AD663" s="449">
        <f t="shared" si="576"/>
        <v>416.66666666666669</v>
      </c>
      <c r="AE663" s="449">
        <f t="shared" si="576"/>
        <v>416.66666666666669</v>
      </c>
      <c r="AF663" s="449">
        <f t="shared" si="576"/>
        <v>416.66666666666669</v>
      </c>
      <c r="AG663" s="449">
        <f t="shared" si="576"/>
        <v>416.66666666666669</v>
      </c>
      <c r="AH663" s="449">
        <f t="shared" si="576"/>
        <v>416.66666666666669</v>
      </c>
      <c r="AI663" s="449">
        <f t="shared" si="576"/>
        <v>416.66666666666669</v>
      </c>
      <c r="AJ663" s="449">
        <f t="shared" si="576"/>
        <v>416.66666666666669</v>
      </c>
      <c r="AK663" s="449">
        <f t="shared" si="576"/>
        <v>416.66666666666669</v>
      </c>
      <c r="AL663" s="449">
        <f t="shared" si="576"/>
        <v>416.66666666666669</v>
      </c>
      <c r="AN663" s="500">
        <f t="shared" si="577"/>
        <v>5000</v>
      </c>
      <c r="AO663" s="449">
        <f t="shared" si="578"/>
        <v>5000</v>
      </c>
      <c r="AP663" s="449">
        <f t="shared" si="579"/>
        <v>0</v>
      </c>
      <c r="AQ663" s="453">
        <f t="shared" si="580"/>
        <v>0</v>
      </c>
      <c r="AR663" s="449">
        <f t="shared" si="581"/>
        <v>5000</v>
      </c>
      <c r="AS663" s="449">
        <f t="shared" si="582"/>
        <v>0</v>
      </c>
      <c r="AT663" s="426">
        <f t="shared" si="583"/>
        <v>0</v>
      </c>
      <c r="AU663" s="421"/>
      <c r="AV663" s="449">
        <f t="shared" si="584"/>
        <v>416.66666666666669</v>
      </c>
      <c r="AW663" s="449">
        <f t="shared" si="584"/>
        <v>416.66666666666669</v>
      </c>
      <c r="AX663" s="449">
        <f t="shared" si="584"/>
        <v>416.66666666666669</v>
      </c>
      <c r="AY663" s="449">
        <f t="shared" si="584"/>
        <v>416.66666666666669</v>
      </c>
      <c r="AZ663" s="449">
        <f t="shared" si="584"/>
        <v>416.66666666666669</v>
      </c>
      <c r="BA663" s="449">
        <f t="shared" si="584"/>
        <v>416.66666666666669</v>
      </c>
      <c r="BB663" s="449">
        <f t="shared" si="584"/>
        <v>416.66666666666669</v>
      </c>
      <c r="BC663" s="449">
        <f t="shared" si="584"/>
        <v>416.66666666666669</v>
      </c>
      <c r="BD663" s="449">
        <f t="shared" si="584"/>
        <v>416.66666666666669</v>
      </c>
      <c r="BE663" s="449">
        <f t="shared" si="584"/>
        <v>416.66666666666669</v>
      </c>
      <c r="BF663" s="449">
        <f t="shared" si="584"/>
        <v>416.66666666666669</v>
      </c>
      <c r="BG663" s="449">
        <f t="shared" si="584"/>
        <v>416.66666666666669</v>
      </c>
      <c r="BH663" s="400"/>
      <c r="BI663" s="449">
        <f t="shared" ref="BI663:BT663" si="586">IFERROR($H663/12,0)</f>
        <v>416.66666666666669</v>
      </c>
      <c r="BJ663" s="449">
        <f t="shared" si="586"/>
        <v>416.66666666666669</v>
      </c>
      <c r="BK663" s="449">
        <f t="shared" si="586"/>
        <v>416.66666666666669</v>
      </c>
      <c r="BL663" s="449">
        <f t="shared" si="586"/>
        <v>416.66666666666669</v>
      </c>
      <c r="BM663" s="449">
        <f t="shared" si="586"/>
        <v>416.66666666666669</v>
      </c>
      <c r="BN663" s="449">
        <f t="shared" si="586"/>
        <v>416.66666666666669</v>
      </c>
      <c r="BO663" s="449">
        <f t="shared" si="586"/>
        <v>416.66666666666669</v>
      </c>
      <c r="BP663" s="449">
        <f t="shared" si="586"/>
        <v>416.66666666666669</v>
      </c>
      <c r="BQ663" s="449">
        <f t="shared" si="586"/>
        <v>416.66666666666669</v>
      </c>
      <c r="BR663" s="449">
        <f t="shared" si="586"/>
        <v>416.66666666666669</v>
      </c>
      <c r="BS663" s="449">
        <f t="shared" si="586"/>
        <v>416.66666666666669</v>
      </c>
      <c r="BT663" s="449">
        <f t="shared" si="586"/>
        <v>416.66666666666669</v>
      </c>
    </row>
    <row r="664" spans="1:72" ht="15" x14ac:dyDescent="0.25">
      <c r="A664" s="502" t="s">
        <v>1070</v>
      </c>
      <c r="B664" s="502" t="s">
        <v>1071</v>
      </c>
      <c r="C664" s="400"/>
      <c r="D664" s="500">
        <f t="shared" si="570"/>
        <v>16075</v>
      </c>
      <c r="E664" s="449">
        <v>16075</v>
      </c>
      <c r="F664" s="449">
        <f t="shared" si="571"/>
        <v>0</v>
      </c>
      <c r="G664" s="421">
        <f t="shared" si="572"/>
        <v>0</v>
      </c>
      <c r="H664" s="449">
        <v>16075</v>
      </c>
      <c r="I664" s="449">
        <f t="shared" si="573"/>
        <v>0</v>
      </c>
      <c r="J664" s="426">
        <f t="shared" si="574"/>
        <v>0</v>
      </c>
      <c r="K664" s="421"/>
      <c r="L664" s="449">
        <v>0</v>
      </c>
      <c r="M664" s="449">
        <v>490</v>
      </c>
      <c r="N664" s="449">
        <v>90</v>
      </c>
      <c r="O664" s="449">
        <v>1596</v>
      </c>
      <c r="P664" s="449">
        <v>842</v>
      </c>
      <c r="Q664" s="449">
        <v>323.7199999999998</v>
      </c>
      <c r="R664" s="449">
        <f>($H664-SUM($L664:Q664))/R$694</f>
        <v>2122.2133333333336</v>
      </c>
      <c r="S664" s="449">
        <f>($H664-SUM($L664:R664))/S$694</f>
        <v>2122.2133333333331</v>
      </c>
      <c r="T664" s="449">
        <f>($H664-SUM($L664:S664))/T$694</f>
        <v>2122.2133333333331</v>
      </c>
      <c r="U664" s="449">
        <f>($H664-SUM($L664:T664))/U$694</f>
        <v>2122.2133333333331</v>
      </c>
      <c r="V664" s="449">
        <f>($H664-SUM($L664:U664))/V$694</f>
        <v>2122.2133333333331</v>
      </c>
      <c r="W664" s="449">
        <f>($H664-SUM($L664:V664))/W$694</f>
        <v>2122.2133333333331</v>
      </c>
      <c r="X664" s="449"/>
      <c r="Y664" s="449">
        <f t="shared" si="575"/>
        <v>16075</v>
      </c>
      <c r="Z664" s="501"/>
      <c r="AA664" s="449">
        <f t="shared" si="576"/>
        <v>1339.5833333333333</v>
      </c>
      <c r="AB664" s="449">
        <f t="shared" si="576"/>
        <v>1339.5833333333333</v>
      </c>
      <c r="AC664" s="449">
        <f t="shared" si="576"/>
        <v>1339.5833333333333</v>
      </c>
      <c r="AD664" s="449">
        <f t="shared" si="576"/>
        <v>1339.5833333333333</v>
      </c>
      <c r="AE664" s="449">
        <f t="shared" si="576"/>
        <v>1339.5833333333333</v>
      </c>
      <c r="AF664" s="449">
        <f t="shared" si="576"/>
        <v>1339.5833333333333</v>
      </c>
      <c r="AG664" s="449">
        <f t="shared" si="576"/>
        <v>1339.5833333333333</v>
      </c>
      <c r="AH664" s="449">
        <f t="shared" si="576"/>
        <v>1339.5833333333333</v>
      </c>
      <c r="AI664" s="449">
        <f t="shared" si="576"/>
        <v>1339.5833333333333</v>
      </c>
      <c r="AJ664" s="449">
        <f t="shared" si="576"/>
        <v>1339.5833333333333</v>
      </c>
      <c r="AK664" s="449">
        <f t="shared" si="576"/>
        <v>1339.5833333333333</v>
      </c>
      <c r="AL664" s="449">
        <f t="shared" si="576"/>
        <v>1339.5833333333333</v>
      </c>
      <c r="AN664" s="500">
        <f t="shared" si="577"/>
        <v>16075</v>
      </c>
      <c r="AO664" s="449">
        <f t="shared" si="578"/>
        <v>17676.04417670683</v>
      </c>
      <c r="AP664" s="449">
        <f t="shared" si="579"/>
        <v>1601.0441767068296</v>
      </c>
      <c r="AQ664" s="453">
        <f t="shared" si="580"/>
        <v>9.9598393574297325E-2</v>
      </c>
      <c r="AR664" s="449">
        <f t="shared" si="581"/>
        <v>17676.04417670683</v>
      </c>
      <c r="AS664" s="449">
        <f t="shared" si="582"/>
        <v>0</v>
      </c>
      <c r="AT664" s="426">
        <f t="shared" si="583"/>
        <v>0</v>
      </c>
      <c r="AU664" s="421"/>
      <c r="AV664" s="449">
        <f t="shared" si="584"/>
        <v>1473.0036813922359</v>
      </c>
      <c r="AW664" s="449">
        <f t="shared" si="584"/>
        <v>1473.0036813922359</v>
      </c>
      <c r="AX664" s="449">
        <f t="shared" si="584"/>
        <v>1473.0036813922359</v>
      </c>
      <c r="AY664" s="449">
        <f t="shared" si="584"/>
        <v>1473.0036813922359</v>
      </c>
      <c r="AZ664" s="449">
        <f t="shared" si="584"/>
        <v>1473.0036813922359</v>
      </c>
      <c r="BA664" s="449">
        <f t="shared" si="584"/>
        <v>1473.0036813922359</v>
      </c>
      <c r="BB664" s="449">
        <f t="shared" si="584"/>
        <v>1473.0036813922359</v>
      </c>
      <c r="BC664" s="449">
        <f t="shared" si="584"/>
        <v>1473.0036813922359</v>
      </c>
      <c r="BD664" s="449">
        <f t="shared" si="584"/>
        <v>1473.0036813922359</v>
      </c>
      <c r="BE664" s="449">
        <f t="shared" si="584"/>
        <v>1473.0036813922359</v>
      </c>
      <c r="BF664" s="449">
        <f t="shared" si="584"/>
        <v>1473.0036813922359</v>
      </c>
      <c r="BG664" s="449">
        <f t="shared" si="584"/>
        <v>1473.0036813922359</v>
      </c>
      <c r="BH664" s="400"/>
      <c r="BI664" s="449">
        <f t="shared" ref="BI664:BT665" si="587">IFERROR((($H664/$H$5)*BI$5)/12,0)</f>
        <v>1473.0036813922359</v>
      </c>
      <c r="BJ664" s="449">
        <f t="shared" si="587"/>
        <v>1473.0036813922359</v>
      </c>
      <c r="BK664" s="449">
        <f t="shared" si="587"/>
        <v>1473.0036813922359</v>
      </c>
      <c r="BL664" s="449">
        <f t="shared" si="587"/>
        <v>1473.0036813922359</v>
      </c>
      <c r="BM664" s="449">
        <f t="shared" si="587"/>
        <v>1473.0036813922359</v>
      </c>
      <c r="BN664" s="449">
        <f t="shared" si="587"/>
        <v>1473.0036813922359</v>
      </c>
      <c r="BO664" s="449">
        <f t="shared" si="587"/>
        <v>1473.0036813922359</v>
      </c>
      <c r="BP664" s="449">
        <f t="shared" si="587"/>
        <v>1473.0036813922359</v>
      </c>
      <c r="BQ664" s="449">
        <f t="shared" si="587"/>
        <v>1473.0036813922359</v>
      </c>
      <c r="BR664" s="449">
        <f t="shared" si="587"/>
        <v>1473.0036813922359</v>
      </c>
      <c r="BS664" s="449">
        <f t="shared" si="587"/>
        <v>1473.0036813922359</v>
      </c>
      <c r="BT664" s="449">
        <f t="shared" si="587"/>
        <v>1473.0036813922359</v>
      </c>
    </row>
    <row r="665" spans="1:72" ht="15" x14ac:dyDescent="0.25">
      <c r="A665" s="502" t="s">
        <v>1072</v>
      </c>
      <c r="B665" s="502" t="s">
        <v>1073</v>
      </c>
      <c r="C665" s="400"/>
      <c r="D665" s="500">
        <f t="shared" si="570"/>
        <v>1608</v>
      </c>
      <c r="E665" s="449">
        <v>1607.5</v>
      </c>
      <c r="F665" s="449">
        <f t="shared" si="571"/>
        <v>0.5</v>
      </c>
      <c r="G665" s="421">
        <f t="shared" si="572"/>
        <v>3.1104199066874026E-4</v>
      </c>
      <c r="H665" s="449">
        <v>1608</v>
      </c>
      <c r="I665" s="449">
        <f t="shared" si="573"/>
        <v>0</v>
      </c>
      <c r="J665" s="426">
        <f t="shared" si="574"/>
        <v>0</v>
      </c>
      <c r="K665" s="421"/>
      <c r="L665" s="449">
        <v>0</v>
      </c>
      <c r="M665" s="449">
        <v>0</v>
      </c>
      <c r="N665" s="449">
        <v>0</v>
      </c>
      <c r="O665" s="449">
        <v>625</v>
      </c>
      <c r="P665" s="449">
        <v>40</v>
      </c>
      <c r="Q665" s="449">
        <v>0</v>
      </c>
      <c r="R665" s="449">
        <f>($H665-SUM($L665:Q665))/R$694</f>
        <v>157.16666666666666</v>
      </c>
      <c r="S665" s="449">
        <f>($H665-SUM($L665:R665))/S$694</f>
        <v>157.16666666666669</v>
      </c>
      <c r="T665" s="449">
        <f>($H665-SUM($L665:S665))/T$694</f>
        <v>157.16666666666669</v>
      </c>
      <c r="U665" s="449">
        <f>($H665-SUM($L665:T665))/U$694</f>
        <v>157.16666666666666</v>
      </c>
      <c r="V665" s="449">
        <f>($H665-SUM($L665:U665))/V$694</f>
        <v>157.16666666666663</v>
      </c>
      <c r="W665" s="449">
        <f>($H665-SUM($L665:V665))/W$694</f>
        <v>157.16666666666652</v>
      </c>
      <c r="X665" s="449"/>
      <c r="Y665" s="449">
        <f t="shared" si="575"/>
        <v>1608</v>
      </c>
      <c r="Z665" s="501"/>
      <c r="AA665" s="449">
        <f t="shared" si="576"/>
        <v>134</v>
      </c>
      <c r="AB665" s="449">
        <f t="shared" si="576"/>
        <v>134</v>
      </c>
      <c r="AC665" s="449">
        <f t="shared" si="576"/>
        <v>134</v>
      </c>
      <c r="AD665" s="449">
        <f t="shared" si="576"/>
        <v>134</v>
      </c>
      <c r="AE665" s="449">
        <f t="shared" si="576"/>
        <v>134</v>
      </c>
      <c r="AF665" s="449">
        <f t="shared" si="576"/>
        <v>134</v>
      </c>
      <c r="AG665" s="449">
        <f t="shared" si="576"/>
        <v>134</v>
      </c>
      <c r="AH665" s="449">
        <f t="shared" si="576"/>
        <v>134</v>
      </c>
      <c r="AI665" s="449">
        <f t="shared" si="576"/>
        <v>134</v>
      </c>
      <c r="AJ665" s="449">
        <f t="shared" si="576"/>
        <v>134</v>
      </c>
      <c r="AK665" s="449">
        <f t="shared" si="576"/>
        <v>134</v>
      </c>
      <c r="AL665" s="449">
        <f t="shared" si="576"/>
        <v>134</v>
      </c>
      <c r="AN665" s="500">
        <f t="shared" si="577"/>
        <v>1608</v>
      </c>
      <c r="AO665" s="449">
        <f t="shared" si="578"/>
        <v>1768.1542168674698</v>
      </c>
      <c r="AP665" s="449">
        <f t="shared" si="579"/>
        <v>160.15421686746981</v>
      </c>
      <c r="AQ665" s="453">
        <f t="shared" si="580"/>
        <v>9.9598393574297145E-2</v>
      </c>
      <c r="AR665" s="449">
        <f t="shared" si="581"/>
        <v>1768.1542168674698</v>
      </c>
      <c r="AS665" s="449">
        <f t="shared" si="582"/>
        <v>0</v>
      </c>
      <c r="AT665" s="426">
        <f t="shared" si="583"/>
        <v>0</v>
      </c>
      <c r="AU665" s="421"/>
      <c r="AV665" s="449">
        <f t="shared" si="584"/>
        <v>147.34618473895583</v>
      </c>
      <c r="AW665" s="449">
        <f t="shared" si="584"/>
        <v>147.34618473895583</v>
      </c>
      <c r="AX665" s="449">
        <f t="shared" si="584"/>
        <v>147.34618473895583</v>
      </c>
      <c r="AY665" s="449">
        <f t="shared" si="584"/>
        <v>147.34618473895583</v>
      </c>
      <c r="AZ665" s="449">
        <f t="shared" si="584"/>
        <v>147.34618473895583</v>
      </c>
      <c r="BA665" s="449">
        <f t="shared" si="584"/>
        <v>147.34618473895583</v>
      </c>
      <c r="BB665" s="449">
        <f t="shared" si="584"/>
        <v>147.34618473895583</v>
      </c>
      <c r="BC665" s="449">
        <f t="shared" si="584"/>
        <v>147.34618473895583</v>
      </c>
      <c r="BD665" s="449">
        <f t="shared" si="584"/>
        <v>147.34618473895583</v>
      </c>
      <c r="BE665" s="449">
        <f t="shared" si="584"/>
        <v>147.34618473895583</v>
      </c>
      <c r="BF665" s="449">
        <f t="shared" si="584"/>
        <v>147.34618473895583</v>
      </c>
      <c r="BG665" s="449">
        <f t="shared" si="584"/>
        <v>147.34618473895583</v>
      </c>
      <c r="BH665" s="400"/>
      <c r="BI665" s="449">
        <f t="shared" si="587"/>
        <v>147.34618473895583</v>
      </c>
      <c r="BJ665" s="449">
        <f t="shared" si="587"/>
        <v>147.34618473895583</v>
      </c>
      <c r="BK665" s="449">
        <f t="shared" si="587"/>
        <v>147.34618473895583</v>
      </c>
      <c r="BL665" s="449">
        <f t="shared" si="587"/>
        <v>147.34618473895583</v>
      </c>
      <c r="BM665" s="449">
        <f t="shared" si="587"/>
        <v>147.34618473895583</v>
      </c>
      <c r="BN665" s="449">
        <f t="shared" si="587"/>
        <v>147.34618473895583</v>
      </c>
      <c r="BO665" s="449">
        <f t="shared" si="587"/>
        <v>147.34618473895583</v>
      </c>
      <c r="BP665" s="449">
        <f t="shared" si="587"/>
        <v>147.34618473895583</v>
      </c>
      <c r="BQ665" s="449">
        <f t="shared" si="587"/>
        <v>147.34618473895583</v>
      </c>
      <c r="BR665" s="449">
        <f t="shared" si="587"/>
        <v>147.34618473895583</v>
      </c>
      <c r="BS665" s="449">
        <f t="shared" si="587"/>
        <v>147.34618473895583</v>
      </c>
      <c r="BT665" s="449">
        <f t="shared" si="587"/>
        <v>147.34618473895583</v>
      </c>
    </row>
    <row r="666" spans="1:72" ht="15" x14ac:dyDescent="0.25">
      <c r="A666" s="502" t="s">
        <v>1074</v>
      </c>
      <c r="B666" s="502" t="s">
        <v>1075</v>
      </c>
      <c r="C666" s="400"/>
      <c r="D666" s="500">
        <f t="shared" si="570"/>
        <v>10076.84</v>
      </c>
      <c r="E666" s="449">
        <v>4822.5</v>
      </c>
      <c r="F666" s="449">
        <f t="shared" si="571"/>
        <v>5254.34</v>
      </c>
      <c r="G666" s="421">
        <f t="shared" si="572"/>
        <v>1.0895469155002593</v>
      </c>
      <c r="H666" s="449">
        <v>4823</v>
      </c>
      <c r="I666" s="449">
        <f t="shared" si="573"/>
        <v>5253.84</v>
      </c>
      <c r="J666" s="426">
        <f t="shared" si="574"/>
        <v>1.0893302923491603</v>
      </c>
      <c r="K666" s="421"/>
      <c r="L666" s="449">
        <v>5500</v>
      </c>
      <c r="M666" s="449">
        <v>832.36999999999989</v>
      </c>
      <c r="N666" s="449">
        <v>477</v>
      </c>
      <c r="O666" s="449">
        <v>799</v>
      </c>
      <c r="P666" s="449">
        <v>2216.7200000000003</v>
      </c>
      <c r="Q666" s="449">
        <v>251.75</v>
      </c>
      <c r="R666" s="449">
        <v>0</v>
      </c>
      <c r="S666" s="449">
        <v>0</v>
      </c>
      <c r="T666" s="449">
        <v>0</v>
      </c>
      <c r="U666" s="449">
        <v>0</v>
      </c>
      <c r="V666" s="449">
        <v>0</v>
      </c>
      <c r="W666" s="449">
        <v>0</v>
      </c>
      <c r="X666" s="449"/>
      <c r="Y666" s="449">
        <f t="shared" si="575"/>
        <v>10076.84</v>
      </c>
      <c r="Z666" s="501"/>
      <c r="AA666" s="449">
        <f t="shared" si="576"/>
        <v>401.91666666666669</v>
      </c>
      <c r="AB666" s="449">
        <f t="shared" si="576"/>
        <v>401.91666666666669</v>
      </c>
      <c r="AC666" s="449">
        <f t="shared" si="576"/>
        <v>401.91666666666669</v>
      </c>
      <c r="AD666" s="449">
        <f t="shared" si="576"/>
        <v>401.91666666666669</v>
      </c>
      <c r="AE666" s="449">
        <f t="shared" si="576"/>
        <v>401.91666666666669</v>
      </c>
      <c r="AF666" s="449">
        <f t="shared" si="576"/>
        <v>401.91666666666669</v>
      </c>
      <c r="AG666" s="449">
        <f t="shared" si="576"/>
        <v>401.91666666666669</v>
      </c>
      <c r="AH666" s="449">
        <f t="shared" si="576"/>
        <v>401.91666666666669</v>
      </c>
      <c r="AI666" s="449">
        <f t="shared" si="576"/>
        <v>401.91666666666669</v>
      </c>
      <c r="AJ666" s="449">
        <f t="shared" si="576"/>
        <v>401.91666666666669</v>
      </c>
      <c r="AK666" s="449">
        <f t="shared" si="576"/>
        <v>401.91666666666669</v>
      </c>
      <c r="AL666" s="449">
        <f t="shared" si="576"/>
        <v>401.91666666666669</v>
      </c>
      <c r="AN666" s="500">
        <f t="shared" si="577"/>
        <v>10076.84</v>
      </c>
      <c r="AO666" s="449">
        <f t="shared" si="578"/>
        <v>11080.477076305222</v>
      </c>
      <c r="AP666" s="449">
        <f t="shared" si="579"/>
        <v>1003.6370763052219</v>
      </c>
      <c r="AQ666" s="453">
        <f t="shared" si="580"/>
        <v>9.9598393574297284E-2</v>
      </c>
      <c r="AR666" s="449">
        <f t="shared" si="581"/>
        <v>11080.477076305222</v>
      </c>
      <c r="AS666" s="449">
        <f t="shared" si="582"/>
        <v>0</v>
      </c>
      <c r="AT666" s="426">
        <f t="shared" si="583"/>
        <v>0</v>
      </c>
      <c r="AU666" s="421"/>
      <c r="AV666" s="449">
        <f t="shared" si="584"/>
        <v>923.37308969210164</v>
      </c>
      <c r="AW666" s="449">
        <f t="shared" si="584"/>
        <v>923.37308969210164</v>
      </c>
      <c r="AX666" s="449">
        <f t="shared" si="584"/>
        <v>923.37308969210164</v>
      </c>
      <c r="AY666" s="449">
        <f t="shared" si="584"/>
        <v>923.37308969210164</v>
      </c>
      <c r="AZ666" s="449">
        <f t="shared" si="584"/>
        <v>923.37308969210164</v>
      </c>
      <c r="BA666" s="449">
        <f t="shared" si="584"/>
        <v>923.37308969210164</v>
      </c>
      <c r="BB666" s="449">
        <f t="shared" si="584"/>
        <v>923.37308969210164</v>
      </c>
      <c r="BC666" s="449">
        <f t="shared" si="584"/>
        <v>923.37308969210164</v>
      </c>
      <c r="BD666" s="449">
        <f t="shared" si="584"/>
        <v>923.37308969210164</v>
      </c>
      <c r="BE666" s="449">
        <f t="shared" si="584"/>
        <v>923.37308969210164</v>
      </c>
      <c r="BF666" s="449">
        <f t="shared" si="584"/>
        <v>923.37308969210164</v>
      </c>
      <c r="BG666" s="449">
        <f t="shared" si="584"/>
        <v>923.37308969210164</v>
      </c>
      <c r="BH666" s="400"/>
      <c r="BI666" s="449">
        <f t="shared" ref="BI666:BT666" si="588">IFERROR((($D666/$H$5)*BI$5)/12,0)</f>
        <v>923.37308969210164</v>
      </c>
      <c r="BJ666" s="449">
        <f t="shared" si="588"/>
        <v>923.37308969210164</v>
      </c>
      <c r="BK666" s="449">
        <f t="shared" si="588"/>
        <v>923.37308969210164</v>
      </c>
      <c r="BL666" s="449">
        <f t="shared" si="588"/>
        <v>923.37308969210164</v>
      </c>
      <c r="BM666" s="449">
        <f t="shared" si="588"/>
        <v>923.37308969210164</v>
      </c>
      <c r="BN666" s="449">
        <f t="shared" si="588"/>
        <v>923.37308969210164</v>
      </c>
      <c r="BO666" s="449">
        <f t="shared" si="588"/>
        <v>923.37308969210164</v>
      </c>
      <c r="BP666" s="449">
        <f t="shared" si="588"/>
        <v>923.37308969210164</v>
      </c>
      <c r="BQ666" s="449">
        <f t="shared" si="588"/>
        <v>923.37308969210164</v>
      </c>
      <c r="BR666" s="449">
        <f t="shared" si="588"/>
        <v>923.37308969210164</v>
      </c>
      <c r="BS666" s="449">
        <f t="shared" si="588"/>
        <v>923.37308969210164</v>
      </c>
      <c r="BT666" s="449">
        <f t="shared" si="588"/>
        <v>923.37308969210164</v>
      </c>
    </row>
    <row r="667" spans="1:72" ht="15" x14ac:dyDescent="0.25">
      <c r="A667" s="587"/>
      <c r="B667" s="502"/>
      <c r="C667" s="400"/>
      <c r="D667" s="500"/>
      <c r="E667" s="449"/>
      <c r="F667" s="449"/>
      <c r="G667" s="421"/>
      <c r="H667" s="449"/>
      <c r="I667" s="449"/>
      <c r="J667" s="426"/>
      <c r="K667" s="421"/>
      <c r="L667" s="449"/>
      <c r="M667" s="449"/>
      <c r="N667" s="449"/>
      <c r="O667" s="449"/>
      <c r="P667" s="449"/>
      <c r="Q667" s="449"/>
      <c r="R667" s="449"/>
      <c r="S667" s="449"/>
      <c r="T667" s="449"/>
      <c r="U667" s="449"/>
      <c r="V667" s="449"/>
      <c r="W667" s="449"/>
      <c r="X667" s="449"/>
      <c r="Y667" s="449"/>
      <c r="Z667" s="501"/>
      <c r="AA667" s="449"/>
      <c r="AB667" s="449"/>
      <c r="AC667" s="449"/>
      <c r="AD667" s="449"/>
      <c r="AE667" s="449"/>
      <c r="AF667" s="449"/>
      <c r="AG667" s="449"/>
      <c r="AH667" s="449"/>
      <c r="AI667" s="449"/>
      <c r="AJ667" s="449"/>
      <c r="AK667" s="449"/>
      <c r="AL667" s="449"/>
      <c r="AN667" s="500"/>
      <c r="AO667" s="449"/>
      <c r="AP667" s="449"/>
      <c r="AQ667" s="453"/>
      <c r="AR667" s="449"/>
      <c r="AS667" s="449"/>
      <c r="AT667" s="426"/>
      <c r="AU667" s="421"/>
      <c r="AV667" s="449"/>
      <c r="AW667" s="449"/>
      <c r="AX667" s="449"/>
      <c r="AY667" s="449"/>
      <c r="AZ667" s="449"/>
      <c r="BA667" s="449"/>
      <c r="BB667" s="449"/>
      <c r="BC667" s="449"/>
      <c r="BD667" s="449"/>
      <c r="BE667" s="449"/>
      <c r="BF667" s="449"/>
      <c r="BG667" s="449"/>
      <c r="BH667" s="501"/>
      <c r="BI667" s="449"/>
      <c r="BJ667" s="449"/>
      <c r="BK667" s="449"/>
      <c r="BL667" s="449"/>
      <c r="BM667" s="449"/>
      <c r="BN667" s="449"/>
      <c r="BO667" s="449"/>
      <c r="BP667" s="449"/>
      <c r="BQ667" s="449"/>
      <c r="BR667" s="449"/>
      <c r="BS667" s="449"/>
      <c r="BT667" s="449"/>
    </row>
    <row r="668" spans="1:72" s="536" customFormat="1" ht="15.75" thickBot="1" x14ac:dyDescent="0.3">
      <c r="A668" s="526"/>
      <c r="B668" s="524" t="s">
        <v>1076</v>
      </c>
      <c r="D668" s="532">
        <f>SUM(D660:D667)</f>
        <v>199939.84</v>
      </c>
      <c r="E668" s="533">
        <f>SUM(E660:E667)</f>
        <v>194685</v>
      </c>
      <c r="F668" s="533">
        <f>IFERROR(D668-E668,0)</f>
        <v>5254.8399999999965</v>
      </c>
      <c r="G668" s="520">
        <f>IFERROR(F668/ABS(E668),0)</f>
        <v>2.6991499088270778E-2</v>
      </c>
      <c r="H668" s="533">
        <f>SUM(H660:H667)</f>
        <v>194686</v>
      </c>
      <c r="I668" s="533">
        <f>IFERROR(D668-H668,0)</f>
        <v>5253.8399999999965</v>
      </c>
      <c r="J668" s="521">
        <f>IFERROR(I668/ABS(H668),0)</f>
        <v>2.698622397090698E-2</v>
      </c>
      <c r="K668" s="507"/>
      <c r="L668" s="533">
        <f>SUM(L660:L667)</f>
        <v>5971.59</v>
      </c>
      <c r="M668" s="533">
        <f t="shared" ref="M668:W668" si="589">SUM(M660:M667)</f>
        <v>1322.37</v>
      </c>
      <c r="N668" s="533">
        <f t="shared" si="589"/>
        <v>1814.9399999999998</v>
      </c>
      <c r="O668" s="533">
        <f t="shared" si="589"/>
        <v>39168.239999999998</v>
      </c>
      <c r="P668" s="533">
        <f t="shared" si="589"/>
        <v>5868.2000000000007</v>
      </c>
      <c r="Q668" s="533">
        <f t="shared" si="589"/>
        <v>3040.9499999999985</v>
      </c>
      <c r="R668" s="533">
        <f t="shared" si="589"/>
        <v>23792.258333333335</v>
      </c>
      <c r="S668" s="533">
        <f t="shared" si="589"/>
        <v>23792.258333333335</v>
      </c>
      <c r="T668" s="533">
        <f t="shared" si="589"/>
        <v>23792.258333333335</v>
      </c>
      <c r="U668" s="533">
        <f t="shared" si="589"/>
        <v>23792.258333333331</v>
      </c>
      <c r="V668" s="533">
        <f t="shared" si="589"/>
        <v>23792.258333333335</v>
      </c>
      <c r="W668" s="533">
        <f t="shared" si="589"/>
        <v>23792.258333333324</v>
      </c>
      <c r="X668" s="533"/>
      <c r="Y668" s="533">
        <f>SUM(L668:W668)</f>
        <v>199939.83999999997</v>
      </c>
      <c r="Z668" s="508"/>
      <c r="AA668" s="533">
        <f t="shared" ref="AA668:AL668" si="590">SUM(AA660:AA667)</f>
        <v>16223.833333333334</v>
      </c>
      <c r="AB668" s="533">
        <f t="shared" si="590"/>
        <v>16223.833333333334</v>
      </c>
      <c r="AC668" s="533">
        <f t="shared" si="590"/>
        <v>16223.833333333334</v>
      </c>
      <c r="AD668" s="533">
        <f t="shared" si="590"/>
        <v>16223.833333333334</v>
      </c>
      <c r="AE668" s="533">
        <f t="shared" si="590"/>
        <v>16223.833333333334</v>
      </c>
      <c r="AF668" s="533">
        <f t="shared" si="590"/>
        <v>16223.833333333334</v>
      </c>
      <c r="AG668" s="533">
        <f t="shared" si="590"/>
        <v>16223.833333333334</v>
      </c>
      <c r="AH668" s="533">
        <f t="shared" si="590"/>
        <v>16223.833333333334</v>
      </c>
      <c r="AI668" s="533">
        <f t="shared" si="590"/>
        <v>16223.833333333334</v>
      </c>
      <c r="AJ668" s="533">
        <f t="shared" si="590"/>
        <v>16223.833333333334</v>
      </c>
      <c r="AK668" s="533">
        <f t="shared" si="590"/>
        <v>16223.833333333334</v>
      </c>
      <c r="AL668" s="533">
        <f t="shared" si="590"/>
        <v>16223.833333333334</v>
      </c>
      <c r="AN668" s="532">
        <f>SUM(AN660:AN667)</f>
        <v>199939.84</v>
      </c>
      <c r="AO668" s="533">
        <f>SUM(AO660:AO667)</f>
        <v>219355.53490763056</v>
      </c>
      <c r="AP668" s="533">
        <f>IFERROR(AO668-AN668,0)</f>
        <v>19415.694907630561</v>
      </c>
      <c r="AQ668" s="523">
        <f>IFERROR(AP668/ABS(AN668),"-")</f>
        <v>9.710768452965933E-2</v>
      </c>
      <c r="AR668" s="533">
        <f>SUM(AR660:AR667)</f>
        <v>219355.53490763056</v>
      </c>
      <c r="AS668" s="533">
        <f>IFERROR(AO668-AR668,0)</f>
        <v>0</v>
      </c>
      <c r="AT668" s="521">
        <f>IFERROR(AS668/ABS(AR668),0)</f>
        <v>0</v>
      </c>
      <c r="AU668" s="507"/>
      <c r="AV668" s="533">
        <f>SUM(AV660:AV667)</f>
        <v>18279.627908969211</v>
      </c>
      <c r="AW668" s="533">
        <f t="shared" ref="AW668:BG668" si="591">SUM(AW660:AW667)</f>
        <v>18279.627908969211</v>
      </c>
      <c r="AX668" s="533">
        <f t="shared" si="591"/>
        <v>18279.627908969211</v>
      </c>
      <c r="AY668" s="533">
        <f t="shared" si="591"/>
        <v>18279.627908969211</v>
      </c>
      <c r="AZ668" s="533">
        <f t="shared" si="591"/>
        <v>18279.627908969211</v>
      </c>
      <c r="BA668" s="533">
        <f t="shared" si="591"/>
        <v>18279.627908969211</v>
      </c>
      <c r="BB668" s="533">
        <f t="shared" si="591"/>
        <v>18279.627908969211</v>
      </c>
      <c r="BC668" s="533">
        <f t="shared" si="591"/>
        <v>18279.627908969211</v>
      </c>
      <c r="BD668" s="533">
        <f t="shared" si="591"/>
        <v>18279.627908969211</v>
      </c>
      <c r="BE668" s="533">
        <f t="shared" si="591"/>
        <v>18279.627908969211</v>
      </c>
      <c r="BF668" s="533">
        <f t="shared" si="591"/>
        <v>18279.627908969211</v>
      </c>
      <c r="BG668" s="533">
        <f t="shared" si="591"/>
        <v>18279.627908969211</v>
      </c>
      <c r="BH668" s="508"/>
      <c r="BI668" s="533">
        <f t="shared" ref="BI668:BT668" si="592">SUM(BI660:BI667)</f>
        <v>18279.627908969211</v>
      </c>
      <c r="BJ668" s="533">
        <f t="shared" si="592"/>
        <v>18279.627908969211</v>
      </c>
      <c r="BK668" s="533">
        <f t="shared" si="592"/>
        <v>18279.627908969211</v>
      </c>
      <c r="BL668" s="533">
        <f t="shared" si="592"/>
        <v>18279.627908969211</v>
      </c>
      <c r="BM668" s="533">
        <f t="shared" si="592"/>
        <v>18279.627908969211</v>
      </c>
      <c r="BN668" s="533">
        <f t="shared" si="592"/>
        <v>18279.627908969211</v>
      </c>
      <c r="BO668" s="533">
        <f t="shared" si="592"/>
        <v>18279.627908969211</v>
      </c>
      <c r="BP668" s="533">
        <f t="shared" si="592"/>
        <v>18279.627908969211</v>
      </c>
      <c r="BQ668" s="533">
        <f t="shared" si="592"/>
        <v>18279.627908969211</v>
      </c>
      <c r="BR668" s="533">
        <f t="shared" si="592"/>
        <v>18279.627908969211</v>
      </c>
      <c r="BS668" s="533">
        <f t="shared" si="592"/>
        <v>18279.627908969211</v>
      </c>
      <c r="BT668" s="533">
        <f t="shared" si="592"/>
        <v>18279.627908969211</v>
      </c>
    </row>
    <row r="669" spans="1:72" ht="15.75" thickTop="1" x14ac:dyDescent="0.25">
      <c r="A669" s="587"/>
      <c r="B669" s="502"/>
      <c r="C669" s="400"/>
      <c r="D669" s="500"/>
      <c r="E669" s="449"/>
      <c r="F669" s="449"/>
      <c r="G669" s="421"/>
      <c r="H669" s="449"/>
      <c r="I669" s="449"/>
      <c r="J669" s="426"/>
      <c r="K669" s="421"/>
      <c r="L669" s="449"/>
      <c r="M669" s="449"/>
      <c r="N669" s="449"/>
      <c r="O669" s="449"/>
      <c r="P669" s="449"/>
      <c r="Q669" s="449"/>
      <c r="R669" s="449"/>
      <c r="S669" s="449"/>
      <c r="T669" s="449"/>
      <c r="U669" s="449"/>
      <c r="V669" s="449"/>
      <c r="W669" s="449"/>
      <c r="X669" s="449"/>
      <c r="Y669" s="449"/>
      <c r="Z669" s="501"/>
      <c r="AA669" s="449"/>
      <c r="AB669" s="449"/>
      <c r="AC669" s="449"/>
      <c r="AD669" s="449"/>
      <c r="AE669" s="449"/>
      <c r="AF669" s="449"/>
      <c r="AG669" s="449"/>
      <c r="AH669" s="449"/>
      <c r="AI669" s="449"/>
      <c r="AJ669" s="449"/>
      <c r="AK669" s="449"/>
      <c r="AL669" s="449"/>
      <c r="AN669" s="500"/>
      <c r="AO669" s="449"/>
      <c r="AP669" s="449"/>
      <c r="AQ669" s="453"/>
      <c r="AR669" s="449"/>
      <c r="AS669" s="449"/>
      <c r="AT669" s="426"/>
      <c r="AU669" s="421"/>
      <c r="AV669" s="449"/>
      <c r="AW669" s="449"/>
      <c r="AX669" s="449"/>
      <c r="AY669" s="449"/>
      <c r="AZ669" s="449"/>
      <c r="BA669" s="449"/>
      <c r="BB669" s="449"/>
      <c r="BC669" s="449"/>
      <c r="BD669" s="449"/>
      <c r="BE669" s="449"/>
      <c r="BF669" s="449"/>
      <c r="BG669" s="449"/>
      <c r="BH669" s="501"/>
      <c r="BI669" s="449"/>
      <c r="BJ669" s="449"/>
      <c r="BK669" s="449"/>
      <c r="BL669" s="449"/>
      <c r="BM669" s="449"/>
      <c r="BN669" s="449"/>
      <c r="BO669" s="449"/>
      <c r="BP669" s="449"/>
      <c r="BQ669" s="449"/>
      <c r="BR669" s="449"/>
      <c r="BS669" s="449"/>
      <c r="BT669" s="449"/>
    </row>
    <row r="670" spans="1:72" ht="15" x14ac:dyDescent="0.25">
      <c r="A670" s="587"/>
      <c r="B670" s="524" t="s">
        <v>1077</v>
      </c>
      <c r="C670" s="400"/>
      <c r="D670" s="500"/>
      <c r="E670" s="449"/>
      <c r="F670" s="449"/>
      <c r="G670" s="421"/>
      <c r="H670" s="449"/>
      <c r="I670" s="449"/>
      <c r="J670" s="426"/>
      <c r="K670" s="421"/>
      <c r="L670" s="449"/>
      <c r="M670" s="449"/>
      <c r="N670" s="449"/>
      <c r="O670" s="449"/>
      <c r="P670" s="449"/>
      <c r="Q670" s="449"/>
      <c r="R670" s="449"/>
      <c r="S670" s="449"/>
      <c r="T670" s="449"/>
      <c r="U670" s="449"/>
      <c r="V670" s="449"/>
      <c r="W670" s="449"/>
      <c r="X670" s="449"/>
      <c r="Y670" s="449"/>
      <c r="Z670" s="501"/>
      <c r="AA670" s="449"/>
      <c r="AB670" s="449"/>
      <c r="AC670" s="449"/>
      <c r="AD670" s="449"/>
      <c r="AE670" s="449"/>
      <c r="AF670" s="449"/>
      <c r="AG670" s="449"/>
      <c r="AH670" s="449"/>
      <c r="AI670" s="449"/>
      <c r="AJ670" s="449"/>
      <c r="AK670" s="449"/>
      <c r="AL670" s="449"/>
      <c r="AN670" s="500"/>
      <c r="AO670" s="449"/>
      <c r="AP670" s="449"/>
      <c r="AQ670" s="453"/>
      <c r="AR670" s="449"/>
      <c r="AS670" s="449"/>
      <c r="AT670" s="426"/>
      <c r="AU670" s="421"/>
      <c r="AV670" s="449"/>
      <c r="AW670" s="449"/>
      <c r="AX670" s="449"/>
      <c r="AY670" s="449"/>
      <c r="AZ670" s="449"/>
      <c r="BA670" s="449"/>
      <c r="BB670" s="449"/>
      <c r="BC670" s="449"/>
      <c r="BD670" s="449"/>
      <c r="BE670" s="449"/>
      <c r="BF670" s="449"/>
      <c r="BG670" s="449"/>
      <c r="BH670" s="501"/>
      <c r="BI670" s="449"/>
      <c r="BJ670" s="449"/>
      <c r="BK670" s="449"/>
      <c r="BL670" s="449"/>
      <c r="BM670" s="449"/>
      <c r="BN670" s="449"/>
      <c r="BO670" s="449"/>
      <c r="BP670" s="449"/>
      <c r="BQ670" s="449"/>
      <c r="BR670" s="449"/>
      <c r="BS670" s="449"/>
      <c r="BT670" s="449"/>
    </row>
    <row r="671" spans="1:72" ht="15" x14ac:dyDescent="0.25">
      <c r="A671" s="502" t="s">
        <v>1078</v>
      </c>
      <c r="B671" s="502" t="s">
        <v>1079</v>
      </c>
      <c r="C671" s="538"/>
      <c r="D671" s="500">
        <f t="shared" ref="D671:D679" si="593">SUM(L671:W671)</f>
        <v>48225</v>
      </c>
      <c r="E671" s="449">
        <v>48225</v>
      </c>
      <c r="F671" s="449">
        <f t="shared" ref="F671:F679" si="594">IFERROR(D671-E671,0)</f>
        <v>0</v>
      </c>
      <c r="G671" s="421">
        <f t="shared" ref="G671:G679" si="595">IFERROR(F671/ABS(E671),0)</f>
        <v>0</v>
      </c>
      <c r="H671" s="449">
        <v>48225</v>
      </c>
      <c r="I671" s="449">
        <f t="shared" ref="I671:I679" si="596">IFERROR(D671-H671,0)</f>
        <v>0</v>
      </c>
      <c r="J671" s="426">
        <f t="shared" ref="J671:J679" si="597">IFERROR(I671/ABS(H671),0)</f>
        <v>0</v>
      </c>
      <c r="K671" s="421"/>
      <c r="L671" s="449">
        <v>0</v>
      </c>
      <c r="M671" s="449">
        <v>0</v>
      </c>
      <c r="N671" s="449">
        <v>0</v>
      </c>
      <c r="O671" s="449">
        <v>6607.5</v>
      </c>
      <c r="P671" s="449">
        <v>4015.59</v>
      </c>
      <c r="Q671" s="449">
        <v>0</v>
      </c>
      <c r="R671" s="449">
        <f>($H671-SUM($L671:Q671))/R$694</f>
        <v>6266.9850000000006</v>
      </c>
      <c r="S671" s="449">
        <f>($H671-SUM($L671:R671))/S$694</f>
        <v>6266.9849999999997</v>
      </c>
      <c r="T671" s="449">
        <f>($H671-SUM($L671:S671))/T$694</f>
        <v>6266.9849999999997</v>
      </c>
      <c r="U671" s="449">
        <f>($H671-SUM($L671:T671))/U$694</f>
        <v>6266.9849999999997</v>
      </c>
      <c r="V671" s="449">
        <f>($H671-SUM($L671:U671))/V$694</f>
        <v>6266.9850000000006</v>
      </c>
      <c r="W671" s="449">
        <f>($H671-SUM($L671:V671))/W$694</f>
        <v>6266.9850000000006</v>
      </c>
      <c r="X671" s="449"/>
      <c r="Y671" s="449">
        <f t="shared" ref="Y671:Y679" si="598">SUM(L671:W671)</f>
        <v>48225</v>
      </c>
      <c r="Z671" s="531"/>
      <c r="AA671" s="449">
        <f t="shared" ref="AA671:AL679" si="599">IFERROR($H671/12,0)</f>
        <v>4018.75</v>
      </c>
      <c r="AB671" s="449">
        <f t="shared" si="599"/>
        <v>4018.75</v>
      </c>
      <c r="AC671" s="449">
        <f t="shared" si="599"/>
        <v>4018.75</v>
      </c>
      <c r="AD671" s="449">
        <f t="shared" si="599"/>
        <v>4018.75</v>
      </c>
      <c r="AE671" s="449">
        <f t="shared" si="599"/>
        <v>4018.75</v>
      </c>
      <c r="AF671" s="449">
        <f t="shared" si="599"/>
        <v>4018.75</v>
      </c>
      <c r="AG671" s="449">
        <f t="shared" si="599"/>
        <v>4018.75</v>
      </c>
      <c r="AH671" s="449">
        <f t="shared" si="599"/>
        <v>4018.75</v>
      </c>
      <c r="AI671" s="449">
        <f t="shared" si="599"/>
        <v>4018.75</v>
      </c>
      <c r="AJ671" s="449">
        <f t="shared" si="599"/>
        <v>4018.75</v>
      </c>
      <c r="AK671" s="449">
        <f t="shared" si="599"/>
        <v>4018.75</v>
      </c>
      <c r="AL671" s="449">
        <f t="shared" si="599"/>
        <v>4018.75</v>
      </c>
      <c r="AN671" s="500">
        <f t="shared" ref="AN671:AN679" si="600">SUM(L671:W671)</f>
        <v>48225</v>
      </c>
      <c r="AO671" s="449">
        <f t="shared" ref="AO671:AO679" si="601">SUM(BI671:BT671)</f>
        <v>53028.1325301205</v>
      </c>
      <c r="AP671" s="449">
        <f t="shared" ref="AP671:AP679" si="602">IFERROR(AO671-AN671,0)</f>
        <v>4803.1325301204997</v>
      </c>
      <c r="AQ671" s="453">
        <f t="shared" ref="AQ671:AQ679" si="603">IFERROR(AP671/ABS(AN671),"-")</f>
        <v>9.9598393574297561E-2</v>
      </c>
      <c r="AR671" s="449">
        <f t="shared" ref="AR671:AR679" si="604">SUM(BI671:BT671)</f>
        <v>53028.1325301205</v>
      </c>
      <c r="AS671" s="449">
        <f t="shared" ref="AS671:AS679" si="605">IFERROR(AO671-AR671,0)</f>
        <v>0</v>
      </c>
      <c r="AT671" s="426">
        <f t="shared" ref="AT671:AT679" si="606">IFERROR(AS671/ABS(AR671),0)</f>
        <v>0</v>
      </c>
      <c r="AU671" s="421"/>
      <c r="AV671" s="449">
        <f t="shared" ref="AV671:BG679" si="607">BI671</f>
        <v>4419.0110441767074</v>
      </c>
      <c r="AW671" s="449">
        <f t="shared" si="607"/>
        <v>4419.0110441767074</v>
      </c>
      <c r="AX671" s="449">
        <f t="shared" si="607"/>
        <v>4419.0110441767074</v>
      </c>
      <c r="AY671" s="449">
        <f t="shared" si="607"/>
        <v>4419.0110441767074</v>
      </c>
      <c r="AZ671" s="449">
        <f t="shared" si="607"/>
        <v>4419.0110441767074</v>
      </c>
      <c r="BA671" s="449">
        <f t="shared" si="607"/>
        <v>4419.0110441767074</v>
      </c>
      <c r="BB671" s="449">
        <f t="shared" si="607"/>
        <v>4419.0110441767074</v>
      </c>
      <c r="BC671" s="449">
        <f t="shared" si="607"/>
        <v>4419.0110441767074</v>
      </c>
      <c r="BD671" s="449">
        <f t="shared" si="607"/>
        <v>4419.0110441767074</v>
      </c>
      <c r="BE671" s="449">
        <f t="shared" si="607"/>
        <v>4419.0110441767074</v>
      </c>
      <c r="BF671" s="449">
        <f t="shared" si="607"/>
        <v>4419.0110441767074</v>
      </c>
      <c r="BG671" s="449">
        <f t="shared" si="607"/>
        <v>4419.0110441767074</v>
      </c>
      <c r="BH671" s="400"/>
      <c r="BI671" s="449">
        <f t="shared" ref="BI671:BT675" si="608">IFERROR((($H671/$H$5)*BI$5)/12,0)</f>
        <v>4419.0110441767074</v>
      </c>
      <c r="BJ671" s="449">
        <f t="shared" si="608"/>
        <v>4419.0110441767074</v>
      </c>
      <c r="BK671" s="449">
        <f t="shared" si="608"/>
        <v>4419.0110441767074</v>
      </c>
      <c r="BL671" s="449">
        <f t="shared" si="608"/>
        <v>4419.0110441767074</v>
      </c>
      <c r="BM671" s="449">
        <f t="shared" si="608"/>
        <v>4419.0110441767074</v>
      </c>
      <c r="BN671" s="449">
        <f t="shared" si="608"/>
        <v>4419.0110441767074</v>
      </c>
      <c r="BO671" s="449">
        <f t="shared" si="608"/>
        <v>4419.0110441767074</v>
      </c>
      <c r="BP671" s="449">
        <f t="shared" si="608"/>
        <v>4419.0110441767074</v>
      </c>
      <c r="BQ671" s="449">
        <f t="shared" si="608"/>
        <v>4419.0110441767074</v>
      </c>
      <c r="BR671" s="449">
        <f t="shared" si="608"/>
        <v>4419.0110441767074</v>
      </c>
      <c r="BS671" s="449">
        <f t="shared" si="608"/>
        <v>4419.0110441767074</v>
      </c>
      <c r="BT671" s="449">
        <f t="shared" si="608"/>
        <v>4419.0110441767074</v>
      </c>
    </row>
    <row r="672" spans="1:72" ht="15" x14ac:dyDescent="0.25">
      <c r="A672" s="502" t="s">
        <v>1080</v>
      </c>
      <c r="B672" s="502" t="s">
        <v>1081</v>
      </c>
      <c r="C672" s="538"/>
      <c r="D672" s="500">
        <f t="shared" si="593"/>
        <v>161</v>
      </c>
      <c r="E672" s="449">
        <v>160.75</v>
      </c>
      <c r="F672" s="449">
        <f t="shared" si="594"/>
        <v>0.25</v>
      </c>
      <c r="G672" s="421">
        <f t="shared" si="595"/>
        <v>1.5552099533437014E-3</v>
      </c>
      <c r="H672" s="449">
        <v>161</v>
      </c>
      <c r="I672" s="449">
        <f t="shared" si="596"/>
        <v>0</v>
      </c>
      <c r="J672" s="426">
        <f t="shared" si="597"/>
        <v>0</v>
      </c>
      <c r="K672" s="421"/>
      <c r="L672" s="449">
        <v>0</v>
      </c>
      <c r="M672" s="449">
        <v>0</v>
      </c>
      <c r="N672" s="449">
        <v>0</v>
      </c>
      <c r="O672" s="449">
        <v>0</v>
      </c>
      <c r="P672" s="449">
        <v>0</v>
      </c>
      <c r="Q672" s="449">
        <v>0</v>
      </c>
      <c r="R672" s="449">
        <f>($H672-SUM($L672:Q672))/R$694</f>
        <v>26.833333333333332</v>
      </c>
      <c r="S672" s="449">
        <f>($H672-SUM($L672:R672))/S$694</f>
        <v>26.833333333333332</v>
      </c>
      <c r="T672" s="449">
        <f>($H672-SUM($L672:S672))/T$694</f>
        <v>26.833333333333336</v>
      </c>
      <c r="U672" s="449">
        <f>($H672-SUM($L672:T672))/U$694</f>
        <v>26.833333333333332</v>
      </c>
      <c r="V672" s="449">
        <f>($H672-SUM($L672:U672))/V$694</f>
        <v>26.833333333333336</v>
      </c>
      <c r="W672" s="449">
        <f>($H672-SUM($L672:V672))/W$694</f>
        <v>26.833333333333343</v>
      </c>
      <c r="X672" s="449"/>
      <c r="Y672" s="449">
        <f t="shared" si="598"/>
        <v>161</v>
      </c>
      <c r="Z672" s="531"/>
      <c r="AA672" s="449">
        <f t="shared" si="599"/>
        <v>13.416666666666666</v>
      </c>
      <c r="AB672" s="449">
        <f t="shared" si="599"/>
        <v>13.416666666666666</v>
      </c>
      <c r="AC672" s="449">
        <f t="shared" si="599"/>
        <v>13.416666666666666</v>
      </c>
      <c r="AD672" s="449">
        <f t="shared" si="599"/>
        <v>13.416666666666666</v>
      </c>
      <c r="AE672" s="449">
        <f t="shared" si="599"/>
        <v>13.416666666666666</v>
      </c>
      <c r="AF672" s="449">
        <f t="shared" si="599"/>
        <v>13.416666666666666</v>
      </c>
      <c r="AG672" s="449">
        <f t="shared" si="599"/>
        <v>13.416666666666666</v>
      </c>
      <c r="AH672" s="449">
        <f t="shared" si="599"/>
        <v>13.416666666666666</v>
      </c>
      <c r="AI672" s="449">
        <f t="shared" si="599"/>
        <v>13.416666666666666</v>
      </c>
      <c r="AJ672" s="449">
        <f t="shared" si="599"/>
        <v>13.416666666666666</v>
      </c>
      <c r="AK672" s="449">
        <f t="shared" si="599"/>
        <v>13.416666666666666</v>
      </c>
      <c r="AL672" s="449">
        <f t="shared" si="599"/>
        <v>13.416666666666666</v>
      </c>
      <c r="AN672" s="500">
        <f t="shared" si="600"/>
        <v>161</v>
      </c>
      <c r="AO672" s="449">
        <f t="shared" si="601"/>
        <v>177.03534136546185</v>
      </c>
      <c r="AP672" s="449">
        <f t="shared" si="602"/>
        <v>16.035341365461846</v>
      </c>
      <c r="AQ672" s="453">
        <f t="shared" si="603"/>
        <v>9.9598393574297187E-2</v>
      </c>
      <c r="AR672" s="449">
        <f t="shared" si="604"/>
        <v>177.03534136546185</v>
      </c>
      <c r="AS672" s="449">
        <f t="shared" si="605"/>
        <v>0</v>
      </c>
      <c r="AT672" s="426">
        <f t="shared" si="606"/>
        <v>0</v>
      </c>
      <c r="AU672" s="421"/>
      <c r="AV672" s="449">
        <f t="shared" si="607"/>
        <v>14.752945113788487</v>
      </c>
      <c r="AW672" s="449">
        <f t="shared" si="607"/>
        <v>14.752945113788487</v>
      </c>
      <c r="AX672" s="449">
        <f t="shared" si="607"/>
        <v>14.752945113788487</v>
      </c>
      <c r="AY672" s="449">
        <f t="shared" si="607"/>
        <v>14.752945113788487</v>
      </c>
      <c r="AZ672" s="449">
        <f t="shared" si="607"/>
        <v>14.752945113788487</v>
      </c>
      <c r="BA672" s="449">
        <f t="shared" si="607"/>
        <v>14.752945113788487</v>
      </c>
      <c r="BB672" s="449">
        <f t="shared" si="607"/>
        <v>14.752945113788487</v>
      </c>
      <c r="BC672" s="449">
        <f t="shared" si="607"/>
        <v>14.752945113788487</v>
      </c>
      <c r="BD672" s="449">
        <f t="shared" si="607"/>
        <v>14.752945113788487</v>
      </c>
      <c r="BE672" s="449">
        <f t="shared" si="607"/>
        <v>14.752945113788487</v>
      </c>
      <c r="BF672" s="449">
        <f t="shared" si="607"/>
        <v>14.752945113788487</v>
      </c>
      <c r="BG672" s="449">
        <f t="shared" si="607"/>
        <v>14.752945113788487</v>
      </c>
      <c r="BH672" s="400"/>
      <c r="BI672" s="449">
        <f t="shared" si="608"/>
        <v>14.752945113788487</v>
      </c>
      <c r="BJ672" s="449">
        <f t="shared" si="608"/>
        <v>14.752945113788487</v>
      </c>
      <c r="BK672" s="449">
        <f t="shared" si="608"/>
        <v>14.752945113788487</v>
      </c>
      <c r="BL672" s="449">
        <f t="shared" si="608"/>
        <v>14.752945113788487</v>
      </c>
      <c r="BM672" s="449">
        <f t="shared" si="608"/>
        <v>14.752945113788487</v>
      </c>
      <c r="BN672" s="449">
        <f t="shared" si="608"/>
        <v>14.752945113788487</v>
      </c>
      <c r="BO672" s="449">
        <f t="shared" si="608"/>
        <v>14.752945113788487</v>
      </c>
      <c r="BP672" s="449">
        <f t="shared" si="608"/>
        <v>14.752945113788487</v>
      </c>
      <c r="BQ672" s="449">
        <f t="shared" si="608"/>
        <v>14.752945113788487</v>
      </c>
      <c r="BR672" s="449">
        <f t="shared" si="608"/>
        <v>14.752945113788487</v>
      </c>
      <c r="BS672" s="449">
        <f t="shared" si="608"/>
        <v>14.752945113788487</v>
      </c>
      <c r="BT672" s="449">
        <f t="shared" si="608"/>
        <v>14.752945113788487</v>
      </c>
    </row>
    <row r="673" spans="1:72" ht="15" x14ac:dyDescent="0.25">
      <c r="A673" s="502" t="s">
        <v>1082</v>
      </c>
      <c r="B673" s="502" t="s">
        <v>1063</v>
      </c>
      <c r="C673" s="538"/>
      <c r="D673" s="500">
        <f t="shared" si="593"/>
        <v>24113</v>
      </c>
      <c r="E673" s="449">
        <v>24112.5</v>
      </c>
      <c r="F673" s="449">
        <f t="shared" si="594"/>
        <v>0.5</v>
      </c>
      <c r="G673" s="421">
        <f t="shared" si="595"/>
        <v>2.0736132711249351E-5</v>
      </c>
      <c r="H673" s="449">
        <v>24113</v>
      </c>
      <c r="I673" s="449">
        <f t="shared" si="596"/>
        <v>0</v>
      </c>
      <c r="J673" s="426">
        <f t="shared" si="597"/>
        <v>0</v>
      </c>
      <c r="K673" s="421"/>
      <c r="L673" s="449">
        <v>0</v>
      </c>
      <c r="M673" s="449">
        <v>0</v>
      </c>
      <c r="N673" s="449">
        <v>0</v>
      </c>
      <c r="O673" s="449">
        <v>0</v>
      </c>
      <c r="P673" s="449">
        <v>0</v>
      </c>
      <c r="Q673" s="449">
        <v>1125</v>
      </c>
      <c r="R673" s="449">
        <f>($H673-SUM($L673:Q673))/R$694</f>
        <v>3831.3333333333335</v>
      </c>
      <c r="S673" s="449">
        <f>($H673-SUM($L673:R673))/S$694</f>
        <v>3831.333333333333</v>
      </c>
      <c r="T673" s="449">
        <f>($H673-SUM($L673:S673))/T$694</f>
        <v>3831.333333333333</v>
      </c>
      <c r="U673" s="449">
        <f>($H673-SUM($L673:T673))/U$694</f>
        <v>3831.3333333333335</v>
      </c>
      <c r="V673" s="449">
        <f>($H673-SUM($L673:U673))/V$694</f>
        <v>3831.3333333333339</v>
      </c>
      <c r="W673" s="449">
        <f>($H673-SUM($L673:V673))/W$694</f>
        <v>3831.3333333333358</v>
      </c>
      <c r="X673" s="449"/>
      <c r="Y673" s="449">
        <f t="shared" si="598"/>
        <v>24113</v>
      </c>
      <c r="Z673" s="531"/>
      <c r="AA673" s="449">
        <f t="shared" si="599"/>
        <v>2009.4166666666667</v>
      </c>
      <c r="AB673" s="449">
        <f t="shared" si="599"/>
        <v>2009.4166666666667</v>
      </c>
      <c r="AC673" s="449">
        <f t="shared" si="599"/>
        <v>2009.4166666666667</v>
      </c>
      <c r="AD673" s="449">
        <f t="shared" si="599"/>
        <v>2009.4166666666667</v>
      </c>
      <c r="AE673" s="449">
        <f t="shared" si="599"/>
        <v>2009.4166666666667</v>
      </c>
      <c r="AF673" s="449">
        <f t="shared" si="599"/>
        <v>2009.4166666666667</v>
      </c>
      <c r="AG673" s="449">
        <f t="shared" si="599"/>
        <v>2009.4166666666667</v>
      </c>
      <c r="AH673" s="449">
        <f t="shared" si="599"/>
        <v>2009.4166666666667</v>
      </c>
      <c r="AI673" s="449">
        <f t="shared" si="599"/>
        <v>2009.4166666666667</v>
      </c>
      <c r="AJ673" s="449">
        <f t="shared" si="599"/>
        <v>2009.4166666666667</v>
      </c>
      <c r="AK673" s="449">
        <f t="shared" si="599"/>
        <v>2009.4166666666667</v>
      </c>
      <c r="AL673" s="449">
        <f t="shared" si="599"/>
        <v>2009.4166666666667</v>
      </c>
      <c r="AN673" s="500">
        <f t="shared" si="600"/>
        <v>24113</v>
      </c>
      <c r="AO673" s="449">
        <f t="shared" si="601"/>
        <v>26514.616064257028</v>
      </c>
      <c r="AP673" s="449">
        <f t="shared" si="602"/>
        <v>2401.6160642570285</v>
      </c>
      <c r="AQ673" s="453">
        <f t="shared" si="603"/>
        <v>9.95983935742972E-2</v>
      </c>
      <c r="AR673" s="449">
        <f t="shared" si="604"/>
        <v>26514.616064257028</v>
      </c>
      <c r="AS673" s="449">
        <f t="shared" si="605"/>
        <v>0</v>
      </c>
      <c r="AT673" s="426">
        <f t="shared" si="606"/>
        <v>0</v>
      </c>
      <c r="AU673" s="421"/>
      <c r="AV673" s="449">
        <f t="shared" si="607"/>
        <v>2209.5513386880862</v>
      </c>
      <c r="AW673" s="449">
        <f t="shared" si="607"/>
        <v>2209.5513386880862</v>
      </c>
      <c r="AX673" s="449">
        <f t="shared" si="607"/>
        <v>2209.5513386880862</v>
      </c>
      <c r="AY673" s="449">
        <f t="shared" si="607"/>
        <v>2209.5513386880862</v>
      </c>
      <c r="AZ673" s="449">
        <f t="shared" si="607"/>
        <v>2209.5513386880862</v>
      </c>
      <c r="BA673" s="449">
        <f t="shared" si="607"/>
        <v>2209.5513386880862</v>
      </c>
      <c r="BB673" s="449">
        <f t="shared" si="607"/>
        <v>2209.5513386880862</v>
      </c>
      <c r="BC673" s="449">
        <f t="shared" si="607"/>
        <v>2209.5513386880862</v>
      </c>
      <c r="BD673" s="449">
        <f t="shared" si="607"/>
        <v>2209.5513386880862</v>
      </c>
      <c r="BE673" s="449">
        <f t="shared" si="607"/>
        <v>2209.5513386880862</v>
      </c>
      <c r="BF673" s="449">
        <f t="shared" si="607"/>
        <v>2209.5513386880862</v>
      </c>
      <c r="BG673" s="449">
        <f t="shared" si="607"/>
        <v>2209.5513386880862</v>
      </c>
      <c r="BH673" s="400"/>
      <c r="BI673" s="449">
        <f t="shared" si="608"/>
        <v>2209.5513386880862</v>
      </c>
      <c r="BJ673" s="449">
        <f t="shared" si="608"/>
        <v>2209.5513386880862</v>
      </c>
      <c r="BK673" s="449">
        <f t="shared" si="608"/>
        <v>2209.5513386880862</v>
      </c>
      <c r="BL673" s="449">
        <f t="shared" si="608"/>
        <v>2209.5513386880862</v>
      </c>
      <c r="BM673" s="449">
        <f t="shared" si="608"/>
        <v>2209.5513386880862</v>
      </c>
      <c r="BN673" s="449">
        <f t="shared" si="608"/>
        <v>2209.5513386880862</v>
      </c>
      <c r="BO673" s="449">
        <f t="shared" si="608"/>
        <v>2209.5513386880862</v>
      </c>
      <c r="BP673" s="449">
        <f t="shared" si="608"/>
        <v>2209.5513386880862</v>
      </c>
      <c r="BQ673" s="449">
        <f t="shared" si="608"/>
        <v>2209.5513386880862</v>
      </c>
      <c r="BR673" s="449">
        <f t="shared" si="608"/>
        <v>2209.5513386880862</v>
      </c>
      <c r="BS673" s="449">
        <f t="shared" si="608"/>
        <v>2209.5513386880862</v>
      </c>
      <c r="BT673" s="449">
        <f t="shared" si="608"/>
        <v>2209.5513386880862</v>
      </c>
    </row>
    <row r="674" spans="1:72" ht="15" x14ac:dyDescent="0.25">
      <c r="A674" s="502" t="s">
        <v>1083</v>
      </c>
      <c r="B674" s="502" t="s">
        <v>1084</v>
      </c>
      <c r="C674" s="538"/>
      <c r="D674" s="500">
        <f t="shared" si="593"/>
        <v>38580</v>
      </c>
      <c r="E674" s="449">
        <v>38580</v>
      </c>
      <c r="F674" s="449">
        <f t="shared" si="594"/>
        <v>0</v>
      </c>
      <c r="G674" s="421">
        <f t="shared" si="595"/>
        <v>0</v>
      </c>
      <c r="H674" s="449">
        <v>38580</v>
      </c>
      <c r="I674" s="449">
        <f t="shared" si="596"/>
        <v>0</v>
      </c>
      <c r="J674" s="426">
        <f t="shared" si="597"/>
        <v>0</v>
      </c>
      <c r="K674" s="421"/>
      <c r="L674" s="449">
        <v>0</v>
      </c>
      <c r="M674" s="449">
        <v>0</v>
      </c>
      <c r="N674" s="449">
        <v>0</v>
      </c>
      <c r="O674" s="449">
        <v>0</v>
      </c>
      <c r="P674" s="449">
        <v>975</v>
      </c>
      <c r="Q674" s="449">
        <v>-975</v>
      </c>
      <c r="R674" s="449">
        <f>($H674-SUM($L674:Q674))/R$694</f>
        <v>6430</v>
      </c>
      <c r="S674" s="449">
        <f>($H674-SUM($L674:R674))/S$694</f>
        <v>6430</v>
      </c>
      <c r="T674" s="449">
        <f>($H674-SUM($L674:S674))/T$694</f>
        <v>6430</v>
      </c>
      <c r="U674" s="449">
        <f>($H674-SUM($L674:T674))/U$694</f>
        <v>6430</v>
      </c>
      <c r="V674" s="449">
        <f>($H674-SUM($L674:U674))/V$694</f>
        <v>6430</v>
      </c>
      <c r="W674" s="449">
        <f>($H674-SUM($L674:V674))/W$694</f>
        <v>6430</v>
      </c>
      <c r="X674" s="449"/>
      <c r="Y674" s="449">
        <f t="shared" si="598"/>
        <v>38580</v>
      </c>
      <c r="Z674" s="531"/>
      <c r="AA674" s="449">
        <f t="shared" si="599"/>
        <v>3215</v>
      </c>
      <c r="AB674" s="449">
        <f t="shared" si="599"/>
        <v>3215</v>
      </c>
      <c r="AC674" s="449">
        <f t="shared" si="599"/>
        <v>3215</v>
      </c>
      <c r="AD674" s="449">
        <f t="shared" si="599"/>
        <v>3215</v>
      </c>
      <c r="AE674" s="449">
        <f t="shared" si="599"/>
        <v>3215</v>
      </c>
      <c r="AF674" s="449">
        <f t="shared" si="599"/>
        <v>3215</v>
      </c>
      <c r="AG674" s="449">
        <f t="shared" si="599"/>
        <v>3215</v>
      </c>
      <c r="AH674" s="449">
        <f t="shared" si="599"/>
        <v>3215</v>
      </c>
      <c r="AI674" s="449">
        <f t="shared" si="599"/>
        <v>3215</v>
      </c>
      <c r="AJ674" s="449">
        <f t="shared" si="599"/>
        <v>3215</v>
      </c>
      <c r="AK674" s="449">
        <f t="shared" si="599"/>
        <v>3215</v>
      </c>
      <c r="AL674" s="449">
        <f t="shared" si="599"/>
        <v>3215</v>
      </c>
      <c r="AN674" s="500">
        <f t="shared" si="600"/>
        <v>38580</v>
      </c>
      <c r="AO674" s="449">
        <f t="shared" si="601"/>
        <v>42422.506024096372</v>
      </c>
      <c r="AP674" s="449">
        <f t="shared" si="602"/>
        <v>3842.5060240963721</v>
      </c>
      <c r="AQ674" s="453">
        <f t="shared" si="603"/>
        <v>9.959839357429684E-2</v>
      </c>
      <c r="AR674" s="449">
        <f t="shared" si="604"/>
        <v>42422.506024096372</v>
      </c>
      <c r="AS674" s="449">
        <f t="shared" si="605"/>
        <v>0</v>
      </c>
      <c r="AT674" s="426">
        <f t="shared" si="606"/>
        <v>0</v>
      </c>
      <c r="AU674" s="421"/>
      <c r="AV674" s="449">
        <f t="shared" si="607"/>
        <v>3535.2088353413656</v>
      </c>
      <c r="AW674" s="449">
        <f t="shared" si="607"/>
        <v>3535.2088353413656</v>
      </c>
      <c r="AX674" s="449">
        <f t="shared" si="607"/>
        <v>3535.2088353413656</v>
      </c>
      <c r="AY674" s="449">
        <f t="shared" si="607"/>
        <v>3535.2088353413656</v>
      </c>
      <c r="AZ674" s="449">
        <f t="shared" si="607"/>
        <v>3535.2088353413656</v>
      </c>
      <c r="BA674" s="449">
        <f t="shared" si="607"/>
        <v>3535.2088353413656</v>
      </c>
      <c r="BB674" s="449">
        <f t="shared" si="607"/>
        <v>3535.2088353413656</v>
      </c>
      <c r="BC674" s="449">
        <f t="shared" si="607"/>
        <v>3535.2088353413656</v>
      </c>
      <c r="BD674" s="449">
        <f t="shared" si="607"/>
        <v>3535.2088353413656</v>
      </c>
      <c r="BE674" s="449">
        <f t="shared" si="607"/>
        <v>3535.2088353413656</v>
      </c>
      <c r="BF674" s="449">
        <f t="shared" si="607"/>
        <v>3535.2088353413656</v>
      </c>
      <c r="BG674" s="449">
        <f t="shared" si="607"/>
        <v>3535.2088353413656</v>
      </c>
      <c r="BH674" s="400"/>
      <c r="BI674" s="449">
        <f t="shared" si="608"/>
        <v>3535.2088353413656</v>
      </c>
      <c r="BJ674" s="449">
        <f t="shared" si="608"/>
        <v>3535.2088353413656</v>
      </c>
      <c r="BK674" s="449">
        <f t="shared" si="608"/>
        <v>3535.2088353413656</v>
      </c>
      <c r="BL674" s="449">
        <f t="shared" si="608"/>
        <v>3535.2088353413656</v>
      </c>
      <c r="BM674" s="449">
        <f t="shared" si="608"/>
        <v>3535.2088353413656</v>
      </c>
      <c r="BN674" s="449">
        <f t="shared" si="608"/>
        <v>3535.2088353413656</v>
      </c>
      <c r="BO674" s="449">
        <f t="shared" si="608"/>
        <v>3535.2088353413656</v>
      </c>
      <c r="BP674" s="449">
        <f t="shared" si="608"/>
        <v>3535.2088353413656</v>
      </c>
      <c r="BQ674" s="449">
        <f t="shared" si="608"/>
        <v>3535.2088353413656</v>
      </c>
      <c r="BR674" s="449">
        <f t="shared" si="608"/>
        <v>3535.2088353413656</v>
      </c>
      <c r="BS674" s="449">
        <f t="shared" si="608"/>
        <v>3535.2088353413656</v>
      </c>
      <c r="BT674" s="449">
        <f t="shared" si="608"/>
        <v>3535.2088353413656</v>
      </c>
    </row>
    <row r="675" spans="1:72" ht="15" x14ac:dyDescent="0.25">
      <c r="A675" s="502" t="s">
        <v>1085</v>
      </c>
      <c r="B675" s="502" t="s">
        <v>1086</v>
      </c>
      <c r="C675" s="538"/>
      <c r="D675" s="500">
        <f t="shared" si="593"/>
        <v>2572</v>
      </c>
      <c r="E675" s="449">
        <v>2572</v>
      </c>
      <c r="F675" s="449">
        <f t="shared" si="594"/>
        <v>0</v>
      </c>
      <c r="G675" s="421">
        <f t="shared" si="595"/>
        <v>0</v>
      </c>
      <c r="H675" s="449">
        <v>2572</v>
      </c>
      <c r="I675" s="449">
        <f t="shared" si="596"/>
        <v>0</v>
      </c>
      <c r="J675" s="426">
        <f t="shared" si="597"/>
        <v>0</v>
      </c>
      <c r="K675" s="421"/>
      <c r="L675" s="449">
        <v>0</v>
      </c>
      <c r="M675" s="449">
        <v>0</v>
      </c>
      <c r="N675" s="449">
        <v>0</v>
      </c>
      <c r="O675" s="449">
        <v>0</v>
      </c>
      <c r="P675" s="449">
        <v>132.47</v>
      </c>
      <c r="Q675" s="449">
        <v>0</v>
      </c>
      <c r="R675" s="449">
        <f>($H675-SUM($L675:Q675))/R$694</f>
        <v>406.58833333333337</v>
      </c>
      <c r="S675" s="449">
        <f>($H675-SUM($L675:R675))/S$694</f>
        <v>406.58833333333331</v>
      </c>
      <c r="T675" s="449">
        <f>($H675-SUM($L675:S675))/T$694</f>
        <v>406.58833333333331</v>
      </c>
      <c r="U675" s="449">
        <f>($H675-SUM($L675:T675))/U$694</f>
        <v>406.58833333333331</v>
      </c>
      <c r="V675" s="449">
        <f>($H675-SUM($L675:U675))/V$694</f>
        <v>406.58833333333325</v>
      </c>
      <c r="W675" s="449">
        <f>($H675-SUM($L675:V675))/W$694</f>
        <v>406.58833333333314</v>
      </c>
      <c r="X675" s="449"/>
      <c r="Y675" s="449">
        <f t="shared" si="598"/>
        <v>2572</v>
      </c>
      <c r="Z675" s="531"/>
      <c r="AA675" s="449">
        <f t="shared" si="599"/>
        <v>214.33333333333334</v>
      </c>
      <c r="AB675" s="449">
        <f t="shared" si="599"/>
        <v>214.33333333333334</v>
      </c>
      <c r="AC675" s="449">
        <f t="shared" si="599"/>
        <v>214.33333333333334</v>
      </c>
      <c r="AD675" s="449">
        <f t="shared" si="599"/>
        <v>214.33333333333334</v>
      </c>
      <c r="AE675" s="449">
        <f t="shared" si="599"/>
        <v>214.33333333333334</v>
      </c>
      <c r="AF675" s="449">
        <f t="shared" si="599"/>
        <v>214.33333333333334</v>
      </c>
      <c r="AG675" s="449">
        <f t="shared" si="599"/>
        <v>214.33333333333334</v>
      </c>
      <c r="AH675" s="449">
        <f t="shared" si="599"/>
        <v>214.33333333333334</v>
      </c>
      <c r="AI675" s="449">
        <f t="shared" si="599"/>
        <v>214.33333333333334</v>
      </c>
      <c r="AJ675" s="449">
        <f t="shared" si="599"/>
        <v>214.33333333333334</v>
      </c>
      <c r="AK675" s="449">
        <f t="shared" si="599"/>
        <v>214.33333333333334</v>
      </c>
      <c r="AL675" s="449">
        <f t="shared" si="599"/>
        <v>214.33333333333334</v>
      </c>
      <c r="AN675" s="500">
        <f t="shared" si="600"/>
        <v>2572</v>
      </c>
      <c r="AO675" s="449">
        <f t="shared" si="601"/>
        <v>2828.1670682730928</v>
      </c>
      <c r="AP675" s="449">
        <f t="shared" si="602"/>
        <v>256.16706827309281</v>
      </c>
      <c r="AQ675" s="453">
        <f t="shared" si="603"/>
        <v>9.9598393574297353E-2</v>
      </c>
      <c r="AR675" s="449">
        <f t="shared" si="604"/>
        <v>2828.1670682730928</v>
      </c>
      <c r="AS675" s="449">
        <f t="shared" si="605"/>
        <v>0</v>
      </c>
      <c r="AT675" s="426">
        <f t="shared" si="606"/>
        <v>0</v>
      </c>
      <c r="AU675" s="421"/>
      <c r="AV675" s="449">
        <f t="shared" si="607"/>
        <v>235.68058902275769</v>
      </c>
      <c r="AW675" s="449">
        <f t="shared" si="607"/>
        <v>235.68058902275769</v>
      </c>
      <c r="AX675" s="449">
        <f t="shared" si="607"/>
        <v>235.68058902275769</v>
      </c>
      <c r="AY675" s="449">
        <f t="shared" si="607"/>
        <v>235.68058902275769</v>
      </c>
      <c r="AZ675" s="449">
        <f t="shared" si="607"/>
        <v>235.68058902275769</v>
      </c>
      <c r="BA675" s="449">
        <f t="shared" si="607"/>
        <v>235.68058902275769</v>
      </c>
      <c r="BB675" s="449">
        <f t="shared" si="607"/>
        <v>235.68058902275769</v>
      </c>
      <c r="BC675" s="449">
        <f t="shared" si="607"/>
        <v>235.68058902275769</v>
      </c>
      <c r="BD675" s="449">
        <f t="shared" si="607"/>
        <v>235.68058902275769</v>
      </c>
      <c r="BE675" s="449">
        <f t="shared" si="607"/>
        <v>235.68058902275769</v>
      </c>
      <c r="BF675" s="449">
        <f t="shared" si="607"/>
        <v>235.68058902275769</v>
      </c>
      <c r="BG675" s="449">
        <f t="shared" si="607"/>
        <v>235.68058902275769</v>
      </c>
      <c r="BH675" s="400"/>
      <c r="BI675" s="449">
        <f t="shared" si="608"/>
        <v>235.68058902275769</v>
      </c>
      <c r="BJ675" s="449">
        <f t="shared" si="608"/>
        <v>235.68058902275769</v>
      </c>
      <c r="BK675" s="449">
        <f t="shared" si="608"/>
        <v>235.68058902275769</v>
      </c>
      <c r="BL675" s="449">
        <f t="shared" si="608"/>
        <v>235.68058902275769</v>
      </c>
      <c r="BM675" s="449">
        <f t="shared" si="608"/>
        <v>235.68058902275769</v>
      </c>
      <c r="BN675" s="449">
        <f t="shared" si="608"/>
        <v>235.68058902275769</v>
      </c>
      <c r="BO675" s="449">
        <f t="shared" si="608"/>
        <v>235.68058902275769</v>
      </c>
      <c r="BP675" s="449">
        <f t="shared" si="608"/>
        <v>235.68058902275769</v>
      </c>
      <c r="BQ675" s="449">
        <f t="shared" si="608"/>
        <v>235.68058902275769</v>
      </c>
      <c r="BR675" s="449">
        <f t="shared" si="608"/>
        <v>235.68058902275769</v>
      </c>
      <c r="BS675" s="449">
        <f t="shared" si="608"/>
        <v>235.68058902275769</v>
      </c>
      <c r="BT675" s="449">
        <f t="shared" si="608"/>
        <v>235.68058902275769</v>
      </c>
    </row>
    <row r="676" spans="1:72" ht="15" x14ac:dyDescent="0.25">
      <c r="A676" s="502" t="s">
        <v>1087</v>
      </c>
      <c r="B676" s="502" t="s">
        <v>1088</v>
      </c>
      <c r="C676" s="538"/>
      <c r="D676" s="500">
        <f t="shared" si="593"/>
        <v>7038.62</v>
      </c>
      <c r="E676" s="449">
        <v>6751.5</v>
      </c>
      <c r="F676" s="449">
        <f t="shared" si="594"/>
        <v>287.11999999999989</v>
      </c>
      <c r="G676" s="421">
        <f t="shared" si="595"/>
        <v>4.2526845886099368E-2</v>
      </c>
      <c r="H676" s="449">
        <v>6752</v>
      </c>
      <c r="I676" s="449">
        <f t="shared" si="596"/>
        <v>286.61999999999989</v>
      </c>
      <c r="J676" s="426">
        <f t="shared" si="597"/>
        <v>4.2449644549763015E-2</v>
      </c>
      <c r="K676" s="421"/>
      <c r="L676" s="449">
        <v>0</v>
      </c>
      <c r="M676" s="449">
        <v>1021.76</v>
      </c>
      <c r="N676" s="449">
        <v>1144.9100000000001</v>
      </c>
      <c r="O676" s="449">
        <v>0</v>
      </c>
      <c r="P676" s="449">
        <v>4871.95</v>
      </c>
      <c r="Q676" s="449">
        <v>0</v>
      </c>
      <c r="R676" s="449">
        <v>0</v>
      </c>
      <c r="S676" s="449">
        <v>0</v>
      </c>
      <c r="T676" s="449">
        <v>0</v>
      </c>
      <c r="U676" s="449">
        <v>0</v>
      </c>
      <c r="V676" s="449">
        <v>0</v>
      </c>
      <c r="W676" s="449">
        <v>0</v>
      </c>
      <c r="X676" s="449"/>
      <c r="Y676" s="449">
        <f t="shared" si="598"/>
        <v>7038.62</v>
      </c>
      <c r="Z676" s="531"/>
      <c r="AA676" s="449">
        <f t="shared" si="599"/>
        <v>562.66666666666663</v>
      </c>
      <c r="AB676" s="449">
        <f t="shared" si="599"/>
        <v>562.66666666666663</v>
      </c>
      <c r="AC676" s="449">
        <f t="shared" si="599"/>
        <v>562.66666666666663</v>
      </c>
      <c r="AD676" s="449">
        <f t="shared" si="599"/>
        <v>562.66666666666663</v>
      </c>
      <c r="AE676" s="449">
        <f t="shared" si="599"/>
        <v>562.66666666666663</v>
      </c>
      <c r="AF676" s="449">
        <f t="shared" si="599"/>
        <v>562.66666666666663</v>
      </c>
      <c r="AG676" s="449">
        <f t="shared" si="599"/>
        <v>562.66666666666663</v>
      </c>
      <c r="AH676" s="449">
        <f t="shared" si="599"/>
        <v>562.66666666666663</v>
      </c>
      <c r="AI676" s="449">
        <f t="shared" si="599"/>
        <v>562.66666666666663</v>
      </c>
      <c r="AJ676" s="449">
        <f t="shared" si="599"/>
        <v>562.66666666666663</v>
      </c>
      <c r="AK676" s="449">
        <f t="shared" si="599"/>
        <v>562.66666666666663</v>
      </c>
      <c r="AL676" s="449">
        <f t="shared" si="599"/>
        <v>562.66666666666663</v>
      </c>
      <c r="AN676" s="500">
        <f t="shared" si="600"/>
        <v>7038.62</v>
      </c>
      <c r="AO676" s="449">
        <f t="shared" si="601"/>
        <v>7739.6552449799201</v>
      </c>
      <c r="AP676" s="449">
        <f t="shared" si="602"/>
        <v>701.03524497992021</v>
      </c>
      <c r="AQ676" s="453">
        <f t="shared" si="603"/>
        <v>9.959839357429727E-2</v>
      </c>
      <c r="AR676" s="449">
        <f t="shared" si="604"/>
        <v>7739.6552449799201</v>
      </c>
      <c r="AS676" s="449">
        <f t="shared" si="605"/>
        <v>0</v>
      </c>
      <c r="AT676" s="426">
        <f t="shared" si="606"/>
        <v>0</v>
      </c>
      <c r="AU676" s="421"/>
      <c r="AV676" s="449">
        <f t="shared" si="607"/>
        <v>644.97127041499334</v>
      </c>
      <c r="AW676" s="449">
        <f t="shared" si="607"/>
        <v>644.97127041499334</v>
      </c>
      <c r="AX676" s="449">
        <f t="shared" si="607"/>
        <v>644.97127041499334</v>
      </c>
      <c r="AY676" s="449">
        <f t="shared" si="607"/>
        <v>644.97127041499334</v>
      </c>
      <c r="AZ676" s="449">
        <f t="shared" si="607"/>
        <v>644.97127041499334</v>
      </c>
      <c r="BA676" s="449">
        <f t="shared" si="607"/>
        <v>644.97127041499334</v>
      </c>
      <c r="BB676" s="449">
        <f t="shared" si="607"/>
        <v>644.97127041499334</v>
      </c>
      <c r="BC676" s="449">
        <f t="shared" si="607"/>
        <v>644.97127041499334</v>
      </c>
      <c r="BD676" s="449">
        <f t="shared" si="607"/>
        <v>644.97127041499334</v>
      </c>
      <c r="BE676" s="449">
        <f t="shared" si="607"/>
        <v>644.97127041499334</v>
      </c>
      <c r="BF676" s="449">
        <f t="shared" si="607"/>
        <v>644.97127041499334</v>
      </c>
      <c r="BG676" s="449">
        <f t="shared" si="607"/>
        <v>644.97127041499334</v>
      </c>
      <c r="BH676" s="400"/>
      <c r="BI676" s="449">
        <f t="shared" ref="BI676:BT676" si="609">IFERROR((($D676/$H$5)*BI$5)/12,0)</f>
        <v>644.97127041499334</v>
      </c>
      <c r="BJ676" s="449">
        <f t="shared" si="609"/>
        <v>644.97127041499334</v>
      </c>
      <c r="BK676" s="449">
        <f t="shared" si="609"/>
        <v>644.97127041499334</v>
      </c>
      <c r="BL676" s="449">
        <f t="shared" si="609"/>
        <v>644.97127041499334</v>
      </c>
      <c r="BM676" s="449">
        <f t="shared" si="609"/>
        <v>644.97127041499334</v>
      </c>
      <c r="BN676" s="449">
        <f t="shared" si="609"/>
        <v>644.97127041499334</v>
      </c>
      <c r="BO676" s="449">
        <f t="shared" si="609"/>
        <v>644.97127041499334</v>
      </c>
      <c r="BP676" s="449">
        <f t="shared" si="609"/>
        <v>644.97127041499334</v>
      </c>
      <c r="BQ676" s="449">
        <f t="shared" si="609"/>
        <v>644.97127041499334</v>
      </c>
      <c r="BR676" s="449">
        <f t="shared" si="609"/>
        <v>644.97127041499334</v>
      </c>
      <c r="BS676" s="449">
        <f t="shared" si="609"/>
        <v>644.97127041499334</v>
      </c>
      <c r="BT676" s="449">
        <f t="shared" si="609"/>
        <v>644.97127041499334</v>
      </c>
    </row>
    <row r="677" spans="1:72" ht="15" x14ac:dyDescent="0.25">
      <c r="A677" s="502" t="s">
        <v>1089</v>
      </c>
      <c r="B677" s="502" t="s">
        <v>1090</v>
      </c>
      <c r="C677" s="538"/>
      <c r="D677" s="500">
        <f t="shared" si="593"/>
        <v>32150</v>
      </c>
      <c r="E677" s="449">
        <v>32150</v>
      </c>
      <c r="F677" s="449">
        <f t="shared" si="594"/>
        <v>0</v>
      </c>
      <c r="G677" s="421">
        <f t="shared" si="595"/>
        <v>0</v>
      </c>
      <c r="H677" s="449">
        <v>32150</v>
      </c>
      <c r="I677" s="449">
        <f t="shared" si="596"/>
        <v>0</v>
      </c>
      <c r="J677" s="426">
        <f t="shared" si="597"/>
        <v>0</v>
      </c>
      <c r="K677" s="421"/>
      <c r="L677" s="449">
        <v>0</v>
      </c>
      <c r="M677" s="449">
        <v>0</v>
      </c>
      <c r="N677" s="449">
        <v>0</v>
      </c>
      <c r="O677" s="449">
        <v>0</v>
      </c>
      <c r="P677" s="449">
        <v>1492.01</v>
      </c>
      <c r="Q677" s="449">
        <v>0</v>
      </c>
      <c r="R677" s="449">
        <f>($H677-SUM($L677:Q677))/R$694</f>
        <v>5109.665</v>
      </c>
      <c r="S677" s="449">
        <f>($H677-SUM($L677:R677))/S$694</f>
        <v>5109.665</v>
      </c>
      <c r="T677" s="449">
        <f>($H677-SUM($L677:S677))/T$694</f>
        <v>5109.665</v>
      </c>
      <c r="U677" s="449">
        <f>($H677-SUM($L677:T677))/U$694</f>
        <v>5109.665</v>
      </c>
      <c r="V677" s="449">
        <f>($H677-SUM($L677:U677))/V$694</f>
        <v>5109.6649999999991</v>
      </c>
      <c r="W677" s="449">
        <f>($H677-SUM($L677:V677))/W$694</f>
        <v>5109.6650000000009</v>
      </c>
      <c r="X677" s="449"/>
      <c r="Y677" s="449">
        <f t="shared" si="598"/>
        <v>32150</v>
      </c>
      <c r="Z677" s="531"/>
      <c r="AA677" s="449">
        <f t="shared" si="599"/>
        <v>2679.1666666666665</v>
      </c>
      <c r="AB677" s="449">
        <f t="shared" si="599"/>
        <v>2679.1666666666665</v>
      </c>
      <c r="AC677" s="449">
        <f t="shared" si="599"/>
        <v>2679.1666666666665</v>
      </c>
      <c r="AD677" s="449">
        <f t="shared" si="599"/>
        <v>2679.1666666666665</v>
      </c>
      <c r="AE677" s="449">
        <f t="shared" si="599"/>
        <v>2679.1666666666665</v>
      </c>
      <c r="AF677" s="449">
        <f t="shared" si="599"/>
        <v>2679.1666666666665</v>
      </c>
      <c r="AG677" s="449">
        <f t="shared" si="599"/>
        <v>2679.1666666666665</v>
      </c>
      <c r="AH677" s="449">
        <f t="shared" si="599"/>
        <v>2679.1666666666665</v>
      </c>
      <c r="AI677" s="449">
        <f t="shared" si="599"/>
        <v>2679.1666666666665</v>
      </c>
      <c r="AJ677" s="449">
        <f t="shared" si="599"/>
        <v>2679.1666666666665</v>
      </c>
      <c r="AK677" s="449">
        <f t="shared" si="599"/>
        <v>2679.1666666666665</v>
      </c>
      <c r="AL677" s="449">
        <f t="shared" si="599"/>
        <v>2679.1666666666665</v>
      </c>
      <c r="AN677" s="500">
        <f t="shared" si="600"/>
        <v>32150</v>
      </c>
      <c r="AO677" s="449">
        <f t="shared" si="601"/>
        <v>35352.088353413659</v>
      </c>
      <c r="AP677" s="449">
        <f t="shared" si="602"/>
        <v>3202.0883534136592</v>
      </c>
      <c r="AQ677" s="453">
        <f t="shared" si="603"/>
        <v>9.9598393574297325E-2</v>
      </c>
      <c r="AR677" s="449">
        <f t="shared" si="604"/>
        <v>35352.088353413659</v>
      </c>
      <c r="AS677" s="449">
        <f t="shared" si="605"/>
        <v>0</v>
      </c>
      <c r="AT677" s="426">
        <f t="shared" si="606"/>
        <v>0</v>
      </c>
      <c r="AU677" s="421"/>
      <c r="AV677" s="449">
        <f t="shared" si="607"/>
        <v>2946.0073627844718</v>
      </c>
      <c r="AW677" s="449">
        <f t="shared" si="607"/>
        <v>2946.0073627844718</v>
      </c>
      <c r="AX677" s="449">
        <f t="shared" si="607"/>
        <v>2946.0073627844718</v>
      </c>
      <c r="AY677" s="449">
        <f t="shared" si="607"/>
        <v>2946.0073627844718</v>
      </c>
      <c r="AZ677" s="449">
        <f t="shared" si="607"/>
        <v>2946.0073627844718</v>
      </c>
      <c r="BA677" s="449">
        <f t="shared" si="607"/>
        <v>2946.0073627844718</v>
      </c>
      <c r="BB677" s="449">
        <f t="shared" si="607"/>
        <v>2946.0073627844718</v>
      </c>
      <c r="BC677" s="449">
        <f t="shared" si="607"/>
        <v>2946.0073627844718</v>
      </c>
      <c r="BD677" s="449">
        <f t="shared" si="607"/>
        <v>2946.0073627844718</v>
      </c>
      <c r="BE677" s="449">
        <f t="shared" si="607"/>
        <v>2946.0073627844718</v>
      </c>
      <c r="BF677" s="449">
        <f t="shared" si="607"/>
        <v>2946.0073627844718</v>
      </c>
      <c r="BG677" s="449">
        <f t="shared" si="607"/>
        <v>2946.0073627844718</v>
      </c>
      <c r="BH677" s="400"/>
      <c r="BI677" s="449">
        <f t="shared" ref="BI677:BT679" si="610">IFERROR((($H677/$H$5)*BI$5)/12,0)</f>
        <v>2946.0073627844718</v>
      </c>
      <c r="BJ677" s="449">
        <f t="shared" si="610"/>
        <v>2946.0073627844718</v>
      </c>
      <c r="BK677" s="449">
        <f t="shared" si="610"/>
        <v>2946.0073627844718</v>
      </c>
      <c r="BL677" s="449">
        <f t="shared" si="610"/>
        <v>2946.0073627844718</v>
      </c>
      <c r="BM677" s="449">
        <f t="shared" si="610"/>
        <v>2946.0073627844718</v>
      </c>
      <c r="BN677" s="449">
        <f t="shared" si="610"/>
        <v>2946.0073627844718</v>
      </c>
      <c r="BO677" s="449">
        <f t="shared" si="610"/>
        <v>2946.0073627844718</v>
      </c>
      <c r="BP677" s="449">
        <f t="shared" si="610"/>
        <v>2946.0073627844718</v>
      </c>
      <c r="BQ677" s="449">
        <f t="shared" si="610"/>
        <v>2946.0073627844718</v>
      </c>
      <c r="BR677" s="449">
        <f t="shared" si="610"/>
        <v>2946.0073627844718</v>
      </c>
      <c r="BS677" s="449">
        <f t="shared" si="610"/>
        <v>2946.0073627844718</v>
      </c>
      <c r="BT677" s="449">
        <f t="shared" si="610"/>
        <v>2946.0073627844718</v>
      </c>
    </row>
    <row r="678" spans="1:72" ht="15" customHeight="1" x14ac:dyDescent="0.25">
      <c r="A678" s="502" t="s">
        <v>1091</v>
      </c>
      <c r="B678" s="502" t="s">
        <v>1092</v>
      </c>
      <c r="C678" s="538"/>
      <c r="D678" s="500">
        <f t="shared" si="593"/>
        <v>8038</v>
      </c>
      <c r="E678" s="449">
        <v>8037.5</v>
      </c>
      <c r="F678" s="449">
        <f t="shared" si="594"/>
        <v>0.5</v>
      </c>
      <c r="G678" s="421">
        <f t="shared" si="595"/>
        <v>6.2208398133748054E-5</v>
      </c>
      <c r="H678" s="449">
        <v>8038</v>
      </c>
      <c r="I678" s="449">
        <f t="shared" si="596"/>
        <v>0</v>
      </c>
      <c r="J678" s="426">
        <f t="shared" si="597"/>
        <v>0</v>
      </c>
      <c r="K678" s="421"/>
      <c r="L678" s="449">
        <v>0</v>
      </c>
      <c r="M678" s="449">
        <v>0</v>
      </c>
      <c r="N678" s="449">
        <v>0</v>
      </c>
      <c r="O678" s="449">
        <v>0</v>
      </c>
      <c r="P678" s="449">
        <v>0</v>
      </c>
      <c r="Q678" s="449">
        <v>0</v>
      </c>
      <c r="R678" s="449">
        <f>($H678-SUM($L678:Q678))/R$694</f>
        <v>1339.6666666666667</v>
      </c>
      <c r="S678" s="449">
        <f>($H678-SUM($L678:R678))/S$694</f>
        <v>1339.6666666666665</v>
      </c>
      <c r="T678" s="449">
        <f>($H678-SUM($L678:S678))/T$694</f>
        <v>1339.6666666666667</v>
      </c>
      <c r="U678" s="449">
        <f>($H678-SUM($L678:T678))/U$694</f>
        <v>1339.6666666666667</v>
      </c>
      <c r="V678" s="449">
        <f>($H678-SUM($L678:U678))/V$694</f>
        <v>1339.6666666666665</v>
      </c>
      <c r="W678" s="449">
        <f>($H678-SUM($L678:V678))/W$694</f>
        <v>1339.6666666666661</v>
      </c>
      <c r="X678" s="449"/>
      <c r="Y678" s="449">
        <f t="shared" si="598"/>
        <v>8038</v>
      </c>
      <c r="Z678" s="531"/>
      <c r="AA678" s="449">
        <f t="shared" si="599"/>
        <v>669.83333333333337</v>
      </c>
      <c r="AB678" s="449">
        <f t="shared" si="599"/>
        <v>669.83333333333337</v>
      </c>
      <c r="AC678" s="449">
        <f t="shared" si="599"/>
        <v>669.83333333333337</v>
      </c>
      <c r="AD678" s="449">
        <f t="shared" si="599"/>
        <v>669.83333333333337</v>
      </c>
      <c r="AE678" s="449">
        <f t="shared" si="599"/>
        <v>669.83333333333337</v>
      </c>
      <c r="AF678" s="449">
        <f t="shared" si="599"/>
        <v>669.83333333333337</v>
      </c>
      <c r="AG678" s="449">
        <f t="shared" si="599"/>
        <v>669.83333333333337</v>
      </c>
      <c r="AH678" s="449">
        <f t="shared" si="599"/>
        <v>669.83333333333337</v>
      </c>
      <c r="AI678" s="449">
        <f t="shared" si="599"/>
        <v>669.83333333333337</v>
      </c>
      <c r="AJ678" s="449">
        <f t="shared" si="599"/>
        <v>669.83333333333337</v>
      </c>
      <c r="AK678" s="449">
        <f t="shared" si="599"/>
        <v>669.83333333333337</v>
      </c>
      <c r="AL678" s="449">
        <f t="shared" si="599"/>
        <v>669.83333333333337</v>
      </c>
      <c r="AN678" s="500">
        <f t="shared" si="600"/>
        <v>8038</v>
      </c>
      <c r="AO678" s="449">
        <f t="shared" si="601"/>
        <v>8838.5718875502025</v>
      </c>
      <c r="AP678" s="449">
        <f t="shared" si="602"/>
        <v>800.57188755020252</v>
      </c>
      <c r="AQ678" s="453">
        <f t="shared" si="603"/>
        <v>9.9598393574297409E-2</v>
      </c>
      <c r="AR678" s="449">
        <f t="shared" si="604"/>
        <v>8838.5718875502025</v>
      </c>
      <c r="AS678" s="449">
        <f t="shared" si="605"/>
        <v>0</v>
      </c>
      <c r="AT678" s="426">
        <f t="shared" si="606"/>
        <v>0</v>
      </c>
      <c r="AU678" s="421"/>
      <c r="AV678" s="449">
        <f t="shared" si="607"/>
        <v>736.54765729585006</v>
      </c>
      <c r="AW678" s="449">
        <f t="shared" si="607"/>
        <v>736.54765729585006</v>
      </c>
      <c r="AX678" s="449">
        <f t="shared" si="607"/>
        <v>736.54765729585006</v>
      </c>
      <c r="AY678" s="449">
        <f t="shared" si="607"/>
        <v>736.54765729585006</v>
      </c>
      <c r="AZ678" s="449">
        <f t="shared" si="607"/>
        <v>736.54765729585006</v>
      </c>
      <c r="BA678" s="449">
        <f t="shared" si="607"/>
        <v>736.54765729585006</v>
      </c>
      <c r="BB678" s="449">
        <f t="shared" si="607"/>
        <v>736.54765729585006</v>
      </c>
      <c r="BC678" s="449">
        <f t="shared" si="607"/>
        <v>736.54765729585006</v>
      </c>
      <c r="BD678" s="449">
        <f t="shared" si="607"/>
        <v>736.54765729585006</v>
      </c>
      <c r="BE678" s="449">
        <f t="shared" si="607"/>
        <v>736.54765729585006</v>
      </c>
      <c r="BF678" s="449">
        <f t="shared" si="607"/>
        <v>736.54765729585006</v>
      </c>
      <c r="BG678" s="449">
        <f t="shared" si="607"/>
        <v>736.54765729585006</v>
      </c>
      <c r="BH678" s="400"/>
      <c r="BI678" s="449">
        <f t="shared" si="610"/>
        <v>736.54765729585006</v>
      </c>
      <c r="BJ678" s="449">
        <f t="shared" si="610"/>
        <v>736.54765729585006</v>
      </c>
      <c r="BK678" s="449">
        <f t="shared" si="610"/>
        <v>736.54765729585006</v>
      </c>
      <c r="BL678" s="449">
        <f t="shared" si="610"/>
        <v>736.54765729585006</v>
      </c>
      <c r="BM678" s="449">
        <f t="shared" si="610"/>
        <v>736.54765729585006</v>
      </c>
      <c r="BN678" s="449">
        <f t="shared" si="610"/>
        <v>736.54765729585006</v>
      </c>
      <c r="BO678" s="449">
        <f t="shared" si="610"/>
        <v>736.54765729585006</v>
      </c>
      <c r="BP678" s="449">
        <f t="shared" si="610"/>
        <v>736.54765729585006</v>
      </c>
      <c r="BQ678" s="449">
        <f t="shared" si="610"/>
        <v>736.54765729585006</v>
      </c>
      <c r="BR678" s="449">
        <f t="shared" si="610"/>
        <v>736.54765729585006</v>
      </c>
      <c r="BS678" s="449">
        <f t="shared" si="610"/>
        <v>736.54765729585006</v>
      </c>
      <c r="BT678" s="449">
        <f t="shared" si="610"/>
        <v>736.54765729585006</v>
      </c>
    </row>
    <row r="679" spans="1:72" ht="15" customHeight="1" x14ac:dyDescent="0.25">
      <c r="A679" s="502" t="s">
        <v>1093</v>
      </c>
      <c r="B679" s="502" t="s">
        <v>1094</v>
      </c>
      <c r="C679" s="538"/>
      <c r="D679" s="500">
        <f t="shared" si="593"/>
        <v>4823</v>
      </c>
      <c r="E679" s="449">
        <v>4822.5</v>
      </c>
      <c r="F679" s="449">
        <f t="shared" si="594"/>
        <v>0.5</v>
      </c>
      <c r="G679" s="421">
        <f t="shared" si="595"/>
        <v>1.0368066355624676E-4</v>
      </c>
      <c r="H679" s="449">
        <v>4823</v>
      </c>
      <c r="I679" s="449">
        <f t="shared" si="596"/>
        <v>0</v>
      </c>
      <c r="J679" s="426">
        <f t="shared" si="597"/>
        <v>0</v>
      </c>
      <c r="K679" s="421"/>
      <c r="L679" s="449">
        <v>469</v>
      </c>
      <c r="M679" s="449">
        <v>230.39999999999998</v>
      </c>
      <c r="N679" s="449">
        <v>0</v>
      </c>
      <c r="O679" s="449">
        <v>1065.83</v>
      </c>
      <c r="P679" s="449">
        <v>262.53999999999996</v>
      </c>
      <c r="Q679" s="449">
        <v>661.7199999999998</v>
      </c>
      <c r="R679" s="449">
        <f>($H679-SUM($L679:Q679))/R$694</f>
        <v>355.58500000000004</v>
      </c>
      <c r="S679" s="449">
        <f>($H679-SUM($L679:R679))/S$694</f>
        <v>355.58500000000004</v>
      </c>
      <c r="T679" s="449">
        <f>($H679-SUM($L679:S679))/T$694</f>
        <v>355.58500000000004</v>
      </c>
      <c r="U679" s="449">
        <f>($H679-SUM($L679:T679))/U$694</f>
        <v>355.58500000000004</v>
      </c>
      <c r="V679" s="449">
        <f>($H679-SUM($L679:U679))/V$694</f>
        <v>355.58500000000004</v>
      </c>
      <c r="W679" s="449">
        <f>($H679-SUM($L679:V679))/W$694</f>
        <v>355.58500000000004</v>
      </c>
      <c r="X679" s="449"/>
      <c r="Y679" s="449">
        <f t="shared" si="598"/>
        <v>4823</v>
      </c>
      <c r="Z679" s="531"/>
      <c r="AA679" s="449">
        <f t="shared" si="599"/>
        <v>401.91666666666669</v>
      </c>
      <c r="AB679" s="449">
        <f t="shared" si="599"/>
        <v>401.91666666666669</v>
      </c>
      <c r="AC679" s="449">
        <f t="shared" si="599"/>
        <v>401.91666666666669</v>
      </c>
      <c r="AD679" s="449">
        <f t="shared" si="599"/>
        <v>401.91666666666669</v>
      </c>
      <c r="AE679" s="449">
        <f t="shared" si="599"/>
        <v>401.91666666666669</v>
      </c>
      <c r="AF679" s="449">
        <f t="shared" si="599"/>
        <v>401.91666666666669</v>
      </c>
      <c r="AG679" s="449">
        <f t="shared" si="599"/>
        <v>401.91666666666669</v>
      </c>
      <c r="AH679" s="449">
        <f t="shared" si="599"/>
        <v>401.91666666666669</v>
      </c>
      <c r="AI679" s="449">
        <f t="shared" si="599"/>
        <v>401.91666666666669</v>
      </c>
      <c r="AJ679" s="449">
        <f t="shared" si="599"/>
        <v>401.91666666666669</v>
      </c>
      <c r="AK679" s="449">
        <f t="shared" si="599"/>
        <v>401.91666666666669</v>
      </c>
      <c r="AL679" s="449">
        <f t="shared" si="599"/>
        <v>401.91666666666669</v>
      </c>
      <c r="AN679" s="500">
        <f t="shared" si="600"/>
        <v>4823</v>
      </c>
      <c r="AO679" s="449">
        <f t="shared" si="601"/>
        <v>5303.3630522088351</v>
      </c>
      <c r="AP679" s="449">
        <f t="shared" si="602"/>
        <v>480.36305220883514</v>
      </c>
      <c r="AQ679" s="453">
        <f t="shared" si="603"/>
        <v>9.9598393574297145E-2</v>
      </c>
      <c r="AR679" s="449">
        <f t="shared" si="604"/>
        <v>5303.3630522088351</v>
      </c>
      <c r="AS679" s="449">
        <f t="shared" si="605"/>
        <v>0</v>
      </c>
      <c r="AT679" s="426">
        <f t="shared" si="606"/>
        <v>0</v>
      </c>
      <c r="AU679" s="421"/>
      <c r="AV679" s="449">
        <f t="shared" si="607"/>
        <v>441.94692101740293</v>
      </c>
      <c r="AW679" s="449">
        <f t="shared" si="607"/>
        <v>441.94692101740293</v>
      </c>
      <c r="AX679" s="449">
        <f t="shared" si="607"/>
        <v>441.94692101740293</v>
      </c>
      <c r="AY679" s="449">
        <f t="shared" si="607"/>
        <v>441.94692101740293</v>
      </c>
      <c r="AZ679" s="449">
        <f t="shared" si="607"/>
        <v>441.94692101740293</v>
      </c>
      <c r="BA679" s="449">
        <f t="shared" si="607"/>
        <v>441.94692101740293</v>
      </c>
      <c r="BB679" s="449">
        <f t="shared" si="607"/>
        <v>441.94692101740293</v>
      </c>
      <c r="BC679" s="449">
        <f t="shared" si="607"/>
        <v>441.94692101740293</v>
      </c>
      <c r="BD679" s="449">
        <f t="shared" si="607"/>
        <v>441.94692101740293</v>
      </c>
      <c r="BE679" s="449">
        <f t="shared" si="607"/>
        <v>441.94692101740293</v>
      </c>
      <c r="BF679" s="449">
        <f t="shared" si="607"/>
        <v>441.94692101740293</v>
      </c>
      <c r="BG679" s="449">
        <f t="shared" si="607"/>
        <v>441.94692101740293</v>
      </c>
      <c r="BH679" s="400"/>
      <c r="BI679" s="449">
        <f t="shared" si="610"/>
        <v>441.94692101740293</v>
      </c>
      <c r="BJ679" s="449">
        <f t="shared" si="610"/>
        <v>441.94692101740293</v>
      </c>
      <c r="BK679" s="449">
        <f t="shared" si="610"/>
        <v>441.94692101740293</v>
      </c>
      <c r="BL679" s="449">
        <f t="shared" si="610"/>
        <v>441.94692101740293</v>
      </c>
      <c r="BM679" s="449">
        <f t="shared" si="610"/>
        <v>441.94692101740293</v>
      </c>
      <c r="BN679" s="449">
        <f t="shared" si="610"/>
        <v>441.94692101740293</v>
      </c>
      <c r="BO679" s="449">
        <f t="shared" si="610"/>
        <v>441.94692101740293</v>
      </c>
      <c r="BP679" s="449">
        <f t="shared" si="610"/>
        <v>441.94692101740293</v>
      </c>
      <c r="BQ679" s="449">
        <f t="shared" si="610"/>
        <v>441.94692101740293</v>
      </c>
      <c r="BR679" s="449">
        <f t="shared" si="610"/>
        <v>441.94692101740293</v>
      </c>
      <c r="BS679" s="449">
        <f t="shared" si="610"/>
        <v>441.94692101740293</v>
      </c>
      <c r="BT679" s="449">
        <f t="shared" si="610"/>
        <v>441.94692101740293</v>
      </c>
    </row>
    <row r="680" spans="1:72" x14ac:dyDescent="0.25">
      <c r="D680" s="556"/>
      <c r="E680" s="407"/>
      <c r="H680" s="407"/>
      <c r="J680" s="557"/>
      <c r="L680" s="473"/>
      <c r="M680" s="473"/>
      <c r="N680" s="473"/>
      <c r="O680" s="473"/>
      <c r="P680" s="473"/>
      <c r="Q680" s="473"/>
      <c r="R680" s="473"/>
      <c r="S680" s="473"/>
      <c r="T680" s="473"/>
      <c r="U680" s="473"/>
      <c r="V680" s="473"/>
      <c r="W680" s="473"/>
      <c r="X680" s="473"/>
      <c r="Y680" s="473"/>
      <c r="AA680" s="473"/>
      <c r="AB680" s="473"/>
      <c r="AC680" s="473"/>
      <c r="AD680" s="473"/>
      <c r="AE680" s="473"/>
      <c r="AF680" s="473"/>
      <c r="AG680" s="473"/>
      <c r="AH680" s="473"/>
      <c r="AI680" s="473"/>
      <c r="AJ680" s="473"/>
      <c r="AK680" s="473"/>
      <c r="AL680" s="473"/>
      <c r="AN680" s="556"/>
      <c r="AO680" s="407"/>
      <c r="AQ680" s="517"/>
      <c r="AR680" s="407"/>
      <c r="AT680" s="557"/>
      <c r="AV680" s="473"/>
      <c r="AW680" s="473"/>
      <c r="AX680" s="473"/>
      <c r="AY680" s="473"/>
      <c r="AZ680" s="473"/>
      <c r="BA680" s="473"/>
      <c r="BB680" s="473"/>
      <c r="BC680" s="473"/>
      <c r="BD680" s="473"/>
      <c r="BE680" s="473"/>
      <c r="BF680" s="473"/>
      <c r="BG680" s="473"/>
      <c r="BI680" s="473"/>
      <c r="BJ680" s="473"/>
      <c r="BK680" s="473"/>
      <c r="BL680" s="473"/>
      <c r="BM680" s="473"/>
      <c r="BN680" s="473"/>
      <c r="BO680" s="473"/>
      <c r="BP680" s="473"/>
      <c r="BQ680" s="473"/>
      <c r="BR680" s="473"/>
      <c r="BS680" s="473"/>
      <c r="BT680" s="473"/>
    </row>
    <row r="681" spans="1:72" ht="15.75" thickBot="1" x14ac:dyDescent="0.3">
      <c r="B681" s="524" t="s">
        <v>1095</v>
      </c>
      <c r="D681" s="558">
        <f>SUM(D671:D680)</f>
        <v>165700.62</v>
      </c>
      <c r="E681" s="559">
        <f>SUM(E671:E680)</f>
        <v>165411.75</v>
      </c>
      <c r="F681" s="559">
        <f>IFERROR(D681-E681,0)</f>
        <v>288.86999999999534</v>
      </c>
      <c r="G681" s="560">
        <f>IFERROR(F681/ABS(E681),0)</f>
        <v>1.7463692875505843E-3</v>
      </c>
      <c r="H681" s="559">
        <f>SUM(H671:H680)</f>
        <v>165414</v>
      </c>
      <c r="I681" s="559">
        <f>IFERROR(D681-H681,0)</f>
        <v>286.61999999999534</v>
      </c>
      <c r="J681" s="561">
        <f>IFERROR(I681/ABS(H681),0)</f>
        <v>1.7327432986324939E-3</v>
      </c>
      <c r="K681" s="492"/>
      <c r="L681" s="559">
        <f>SUM(L671:L680)</f>
        <v>469</v>
      </c>
      <c r="M681" s="559">
        <f t="shared" ref="M681:W681" si="611">SUM(M671:M680)</f>
        <v>1252.1599999999999</v>
      </c>
      <c r="N681" s="559">
        <f t="shared" si="611"/>
        <v>1144.9100000000001</v>
      </c>
      <c r="O681" s="559">
        <f t="shared" si="611"/>
        <v>7673.33</v>
      </c>
      <c r="P681" s="559">
        <f t="shared" si="611"/>
        <v>11749.560000000001</v>
      </c>
      <c r="Q681" s="559">
        <f t="shared" si="611"/>
        <v>811.7199999999998</v>
      </c>
      <c r="R681" s="559">
        <f t="shared" si="611"/>
        <v>23766.656666666666</v>
      </c>
      <c r="S681" s="559">
        <f t="shared" si="611"/>
        <v>23766.656666666666</v>
      </c>
      <c r="T681" s="559">
        <f t="shared" si="611"/>
        <v>23766.656666666666</v>
      </c>
      <c r="U681" s="559">
        <f t="shared" si="611"/>
        <v>23766.656666666666</v>
      </c>
      <c r="V681" s="559">
        <f t="shared" si="611"/>
        <v>23766.656666666666</v>
      </c>
      <c r="W681" s="559">
        <f t="shared" si="611"/>
        <v>23766.656666666669</v>
      </c>
      <c r="X681" s="559"/>
      <c r="Y681" s="559">
        <f>SUM(L681:W681)</f>
        <v>165700.62</v>
      </c>
      <c r="Z681" s="562"/>
      <c r="AA681" s="559">
        <f t="shared" ref="AA681:AL681" si="612">SUM(AA671:AA680)</f>
        <v>13784.499999999998</v>
      </c>
      <c r="AB681" s="559">
        <f t="shared" si="612"/>
        <v>13784.499999999998</v>
      </c>
      <c r="AC681" s="559">
        <f t="shared" si="612"/>
        <v>13784.499999999998</v>
      </c>
      <c r="AD681" s="559">
        <f t="shared" si="612"/>
        <v>13784.499999999998</v>
      </c>
      <c r="AE681" s="559">
        <f t="shared" si="612"/>
        <v>13784.499999999998</v>
      </c>
      <c r="AF681" s="559">
        <f t="shared" si="612"/>
        <v>13784.499999999998</v>
      </c>
      <c r="AG681" s="559">
        <f t="shared" si="612"/>
        <v>13784.499999999998</v>
      </c>
      <c r="AH681" s="559">
        <f t="shared" si="612"/>
        <v>13784.499999999998</v>
      </c>
      <c r="AI681" s="559">
        <f t="shared" si="612"/>
        <v>13784.499999999998</v>
      </c>
      <c r="AJ681" s="559">
        <f t="shared" si="612"/>
        <v>13784.499999999998</v>
      </c>
      <c r="AK681" s="559">
        <f t="shared" si="612"/>
        <v>13784.499999999998</v>
      </c>
      <c r="AL681" s="559">
        <f t="shared" si="612"/>
        <v>13784.499999999998</v>
      </c>
      <c r="AN681" s="558">
        <f>SUM(AN671:AN680)</f>
        <v>165700.62</v>
      </c>
      <c r="AO681" s="559">
        <f>SUM(AO671:AO680)</f>
        <v>182204.13556626509</v>
      </c>
      <c r="AP681" s="559">
        <f>IFERROR(AO681-AN681,0)</f>
        <v>16503.515566265094</v>
      </c>
      <c r="AQ681" s="523">
        <f>IFERROR(AP681/ABS(AN681),"-")</f>
        <v>9.9598393574297395E-2</v>
      </c>
      <c r="AR681" s="559">
        <f>SUM(AR671:AR680)</f>
        <v>182204.13556626509</v>
      </c>
      <c r="AS681" s="559">
        <f>IFERROR(AO681-AR681,0)</f>
        <v>0</v>
      </c>
      <c r="AT681" s="561">
        <f>IFERROR(AS681/ABS(AR681),0)</f>
        <v>0</v>
      </c>
      <c r="AU681" s="492"/>
      <c r="AV681" s="559">
        <f>SUM(AV671:AV680)</f>
        <v>15183.677963855424</v>
      </c>
      <c r="AW681" s="559">
        <f t="shared" ref="AW681:BG681" si="613">SUM(AW671:AW680)</f>
        <v>15183.677963855424</v>
      </c>
      <c r="AX681" s="559">
        <f t="shared" si="613"/>
        <v>15183.677963855424</v>
      </c>
      <c r="AY681" s="559">
        <f t="shared" si="613"/>
        <v>15183.677963855424</v>
      </c>
      <c r="AZ681" s="559">
        <f t="shared" si="613"/>
        <v>15183.677963855424</v>
      </c>
      <c r="BA681" s="559">
        <f t="shared" si="613"/>
        <v>15183.677963855424</v>
      </c>
      <c r="BB681" s="559">
        <f t="shared" si="613"/>
        <v>15183.677963855424</v>
      </c>
      <c r="BC681" s="559">
        <f t="shared" si="613"/>
        <v>15183.677963855424</v>
      </c>
      <c r="BD681" s="559">
        <f t="shared" si="613"/>
        <v>15183.677963855424</v>
      </c>
      <c r="BE681" s="559">
        <f t="shared" si="613"/>
        <v>15183.677963855424</v>
      </c>
      <c r="BF681" s="559">
        <f t="shared" si="613"/>
        <v>15183.677963855424</v>
      </c>
      <c r="BG681" s="559">
        <f t="shared" si="613"/>
        <v>15183.677963855424</v>
      </c>
      <c r="BH681" s="562"/>
      <c r="BI681" s="559">
        <f t="shared" ref="BI681:BT681" si="614">SUM(BI671:BI680)</f>
        <v>15183.677963855424</v>
      </c>
      <c r="BJ681" s="559">
        <f t="shared" si="614"/>
        <v>15183.677963855424</v>
      </c>
      <c r="BK681" s="559">
        <f t="shared" si="614"/>
        <v>15183.677963855424</v>
      </c>
      <c r="BL681" s="559">
        <f t="shared" si="614"/>
        <v>15183.677963855424</v>
      </c>
      <c r="BM681" s="559">
        <f t="shared" si="614"/>
        <v>15183.677963855424</v>
      </c>
      <c r="BN681" s="559">
        <f t="shared" si="614"/>
        <v>15183.677963855424</v>
      </c>
      <c r="BO681" s="559">
        <f t="shared" si="614"/>
        <v>15183.677963855424</v>
      </c>
      <c r="BP681" s="559">
        <f t="shared" si="614"/>
        <v>15183.677963855424</v>
      </c>
      <c r="BQ681" s="559">
        <f t="shared" si="614"/>
        <v>15183.677963855424</v>
      </c>
      <c r="BR681" s="559">
        <f t="shared" si="614"/>
        <v>15183.677963855424</v>
      </c>
      <c r="BS681" s="559">
        <f t="shared" si="614"/>
        <v>15183.677963855424</v>
      </c>
      <c r="BT681" s="559">
        <f t="shared" si="614"/>
        <v>15183.677963855424</v>
      </c>
    </row>
    <row r="682" spans="1:72" ht="13.5" thickTop="1" x14ac:dyDescent="0.25">
      <c r="D682" s="556"/>
      <c r="E682" s="407"/>
      <c r="H682" s="407"/>
      <c r="J682" s="557"/>
      <c r="L682" s="473"/>
      <c r="M682" s="473"/>
      <c r="N682" s="473"/>
      <c r="O682" s="473"/>
      <c r="P682" s="473"/>
      <c r="Q682" s="473"/>
      <c r="R682" s="473"/>
      <c r="S682" s="473"/>
      <c r="T682" s="473"/>
      <c r="U682" s="473"/>
      <c r="V682" s="473"/>
      <c r="W682" s="473"/>
      <c r="X682" s="473"/>
      <c r="Y682" s="473"/>
      <c r="AA682" s="473"/>
      <c r="AB682" s="473"/>
      <c r="AC682" s="473"/>
      <c r="AD682" s="473"/>
      <c r="AE682" s="473"/>
      <c r="AF682" s="473"/>
      <c r="AG682" s="473"/>
      <c r="AH682" s="473"/>
      <c r="AI682" s="473"/>
      <c r="AJ682" s="473"/>
      <c r="AK682" s="473"/>
      <c r="AL682" s="473"/>
      <c r="AN682" s="556"/>
      <c r="AO682" s="407"/>
      <c r="AQ682" s="517"/>
      <c r="AR682" s="407"/>
      <c r="AT682" s="557"/>
      <c r="AV682" s="473"/>
      <c r="AW682" s="473"/>
      <c r="AX682" s="473"/>
      <c r="AY682" s="473"/>
      <c r="AZ682" s="473"/>
      <c r="BA682" s="473"/>
      <c r="BB682" s="473"/>
      <c r="BC682" s="473"/>
      <c r="BD682" s="473"/>
      <c r="BE682" s="473"/>
      <c r="BF682" s="473"/>
      <c r="BG682" s="473"/>
      <c r="BI682" s="473"/>
      <c r="BJ682" s="473"/>
      <c r="BK682" s="473"/>
      <c r="BL682" s="473"/>
      <c r="BM682" s="473"/>
      <c r="BN682" s="473"/>
      <c r="BO682" s="473"/>
      <c r="BP682" s="473"/>
      <c r="BQ682" s="473"/>
      <c r="BR682" s="473"/>
      <c r="BS682" s="473"/>
      <c r="BT682" s="473"/>
    </row>
    <row r="683" spans="1:72" ht="15" x14ac:dyDescent="0.25">
      <c r="A683" s="524" t="s">
        <v>1021</v>
      </c>
      <c r="D683" s="563">
        <f>+D668-D681</f>
        <v>34239.22</v>
      </c>
      <c r="E683" s="564">
        <f>+E668-E681</f>
        <v>29273.25</v>
      </c>
      <c r="F683" s="564">
        <f>IFERROR(D683-E683,0)</f>
        <v>4965.9700000000012</v>
      </c>
      <c r="G683" s="492">
        <f>IFERROR(F683/ABS(E683),0)</f>
        <v>0.16964190856840294</v>
      </c>
      <c r="H683" s="564">
        <f>+H668-H681</f>
        <v>29272</v>
      </c>
      <c r="I683" s="564">
        <f>IFERROR(D683-H683,0)</f>
        <v>4967.2200000000012</v>
      </c>
      <c r="J683" s="491">
        <f>IFERROR(I683/ABS(H683),0)</f>
        <v>0.16969185569827827</v>
      </c>
      <c r="K683" s="492"/>
      <c r="L683" s="564">
        <f t="shared" ref="L683:W683" si="615">+L668-L681</f>
        <v>5502.59</v>
      </c>
      <c r="M683" s="564">
        <f t="shared" si="615"/>
        <v>70.210000000000036</v>
      </c>
      <c r="N683" s="564">
        <f t="shared" si="615"/>
        <v>670.02999999999975</v>
      </c>
      <c r="O683" s="564">
        <f t="shared" si="615"/>
        <v>31494.909999999996</v>
      </c>
      <c r="P683" s="564">
        <f t="shared" si="615"/>
        <v>-5881.3600000000006</v>
      </c>
      <c r="Q683" s="564">
        <f t="shared" si="615"/>
        <v>2229.2299999999987</v>
      </c>
      <c r="R683" s="564">
        <f t="shared" si="615"/>
        <v>25.601666666669189</v>
      </c>
      <c r="S683" s="564">
        <f t="shared" si="615"/>
        <v>25.601666666669189</v>
      </c>
      <c r="T683" s="564">
        <f t="shared" si="615"/>
        <v>25.601666666669189</v>
      </c>
      <c r="U683" s="564">
        <f t="shared" si="615"/>
        <v>25.601666666665551</v>
      </c>
      <c r="V683" s="564">
        <f t="shared" si="615"/>
        <v>25.601666666669189</v>
      </c>
      <c r="W683" s="564">
        <f t="shared" si="615"/>
        <v>25.601666666654637</v>
      </c>
      <c r="X683" s="564"/>
      <c r="Y683" s="564">
        <f>SUM(L683:W683)</f>
        <v>34239.219999999987</v>
      </c>
      <c r="Z683" s="562"/>
      <c r="AA683" s="564">
        <f t="shared" ref="AA683:AL683" si="616">+AA668-AA681</f>
        <v>2439.3333333333358</v>
      </c>
      <c r="AB683" s="564">
        <f t="shared" si="616"/>
        <v>2439.3333333333358</v>
      </c>
      <c r="AC683" s="564">
        <f t="shared" si="616"/>
        <v>2439.3333333333358</v>
      </c>
      <c r="AD683" s="564">
        <f t="shared" si="616"/>
        <v>2439.3333333333358</v>
      </c>
      <c r="AE683" s="564">
        <f t="shared" si="616"/>
        <v>2439.3333333333358</v>
      </c>
      <c r="AF683" s="564">
        <f t="shared" si="616"/>
        <v>2439.3333333333358</v>
      </c>
      <c r="AG683" s="564">
        <f t="shared" si="616"/>
        <v>2439.3333333333358</v>
      </c>
      <c r="AH683" s="564">
        <f t="shared" si="616"/>
        <v>2439.3333333333358</v>
      </c>
      <c r="AI683" s="564">
        <f t="shared" si="616"/>
        <v>2439.3333333333358</v>
      </c>
      <c r="AJ683" s="564">
        <f t="shared" si="616"/>
        <v>2439.3333333333358</v>
      </c>
      <c r="AK683" s="564">
        <f t="shared" si="616"/>
        <v>2439.3333333333358</v>
      </c>
      <c r="AL683" s="564">
        <f t="shared" si="616"/>
        <v>2439.3333333333358</v>
      </c>
      <c r="AN683" s="566">
        <f>+AN668-AN681</f>
        <v>34239.22</v>
      </c>
      <c r="AO683" s="568">
        <f>+AO668-AO681</f>
        <v>37151.399341365468</v>
      </c>
      <c r="AP683" s="568">
        <f>IFERROR(AO683-AN683,0)</f>
        <v>2912.1793413654668</v>
      </c>
      <c r="AQ683" s="571">
        <f>IFERROR(AP683/ABS(AN683),"-")</f>
        <v>8.505390430522268E-2</v>
      </c>
      <c r="AR683" s="564">
        <f>+AR668-AR681</f>
        <v>37151.399341365468</v>
      </c>
      <c r="AS683" s="564">
        <f>IFERROR(AO683-AR683,0)</f>
        <v>0</v>
      </c>
      <c r="AT683" s="491">
        <f>IFERROR(AS683/ABS(AR683),0)</f>
        <v>0</v>
      </c>
      <c r="AU683" s="492"/>
      <c r="AV683" s="564">
        <f t="shared" ref="AV683:BG683" si="617">+AV668-AV681</f>
        <v>3095.9499451137872</v>
      </c>
      <c r="AW683" s="564">
        <f t="shared" si="617"/>
        <v>3095.9499451137872</v>
      </c>
      <c r="AX683" s="564">
        <f t="shared" si="617"/>
        <v>3095.9499451137872</v>
      </c>
      <c r="AY683" s="564">
        <f t="shared" si="617"/>
        <v>3095.9499451137872</v>
      </c>
      <c r="AZ683" s="564">
        <f t="shared" si="617"/>
        <v>3095.9499451137872</v>
      </c>
      <c r="BA683" s="564">
        <f t="shared" si="617"/>
        <v>3095.9499451137872</v>
      </c>
      <c r="BB683" s="564">
        <f t="shared" si="617"/>
        <v>3095.9499451137872</v>
      </c>
      <c r="BC683" s="564">
        <f t="shared" si="617"/>
        <v>3095.9499451137872</v>
      </c>
      <c r="BD683" s="564">
        <f t="shared" si="617"/>
        <v>3095.9499451137872</v>
      </c>
      <c r="BE683" s="564">
        <f t="shared" si="617"/>
        <v>3095.9499451137872</v>
      </c>
      <c r="BF683" s="564">
        <f t="shared" si="617"/>
        <v>3095.9499451137872</v>
      </c>
      <c r="BG683" s="564">
        <f t="shared" si="617"/>
        <v>3095.9499451137872</v>
      </c>
      <c r="BH683" s="562"/>
      <c r="BI683" s="564">
        <f t="shared" ref="BI683:BT683" si="618">+BI668-BI681</f>
        <v>3095.9499451137872</v>
      </c>
      <c r="BJ683" s="564">
        <f t="shared" si="618"/>
        <v>3095.9499451137872</v>
      </c>
      <c r="BK683" s="564">
        <f t="shared" si="618"/>
        <v>3095.9499451137872</v>
      </c>
      <c r="BL683" s="564">
        <f t="shared" si="618"/>
        <v>3095.9499451137872</v>
      </c>
      <c r="BM683" s="564">
        <f t="shared" si="618"/>
        <v>3095.9499451137872</v>
      </c>
      <c r="BN683" s="564">
        <f t="shared" si="618"/>
        <v>3095.9499451137872</v>
      </c>
      <c r="BO683" s="564">
        <f t="shared" si="618"/>
        <v>3095.9499451137872</v>
      </c>
      <c r="BP683" s="564">
        <f t="shared" si="618"/>
        <v>3095.9499451137872</v>
      </c>
      <c r="BQ683" s="564">
        <f t="shared" si="618"/>
        <v>3095.9499451137872</v>
      </c>
      <c r="BR683" s="564">
        <f t="shared" si="618"/>
        <v>3095.9499451137872</v>
      </c>
      <c r="BS683" s="564">
        <f t="shared" si="618"/>
        <v>3095.9499451137872</v>
      </c>
      <c r="BT683" s="564">
        <f t="shared" si="618"/>
        <v>3095.9499451137872</v>
      </c>
    </row>
    <row r="684" spans="1:72" ht="8.25" hidden="1" customHeight="1" x14ac:dyDescent="0.25">
      <c r="A684" s="502"/>
      <c r="D684" s="550"/>
      <c r="E684" s="564"/>
      <c r="F684" s="551"/>
      <c r="G684" s="565"/>
      <c r="H684" s="564"/>
      <c r="I684" s="551"/>
      <c r="J684" s="529"/>
      <c r="K684" s="507"/>
      <c r="L684" s="551"/>
      <c r="M684" s="551"/>
      <c r="N684" s="551"/>
      <c r="O684" s="551"/>
      <c r="P684" s="551"/>
      <c r="Q684" s="551"/>
      <c r="R684" s="551"/>
      <c r="S684" s="551"/>
      <c r="T684" s="551"/>
      <c r="U684" s="551"/>
      <c r="V684" s="551"/>
      <c r="W684" s="551"/>
      <c r="X684" s="551"/>
      <c r="Y684" s="551"/>
      <c r="Z684" s="508"/>
      <c r="AA684" s="551"/>
      <c r="AB684" s="551"/>
      <c r="AC684" s="551"/>
      <c r="AD684" s="551"/>
      <c r="AE684" s="551"/>
      <c r="AF684" s="551"/>
      <c r="AG684" s="551"/>
      <c r="AH684" s="551"/>
      <c r="AI684" s="551"/>
      <c r="AJ684" s="551"/>
      <c r="AK684" s="551"/>
      <c r="AL684" s="551"/>
      <c r="AN684" s="550"/>
      <c r="AO684" s="564"/>
      <c r="AP684" s="551"/>
      <c r="AQ684" s="499"/>
      <c r="AR684" s="564"/>
      <c r="AS684" s="551"/>
      <c r="AT684" s="529"/>
      <c r="AU684" s="507"/>
      <c r="AV684" s="508"/>
      <c r="AW684" s="508"/>
      <c r="AX684" s="508"/>
      <c r="AY684" s="508"/>
      <c r="AZ684" s="508"/>
      <c r="BA684" s="508"/>
      <c r="BB684" s="508"/>
      <c r="BC684" s="508"/>
      <c r="BD684" s="508"/>
      <c r="BE684" s="508"/>
      <c r="BF684" s="508"/>
      <c r="BG684" s="508"/>
      <c r="BH684" s="508"/>
      <c r="BI684" s="551"/>
      <c r="BJ684" s="551"/>
      <c r="BK684" s="551"/>
      <c r="BL684" s="551"/>
      <c r="BM684" s="551"/>
      <c r="BN684" s="551"/>
      <c r="BO684" s="551"/>
      <c r="BP684" s="551"/>
      <c r="BQ684" s="551"/>
      <c r="BR684" s="551"/>
      <c r="BS684" s="551"/>
      <c r="BT684" s="551"/>
    </row>
    <row r="685" spans="1:72" ht="15" hidden="1" x14ac:dyDescent="0.25">
      <c r="A685" s="524" t="s">
        <v>1022</v>
      </c>
      <c r="D685" s="550"/>
      <c r="E685" s="564">
        <v>140981</v>
      </c>
      <c r="F685" s="551"/>
      <c r="G685" s="565"/>
      <c r="H685" s="564">
        <v>140981</v>
      </c>
      <c r="I685" s="551"/>
      <c r="J685" s="529"/>
      <c r="K685" s="507"/>
      <c r="L685" s="551"/>
      <c r="M685" s="551"/>
      <c r="N685" s="551"/>
      <c r="O685" s="551"/>
      <c r="P685" s="551"/>
      <c r="Q685" s="551"/>
      <c r="R685" s="551"/>
      <c r="S685" s="551"/>
      <c r="T685" s="551"/>
      <c r="U685" s="551"/>
      <c r="V685" s="551"/>
      <c r="W685" s="551"/>
      <c r="X685" s="551"/>
      <c r="Y685" s="551"/>
      <c r="Z685" s="508"/>
      <c r="AA685" s="551"/>
      <c r="AB685" s="551"/>
      <c r="AC685" s="551"/>
      <c r="AD685" s="551"/>
      <c r="AE685" s="551"/>
      <c r="AF685" s="551"/>
      <c r="AG685" s="551"/>
      <c r="AH685" s="551"/>
      <c r="AI685" s="551"/>
      <c r="AJ685" s="551"/>
      <c r="AK685" s="551"/>
      <c r="AL685" s="551"/>
      <c r="AN685" s="550"/>
      <c r="AO685" s="564"/>
      <c r="AP685" s="551"/>
      <c r="AQ685" s="499"/>
      <c r="AR685" s="528">
        <f>H687</f>
        <v>170253</v>
      </c>
      <c r="AS685" s="551"/>
      <c r="AT685" s="529"/>
      <c r="AU685" s="507"/>
      <c r="AV685" s="508"/>
      <c r="AW685" s="508"/>
      <c r="AX685" s="508"/>
      <c r="AY685" s="508"/>
      <c r="AZ685" s="508"/>
      <c r="BA685" s="508"/>
      <c r="BB685" s="508"/>
      <c r="BC685" s="508"/>
      <c r="BD685" s="508"/>
      <c r="BE685" s="508"/>
      <c r="BF685" s="508"/>
      <c r="BG685" s="508"/>
      <c r="BH685" s="508"/>
      <c r="BI685" s="551"/>
      <c r="BJ685" s="551"/>
      <c r="BK685" s="551"/>
      <c r="BL685" s="551"/>
      <c r="BM685" s="551"/>
      <c r="BN685" s="551"/>
      <c r="BO685" s="551"/>
      <c r="BP685" s="551"/>
      <c r="BQ685" s="551"/>
      <c r="BR685" s="551"/>
      <c r="BS685" s="551"/>
      <c r="BT685" s="551"/>
    </row>
    <row r="686" spans="1:72" ht="6.75" hidden="1" customHeight="1" x14ac:dyDescent="0.25">
      <c r="A686" s="502"/>
      <c r="D686" s="550"/>
      <c r="E686" s="564"/>
      <c r="F686" s="551"/>
      <c r="G686" s="565"/>
      <c r="H686" s="564"/>
      <c r="I686" s="551"/>
      <c r="J686" s="529"/>
      <c r="K686" s="507"/>
      <c r="L686" s="551"/>
      <c r="M686" s="551"/>
      <c r="N686" s="551"/>
      <c r="O686" s="551"/>
      <c r="P686" s="551"/>
      <c r="Q686" s="551"/>
      <c r="R686" s="551"/>
      <c r="S686" s="551"/>
      <c r="T686" s="551"/>
      <c r="U686" s="551"/>
      <c r="V686" s="551"/>
      <c r="W686" s="551"/>
      <c r="X686" s="551"/>
      <c r="Y686" s="551"/>
      <c r="Z686" s="508"/>
      <c r="AA686" s="551"/>
      <c r="AB686" s="551"/>
      <c r="AC686" s="551"/>
      <c r="AD686" s="551"/>
      <c r="AE686" s="551"/>
      <c r="AF686" s="551"/>
      <c r="AG686" s="551"/>
      <c r="AH686" s="551"/>
      <c r="AI686" s="551"/>
      <c r="AJ686" s="551"/>
      <c r="AK686" s="551"/>
      <c r="AL686" s="551"/>
      <c r="AN686" s="550"/>
      <c r="AO686" s="564"/>
      <c r="AP686" s="551"/>
      <c r="AQ686" s="499"/>
      <c r="AR686" s="564"/>
      <c r="AS686" s="551"/>
      <c r="AT686" s="529"/>
      <c r="AU686" s="507"/>
      <c r="AV686" s="508"/>
      <c r="AW686" s="508"/>
      <c r="AX686" s="508"/>
      <c r="AY686" s="508"/>
      <c r="AZ686" s="508"/>
      <c r="BA686" s="508"/>
      <c r="BB686" s="508"/>
      <c r="BC686" s="508"/>
      <c r="BD686" s="508"/>
      <c r="BE686" s="508"/>
      <c r="BF686" s="508"/>
      <c r="BG686" s="508"/>
      <c r="BH686" s="508"/>
      <c r="BI686" s="551"/>
      <c r="BJ686" s="551"/>
      <c r="BK686" s="551"/>
      <c r="BL686" s="551"/>
      <c r="BM686" s="551"/>
      <c r="BN686" s="551"/>
      <c r="BO686" s="551"/>
      <c r="BP686" s="551"/>
      <c r="BQ686" s="551"/>
      <c r="BR686" s="551"/>
      <c r="BS686" s="551"/>
      <c r="BT686" s="551"/>
    </row>
    <row r="687" spans="1:72" ht="15" hidden="1" x14ac:dyDescent="0.25">
      <c r="A687" s="524" t="s">
        <v>1023</v>
      </c>
      <c r="D687" s="566"/>
      <c r="E687" s="567">
        <f>E685+E683</f>
        <v>170254.25</v>
      </c>
      <c r="F687" s="568"/>
      <c r="G687" s="569"/>
      <c r="H687" s="567">
        <f>+H683+H685</f>
        <v>170253</v>
      </c>
      <c r="I687" s="568"/>
      <c r="J687" s="570"/>
      <c r="K687" s="492"/>
      <c r="L687" s="564"/>
      <c r="M687" s="564"/>
      <c r="N687" s="564"/>
      <c r="O687" s="564"/>
      <c r="P687" s="564"/>
      <c r="Q687" s="564"/>
      <c r="R687" s="564"/>
      <c r="S687" s="564"/>
      <c r="T687" s="564"/>
      <c r="U687" s="564"/>
      <c r="V687" s="564"/>
      <c r="W687" s="564"/>
      <c r="X687" s="564"/>
      <c r="Y687" s="551"/>
      <c r="Z687" s="562"/>
      <c r="AA687" s="564"/>
      <c r="AB687" s="564"/>
      <c r="AC687" s="564"/>
      <c r="AD687" s="564"/>
      <c r="AE687" s="564"/>
      <c r="AF687" s="564"/>
      <c r="AG687" s="564"/>
      <c r="AH687" s="564"/>
      <c r="AI687" s="564"/>
      <c r="AJ687" s="564"/>
      <c r="AK687" s="564"/>
      <c r="AL687" s="564"/>
      <c r="AN687" s="566"/>
      <c r="AO687" s="568"/>
      <c r="AP687" s="568"/>
      <c r="AQ687" s="571"/>
      <c r="AR687" s="567">
        <f>+AR683+AR685</f>
        <v>207404.39934136547</v>
      </c>
      <c r="AS687" s="568"/>
      <c r="AT687" s="570"/>
      <c r="AU687" s="492"/>
      <c r="AV687" s="562"/>
      <c r="AW687" s="562"/>
      <c r="AX687" s="562"/>
      <c r="AY687" s="562"/>
      <c r="AZ687" s="562"/>
      <c r="BA687" s="562"/>
      <c r="BB687" s="562"/>
      <c r="BC687" s="562"/>
      <c r="BD687" s="562"/>
      <c r="BE687" s="562"/>
      <c r="BF687" s="562"/>
      <c r="BG687" s="562"/>
      <c r="BH687" s="562"/>
      <c r="BI687" s="564"/>
      <c r="BJ687" s="564"/>
      <c r="BK687" s="564"/>
      <c r="BL687" s="564"/>
      <c r="BM687" s="564"/>
      <c r="BN687" s="564"/>
      <c r="BO687" s="564"/>
      <c r="BP687" s="564"/>
      <c r="BQ687" s="564"/>
      <c r="BR687" s="564"/>
      <c r="BS687" s="564"/>
      <c r="BT687" s="564"/>
    </row>
    <row r="688" spans="1:72" hidden="1" x14ac:dyDescent="0.25">
      <c r="D688" s="473"/>
      <c r="E688" s="473"/>
      <c r="G688" s="572"/>
      <c r="H688" s="407"/>
      <c r="L688" s="473"/>
      <c r="M688" s="473"/>
      <c r="N688" s="473"/>
      <c r="O688" s="473"/>
      <c r="P688" s="473"/>
      <c r="Q688" s="473"/>
      <c r="R688" s="473"/>
      <c r="S688" s="473"/>
      <c r="T688" s="473"/>
      <c r="U688" s="473"/>
      <c r="V688" s="473"/>
      <c r="W688" s="473"/>
      <c r="X688" s="473"/>
      <c r="Y688" s="473"/>
      <c r="AA688" s="473"/>
      <c r="AB688" s="473"/>
      <c r="AC688" s="473"/>
      <c r="AD688" s="473"/>
      <c r="AE688" s="473"/>
      <c r="AF688" s="473"/>
      <c r="AG688" s="473"/>
      <c r="AH688" s="473"/>
      <c r="AI688" s="473"/>
      <c r="AJ688" s="473"/>
      <c r="AK688" s="473"/>
      <c r="AL688" s="473"/>
      <c r="AN688" s="473"/>
      <c r="AO688" s="407"/>
      <c r="AR688" s="407"/>
      <c r="BI688" s="473"/>
      <c r="BJ688" s="473"/>
      <c r="BK688" s="473"/>
      <c r="BL688" s="473"/>
      <c r="BM688" s="473"/>
      <c r="BN688" s="473"/>
      <c r="BO688" s="473"/>
      <c r="BP688" s="473"/>
      <c r="BQ688" s="473"/>
      <c r="BR688" s="473"/>
      <c r="BS688" s="473"/>
      <c r="BT688" s="473"/>
    </row>
    <row r="689" spans="1:72" ht="15" hidden="1" x14ac:dyDescent="0.25">
      <c r="D689" s="449">
        <f>+D55+D585+D630+D668</f>
        <v>11905305.919999998</v>
      </c>
      <c r="E689" s="449">
        <f>+E55+E585+E630+E668</f>
        <v>11778010.373999998</v>
      </c>
      <c r="F689" s="449"/>
      <c r="G689" s="573"/>
      <c r="H689" s="449">
        <f>+H55+H585+H630+H668</f>
        <v>11824851</v>
      </c>
      <c r="I689" s="449"/>
      <c r="J689" s="421"/>
      <c r="K689" s="421"/>
      <c r="L689" s="449">
        <f t="shared" ref="L689:W689" si="619">+L55+L585+L630+L668</f>
        <v>819476.39</v>
      </c>
      <c r="M689" s="449">
        <f t="shared" si="619"/>
        <v>930016.97999999986</v>
      </c>
      <c r="N689" s="449">
        <f t="shared" si="619"/>
        <v>1047337.5300000001</v>
      </c>
      <c r="O689" s="449">
        <f t="shared" si="619"/>
        <v>966896.18999999983</v>
      </c>
      <c r="P689" s="449">
        <f t="shared" si="619"/>
        <v>847092.00999999966</v>
      </c>
      <c r="Q689" s="449">
        <f t="shared" si="619"/>
        <v>1099526.6300000001</v>
      </c>
      <c r="R689" s="449">
        <f t="shared" si="619"/>
        <v>1032493.3650000002</v>
      </c>
      <c r="S689" s="449">
        <f t="shared" si="619"/>
        <v>1032493.3650000001</v>
      </c>
      <c r="T689" s="449">
        <f t="shared" si="619"/>
        <v>1032493.3650000002</v>
      </c>
      <c r="U689" s="449">
        <f t="shared" si="619"/>
        <v>1032493.3650000002</v>
      </c>
      <c r="V689" s="449">
        <f t="shared" si="619"/>
        <v>1032493.3650000002</v>
      </c>
      <c r="W689" s="449">
        <f t="shared" si="619"/>
        <v>1032493.3650000006</v>
      </c>
      <c r="X689" s="449"/>
      <c r="Y689" s="449">
        <f>+Y55+Y585+Y630+Y668</f>
        <v>11905305.920000002</v>
      </c>
      <c r="Z689" s="531"/>
      <c r="AA689" s="449">
        <f t="shared" ref="AA689:AL689" si="620">+AA55+AA585+AA630+AA668</f>
        <v>985404.25000000012</v>
      </c>
      <c r="AB689" s="449">
        <f t="shared" si="620"/>
        <v>985404.25000000012</v>
      </c>
      <c r="AC689" s="449">
        <f t="shared" si="620"/>
        <v>985404.25000000012</v>
      </c>
      <c r="AD689" s="449">
        <f t="shared" si="620"/>
        <v>985404.25000000012</v>
      </c>
      <c r="AE689" s="449">
        <f t="shared" si="620"/>
        <v>985404.25000000012</v>
      </c>
      <c r="AF689" s="449">
        <f t="shared" si="620"/>
        <v>985404.25000000012</v>
      </c>
      <c r="AG689" s="449">
        <f t="shared" si="620"/>
        <v>985404.25000000012</v>
      </c>
      <c r="AH689" s="449">
        <f t="shared" si="620"/>
        <v>985404.25000000012</v>
      </c>
      <c r="AI689" s="449">
        <f t="shared" si="620"/>
        <v>985404.25000000012</v>
      </c>
      <c r="AJ689" s="449">
        <f t="shared" si="620"/>
        <v>985404.25000000012</v>
      </c>
      <c r="AK689" s="449">
        <f t="shared" si="620"/>
        <v>985404.25000000012</v>
      </c>
      <c r="AL689" s="449">
        <f t="shared" si="620"/>
        <v>985404.25000000012</v>
      </c>
      <c r="AN689" s="449">
        <f>+AN55+AN585+AN630+AN668</f>
        <v>11905305.919999998</v>
      </c>
      <c r="AO689" s="449">
        <f>+AO55+AO585+AO630+AO668</f>
        <v>12796739.13908368</v>
      </c>
      <c r="AP689" s="449"/>
      <c r="AQ689" s="419"/>
      <c r="AR689" s="449">
        <f>+AR55+AR585+AR630+AR668</f>
        <v>12796739.13908368</v>
      </c>
      <c r="AS689" s="449"/>
      <c r="AT689" s="421"/>
      <c r="AU689" s="421"/>
      <c r="AV689" s="449">
        <f t="shared" ref="AV689:BG689" si="621">+AV55+AV585+AV630+AV668</f>
        <v>1067274.3084594065</v>
      </c>
      <c r="AW689" s="449">
        <f t="shared" si="621"/>
        <v>1134487.6328113598</v>
      </c>
      <c r="AX689" s="449">
        <f t="shared" si="621"/>
        <v>1047787.3636442913</v>
      </c>
      <c r="AY689" s="449">
        <f t="shared" si="621"/>
        <v>1067787.3636442914</v>
      </c>
      <c r="AZ689" s="449">
        <f t="shared" si="621"/>
        <v>1051791.3636442914</v>
      </c>
      <c r="BA689" s="449">
        <f t="shared" si="621"/>
        <v>1047787.3636442913</v>
      </c>
      <c r="BB689" s="449">
        <f t="shared" si="621"/>
        <v>1047787.3636442913</v>
      </c>
      <c r="BC689" s="449">
        <f t="shared" si="621"/>
        <v>1051791.3636442914</v>
      </c>
      <c r="BD689" s="449">
        <f t="shared" si="621"/>
        <v>1092787.3636442914</v>
      </c>
      <c r="BE689" s="449">
        <f t="shared" si="621"/>
        <v>1047787.3636442913</v>
      </c>
      <c r="BF689" s="449">
        <f t="shared" si="621"/>
        <v>1047787.3636442913</v>
      </c>
      <c r="BG689" s="449">
        <f t="shared" si="621"/>
        <v>1091882.9250142914</v>
      </c>
      <c r="BH689" s="531"/>
      <c r="BI689" s="449">
        <f t="shared" ref="BI689:BT689" si="622">+BI55+BI585+BI630+BI668</f>
        <v>1067274.3084594065</v>
      </c>
      <c r="BJ689" s="449">
        <f t="shared" si="622"/>
        <v>1134487.6328113598</v>
      </c>
      <c r="BK689" s="449">
        <f t="shared" si="622"/>
        <v>1047787.3636442913</v>
      </c>
      <c r="BL689" s="449">
        <f t="shared" si="622"/>
        <v>1067787.3636442914</v>
      </c>
      <c r="BM689" s="449">
        <f t="shared" si="622"/>
        <v>1051791.3636442914</v>
      </c>
      <c r="BN689" s="449">
        <f t="shared" si="622"/>
        <v>1047787.3636442913</v>
      </c>
      <c r="BO689" s="449">
        <f t="shared" si="622"/>
        <v>1047787.3636442913</v>
      </c>
      <c r="BP689" s="449">
        <f t="shared" si="622"/>
        <v>1051791.3636442914</v>
      </c>
      <c r="BQ689" s="449">
        <f t="shared" si="622"/>
        <v>1092787.3636442914</v>
      </c>
      <c r="BR689" s="449">
        <f t="shared" si="622"/>
        <v>1047787.3636442913</v>
      </c>
      <c r="BS689" s="449">
        <f t="shared" si="622"/>
        <v>1047787.3636442913</v>
      </c>
      <c r="BT689" s="449">
        <f t="shared" si="622"/>
        <v>1091882.9250142914</v>
      </c>
    </row>
    <row r="690" spans="1:72" ht="15" hidden="1" x14ac:dyDescent="0.25">
      <c r="D690" s="449">
        <f>+D566+D606+D648+D681</f>
        <v>12987710.529999999</v>
      </c>
      <c r="E690" s="449">
        <f>+E566+E606+E648+E681</f>
        <v>12437554.706573999</v>
      </c>
      <c r="F690" s="449"/>
      <c r="G690" s="573"/>
      <c r="H690" s="449">
        <f>+H566+H606+H648+H681</f>
        <v>12809685.030000001</v>
      </c>
      <c r="I690" s="449"/>
      <c r="J690" s="421"/>
      <c r="K690" s="421"/>
      <c r="L690" s="449">
        <f t="shared" ref="L690:W690" si="623">+L566+L606+L648+L681</f>
        <v>568363.82999999984</v>
      </c>
      <c r="M690" s="449">
        <f t="shared" si="623"/>
        <v>1361083.7699999998</v>
      </c>
      <c r="N690" s="449">
        <f t="shared" si="623"/>
        <v>696470.44000000018</v>
      </c>
      <c r="O690" s="449">
        <f t="shared" si="623"/>
        <v>916028.99999999988</v>
      </c>
      <c r="P690" s="449">
        <f t="shared" si="623"/>
        <v>691268</v>
      </c>
      <c r="Q690" s="449">
        <f t="shared" si="623"/>
        <v>1524270.7100000002</v>
      </c>
      <c r="R690" s="449">
        <f t="shared" si="623"/>
        <v>1205037.4633333334</v>
      </c>
      <c r="S690" s="449">
        <f t="shared" si="623"/>
        <v>1205037.4633333336</v>
      </c>
      <c r="T690" s="449">
        <f t="shared" si="623"/>
        <v>1205037.4633333336</v>
      </c>
      <c r="U690" s="449">
        <f t="shared" si="623"/>
        <v>1205037.4633333334</v>
      </c>
      <c r="V690" s="449">
        <f t="shared" si="623"/>
        <v>1205037.4633333334</v>
      </c>
      <c r="W690" s="449">
        <f t="shared" si="623"/>
        <v>1205037.4633333334</v>
      </c>
      <c r="X690" s="449"/>
      <c r="Y690" s="449">
        <f>+Y566+Y606+Y648+Y681</f>
        <v>12987710.530000001</v>
      </c>
      <c r="Z690" s="531"/>
      <c r="AA690" s="449">
        <f t="shared" ref="AA690:AL690" si="624">+AA566+AA606+AA648+AA681</f>
        <v>1067473.7525000002</v>
      </c>
      <c r="AB690" s="449">
        <f t="shared" si="624"/>
        <v>1067473.7525000002</v>
      </c>
      <c r="AC690" s="449">
        <f t="shared" si="624"/>
        <v>1067473.7525000002</v>
      </c>
      <c r="AD690" s="449">
        <f t="shared" si="624"/>
        <v>1067473.7525000002</v>
      </c>
      <c r="AE690" s="449">
        <f t="shared" si="624"/>
        <v>1067473.7525000002</v>
      </c>
      <c r="AF690" s="449">
        <f t="shared" si="624"/>
        <v>1067473.7525000002</v>
      </c>
      <c r="AG690" s="449">
        <f t="shared" si="624"/>
        <v>1067473.7525000002</v>
      </c>
      <c r="AH690" s="449">
        <f t="shared" si="624"/>
        <v>1067473.7525000002</v>
      </c>
      <c r="AI690" s="449">
        <f t="shared" si="624"/>
        <v>1067473.7525000002</v>
      </c>
      <c r="AJ690" s="449">
        <f t="shared" si="624"/>
        <v>1067473.7525000002</v>
      </c>
      <c r="AK690" s="449">
        <f t="shared" si="624"/>
        <v>1067473.7525000002</v>
      </c>
      <c r="AL690" s="449">
        <f t="shared" si="624"/>
        <v>1067473.7525000002</v>
      </c>
      <c r="AN690" s="449">
        <f>+AN566+AN606+AN648+AN681</f>
        <v>12987710.529999999</v>
      </c>
      <c r="AO690" s="449">
        <f>+AO566+AO606+AO648+AO681</f>
        <v>13568060.954863288</v>
      </c>
      <c r="AP690" s="449"/>
      <c r="AQ690" s="419"/>
      <c r="AR690" s="449">
        <f>+AR566+AR606+AR648+AR681</f>
        <v>13568060.954863288</v>
      </c>
      <c r="AS690" s="449"/>
      <c r="AT690" s="421"/>
      <c r="AU690" s="421"/>
      <c r="AV690" s="449">
        <f t="shared" ref="AV690:BG690" si="625">+AV566+AV606+AV648+AV681</f>
        <v>785833.72817320284</v>
      </c>
      <c r="AW690" s="449">
        <f t="shared" si="625"/>
        <v>968633.08028963674</v>
      </c>
      <c r="AX690" s="449">
        <f t="shared" si="625"/>
        <v>959278.33547271707</v>
      </c>
      <c r="AY690" s="449">
        <f t="shared" si="625"/>
        <v>1218997.8354727172</v>
      </c>
      <c r="AZ690" s="449">
        <f t="shared" si="625"/>
        <v>959278.33547271707</v>
      </c>
      <c r="BA690" s="449">
        <f t="shared" si="625"/>
        <v>1798966.1908456755</v>
      </c>
      <c r="BB690" s="449">
        <f t="shared" si="625"/>
        <v>1017856.5508456755</v>
      </c>
      <c r="BC690" s="449">
        <f t="shared" si="625"/>
        <v>917366.44084567553</v>
      </c>
      <c r="BD690" s="449">
        <f t="shared" si="625"/>
        <v>917366.44084567553</v>
      </c>
      <c r="BE690" s="449">
        <f t="shared" si="625"/>
        <v>964085.94084567542</v>
      </c>
      <c r="BF690" s="449">
        <f t="shared" si="625"/>
        <v>917366.44084567553</v>
      </c>
      <c r="BG690" s="449">
        <f t="shared" si="625"/>
        <v>2143031.6349082417</v>
      </c>
      <c r="BH690" s="531"/>
      <c r="BI690" s="449">
        <f t="shared" ref="BI690:BT690" si="626">+BI566+BI606+BI648+BI681</f>
        <v>785833.72817320284</v>
      </c>
      <c r="BJ690" s="449">
        <f t="shared" si="626"/>
        <v>968633.08028963674</v>
      </c>
      <c r="BK690" s="449">
        <f t="shared" si="626"/>
        <v>959278.33547271707</v>
      </c>
      <c r="BL690" s="449">
        <f t="shared" si="626"/>
        <v>1218997.8354727172</v>
      </c>
      <c r="BM690" s="449">
        <f t="shared" si="626"/>
        <v>959278.33547271707</v>
      </c>
      <c r="BN690" s="449">
        <f t="shared" si="626"/>
        <v>1798966.1908456755</v>
      </c>
      <c r="BO690" s="449">
        <f t="shared" si="626"/>
        <v>1017856.5508456755</v>
      </c>
      <c r="BP690" s="449">
        <f t="shared" si="626"/>
        <v>917366.44084567553</v>
      </c>
      <c r="BQ690" s="449">
        <f t="shared" si="626"/>
        <v>917366.44084567553</v>
      </c>
      <c r="BR690" s="449">
        <f t="shared" si="626"/>
        <v>964085.94084567542</v>
      </c>
      <c r="BS690" s="449">
        <f t="shared" si="626"/>
        <v>917366.44084567553</v>
      </c>
      <c r="BT690" s="449">
        <f t="shared" si="626"/>
        <v>2143031.6349082417</v>
      </c>
    </row>
    <row r="691" spans="1:72" ht="15" hidden="1" x14ac:dyDescent="0.25">
      <c r="D691" s="449">
        <f>+D689-D690</f>
        <v>-1082404.6100000013</v>
      </c>
      <c r="E691" s="449">
        <f>+E689-E690</f>
        <v>-659544.33257400058</v>
      </c>
      <c r="F691" s="449"/>
      <c r="G691" s="573"/>
      <c r="H691" s="449">
        <f>+H689-H690</f>
        <v>-984834.03000000119</v>
      </c>
      <c r="I691" s="449"/>
      <c r="J691" s="421"/>
      <c r="K691" s="421"/>
      <c r="L691" s="449">
        <f t="shared" ref="L691:W691" si="627">+L689-L690</f>
        <v>251112.56000000017</v>
      </c>
      <c r="M691" s="449">
        <f t="shared" si="627"/>
        <v>-431066.78999999992</v>
      </c>
      <c r="N691" s="449">
        <f t="shared" si="627"/>
        <v>350867.08999999997</v>
      </c>
      <c r="O691" s="449">
        <f t="shared" si="627"/>
        <v>50867.189999999944</v>
      </c>
      <c r="P691" s="449">
        <f t="shared" si="627"/>
        <v>155824.00999999966</v>
      </c>
      <c r="Q691" s="449">
        <f t="shared" si="627"/>
        <v>-424744.08000000007</v>
      </c>
      <c r="R691" s="449">
        <f t="shared" si="627"/>
        <v>-172544.09833333315</v>
      </c>
      <c r="S691" s="449">
        <f t="shared" si="627"/>
        <v>-172544.0983333335</v>
      </c>
      <c r="T691" s="449">
        <f t="shared" si="627"/>
        <v>-172544.09833333339</v>
      </c>
      <c r="U691" s="449">
        <f t="shared" si="627"/>
        <v>-172544.09833333315</v>
      </c>
      <c r="V691" s="449">
        <f t="shared" si="627"/>
        <v>-172544.09833333315</v>
      </c>
      <c r="W691" s="449">
        <f t="shared" si="627"/>
        <v>-172544.0983333328</v>
      </c>
      <c r="X691" s="449"/>
      <c r="Y691" s="449">
        <f>+Y689-Y690</f>
        <v>-1082404.6099999994</v>
      </c>
      <c r="Z691" s="531"/>
      <c r="AA691" s="449">
        <f t="shared" ref="AA691:AL691" si="628">+AA689-AA690</f>
        <v>-82069.502500000061</v>
      </c>
      <c r="AB691" s="449">
        <f t="shared" si="628"/>
        <v>-82069.502500000061</v>
      </c>
      <c r="AC691" s="449">
        <f t="shared" si="628"/>
        <v>-82069.502500000061</v>
      </c>
      <c r="AD691" s="449">
        <f t="shared" si="628"/>
        <v>-82069.502500000061</v>
      </c>
      <c r="AE691" s="449">
        <f t="shared" si="628"/>
        <v>-82069.502500000061</v>
      </c>
      <c r="AF691" s="449">
        <f t="shared" si="628"/>
        <v>-82069.502500000061</v>
      </c>
      <c r="AG691" s="449">
        <f t="shared" si="628"/>
        <v>-82069.502500000061</v>
      </c>
      <c r="AH691" s="449">
        <f t="shared" si="628"/>
        <v>-82069.502500000061</v>
      </c>
      <c r="AI691" s="449">
        <f t="shared" si="628"/>
        <v>-82069.502500000061</v>
      </c>
      <c r="AJ691" s="449">
        <f t="shared" si="628"/>
        <v>-82069.502500000061</v>
      </c>
      <c r="AK691" s="449">
        <f t="shared" si="628"/>
        <v>-82069.502500000061</v>
      </c>
      <c r="AL691" s="449">
        <f t="shared" si="628"/>
        <v>-82069.502500000061</v>
      </c>
      <c r="AN691" s="449">
        <f>+AN689-AN690</f>
        <v>-1082404.6100000013</v>
      </c>
      <c r="AO691" s="449">
        <f>+AO689-AO690</f>
        <v>-771321.81577960774</v>
      </c>
      <c r="AP691" s="449"/>
      <c r="AQ691" s="419"/>
      <c r="AR691" s="449">
        <f>+AR689-AR690</f>
        <v>-771321.81577960774</v>
      </c>
      <c r="AS691" s="449"/>
      <c r="AT691" s="421"/>
      <c r="AU691" s="421"/>
      <c r="AV691" s="449">
        <f t="shared" ref="AV691:BG691" si="629">+AV689-AV690</f>
        <v>281440.58028620365</v>
      </c>
      <c r="AW691" s="449">
        <f t="shared" si="629"/>
        <v>165854.55252172309</v>
      </c>
      <c r="AX691" s="449">
        <f t="shared" si="629"/>
        <v>88509.028171574231</v>
      </c>
      <c r="AY691" s="449">
        <f t="shared" si="629"/>
        <v>-151210.47182842577</v>
      </c>
      <c r="AZ691" s="449">
        <f t="shared" si="629"/>
        <v>92513.028171574348</v>
      </c>
      <c r="BA691" s="449">
        <f t="shared" si="629"/>
        <v>-751178.82720138424</v>
      </c>
      <c r="BB691" s="449">
        <f t="shared" si="629"/>
        <v>29930.812798615778</v>
      </c>
      <c r="BC691" s="449">
        <f t="shared" si="629"/>
        <v>134424.92279861588</v>
      </c>
      <c r="BD691" s="449">
        <f t="shared" si="629"/>
        <v>175420.92279861588</v>
      </c>
      <c r="BE691" s="449">
        <f t="shared" si="629"/>
        <v>83701.42279861588</v>
      </c>
      <c r="BF691" s="449">
        <f t="shared" si="629"/>
        <v>130420.92279861576</v>
      </c>
      <c r="BG691" s="449">
        <f t="shared" si="629"/>
        <v>-1051148.7098939503</v>
      </c>
      <c r="BH691" s="531"/>
      <c r="BI691" s="449">
        <f t="shared" ref="BI691:BT691" si="630">+BI689-BI690</f>
        <v>281440.58028620365</v>
      </c>
      <c r="BJ691" s="449">
        <f t="shared" si="630"/>
        <v>165854.55252172309</v>
      </c>
      <c r="BK691" s="449">
        <f t="shared" si="630"/>
        <v>88509.028171574231</v>
      </c>
      <c r="BL691" s="449">
        <f t="shared" si="630"/>
        <v>-151210.47182842577</v>
      </c>
      <c r="BM691" s="449">
        <f t="shared" si="630"/>
        <v>92513.028171574348</v>
      </c>
      <c r="BN691" s="449">
        <f t="shared" si="630"/>
        <v>-751178.82720138424</v>
      </c>
      <c r="BO691" s="449">
        <f t="shared" si="630"/>
        <v>29930.812798615778</v>
      </c>
      <c r="BP691" s="449">
        <f t="shared" si="630"/>
        <v>134424.92279861588</v>
      </c>
      <c r="BQ691" s="449">
        <f t="shared" si="630"/>
        <v>175420.92279861588</v>
      </c>
      <c r="BR691" s="449">
        <f t="shared" si="630"/>
        <v>83701.42279861588</v>
      </c>
      <c r="BS691" s="449">
        <f t="shared" si="630"/>
        <v>130420.92279861576</v>
      </c>
      <c r="BT691" s="449">
        <f t="shared" si="630"/>
        <v>-1051148.7098939503</v>
      </c>
    </row>
    <row r="692" spans="1:72" hidden="1" x14ac:dyDescent="0.25"/>
    <row r="693" spans="1:72" s="588" customFormat="1" ht="15" hidden="1" customHeight="1" x14ac:dyDescent="0.25">
      <c r="A693" s="610"/>
      <c r="C693" s="538"/>
      <c r="D693" s="418"/>
      <c r="E693" s="574"/>
      <c r="F693" s="418"/>
      <c r="G693" s="573"/>
      <c r="H693" s="437"/>
      <c r="I693" s="418"/>
      <c r="J693" s="421"/>
      <c r="K693" s="421"/>
      <c r="L693" s="417">
        <v>1</v>
      </c>
      <c r="M693" s="417">
        <v>2</v>
      </c>
      <c r="N693" s="417">
        <v>3</v>
      </c>
      <c r="O693" s="417">
        <v>4</v>
      </c>
      <c r="P693" s="417">
        <v>5</v>
      </c>
      <c r="Q693" s="417">
        <v>6</v>
      </c>
      <c r="R693" s="417">
        <v>7</v>
      </c>
      <c r="S693" s="417">
        <v>8</v>
      </c>
      <c r="T693" s="417">
        <v>9</v>
      </c>
      <c r="U693" s="417">
        <v>10</v>
      </c>
      <c r="V693" s="417">
        <v>11</v>
      </c>
      <c r="W693" s="417">
        <v>12</v>
      </c>
      <c r="X693" s="417"/>
      <c r="Y693" s="417"/>
      <c r="Z693" s="417"/>
      <c r="AA693" s="417"/>
      <c r="AB693" s="417"/>
      <c r="AC693" s="417"/>
      <c r="AD693" s="417"/>
      <c r="AE693" s="417"/>
      <c r="AF693" s="417"/>
      <c r="AG693" s="417"/>
      <c r="AH693" s="417"/>
      <c r="AI693" s="417"/>
      <c r="AJ693" s="417"/>
      <c r="AK693" s="417"/>
      <c r="AL693" s="417"/>
      <c r="AN693" s="417"/>
      <c r="AO693" s="420"/>
      <c r="AP693" s="418"/>
      <c r="AQ693" s="419"/>
      <c r="AR693" s="420"/>
      <c r="AS693" s="418"/>
      <c r="AT693" s="421"/>
      <c r="AU693" s="421"/>
      <c r="AV693" s="417">
        <v>1</v>
      </c>
      <c r="AW693" s="417">
        <v>2</v>
      </c>
      <c r="AX693" s="417">
        <v>3</v>
      </c>
      <c r="AY693" s="417">
        <v>4</v>
      </c>
      <c r="AZ693" s="417">
        <v>5</v>
      </c>
      <c r="BA693" s="417">
        <v>6</v>
      </c>
      <c r="BB693" s="417">
        <v>7</v>
      </c>
      <c r="BC693" s="417">
        <v>8</v>
      </c>
      <c r="BD693" s="417">
        <v>9</v>
      </c>
      <c r="BE693" s="417">
        <v>10</v>
      </c>
      <c r="BF693" s="417">
        <v>11</v>
      </c>
      <c r="BG693" s="417">
        <v>12</v>
      </c>
      <c r="BH693" s="417"/>
      <c r="BI693" s="417">
        <v>1</v>
      </c>
      <c r="BJ693" s="417">
        <v>2</v>
      </c>
      <c r="BK693" s="417">
        <v>3</v>
      </c>
      <c r="BL693" s="417">
        <v>4</v>
      </c>
      <c r="BM693" s="417">
        <v>5</v>
      </c>
      <c r="BN693" s="417">
        <v>6</v>
      </c>
      <c r="BO693" s="417">
        <v>7</v>
      </c>
      <c r="BP693" s="417">
        <v>8</v>
      </c>
      <c r="BQ693" s="417">
        <v>9</v>
      </c>
      <c r="BR693" s="417">
        <v>10</v>
      </c>
      <c r="BS693" s="417">
        <v>11</v>
      </c>
      <c r="BT693" s="417">
        <v>12</v>
      </c>
    </row>
    <row r="694" spans="1:72" s="588" customFormat="1" ht="15" hidden="1" customHeight="1" x14ac:dyDescent="0.25">
      <c r="A694" s="610"/>
      <c r="C694" s="538"/>
      <c r="D694" s="418"/>
      <c r="E694" s="574"/>
      <c r="F694" s="418"/>
      <c r="G694" s="573"/>
      <c r="H694" s="437"/>
      <c r="I694" s="418"/>
      <c r="J694" s="421"/>
      <c r="K694" s="421"/>
      <c r="L694" s="417">
        <v>12</v>
      </c>
      <c r="M694" s="417">
        <v>11</v>
      </c>
      <c r="N694" s="417">
        <v>10</v>
      </c>
      <c r="O694" s="417">
        <v>9</v>
      </c>
      <c r="P694" s="417">
        <v>8</v>
      </c>
      <c r="Q694" s="417">
        <v>7</v>
      </c>
      <c r="R694" s="417">
        <v>6</v>
      </c>
      <c r="S694" s="417">
        <v>5</v>
      </c>
      <c r="T694" s="417">
        <v>4</v>
      </c>
      <c r="U694" s="417">
        <v>3</v>
      </c>
      <c r="V694" s="417">
        <v>2</v>
      </c>
      <c r="W694" s="417">
        <v>1</v>
      </c>
      <c r="X694" s="417"/>
      <c r="Y694" s="417"/>
      <c r="Z694" s="417"/>
      <c r="AA694" s="417"/>
      <c r="AB694" s="417"/>
      <c r="AC694" s="417"/>
      <c r="AD694" s="417"/>
      <c r="AE694" s="417"/>
      <c r="AF694" s="417"/>
      <c r="AG694" s="417"/>
      <c r="AH694" s="417"/>
      <c r="AI694" s="417"/>
      <c r="AJ694" s="417"/>
      <c r="AK694" s="417"/>
      <c r="AL694" s="417"/>
      <c r="AN694" s="417"/>
      <c r="AO694" s="437"/>
      <c r="AP694" s="418"/>
      <c r="AQ694" s="419"/>
      <c r="AR694" s="437"/>
      <c r="AS694" s="418"/>
      <c r="AT694" s="421"/>
      <c r="AU694" s="421"/>
      <c r="AV694" s="417">
        <v>12</v>
      </c>
      <c r="AW694" s="417">
        <v>11</v>
      </c>
      <c r="AX694" s="417">
        <v>10</v>
      </c>
      <c r="AY694" s="417">
        <v>9</v>
      </c>
      <c r="AZ694" s="417">
        <v>8</v>
      </c>
      <c r="BA694" s="417">
        <v>7</v>
      </c>
      <c r="BB694" s="417">
        <v>6</v>
      </c>
      <c r="BC694" s="417">
        <v>5</v>
      </c>
      <c r="BD694" s="417">
        <v>4</v>
      </c>
      <c r="BE694" s="417">
        <v>3</v>
      </c>
      <c r="BF694" s="417">
        <v>2</v>
      </c>
      <c r="BG694" s="417">
        <v>1</v>
      </c>
      <c r="BH694" s="417"/>
      <c r="BI694" s="417">
        <v>12</v>
      </c>
      <c r="BJ694" s="417">
        <v>11</v>
      </c>
      <c r="BK694" s="417">
        <v>10</v>
      </c>
      <c r="BL694" s="417">
        <v>9</v>
      </c>
      <c r="BM694" s="417">
        <v>8</v>
      </c>
      <c r="BN694" s="417">
        <v>7</v>
      </c>
      <c r="BO694" s="417">
        <v>6</v>
      </c>
      <c r="BP694" s="417">
        <v>5</v>
      </c>
      <c r="BQ694" s="417">
        <v>4</v>
      </c>
      <c r="BR694" s="417">
        <v>3</v>
      </c>
      <c r="BS694" s="417">
        <v>2</v>
      </c>
      <c r="BT694" s="417">
        <v>1</v>
      </c>
    </row>
    <row r="695" spans="1:72" ht="15" hidden="1" customHeight="1" x14ac:dyDescent="0.25">
      <c r="A695" s="620"/>
      <c r="D695" s="473"/>
      <c r="E695" s="575"/>
      <c r="G695" s="572"/>
      <c r="H695" s="472"/>
      <c r="AO695" s="472"/>
      <c r="AR695" s="472"/>
      <c r="BJ695" s="406"/>
      <c r="BK695" s="406"/>
      <c r="BL695" s="406"/>
      <c r="BM695" s="406"/>
      <c r="BN695" s="406"/>
      <c r="BO695" s="406"/>
      <c r="BP695" s="406"/>
      <c r="BQ695" s="406"/>
      <c r="BR695" s="406"/>
      <c r="BS695" s="406"/>
      <c r="BT695" s="406"/>
    </row>
    <row r="696" spans="1:72" ht="15" hidden="1" x14ac:dyDescent="0.25">
      <c r="BI696" s="606">
        <f>40/(2*100)</f>
        <v>0.2</v>
      </c>
      <c r="BJ696" s="606">
        <f>40/(2*100)</f>
        <v>0.2</v>
      </c>
      <c r="BK696" s="606">
        <f>40/(3*100)</f>
        <v>0.13333333333333333</v>
      </c>
      <c r="BL696" s="606">
        <f>40/(3*100)</f>
        <v>0.13333333333333333</v>
      </c>
      <c r="BM696" s="606">
        <f>40/(3*100)</f>
        <v>0.13333333333333333</v>
      </c>
      <c r="BN696" s="606">
        <f>20/(7*100)</f>
        <v>2.8571428571428571E-2</v>
      </c>
      <c r="BO696" s="606">
        <f t="shared" ref="BO696:BT696" si="631">20/(7*100)</f>
        <v>2.8571428571428571E-2</v>
      </c>
      <c r="BP696" s="606">
        <f t="shared" si="631"/>
        <v>2.8571428571428571E-2</v>
      </c>
      <c r="BQ696" s="606">
        <f t="shared" si="631"/>
        <v>2.8571428571428571E-2</v>
      </c>
      <c r="BR696" s="606">
        <f t="shared" si="631"/>
        <v>2.8571428571428571E-2</v>
      </c>
      <c r="BS696" s="606">
        <f t="shared" si="631"/>
        <v>2.8571428571428571E-2</v>
      </c>
      <c r="BT696" s="606">
        <f t="shared" si="631"/>
        <v>2.8571428571428571E-2</v>
      </c>
    </row>
    <row r="700" spans="1:72" x14ac:dyDescent="0.25">
      <c r="AO700" s="407">
        <f>+AO566+AO681</f>
        <v>11280758.059758347</v>
      </c>
      <c r="AP700" s="473">
        <f>AO702/AO701</f>
        <v>60</v>
      </c>
    </row>
    <row r="701" spans="1:72" x14ac:dyDescent="0.25">
      <c r="AO701" s="651">
        <f>AO700/365</f>
        <v>30906.186465091359</v>
      </c>
    </row>
    <row r="702" spans="1:72" x14ac:dyDescent="0.25">
      <c r="AO702" s="477">
        <f>AO701*60</f>
        <v>1854371.1879054816</v>
      </c>
    </row>
    <row r="704" spans="1:72" x14ac:dyDescent="0.25">
      <c r="AO704" s="477">
        <v>2165000</v>
      </c>
    </row>
    <row r="705" spans="41:41" x14ac:dyDescent="0.25">
      <c r="AO705" s="407">
        <f>AO568</f>
        <v>-356356.84138603322</v>
      </c>
    </row>
    <row r="706" spans="41:41" x14ac:dyDescent="0.25">
      <c r="AO706" s="407">
        <f>AO683</f>
        <v>37151.399341365468</v>
      </c>
    </row>
    <row r="707" spans="41:41" x14ac:dyDescent="0.25">
      <c r="AO707" s="477">
        <f>SUM(AO704:AO706)</f>
        <v>1845794.5579553323</v>
      </c>
    </row>
    <row r="723" spans="2:40" ht="15" hidden="1" x14ac:dyDescent="0.25">
      <c r="B723" s="607" t="s">
        <v>1096</v>
      </c>
    </row>
    <row r="724" spans="2:40" ht="15" hidden="1" x14ac:dyDescent="0.25">
      <c r="B724" s="605" t="s">
        <v>1097</v>
      </c>
      <c r="C724" s="538"/>
      <c r="D724" s="417"/>
      <c r="E724" s="417"/>
      <c r="F724" s="418"/>
      <c r="G724" s="421"/>
      <c r="H724" s="429"/>
      <c r="I724" s="418"/>
      <c r="J724" s="421"/>
      <c r="K724" s="421"/>
      <c r="L724" s="417"/>
      <c r="M724" s="417"/>
      <c r="N724" s="417"/>
      <c r="O724" s="417"/>
      <c r="P724" s="417"/>
      <c r="Q724" s="417"/>
      <c r="R724" s="417"/>
      <c r="S724" s="417"/>
      <c r="T724" s="417"/>
      <c r="U724" s="417"/>
      <c r="V724" s="417"/>
      <c r="W724" s="417"/>
      <c r="X724" s="417"/>
      <c r="Y724" s="417"/>
      <c r="Z724" s="417"/>
      <c r="AA724" s="417"/>
      <c r="AB724" s="417"/>
      <c r="AC724" s="417"/>
      <c r="AD724" s="417"/>
      <c r="AE724" s="417"/>
      <c r="AF724" s="417"/>
      <c r="AG724" s="417"/>
      <c r="AH724" s="417"/>
      <c r="AI724" s="417"/>
      <c r="AJ724" s="417"/>
      <c r="AK724" s="417"/>
      <c r="AL724" s="417"/>
      <c r="AM724" s="588"/>
      <c r="AN724" s="608">
        <v>187000</v>
      </c>
    </row>
    <row r="725" spans="2:40" ht="15" hidden="1" x14ac:dyDescent="0.25">
      <c r="B725" s="605" t="s">
        <v>1098</v>
      </c>
      <c r="C725" s="538"/>
      <c r="D725" s="417"/>
      <c r="E725" s="417"/>
      <c r="F725" s="418"/>
      <c r="G725" s="421"/>
      <c r="H725" s="429"/>
      <c r="I725" s="418"/>
      <c r="J725" s="421"/>
      <c r="K725" s="421"/>
      <c r="L725" s="417"/>
      <c r="M725" s="417"/>
      <c r="N725" s="417"/>
      <c r="O725" s="417"/>
      <c r="P725" s="417"/>
      <c r="Q725" s="417"/>
      <c r="R725" s="417"/>
      <c r="S725" s="417"/>
      <c r="T725" s="417"/>
      <c r="U725" s="417"/>
      <c r="V725" s="417"/>
      <c r="W725" s="417"/>
      <c r="X725" s="417"/>
      <c r="Y725" s="417"/>
      <c r="Z725" s="417"/>
      <c r="AA725" s="417"/>
      <c r="AB725" s="417"/>
      <c r="AC725" s="417"/>
      <c r="AD725" s="417"/>
      <c r="AE725" s="417"/>
      <c r="AF725" s="417"/>
      <c r="AG725" s="417"/>
      <c r="AH725" s="417"/>
      <c r="AI725" s="417"/>
      <c r="AJ725" s="417"/>
      <c r="AK725" s="417"/>
      <c r="AL725" s="417"/>
      <c r="AM725" s="588"/>
      <c r="AN725" s="432">
        <f>+($AN$55-$AN$50)*0.03-$AN$724</f>
        <v>122324.43859999994</v>
      </c>
    </row>
    <row r="726" spans="2:40" ht="15" hidden="1" x14ac:dyDescent="0.25">
      <c r="B726" s="588"/>
      <c r="C726" s="538"/>
      <c r="D726" s="417"/>
      <c r="E726" s="417"/>
      <c r="F726" s="418"/>
      <c r="G726" s="421"/>
      <c r="H726" s="429"/>
      <c r="I726" s="418"/>
      <c r="J726" s="421"/>
      <c r="K726" s="421"/>
      <c r="L726" s="417"/>
      <c r="M726" s="417"/>
      <c r="N726" s="417"/>
      <c r="O726" s="417"/>
      <c r="P726" s="417"/>
      <c r="Q726" s="417"/>
      <c r="R726" s="417"/>
      <c r="S726" s="417"/>
      <c r="T726" s="417"/>
      <c r="U726" s="417"/>
      <c r="V726" s="417"/>
      <c r="W726" s="417"/>
      <c r="X726" s="417"/>
      <c r="Y726" s="417"/>
      <c r="Z726" s="417"/>
      <c r="AA726" s="417"/>
      <c r="AB726" s="417"/>
      <c r="AC726" s="417"/>
      <c r="AD726" s="417"/>
      <c r="AE726" s="417"/>
      <c r="AF726" s="417"/>
      <c r="AG726" s="417"/>
      <c r="AH726" s="417"/>
      <c r="AI726" s="417"/>
      <c r="AJ726" s="417"/>
      <c r="AK726" s="417"/>
      <c r="AL726" s="417"/>
      <c r="AM726" s="588"/>
      <c r="AN726" s="608"/>
    </row>
    <row r="727" spans="2:40" ht="15" hidden="1" x14ac:dyDescent="0.25">
      <c r="B727" s="605" t="s">
        <v>1099</v>
      </c>
      <c r="C727" s="538"/>
      <c r="D727" s="417"/>
      <c r="E727" s="417"/>
      <c r="F727" s="418"/>
      <c r="G727" s="421"/>
      <c r="H727" s="429"/>
      <c r="I727" s="418"/>
      <c r="J727" s="421"/>
      <c r="K727" s="421"/>
      <c r="L727" s="417"/>
      <c r="M727" s="417"/>
      <c r="N727" s="417"/>
      <c r="O727" s="417"/>
      <c r="P727" s="417"/>
      <c r="Q727" s="417"/>
      <c r="R727" s="417"/>
      <c r="S727" s="417"/>
      <c r="T727" s="417"/>
      <c r="U727" s="417"/>
      <c r="V727" s="417"/>
      <c r="W727" s="417"/>
      <c r="X727" s="417"/>
      <c r="Y727" s="417"/>
      <c r="Z727" s="417"/>
      <c r="AA727" s="417"/>
      <c r="AB727" s="417"/>
      <c r="AC727" s="417"/>
      <c r="AD727" s="417"/>
      <c r="AE727" s="417"/>
      <c r="AF727" s="417"/>
      <c r="AG727" s="417"/>
      <c r="AH727" s="417"/>
      <c r="AI727" s="417"/>
      <c r="AJ727" s="417"/>
      <c r="AK727" s="417"/>
      <c r="AL727" s="417"/>
      <c r="AM727" s="588"/>
      <c r="AN727" s="608">
        <f>+AN724+AN725</f>
        <v>309324.43859999994</v>
      </c>
    </row>
    <row r="728" spans="2:40" ht="15" hidden="1" x14ac:dyDescent="0.25">
      <c r="B728" s="588"/>
      <c r="C728" s="538"/>
      <c r="D728" s="417"/>
      <c r="E728" s="417"/>
      <c r="F728" s="418"/>
      <c r="G728" s="421"/>
      <c r="H728" s="429"/>
      <c r="I728" s="418"/>
      <c r="J728" s="421"/>
      <c r="K728" s="421"/>
      <c r="L728" s="417"/>
      <c r="M728" s="417"/>
      <c r="N728" s="417"/>
      <c r="O728" s="417"/>
      <c r="P728" s="417"/>
      <c r="Q728" s="417"/>
      <c r="R728" s="417"/>
      <c r="S728" s="417"/>
      <c r="T728" s="417"/>
      <c r="U728" s="417"/>
      <c r="V728" s="417"/>
      <c r="W728" s="417"/>
      <c r="X728" s="417"/>
      <c r="Y728" s="417"/>
      <c r="Z728" s="417"/>
      <c r="AA728" s="417"/>
      <c r="AB728" s="417"/>
      <c r="AC728" s="417"/>
      <c r="AD728" s="417"/>
      <c r="AE728" s="417"/>
      <c r="AF728" s="417"/>
      <c r="AG728" s="417"/>
      <c r="AH728" s="417"/>
      <c r="AI728" s="417"/>
      <c r="AJ728" s="417"/>
      <c r="AK728" s="417"/>
      <c r="AL728" s="417"/>
      <c r="AM728" s="588"/>
      <c r="AN728" s="417"/>
    </row>
    <row r="729" spans="2:40" ht="15" hidden="1" x14ac:dyDescent="0.25">
      <c r="B729" s="605" t="s">
        <v>1100</v>
      </c>
      <c r="C729" s="538"/>
      <c r="D729" s="417"/>
      <c r="E729" s="417"/>
      <c r="F729" s="418"/>
      <c r="G729" s="421"/>
      <c r="H729" s="429"/>
      <c r="I729" s="418"/>
      <c r="J729" s="421"/>
      <c r="K729" s="421"/>
      <c r="L729" s="417"/>
      <c r="M729" s="417"/>
      <c r="N729" s="417"/>
      <c r="O729" s="417"/>
      <c r="P729" s="417"/>
      <c r="Q729" s="417"/>
      <c r="R729" s="417"/>
      <c r="S729" s="417"/>
      <c r="T729" s="417"/>
      <c r="U729" s="417"/>
      <c r="V729" s="417"/>
      <c r="W729" s="417"/>
      <c r="X729" s="417"/>
      <c r="Y729" s="417"/>
      <c r="Z729" s="417"/>
      <c r="AA729" s="417"/>
      <c r="AB729" s="417"/>
      <c r="AC729" s="417"/>
      <c r="AD729" s="417"/>
      <c r="AE729" s="417"/>
      <c r="AF729" s="417"/>
      <c r="AG729" s="417"/>
      <c r="AH729" s="417"/>
      <c r="AI729" s="417"/>
      <c r="AJ729" s="417"/>
      <c r="AK729" s="417"/>
      <c r="AL729" s="417"/>
      <c r="AM729" s="588"/>
      <c r="AN729" s="608">
        <f>+($AO$55-$AO$50)*0.03</f>
        <v>321474.20164080797</v>
      </c>
    </row>
    <row r="730" spans="2:40" ht="15" hidden="1" x14ac:dyDescent="0.25">
      <c r="B730" s="588"/>
      <c r="C730" s="538"/>
      <c r="D730" s="417"/>
      <c r="E730" s="417"/>
      <c r="F730" s="418"/>
      <c r="G730" s="421"/>
      <c r="H730" s="429"/>
      <c r="I730" s="418"/>
      <c r="J730" s="421"/>
      <c r="K730" s="421"/>
      <c r="L730" s="417"/>
      <c r="M730" s="417"/>
      <c r="N730" s="417"/>
      <c r="O730" s="417"/>
      <c r="P730" s="417"/>
      <c r="Q730" s="417"/>
      <c r="R730" s="417"/>
      <c r="S730" s="417"/>
      <c r="T730" s="417"/>
      <c r="U730" s="417"/>
      <c r="V730" s="417"/>
      <c r="W730" s="417"/>
      <c r="X730" s="417"/>
      <c r="Y730" s="417"/>
      <c r="Z730" s="417"/>
      <c r="AA730" s="417"/>
      <c r="AB730" s="417"/>
      <c r="AC730" s="417"/>
      <c r="AD730" s="417"/>
      <c r="AE730" s="417"/>
      <c r="AF730" s="417"/>
      <c r="AG730" s="417"/>
      <c r="AH730" s="417"/>
      <c r="AI730" s="417"/>
      <c r="AJ730" s="417"/>
      <c r="AK730" s="417"/>
      <c r="AL730" s="417"/>
      <c r="AM730" s="588"/>
      <c r="AN730" s="417"/>
    </row>
    <row r="731" spans="2:40" ht="15" hidden="1" x14ac:dyDescent="0.25">
      <c r="B731" s="605" t="s">
        <v>1101</v>
      </c>
      <c r="C731" s="538"/>
      <c r="D731" s="417"/>
      <c r="E731" s="417"/>
      <c r="F731" s="418"/>
      <c r="G731" s="421"/>
      <c r="H731" s="429"/>
      <c r="I731" s="418"/>
      <c r="J731" s="421"/>
      <c r="K731" s="421"/>
      <c r="L731" s="417"/>
      <c r="M731" s="417"/>
      <c r="N731" s="417"/>
      <c r="O731" s="417"/>
      <c r="P731" s="417"/>
      <c r="Q731" s="417"/>
      <c r="R731" s="417"/>
      <c r="S731" s="417"/>
      <c r="T731" s="417"/>
      <c r="U731" s="417"/>
      <c r="V731" s="417"/>
      <c r="W731" s="417"/>
      <c r="X731" s="417"/>
      <c r="Y731" s="417"/>
      <c r="Z731" s="417"/>
      <c r="AA731" s="417"/>
      <c r="AB731" s="417"/>
      <c r="AC731" s="417"/>
      <c r="AD731" s="417"/>
      <c r="AE731" s="417"/>
      <c r="AF731" s="417"/>
      <c r="AG731" s="417"/>
      <c r="AH731" s="417"/>
      <c r="AI731" s="417"/>
      <c r="AJ731" s="417"/>
      <c r="AK731" s="417"/>
      <c r="AL731" s="417"/>
      <c r="AM731" s="588"/>
      <c r="AN731" s="418">
        <f>+AN729-AN727</f>
        <v>12149.763040808029</v>
      </c>
    </row>
  </sheetData>
  <mergeCells count="16">
    <mergeCell ref="BU1:BU3"/>
    <mergeCell ref="AP2:AQ2"/>
    <mergeCell ref="K1:K3"/>
    <mergeCell ref="Z1:Z3"/>
    <mergeCell ref="AM1:AM3"/>
    <mergeCell ref="AU1:AU3"/>
    <mergeCell ref="BH1:BH3"/>
    <mergeCell ref="A568:B568"/>
    <mergeCell ref="A570:B570"/>
    <mergeCell ref="A572:B572"/>
    <mergeCell ref="AS5:AT5"/>
    <mergeCell ref="F20:G20"/>
    <mergeCell ref="I20:J20"/>
    <mergeCell ref="AP20:AQ20"/>
    <mergeCell ref="AS20:AT20"/>
    <mergeCell ref="A566:B566"/>
  </mergeCells>
  <printOptions horizontalCentered="1"/>
  <pageMargins left="0.25" right="0.25" top="0.5" bottom="0.5" header="0.25" footer="0.25"/>
  <pageSetup scale="48" fitToHeight="0" orientation="landscape" r:id="rId1"/>
  <headerFooter alignWithMargins="0">
    <oddFooter>&amp;CPage &amp;P of &amp;N&amp;R&amp;F</oddFooter>
  </headerFooter>
  <rowBreaks count="2" manualBreakCount="2">
    <brk id="56" max="71" man="1"/>
    <brk id="573" max="71"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28"/>
  <sheetViews>
    <sheetView workbookViewId="0">
      <selection activeCell="A40" sqref="A40"/>
    </sheetView>
  </sheetViews>
  <sheetFormatPr defaultRowHeight="15" x14ac:dyDescent="0.25"/>
  <cols>
    <col min="1" max="1" width="27.5703125" customWidth="1"/>
    <col min="2" max="3" width="6.5703125" customWidth="1"/>
    <col min="4" max="4" width="30.28515625" customWidth="1"/>
    <col min="5" max="5" width="26.28515625" customWidth="1"/>
    <col min="6" max="6" width="15.42578125" customWidth="1"/>
  </cols>
  <sheetData>
    <row r="1" spans="1:6" ht="15.75" x14ac:dyDescent="0.25">
      <c r="A1" s="735" t="s">
        <v>0</v>
      </c>
      <c r="B1" s="735"/>
      <c r="C1" s="735"/>
      <c r="D1" s="736"/>
      <c r="E1" s="737"/>
    </row>
    <row r="2" spans="1:6" x14ac:dyDescent="0.25">
      <c r="A2" s="738" t="s">
        <v>1734</v>
      </c>
      <c r="B2" s="738"/>
      <c r="C2" s="738"/>
      <c r="D2" s="736"/>
      <c r="E2" s="737"/>
    </row>
    <row r="3" spans="1:6" x14ac:dyDescent="0.25">
      <c r="A3" s="739" t="s">
        <v>1738</v>
      </c>
      <c r="B3" s="739"/>
      <c r="C3" s="739"/>
      <c r="D3" s="736"/>
      <c r="E3" s="737"/>
    </row>
    <row r="4" spans="1:6" x14ac:dyDescent="0.25">
      <c r="A4" s="740"/>
      <c r="B4" s="740"/>
      <c r="C4" s="740"/>
      <c r="D4" s="741"/>
      <c r="E4" s="742" t="s">
        <v>1739</v>
      </c>
    </row>
    <row r="5" spans="1:6" x14ac:dyDescent="0.25">
      <c r="A5" s="743" t="s">
        <v>1735</v>
      </c>
      <c r="B5" s="743" t="s">
        <v>1458</v>
      </c>
      <c r="C5" s="743" t="s">
        <v>1740</v>
      </c>
      <c r="D5" s="743" t="s">
        <v>1736</v>
      </c>
      <c r="E5" s="744" t="s">
        <v>1737</v>
      </c>
    </row>
    <row r="6" spans="1:6" x14ac:dyDescent="0.25">
      <c r="A6" s="733" t="s">
        <v>1528</v>
      </c>
      <c r="B6" s="745" t="s">
        <v>1741</v>
      </c>
      <c r="C6" s="733">
        <v>1</v>
      </c>
      <c r="D6" s="733" t="str">
        <f>VLOOKUP(A6,'[7]Account Summary - '!C:D,2,0)</f>
        <v>Fund Balance - Tabor Reserve</v>
      </c>
      <c r="E6" s="746">
        <v>-310000</v>
      </c>
      <c r="F6" s="809" t="s">
        <v>1746</v>
      </c>
    </row>
    <row r="7" spans="1:6" x14ac:dyDescent="0.25">
      <c r="A7" s="733" t="s">
        <v>1529</v>
      </c>
      <c r="B7" s="745" t="s">
        <v>1741</v>
      </c>
      <c r="C7" s="733">
        <v>1</v>
      </c>
      <c r="D7" s="733" t="str">
        <f>VLOOKUP(A7,'[7]Account Summary - '!C:D,2,0)</f>
        <v>Fund Balance - Reserved</v>
      </c>
      <c r="E7" s="746">
        <v>-241982.97</v>
      </c>
      <c r="F7" s="809"/>
    </row>
    <row r="8" spans="1:6" x14ac:dyDescent="0.25">
      <c r="A8" s="733" t="s">
        <v>1530</v>
      </c>
      <c r="B8" s="745" t="s">
        <v>1741</v>
      </c>
      <c r="C8" s="733">
        <v>1</v>
      </c>
      <c r="D8" s="733" t="str">
        <f>VLOOKUP(A8,'[7]Account Summary - '!C:D,2,0)</f>
        <v>Fund Balance - Unreserved</v>
      </c>
      <c r="E8" s="746">
        <v>-1621470.27</v>
      </c>
      <c r="F8" s="809"/>
    </row>
    <row r="9" spans="1:6" x14ac:dyDescent="0.25">
      <c r="A9" s="733" t="s">
        <v>1531</v>
      </c>
      <c r="B9" s="745" t="s">
        <v>1741</v>
      </c>
      <c r="C9" s="733">
        <v>1</v>
      </c>
      <c r="D9" s="733" t="str">
        <f>VLOOKUP(A9,'[7]Account Summary - '!C:D,2,0)</f>
        <v>Due to Other Funds</v>
      </c>
      <c r="E9" s="747">
        <v>-136427.08000000002</v>
      </c>
    </row>
    <row r="10" spans="1:6" x14ac:dyDescent="0.25">
      <c r="A10" s="733" t="s">
        <v>1532</v>
      </c>
      <c r="B10" s="745" t="s">
        <v>1741</v>
      </c>
      <c r="C10" s="733">
        <v>1</v>
      </c>
      <c r="D10" s="733" t="str">
        <f>VLOOKUP(A10,'[7]Account Summary - '!C:D,2,0)</f>
        <v>Accounts Payable</v>
      </c>
      <c r="E10" s="747">
        <v>-34418.650000000023</v>
      </c>
    </row>
    <row r="11" spans="1:6" x14ac:dyDescent="0.25">
      <c r="A11" s="733" t="s">
        <v>1533</v>
      </c>
      <c r="B11" s="745" t="s">
        <v>1741</v>
      </c>
      <c r="C11" s="733">
        <v>1</v>
      </c>
      <c r="D11" s="733" t="str">
        <f>VLOOKUP(A11,'[7]Account Summary - '!C:D,2,0)</f>
        <v>Accrued Payroll &amp; Benefits</v>
      </c>
      <c r="E11" s="747">
        <v>-126896.80000000028</v>
      </c>
    </row>
    <row r="12" spans="1:6" x14ac:dyDescent="0.25">
      <c r="A12" s="733" t="s">
        <v>1534</v>
      </c>
      <c r="B12" s="745" t="s">
        <v>1741</v>
      </c>
      <c r="C12" s="733">
        <v>1</v>
      </c>
      <c r="D12" s="733" t="str">
        <f>VLOOKUP(A12,'[7]Account Summary - '!C:D,2,0)</f>
        <v>Accrued Expenses</v>
      </c>
      <c r="E12" s="747">
        <v>15580.809999999958</v>
      </c>
    </row>
    <row r="13" spans="1:6" x14ac:dyDescent="0.25">
      <c r="A13" s="733" t="s">
        <v>1535</v>
      </c>
      <c r="B13" s="745" t="s">
        <v>1741</v>
      </c>
      <c r="C13" s="733">
        <v>1</v>
      </c>
      <c r="D13" s="733" t="str">
        <f>VLOOKUP(A13,'[7]Account Summary - '!C:D,2,0)</f>
        <v>Payroll Deductions &amp; Withholdings</v>
      </c>
      <c r="E13" s="747">
        <v>-109975.84999999987</v>
      </c>
    </row>
    <row r="14" spans="1:6" x14ac:dyDescent="0.25">
      <c r="A14" s="733" t="s">
        <v>1645</v>
      </c>
      <c r="B14" s="745" t="s">
        <v>1741</v>
      </c>
      <c r="C14" s="733">
        <v>1</v>
      </c>
      <c r="D14" s="733" t="s">
        <v>1747</v>
      </c>
      <c r="E14" s="747">
        <v>2453090.8699999996</v>
      </c>
    </row>
    <row r="15" spans="1:6" x14ac:dyDescent="0.25">
      <c r="A15" s="733" t="s">
        <v>1646</v>
      </c>
      <c r="B15" s="745" t="s">
        <v>1741</v>
      </c>
      <c r="C15" s="733">
        <v>1</v>
      </c>
      <c r="D15" s="733" t="s">
        <v>1748</v>
      </c>
      <c r="E15" s="747">
        <v>10585.970000000169</v>
      </c>
    </row>
    <row r="16" spans="1:6" x14ac:dyDescent="0.25">
      <c r="A16" s="733" t="s">
        <v>1647</v>
      </c>
      <c r="B16" s="745" t="s">
        <v>1741</v>
      </c>
      <c r="C16" s="733">
        <v>1</v>
      </c>
      <c r="D16" s="733" t="s">
        <v>1749</v>
      </c>
      <c r="E16" s="747">
        <v>55.350000000000364</v>
      </c>
    </row>
    <row r="17" spans="1:7" x14ac:dyDescent="0.25">
      <c r="A17" s="733" t="s">
        <v>1536</v>
      </c>
      <c r="B17" s="745" t="s">
        <v>1741</v>
      </c>
      <c r="C17" s="733">
        <v>1</v>
      </c>
      <c r="D17" s="733" t="str">
        <f>VLOOKUP(A17,'[7]Account Summary - '!C:D,2,0)</f>
        <v>State Bank - Petty Cash</v>
      </c>
      <c r="E17" s="747">
        <v>685.02</v>
      </c>
    </row>
    <row r="18" spans="1:7" x14ac:dyDescent="0.25">
      <c r="A18" s="733" t="s">
        <v>1537</v>
      </c>
      <c r="B18" s="745" t="s">
        <v>1741</v>
      </c>
      <c r="C18" s="733">
        <v>1</v>
      </c>
      <c r="D18" s="733" t="str">
        <f>VLOOKUP(A18,'[7]Account Summary - '!C:D,2,0)</f>
        <v>Due from Other Funds</v>
      </c>
      <c r="E18" s="747">
        <v>762293.22</v>
      </c>
    </row>
    <row r="19" spans="1:7" x14ac:dyDescent="0.25">
      <c r="A19" s="733" t="s">
        <v>1538</v>
      </c>
      <c r="B19" s="745" t="s">
        <v>1741</v>
      </c>
      <c r="C19" s="733">
        <v>1</v>
      </c>
      <c r="D19" s="733" t="str">
        <f>VLOOKUP(A19,'[7]Account Summary - '!C:D,2,0)</f>
        <v>Accounts Receivable</v>
      </c>
      <c r="E19" s="747">
        <v>357289.33</v>
      </c>
    </row>
    <row r="20" spans="1:7" x14ac:dyDescent="0.25">
      <c r="A20" s="733" t="s">
        <v>1539</v>
      </c>
      <c r="B20" s="745" t="s">
        <v>1741</v>
      </c>
      <c r="C20" s="733">
        <v>1</v>
      </c>
      <c r="D20" s="733" t="str">
        <f>VLOOKUP(A20,'[7]Account Summary - '!C:D,2,0)</f>
        <v>Prepaid Expenditures</v>
      </c>
      <c r="E20" s="747">
        <v>28116.59</v>
      </c>
    </row>
    <row r="21" spans="1:7" x14ac:dyDescent="0.25">
      <c r="A21" s="733"/>
      <c r="B21" s="745"/>
      <c r="C21" s="733"/>
      <c r="D21" s="733"/>
      <c r="E21" s="734"/>
    </row>
    <row r="22" spans="1:7" x14ac:dyDescent="0.25">
      <c r="A22" s="733" t="s">
        <v>1520</v>
      </c>
      <c r="B22" s="745" t="s">
        <v>1741</v>
      </c>
      <c r="C22" s="733">
        <v>2</v>
      </c>
      <c r="D22" s="733" t="str">
        <f>VLOOKUP(A22,'[7]Account Summary - '!C:D,2,0)</f>
        <v>Investment Interest Earnings</v>
      </c>
      <c r="E22" s="734">
        <v>-116.57</v>
      </c>
    </row>
    <row r="23" spans="1:7" x14ac:dyDescent="0.25">
      <c r="A23" s="733" t="s">
        <v>1521</v>
      </c>
      <c r="B23" s="745" t="s">
        <v>1741</v>
      </c>
      <c r="C23" s="733">
        <v>2</v>
      </c>
      <c r="D23" s="733" t="str">
        <f>VLOOKUP(A23,'[7]Account Summary - '!C:D,2,0)</f>
        <v>Fees</v>
      </c>
      <c r="E23" s="734">
        <v>-35901.1</v>
      </c>
    </row>
    <row r="24" spans="1:7" x14ac:dyDescent="0.25">
      <c r="A24" s="733" t="s">
        <v>1522</v>
      </c>
      <c r="B24" s="745" t="s">
        <v>1741</v>
      </c>
      <c r="C24" s="733">
        <v>2</v>
      </c>
      <c r="D24" s="733" t="str">
        <f>VLOOKUP(A24,'[7]Account Summary - '!C:D,2,0)</f>
        <v>Fees- Athletics</v>
      </c>
      <c r="E24" s="734">
        <v>-14257.75</v>
      </c>
    </row>
    <row r="25" spans="1:7" x14ac:dyDescent="0.25">
      <c r="A25" s="733" t="s">
        <v>1523</v>
      </c>
      <c r="B25" s="745" t="s">
        <v>1741</v>
      </c>
      <c r="C25" s="733">
        <v>2</v>
      </c>
      <c r="D25" s="733" t="str">
        <f>VLOOKUP(A25,'[7]Account Summary - '!C:D,2,0)</f>
        <v>OASIS Tuition</v>
      </c>
      <c r="E25" s="734">
        <v>-5394.27</v>
      </c>
    </row>
    <row r="26" spans="1:7" x14ac:dyDescent="0.25">
      <c r="A26" s="733" t="s">
        <v>1524</v>
      </c>
      <c r="B26" s="745" t="s">
        <v>1741</v>
      </c>
      <c r="C26" s="733">
        <v>2</v>
      </c>
      <c r="D26" s="733" t="str">
        <f>VLOOKUP(A26,'[7]Account Summary - '!C:D,2,0)</f>
        <v>Rental of Facilities</v>
      </c>
      <c r="E26" s="734">
        <v>-21054.02</v>
      </c>
    </row>
    <row r="27" spans="1:7" x14ac:dyDescent="0.25">
      <c r="A27" s="733" t="s">
        <v>1525</v>
      </c>
      <c r="B27" s="745" t="s">
        <v>1741</v>
      </c>
      <c r="C27" s="733">
        <v>2</v>
      </c>
      <c r="D27" s="733" t="str">
        <f>VLOOKUP(A27,'[7]Account Summary - '!C:D,2,0)</f>
        <v>Fundraising</v>
      </c>
      <c r="E27" s="734">
        <v>-45050.53</v>
      </c>
    </row>
    <row r="28" spans="1:7" x14ac:dyDescent="0.25">
      <c r="A28" s="733" t="s">
        <v>1526</v>
      </c>
      <c r="B28" s="745" t="s">
        <v>1741</v>
      </c>
      <c r="C28" s="733">
        <v>2</v>
      </c>
      <c r="D28" s="733" t="str">
        <f>VLOOKUP(A28,'[7]Account Summary - '!C:D,2,0)</f>
        <v>Capital Construction Funding</v>
      </c>
      <c r="E28" s="734">
        <v>-65653.78</v>
      </c>
    </row>
    <row r="29" spans="1:7" x14ac:dyDescent="0.25">
      <c r="A29" s="733" t="s">
        <v>1527</v>
      </c>
      <c r="B29" s="745" t="s">
        <v>1741</v>
      </c>
      <c r="C29" s="733">
        <v>2</v>
      </c>
      <c r="D29" s="733" t="str">
        <f>VLOOKUP(A29,'[7]Account Summary - '!C:D,2,0)</f>
        <v>District PPOR</v>
      </c>
      <c r="E29" s="734">
        <v>-1710222.8</v>
      </c>
    </row>
    <row r="30" spans="1:7" x14ac:dyDescent="0.25">
      <c r="A30" s="733"/>
      <c r="B30" s="745"/>
      <c r="C30" s="733"/>
      <c r="D30" s="733"/>
      <c r="E30" s="734"/>
      <c r="F30" s="752">
        <f>SUM(E22:E29)</f>
        <v>-1897650.82</v>
      </c>
      <c r="G30" s="752">
        <f>+F30+'Rev-Exp 12.31.18'!C55</f>
        <v>4294879.49</v>
      </c>
    </row>
    <row r="31" spans="1:7" x14ac:dyDescent="0.25">
      <c r="A31" s="733"/>
      <c r="B31" s="745"/>
      <c r="C31" s="733"/>
      <c r="D31" s="733"/>
      <c r="E31" s="734"/>
    </row>
    <row r="32" spans="1:7" x14ac:dyDescent="0.25">
      <c r="A32" s="733" t="s">
        <v>1540</v>
      </c>
      <c r="B32" s="745" t="s">
        <v>1741</v>
      </c>
      <c r="C32" s="733">
        <v>2</v>
      </c>
      <c r="D32" s="733" t="str">
        <f>VLOOKUP(A32,'[7]Account Summary - '!C:D,2,0)</f>
        <v>ELEMENTARY TEACHER</v>
      </c>
      <c r="E32" s="734">
        <v>121080.08</v>
      </c>
    </row>
    <row r="33" spans="1:5" x14ac:dyDescent="0.25">
      <c r="A33" s="733" t="s">
        <v>1541</v>
      </c>
      <c r="B33" s="745" t="s">
        <v>1741</v>
      </c>
      <c r="C33" s="733">
        <v>2</v>
      </c>
      <c r="D33" s="733" t="str">
        <f>VLOOKUP(A33,'[7]Account Summary - '!C:D,2,0)</f>
        <v>ELEMENTARY TEACHER ASST</v>
      </c>
      <c r="E33" s="734">
        <v>16604.02</v>
      </c>
    </row>
    <row r="34" spans="1:5" x14ac:dyDescent="0.25">
      <c r="A34" s="733" t="s">
        <v>1542</v>
      </c>
      <c r="B34" s="745" t="s">
        <v>1741</v>
      </c>
      <c r="C34" s="733">
        <v>2</v>
      </c>
      <c r="D34" s="733" t="str">
        <f>VLOOKUP(A34,'[7]Account Summary - '!C:D,2,0)</f>
        <v>ELEMENTARY SUBSTITUTES</v>
      </c>
      <c r="E34" s="734">
        <v>4888.6400000000003</v>
      </c>
    </row>
    <row r="35" spans="1:5" x14ac:dyDescent="0.25">
      <c r="A35" s="733" t="s">
        <v>1543</v>
      </c>
      <c r="B35" s="745" t="s">
        <v>1741</v>
      </c>
      <c r="C35" s="733">
        <v>2</v>
      </c>
      <c r="D35" s="733" t="str">
        <f>VLOOKUP(A35,'[7]Account Summary - '!C:D,2,0)</f>
        <v>Bonuses</v>
      </c>
      <c r="E35" s="734">
        <v>1600</v>
      </c>
    </row>
    <row r="36" spans="1:5" x14ac:dyDescent="0.25">
      <c r="A36" s="733" t="s">
        <v>1544</v>
      </c>
      <c r="B36" s="745" t="s">
        <v>1741</v>
      </c>
      <c r="C36" s="733">
        <v>2</v>
      </c>
      <c r="D36" s="733" t="str">
        <f>VLOOKUP(A36,'[7]Account Summary - '!C:D,2,0)</f>
        <v>MED/FICA ELEMENTARY TEACHER</v>
      </c>
      <c r="E36" s="734">
        <v>10044.869999999999</v>
      </c>
    </row>
    <row r="37" spans="1:5" x14ac:dyDescent="0.25">
      <c r="A37" s="733" t="s">
        <v>1545</v>
      </c>
      <c r="B37" s="745" t="s">
        <v>1741</v>
      </c>
      <c r="C37" s="733">
        <v>2</v>
      </c>
      <c r="D37" s="733" t="str">
        <f>VLOOKUP(A37,'[7]Account Summary - '!C:D,2,0)</f>
        <v>MED/FICA SUBSTITUTES</v>
      </c>
      <c r="E37" s="734">
        <v>411.24</v>
      </c>
    </row>
    <row r="38" spans="1:5" x14ac:dyDescent="0.25">
      <c r="A38" s="733" t="s">
        <v>1546</v>
      </c>
      <c r="B38" s="745" t="s">
        <v>1741</v>
      </c>
      <c r="C38" s="733">
        <v>2</v>
      </c>
      <c r="D38" s="733" t="str">
        <f>VLOOKUP(A38,'[7]Account Summary - '!C:D,2,0)</f>
        <v>MED/FICA ELE TEACHER ASST</v>
      </c>
      <c r="E38" s="734">
        <v>1376.62</v>
      </c>
    </row>
    <row r="39" spans="1:5" x14ac:dyDescent="0.25">
      <c r="A39" s="733" t="s">
        <v>1547</v>
      </c>
      <c r="B39" s="745" t="s">
        <v>1741</v>
      </c>
      <c r="C39" s="733">
        <v>2</v>
      </c>
      <c r="D39" s="733" t="str">
        <f>VLOOKUP(A39,'[7]Account Summary - '!C:D,2,0)</f>
        <v>HEALTH INS. ELE TEACHERS</v>
      </c>
      <c r="E39" s="734">
        <v>9739.27</v>
      </c>
    </row>
    <row r="40" spans="1:5" x14ac:dyDescent="0.25">
      <c r="A40" s="733" t="s">
        <v>1548</v>
      </c>
      <c r="B40" s="745" t="s">
        <v>1741</v>
      </c>
      <c r="C40" s="733">
        <v>2</v>
      </c>
      <c r="D40" s="733" t="str">
        <f>VLOOKUP(A40,'[7]Account Summary - '!C:D,2,0)</f>
        <v>HEALTH INS. ELE TEACHER ASSTS</v>
      </c>
      <c r="E40" s="734">
        <v>1976.6100000000001</v>
      </c>
    </row>
    <row r="41" spans="1:5" x14ac:dyDescent="0.25">
      <c r="A41" s="733" t="s">
        <v>1549</v>
      </c>
      <c r="B41" s="745" t="s">
        <v>1741</v>
      </c>
      <c r="C41" s="733">
        <v>2</v>
      </c>
      <c r="D41" s="733" t="str">
        <f>VLOOKUP(A41,'[7]Account Summary - '!C:D,2,0)</f>
        <v>401k ELE TEACHERS</v>
      </c>
      <c r="E41" s="734">
        <v>2113.7600000000002</v>
      </c>
    </row>
    <row r="42" spans="1:5" x14ac:dyDescent="0.25">
      <c r="A42" s="733" t="s">
        <v>1550</v>
      </c>
      <c r="B42" s="745" t="s">
        <v>1741</v>
      </c>
      <c r="C42" s="733">
        <v>2</v>
      </c>
      <c r="D42" s="733" t="str">
        <f>VLOOKUP(A42,'[7]Account Summary - '!C:D,2,0)</f>
        <v>401K SUBSTITUTES</v>
      </c>
      <c r="E42" s="734">
        <v>107.45</v>
      </c>
    </row>
    <row r="43" spans="1:5" x14ac:dyDescent="0.25">
      <c r="A43" s="733" t="s">
        <v>1551</v>
      </c>
      <c r="B43" s="745" t="s">
        <v>1741</v>
      </c>
      <c r="C43" s="733">
        <v>2</v>
      </c>
      <c r="D43" s="733" t="str">
        <f>VLOOKUP(A43,'[7]Account Summary - '!C:D,2,0)</f>
        <v>401k ELE TEACHER ASSTS</v>
      </c>
      <c r="E43" s="734">
        <v>267.18</v>
      </c>
    </row>
    <row r="44" spans="1:5" x14ac:dyDescent="0.25">
      <c r="A44" s="733" t="s">
        <v>1552</v>
      </c>
      <c r="B44" s="745" t="s">
        <v>1741</v>
      </c>
      <c r="C44" s="733">
        <v>2</v>
      </c>
      <c r="D44" s="733" t="str">
        <f>VLOOKUP(A44,'[7]Account Summary - '!C:D,2,0)</f>
        <v>ELEMENTARY TEACHING SUPPLIES</v>
      </c>
      <c r="E44" s="734">
        <v>15695.17</v>
      </c>
    </row>
    <row r="45" spans="1:5" x14ac:dyDescent="0.25">
      <c r="A45" s="733" t="s">
        <v>1553</v>
      </c>
      <c r="B45" s="745" t="s">
        <v>1741</v>
      </c>
      <c r="C45" s="733">
        <v>2</v>
      </c>
      <c r="D45" s="733" t="str">
        <f>VLOOKUP(A45,'[7]Account Summary - '!C:D,2,0)</f>
        <v>Non-capital equipment</v>
      </c>
      <c r="E45" s="734">
        <v>497.68</v>
      </c>
    </row>
    <row r="46" spans="1:5" x14ac:dyDescent="0.25">
      <c r="A46" s="733" t="s">
        <v>1554</v>
      </c>
      <c r="B46" s="745" t="s">
        <v>1741</v>
      </c>
      <c r="C46" s="733">
        <v>2</v>
      </c>
      <c r="D46" s="733" t="str">
        <f>VLOOKUP(A46,'[7]Account Summary - '!C:D,2,0)</f>
        <v>SPECIALS TEACHERS</v>
      </c>
      <c r="E46" s="734">
        <v>3862.5</v>
      </c>
    </row>
    <row r="47" spans="1:5" x14ac:dyDescent="0.25">
      <c r="A47" s="733" t="s">
        <v>1555</v>
      </c>
      <c r="B47" s="745" t="s">
        <v>1741</v>
      </c>
      <c r="C47" s="733">
        <v>2</v>
      </c>
      <c r="D47" s="733" t="str">
        <f>VLOOKUP(A47,'[7]Account Summary - '!C:D,2,0)</f>
        <v>Other Puchased Services</v>
      </c>
      <c r="E47" s="734">
        <v>5642.31</v>
      </c>
    </row>
    <row r="48" spans="1:5" x14ac:dyDescent="0.25">
      <c r="A48" s="733" t="s">
        <v>1556</v>
      </c>
      <c r="B48" s="745" t="s">
        <v>1741</v>
      </c>
      <c r="C48" s="733">
        <v>2</v>
      </c>
      <c r="D48" s="733" t="str">
        <f>VLOOKUP(A48,'[7]Account Summary - '!C:D,2,0)</f>
        <v>MED/FICA SPECIALS TEACHERS</v>
      </c>
      <c r="E48" s="734">
        <v>289.64999999999998</v>
      </c>
    </row>
    <row r="49" spans="1:5" x14ac:dyDescent="0.25">
      <c r="A49" s="733" t="s">
        <v>1557</v>
      </c>
      <c r="B49" s="745" t="s">
        <v>1741</v>
      </c>
      <c r="C49" s="733">
        <v>2</v>
      </c>
      <c r="D49" s="733" t="str">
        <f>VLOOKUP(A49,'[7]Account Summary - '!C:D,2,0)</f>
        <v>MED/FICA OTHER PURCHASED SERVICES</v>
      </c>
      <c r="E49" s="734">
        <v>422.32</v>
      </c>
    </row>
    <row r="50" spans="1:5" x14ac:dyDescent="0.25">
      <c r="A50" s="733" t="s">
        <v>1558</v>
      </c>
      <c r="B50" s="745" t="s">
        <v>1741</v>
      </c>
      <c r="C50" s="733">
        <v>2</v>
      </c>
      <c r="D50" s="733" t="str">
        <f>VLOOKUP(A50,'[7]Account Summary - '!C:D,2,0)</f>
        <v>HEALTH INS. SPECIALS TEACHERS</v>
      </c>
      <c r="E50" s="734">
        <v>365.04999999999984</v>
      </c>
    </row>
    <row r="51" spans="1:5" x14ac:dyDescent="0.25">
      <c r="A51" s="733" t="s">
        <v>1559</v>
      </c>
      <c r="B51" s="745" t="s">
        <v>1741</v>
      </c>
      <c r="C51" s="733">
        <v>2</v>
      </c>
      <c r="D51" s="733" t="str">
        <f>VLOOKUP(A51,'[7]Account Summary - '!C:D,2,0)</f>
        <v>ASSESSMENTS</v>
      </c>
      <c r="E51" s="734">
        <v>31676.2</v>
      </c>
    </row>
    <row r="52" spans="1:5" x14ac:dyDescent="0.25">
      <c r="A52" s="733" t="s">
        <v>1560</v>
      </c>
      <c r="B52" s="745" t="s">
        <v>1741</v>
      </c>
      <c r="C52" s="733">
        <v>2</v>
      </c>
      <c r="D52" s="733" t="str">
        <f>VLOOKUP(A52,'[7]Account Summary - '!C:D,2,0)</f>
        <v>GENERAL INSTRUCTIONAL SUPPLIES</v>
      </c>
      <c r="E52" s="734">
        <v>3187.88</v>
      </c>
    </row>
    <row r="53" spans="1:5" x14ac:dyDescent="0.25">
      <c r="A53" s="733" t="s">
        <v>1561</v>
      </c>
      <c r="B53" s="745" t="s">
        <v>1741</v>
      </c>
      <c r="C53" s="733">
        <v>2</v>
      </c>
      <c r="D53" s="733" t="str">
        <f>VLOOKUP(A53,'[7]Account Summary - '!C:D,2,0)</f>
        <v>Elem. Art Teacher Salaries</v>
      </c>
      <c r="E53" s="734">
        <v>6437.38</v>
      </c>
    </row>
    <row r="54" spans="1:5" x14ac:dyDescent="0.25">
      <c r="A54" s="733" t="s">
        <v>1562</v>
      </c>
      <c r="B54" s="745" t="s">
        <v>1741</v>
      </c>
      <c r="C54" s="733">
        <v>2</v>
      </c>
      <c r="D54" s="733" t="str">
        <f>VLOOKUP(A54,'[7]Account Summary - '!C:D,2,0)</f>
        <v>FICA/Med Elem. Art Teacher</v>
      </c>
      <c r="E54" s="734">
        <v>563.22</v>
      </c>
    </row>
    <row r="55" spans="1:5" x14ac:dyDescent="0.25">
      <c r="A55" s="733" t="s">
        <v>1563</v>
      </c>
      <c r="B55" s="745" t="s">
        <v>1741</v>
      </c>
      <c r="C55" s="733">
        <v>2</v>
      </c>
      <c r="D55" s="733" t="str">
        <f>VLOOKUP(A55,'[7]Account Summary - '!C:D,2,0)</f>
        <v>Health - Art Teacher</v>
      </c>
      <c r="E55" s="734">
        <v>505.78000000000009</v>
      </c>
    </row>
    <row r="56" spans="1:5" x14ac:dyDescent="0.25">
      <c r="A56" s="733" t="s">
        <v>1564</v>
      </c>
      <c r="B56" s="745" t="s">
        <v>1741</v>
      </c>
      <c r="C56" s="733">
        <v>2</v>
      </c>
      <c r="D56" s="733" t="str">
        <f>VLOOKUP(A56,'[7]Account Summary - '!C:D,2,0)</f>
        <v>401K Elem. Art Teacher</v>
      </c>
      <c r="E56" s="734">
        <v>130.56</v>
      </c>
    </row>
    <row r="57" spans="1:5" x14ac:dyDescent="0.25">
      <c r="A57" s="733" t="s">
        <v>1565</v>
      </c>
      <c r="B57" s="745" t="s">
        <v>1741</v>
      </c>
      <c r="C57" s="733">
        <v>2</v>
      </c>
      <c r="D57" s="733" t="str">
        <f>VLOOKUP(A57,'[7]Account Summary - '!C:D,2,0)</f>
        <v>Reading Inventionist</v>
      </c>
      <c r="E57" s="734">
        <v>2156.52</v>
      </c>
    </row>
    <row r="58" spans="1:5" x14ac:dyDescent="0.25">
      <c r="A58" s="733" t="s">
        <v>1566</v>
      </c>
      <c r="B58" s="745" t="s">
        <v>1741</v>
      </c>
      <c r="C58" s="733">
        <v>2</v>
      </c>
      <c r="D58" s="733" t="str">
        <f>VLOOKUP(A58,'[7]Account Summary - '!C:D,2,0)</f>
        <v>FICA/Med Reading Inventionist</v>
      </c>
      <c r="E58" s="734">
        <v>201.62</v>
      </c>
    </row>
    <row r="59" spans="1:5" x14ac:dyDescent="0.25">
      <c r="A59" s="733" t="s">
        <v>1567</v>
      </c>
      <c r="B59" s="745" t="s">
        <v>1741</v>
      </c>
      <c r="C59" s="733">
        <v>2</v>
      </c>
      <c r="D59" s="733" t="str">
        <f>VLOOKUP(A59,'[7]Account Summary - '!C:D,2,0)</f>
        <v>Foreign Language Teacher Salary</v>
      </c>
      <c r="E59" s="734">
        <v>9825.64</v>
      </c>
    </row>
    <row r="60" spans="1:5" x14ac:dyDescent="0.25">
      <c r="A60" s="733" t="s">
        <v>1568</v>
      </c>
      <c r="B60" s="745" t="s">
        <v>1741</v>
      </c>
      <c r="C60" s="733">
        <v>2</v>
      </c>
      <c r="D60" s="733" t="str">
        <f>VLOOKUP(A60,'[7]Account Summary - '!C:D,2,0)</f>
        <v>FICA/Med Foreign Language Teacher</v>
      </c>
      <c r="E60" s="734">
        <v>1199.8699999999999</v>
      </c>
    </row>
    <row r="61" spans="1:5" x14ac:dyDescent="0.25">
      <c r="A61" s="733" t="s">
        <v>1569</v>
      </c>
      <c r="B61" s="745" t="s">
        <v>1741</v>
      </c>
      <c r="C61" s="733">
        <v>2</v>
      </c>
      <c r="D61" s="733" t="str">
        <f>VLOOKUP(A61,'[7]Account Summary - '!C:D,2,0)</f>
        <v>Health - Foreign Language</v>
      </c>
      <c r="E61" s="734">
        <v>2000.2399999999998</v>
      </c>
    </row>
    <row r="62" spans="1:5" x14ac:dyDescent="0.25">
      <c r="A62" s="733" t="s">
        <v>1570</v>
      </c>
      <c r="B62" s="745" t="s">
        <v>1741</v>
      </c>
      <c r="C62" s="733">
        <v>2</v>
      </c>
      <c r="D62" s="733" t="str">
        <f>VLOOKUP(A62,'[7]Account Summary - '!C:D,2,0)</f>
        <v>401k Foreign Language Teacher</v>
      </c>
      <c r="E62" s="734">
        <v>294.54000000000002</v>
      </c>
    </row>
    <row r="63" spans="1:5" x14ac:dyDescent="0.25">
      <c r="A63" s="733" t="s">
        <v>1571</v>
      </c>
      <c r="B63" s="745" t="s">
        <v>1741</v>
      </c>
      <c r="C63" s="733">
        <v>2</v>
      </c>
      <c r="D63" s="733" t="str">
        <f>VLOOKUP(A63,'[7]Account Summary - '!C:D,2,0)</f>
        <v>INSTRUCTIONAL SUPPLIES- TITLE IV</v>
      </c>
      <c r="E63" s="734">
        <v>3218.76</v>
      </c>
    </row>
    <row r="64" spans="1:5" x14ac:dyDescent="0.25">
      <c r="A64" s="733" t="s">
        <v>1572</v>
      </c>
      <c r="B64" s="745" t="s">
        <v>1741</v>
      </c>
      <c r="C64" s="733">
        <v>2</v>
      </c>
      <c r="D64" s="733" t="str">
        <f>VLOOKUP(A64,'[7]Account Summary - '!C:D,2,0)</f>
        <v>FICA/Med Elem. Music Teacher</v>
      </c>
      <c r="E64" s="734">
        <v>229.96</v>
      </c>
    </row>
    <row r="65" spans="1:5" x14ac:dyDescent="0.25">
      <c r="A65" s="733" t="s">
        <v>1573</v>
      </c>
      <c r="B65" s="745" t="s">
        <v>1741</v>
      </c>
      <c r="C65" s="733">
        <v>2</v>
      </c>
      <c r="D65" s="733" t="str">
        <f>VLOOKUP(A65,'[7]Account Summary - '!C:D,2,0)</f>
        <v>Health Insurance - Music Teacher</v>
      </c>
      <c r="E65" s="734">
        <v>1174.1299999999999</v>
      </c>
    </row>
    <row r="66" spans="1:5" x14ac:dyDescent="0.25">
      <c r="A66" s="733" t="s">
        <v>1574</v>
      </c>
      <c r="B66" s="745" t="s">
        <v>1741</v>
      </c>
      <c r="C66" s="733">
        <v>2</v>
      </c>
      <c r="D66" s="733" t="str">
        <f>VLOOKUP(A66,'[7]Account Summary - '!C:D,2,0)</f>
        <v>401k Elem. Music Teacher</v>
      </c>
      <c r="E66" s="734">
        <v>128.75</v>
      </c>
    </row>
    <row r="67" spans="1:5" x14ac:dyDescent="0.25">
      <c r="A67" s="733" t="s">
        <v>1575</v>
      </c>
      <c r="B67" s="745" t="s">
        <v>1741</v>
      </c>
      <c r="C67" s="733">
        <v>2</v>
      </c>
      <c r="D67" s="733" t="str">
        <f>VLOOKUP(A67,'[7]Account Summary - '!C:D,2,0)</f>
        <v>SPECIAL EDUCATION SVCS</v>
      </c>
      <c r="E67" s="734">
        <v>132457.60000000001</v>
      </c>
    </row>
    <row r="68" spans="1:5" x14ac:dyDescent="0.25">
      <c r="A68" s="733" t="s">
        <v>1576</v>
      </c>
      <c r="B68" s="745" t="s">
        <v>1741</v>
      </c>
      <c r="C68" s="733">
        <v>2</v>
      </c>
      <c r="D68" s="733" t="str">
        <f>VLOOKUP(A68,'[7]Account Summary - '!C:D,2,0)</f>
        <v>Athletic Entrance fees</v>
      </c>
      <c r="E68" s="734">
        <v>1500</v>
      </c>
    </row>
    <row r="69" spans="1:5" x14ac:dyDescent="0.25">
      <c r="A69" s="733" t="s">
        <v>1577</v>
      </c>
      <c r="B69" s="745" t="s">
        <v>1741</v>
      </c>
      <c r="C69" s="733">
        <v>2</v>
      </c>
      <c r="D69" s="733" t="str">
        <f>VLOOKUP(A69,'[7]Account Summary - '!C:D,2,0)</f>
        <v>Salaries Counselor</v>
      </c>
      <c r="E69" s="734">
        <v>6524.8200000000006</v>
      </c>
    </row>
    <row r="70" spans="1:5" x14ac:dyDescent="0.25">
      <c r="A70" s="733" t="s">
        <v>1578</v>
      </c>
      <c r="B70" s="745" t="s">
        <v>1741</v>
      </c>
      <c r="C70" s="733">
        <v>2</v>
      </c>
      <c r="D70" s="733" t="str">
        <f>VLOOKUP(A70,'[7]Account Summary - '!C:D,2,0)</f>
        <v>Salaries - Registrar</v>
      </c>
      <c r="E70" s="734">
        <v>5333.87</v>
      </c>
    </row>
    <row r="71" spans="1:5" x14ac:dyDescent="0.25">
      <c r="A71" s="733" t="s">
        <v>1579</v>
      </c>
      <c r="B71" s="745" t="s">
        <v>1741</v>
      </c>
      <c r="C71" s="733">
        <v>2</v>
      </c>
      <c r="D71" s="733" t="str">
        <f>VLOOKUP(A71,'[7]Account Summary - '!C:D,2,0)</f>
        <v>SS/Med Counselor</v>
      </c>
      <c r="E71" s="734">
        <v>470.02</v>
      </c>
    </row>
    <row r="72" spans="1:5" x14ac:dyDescent="0.25">
      <c r="A72" s="733" t="s">
        <v>1580</v>
      </c>
      <c r="B72" s="745" t="s">
        <v>1741</v>
      </c>
      <c r="C72" s="733">
        <v>2</v>
      </c>
      <c r="D72" s="733" t="str">
        <f>VLOOKUP(A72,'[7]Account Summary - '!C:D,2,0)</f>
        <v>FICA/Med Registrar</v>
      </c>
      <c r="E72" s="734">
        <v>311.36</v>
      </c>
    </row>
    <row r="73" spans="1:5" x14ac:dyDescent="0.25">
      <c r="A73" s="733" t="s">
        <v>1581</v>
      </c>
      <c r="B73" s="745" t="s">
        <v>1741</v>
      </c>
      <c r="C73" s="733">
        <v>2</v>
      </c>
      <c r="D73" s="733" t="str">
        <f>VLOOKUP(A73,'[7]Account Summary - '!C:D,2,0)</f>
        <v>Health Insurance - Counselor</v>
      </c>
      <c r="E73" s="734">
        <v>4362.7999999999993</v>
      </c>
    </row>
    <row r="74" spans="1:5" x14ac:dyDescent="0.25">
      <c r="A74" s="733" t="s">
        <v>1582</v>
      </c>
      <c r="B74" s="745" t="s">
        <v>1741</v>
      </c>
      <c r="C74" s="733">
        <v>2</v>
      </c>
      <c r="D74" s="733" t="str">
        <f>VLOOKUP(A74,'[7]Account Summary - '!C:D,2,0)</f>
        <v>Health Insurance - Registrar</v>
      </c>
      <c r="E74" s="734">
        <v>-1502.64</v>
      </c>
    </row>
    <row r="75" spans="1:5" x14ac:dyDescent="0.25">
      <c r="A75" s="733" t="s">
        <v>1583</v>
      </c>
      <c r="B75" s="745" t="s">
        <v>1741</v>
      </c>
      <c r="C75" s="733">
        <v>2</v>
      </c>
      <c r="D75" s="733" t="str">
        <f>VLOOKUP(A75,'[7]Account Summary - '!C:D,2,0)</f>
        <v>401k Counselor</v>
      </c>
      <c r="E75" s="734">
        <v>261</v>
      </c>
    </row>
    <row r="76" spans="1:5" x14ac:dyDescent="0.25">
      <c r="A76" s="733" t="s">
        <v>1584</v>
      </c>
      <c r="B76" s="745" t="s">
        <v>1741</v>
      </c>
      <c r="C76" s="733">
        <v>2</v>
      </c>
      <c r="D76" s="733" t="str">
        <f>VLOOKUP(A76,'[7]Account Summary - '!C:D,2,0)</f>
        <v>401k Registrar</v>
      </c>
      <c r="E76" s="734">
        <v>213.36</v>
      </c>
    </row>
    <row r="77" spans="1:5" x14ac:dyDescent="0.25">
      <c r="A77" s="733" t="s">
        <v>1585</v>
      </c>
      <c r="B77" s="745" t="s">
        <v>1741</v>
      </c>
      <c r="C77" s="733">
        <v>2</v>
      </c>
      <c r="D77" s="733" t="str">
        <f>VLOOKUP(A77,'[7]Account Summary - '!C:D,2,0)</f>
        <v>LITERACY/MATH COACH</v>
      </c>
      <c r="E77" s="734">
        <v>3750.0000000000005</v>
      </c>
    </row>
    <row r="78" spans="1:5" x14ac:dyDescent="0.25">
      <c r="A78" s="733" t="s">
        <v>1586</v>
      </c>
      <c r="B78" s="745" t="s">
        <v>1741</v>
      </c>
      <c r="C78" s="733">
        <v>2</v>
      </c>
      <c r="D78" s="733" t="str">
        <f>VLOOKUP(A78,'[7]Account Summary - '!C:D,2,0)</f>
        <v>MED/FICA LITERACY/MATH COACH</v>
      </c>
      <c r="E78" s="734">
        <v>379.98</v>
      </c>
    </row>
    <row r="79" spans="1:5" x14ac:dyDescent="0.25">
      <c r="A79" s="733" t="s">
        <v>1587</v>
      </c>
      <c r="B79" s="745" t="s">
        <v>1741</v>
      </c>
      <c r="C79" s="733">
        <v>2</v>
      </c>
      <c r="D79" s="733" t="str">
        <f>VLOOKUP(A79,'[7]Account Summary - '!C:D,2,0)</f>
        <v>HEALTH INS. LITERACY/MATH COACH</v>
      </c>
      <c r="E79" s="734">
        <v>1076.68</v>
      </c>
    </row>
    <row r="80" spans="1:5" x14ac:dyDescent="0.25">
      <c r="A80" s="733" t="s">
        <v>1588</v>
      </c>
      <c r="B80" s="745" t="s">
        <v>1741</v>
      </c>
      <c r="C80" s="733">
        <v>2</v>
      </c>
      <c r="D80" s="733" t="str">
        <f>VLOOKUP(A80,'[7]Account Summary - '!C:D,2,0)</f>
        <v>HEALTH, MEDICAL,SAFETY SUPPLIES</v>
      </c>
      <c r="E80" s="734">
        <v>799.89</v>
      </c>
    </row>
    <row r="81" spans="1:5" x14ac:dyDescent="0.25">
      <c r="A81" s="733" t="s">
        <v>1589</v>
      </c>
      <c r="B81" s="745" t="s">
        <v>1741</v>
      </c>
      <c r="C81" s="733">
        <v>2</v>
      </c>
      <c r="D81" s="733" t="str">
        <f>VLOOKUP(A81,'[7]Account Summary - '!C:D,2,0)</f>
        <v>PROFESSIONAL INST. MGMT</v>
      </c>
      <c r="E81" s="734">
        <v>79245.87</v>
      </c>
    </row>
    <row r="82" spans="1:5" x14ac:dyDescent="0.25">
      <c r="A82" s="733" t="s">
        <v>1590</v>
      </c>
      <c r="B82" s="745" t="s">
        <v>1741</v>
      </c>
      <c r="C82" s="733">
        <v>2</v>
      </c>
      <c r="D82" s="733" t="str">
        <f>VLOOKUP(A82,'[7]Account Summary - '!C:D,2,0)</f>
        <v>LEGAL SERVICES</v>
      </c>
      <c r="E82" s="734">
        <v>3553.2</v>
      </c>
    </row>
    <row r="83" spans="1:5" x14ac:dyDescent="0.25">
      <c r="A83" s="733" t="s">
        <v>1591</v>
      </c>
      <c r="B83" s="745" t="s">
        <v>1741</v>
      </c>
      <c r="C83" s="733">
        <v>2</v>
      </c>
      <c r="D83" s="733" t="str">
        <f>VLOOKUP(A83,'[7]Account Summary - '!C:D,2,0)</f>
        <v>PROFESSIONAL MGMT. SERVICES</v>
      </c>
      <c r="E83" s="734">
        <v>79245.86</v>
      </c>
    </row>
    <row r="84" spans="1:5" x14ac:dyDescent="0.25">
      <c r="A84" s="733" t="s">
        <v>1592</v>
      </c>
      <c r="B84" s="745" t="s">
        <v>1741</v>
      </c>
      <c r="C84" s="733">
        <v>2</v>
      </c>
      <c r="D84" s="733" t="str">
        <f>VLOOKUP(A84,'[7]Account Summary - '!C:D,2,0)</f>
        <v>Salaries - Superintendent</v>
      </c>
      <c r="E84" s="734">
        <v>15532.720000000001</v>
      </c>
    </row>
    <row r="85" spans="1:5" x14ac:dyDescent="0.25">
      <c r="A85" s="733" t="s">
        <v>1593</v>
      </c>
      <c r="B85" s="745" t="s">
        <v>1741</v>
      </c>
      <c r="C85" s="733">
        <v>2</v>
      </c>
      <c r="D85" s="733" t="str">
        <f>VLOOKUP(A85,'[7]Account Summary - '!C:D,2,0)</f>
        <v>Special Projects Coordinator</v>
      </c>
      <c r="E85" s="734">
        <v>14776.93</v>
      </c>
    </row>
    <row r="86" spans="1:5" x14ac:dyDescent="0.25">
      <c r="A86" s="733" t="s">
        <v>1594</v>
      </c>
      <c r="B86" s="745" t="s">
        <v>1741</v>
      </c>
      <c r="C86" s="733">
        <v>2</v>
      </c>
      <c r="D86" s="733" t="str">
        <f>VLOOKUP(A86,'[7]Account Summary - '!C:D,2,0)</f>
        <v>FICA - Superintendent</v>
      </c>
      <c r="E86" s="734">
        <v>1072.08</v>
      </c>
    </row>
    <row r="87" spans="1:5" x14ac:dyDescent="0.25">
      <c r="A87" s="733" t="s">
        <v>1595</v>
      </c>
      <c r="B87" s="745" t="s">
        <v>1741</v>
      </c>
      <c r="C87" s="733">
        <v>2</v>
      </c>
      <c r="D87" s="733" t="str">
        <f>VLOOKUP(A87,'[7]Account Summary - '!C:D,2,0)</f>
        <v>Employer FICA/UTA</v>
      </c>
      <c r="E87" s="734">
        <v>1048.69</v>
      </c>
    </row>
    <row r="88" spans="1:5" x14ac:dyDescent="0.25">
      <c r="A88" s="733" t="s">
        <v>1596</v>
      </c>
      <c r="B88" s="745" t="s">
        <v>1741</v>
      </c>
      <c r="C88" s="733">
        <v>2</v>
      </c>
      <c r="D88" s="733" t="str">
        <f>VLOOKUP(A88,'[7]Account Summary - '!C:D,2,0)</f>
        <v>Health Svcs - Head of School</v>
      </c>
      <c r="E88" s="734">
        <v>3353.3100000000004</v>
      </c>
    </row>
    <row r="89" spans="1:5" x14ac:dyDescent="0.25">
      <c r="A89" s="733" t="s">
        <v>1597</v>
      </c>
      <c r="B89" s="745" t="s">
        <v>1741</v>
      </c>
      <c r="C89" s="733">
        <v>2</v>
      </c>
      <c r="D89" s="733" t="str">
        <f>VLOOKUP(A89,'[7]Account Summary - '!C:D,2,0)</f>
        <v>401k Superintendent</v>
      </c>
      <c r="E89" s="734">
        <v>621.31000000000006</v>
      </c>
    </row>
    <row r="90" spans="1:5" x14ac:dyDescent="0.25">
      <c r="A90" s="733" t="s">
        <v>1598</v>
      </c>
      <c r="B90" s="745" t="s">
        <v>1741</v>
      </c>
      <c r="C90" s="733">
        <v>2</v>
      </c>
      <c r="D90" s="733" t="str">
        <f>VLOOKUP(A90,'[7]Account Summary - '!C:D,2,0)</f>
        <v>401K Contributions - SPC</v>
      </c>
      <c r="E90" s="734">
        <v>591.05999999999995</v>
      </c>
    </row>
    <row r="91" spans="1:5" x14ac:dyDescent="0.25">
      <c r="A91" s="733" t="s">
        <v>1599</v>
      </c>
      <c r="B91" s="745" t="s">
        <v>1741</v>
      </c>
      <c r="C91" s="733">
        <v>2</v>
      </c>
      <c r="D91" s="733" t="str">
        <f>VLOOKUP(A91,'[7]Account Summary - '!C:D,2,0)</f>
        <v>PRINCIPAL</v>
      </c>
      <c r="E91" s="734">
        <v>14580.77</v>
      </c>
    </row>
    <row r="92" spans="1:5" x14ac:dyDescent="0.25">
      <c r="A92" s="733" t="s">
        <v>1600</v>
      </c>
      <c r="B92" s="745" t="s">
        <v>1741</v>
      </c>
      <c r="C92" s="733">
        <v>2</v>
      </c>
      <c r="D92" s="733" t="str">
        <f>VLOOKUP(A92,'[7]Account Summary - '!C:D,2,0)</f>
        <v>ASSISTANT PRINCIPAL</v>
      </c>
      <c r="E92" s="734">
        <v>11500</v>
      </c>
    </row>
    <row r="93" spans="1:5" x14ac:dyDescent="0.25">
      <c r="A93" s="733" t="s">
        <v>1601</v>
      </c>
      <c r="B93" s="745" t="s">
        <v>1741</v>
      </c>
      <c r="C93" s="733">
        <v>2</v>
      </c>
      <c r="D93" s="733" t="str">
        <f>VLOOKUP(A93,'[7]Account Summary - '!C:D,2,0)</f>
        <v>SUPPORT STAFF</v>
      </c>
      <c r="E93" s="734">
        <v>10200.84</v>
      </c>
    </row>
    <row r="94" spans="1:5" x14ac:dyDescent="0.25">
      <c r="A94" s="733" t="s">
        <v>1602</v>
      </c>
      <c r="B94" s="745" t="s">
        <v>1741</v>
      </c>
      <c r="C94" s="733">
        <v>2</v>
      </c>
      <c r="D94" s="733" t="str">
        <f>VLOOKUP(A94,'[7]Account Summary - '!C:D,2,0)</f>
        <v>MED/FICA PRINCIPAL</v>
      </c>
      <c r="E94" s="734">
        <v>1053.44</v>
      </c>
    </row>
    <row r="95" spans="1:5" x14ac:dyDescent="0.25">
      <c r="A95" s="733" t="s">
        <v>1603</v>
      </c>
      <c r="B95" s="745" t="s">
        <v>1741</v>
      </c>
      <c r="C95" s="733">
        <v>2</v>
      </c>
      <c r="D95" s="733" t="str">
        <f>VLOOKUP(A95,'[7]Account Summary - '!C:D,2,0)</f>
        <v>MED/FICA ASSIST. PRINCIPAL</v>
      </c>
      <c r="E95" s="734">
        <v>817.76</v>
      </c>
    </row>
    <row r="96" spans="1:5" x14ac:dyDescent="0.25">
      <c r="A96" s="733" t="s">
        <v>1604</v>
      </c>
      <c r="B96" s="745" t="s">
        <v>1741</v>
      </c>
      <c r="C96" s="733">
        <v>2</v>
      </c>
      <c r="D96" s="733" t="str">
        <f>VLOOKUP(A96,'[7]Account Summary - '!C:D,2,0)</f>
        <v>MED/FICA SUPPORT STAFF</v>
      </c>
      <c r="E96" s="734">
        <v>510.65999999999997</v>
      </c>
    </row>
    <row r="97" spans="1:5" x14ac:dyDescent="0.25">
      <c r="A97" s="733" t="s">
        <v>1605</v>
      </c>
      <c r="B97" s="745" t="s">
        <v>1741</v>
      </c>
      <c r="C97" s="733">
        <v>2</v>
      </c>
      <c r="D97" s="733" t="str">
        <f>VLOOKUP(A97,'[7]Account Summary - '!C:D,2,0)</f>
        <v>HEALTH INS. PRINCIPAL</v>
      </c>
      <c r="E97" s="734">
        <v>3683.6999999999994</v>
      </c>
    </row>
    <row r="98" spans="1:5" x14ac:dyDescent="0.25">
      <c r="A98" s="733" t="s">
        <v>1606</v>
      </c>
      <c r="B98" s="745" t="s">
        <v>1741</v>
      </c>
      <c r="C98" s="733">
        <v>2</v>
      </c>
      <c r="D98" s="733" t="str">
        <f>VLOOKUP(A98,'[7]Account Summary - '!C:D,2,0)</f>
        <v>HEALTH INS. ASSIST. PRINCIPAL</v>
      </c>
      <c r="E98" s="734">
        <v>-810.27</v>
      </c>
    </row>
    <row r="99" spans="1:5" x14ac:dyDescent="0.25">
      <c r="A99" s="733" t="s">
        <v>1607</v>
      </c>
      <c r="B99" s="745" t="s">
        <v>1741</v>
      </c>
      <c r="C99" s="733">
        <v>2</v>
      </c>
      <c r="D99" s="733" t="str">
        <f>VLOOKUP(A99,'[7]Account Summary - '!C:D,2,0)</f>
        <v>HEALTH INS. SUPPORT STAFF</v>
      </c>
      <c r="E99" s="734">
        <v>4321.6999999999989</v>
      </c>
    </row>
    <row r="100" spans="1:5" x14ac:dyDescent="0.25">
      <c r="A100" s="733" t="s">
        <v>1608</v>
      </c>
      <c r="B100" s="745" t="s">
        <v>1741</v>
      </c>
      <c r="C100" s="733">
        <v>2</v>
      </c>
      <c r="D100" s="733" t="str">
        <f>VLOOKUP(A100,'[7]Account Summary - '!C:D,2,0)</f>
        <v>401k PRINCIPAL</v>
      </c>
      <c r="E100" s="734">
        <v>583.23</v>
      </c>
    </row>
    <row r="101" spans="1:5" x14ac:dyDescent="0.25">
      <c r="A101" s="733" t="s">
        <v>1609</v>
      </c>
      <c r="B101" s="745" t="s">
        <v>1741</v>
      </c>
      <c r="C101" s="733">
        <v>2</v>
      </c>
      <c r="D101" s="733" t="str">
        <f>VLOOKUP(A101,'[7]Account Summary - '!C:D,2,0)</f>
        <v>401k ASSIST. PRINCIPAL</v>
      </c>
      <c r="E101" s="734">
        <v>460.01</v>
      </c>
    </row>
    <row r="102" spans="1:5" x14ac:dyDescent="0.25">
      <c r="A102" s="733" t="s">
        <v>1610</v>
      </c>
      <c r="B102" s="745" t="s">
        <v>1741</v>
      </c>
      <c r="C102" s="733">
        <v>2</v>
      </c>
      <c r="D102" s="733" t="str">
        <f>VLOOKUP(A102,'[7]Account Summary - '!C:D,2,0)</f>
        <v>POSTAGE</v>
      </c>
      <c r="E102" s="734">
        <v>311.55</v>
      </c>
    </row>
    <row r="103" spans="1:5" x14ac:dyDescent="0.25">
      <c r="A103" s="733" t="s">
        <v>1611</v>
      </c>
      <c r="B103" s="745" t="s">
        <v>1741</v>
      </c>
      <c r="C103" s="733">
        <v>2</v>
      </c>
      <c r="D103" s="733" t="str">
        <f>VLOOKUP(A103,'[7]Account Summary - '!C:D,2,0)</f>
        <v>GENERAL OFFICE SUPPLIES</v>
      </c>
      <c r="E103" s="734">
        <v>227</v>
      </c>
    </row>
    <row r="104" spans="1:5" x14ac:dyDescent="0.25">
      <c r="A104" s="733" t="s">
        <v>1612</v>
      </c>
      <c r="B104" s="745" t="s">
        <v>1741</v>
      </c>
      <c r="C104" s="733">
        <v>2</v>
      </c>
      <c r="D104" s="733" t="str">
        <f>VLOOKUP(A104,'[7]Account Summary - '!C:D,2,0)</f>
        <v>General Supplies - Student Fees</v>
      </c>
      <c r="E104" s="734">
        <v>1247.75</v>
      </c>
    </row>
    <row r="105" spans="1:5" x14ac:dyDescent="0.25">
      <c r="A105" s="733" t="s">
        <v>1613</v>
      </c>
      <c r="B105" s="745" t="s">
        <v>1741</v>
      </c>
      <c r="C105" s="733">
        <v>2</v>
      </c>
      <c r="D105" s="733" t="str">
        <f>VLOOKUP(A105,'[7]Account Summary - '!C:D,2,0)</f>
        <v>MISCELLANEOUS EXPENSE</v>
      </c>
      <c r="E105" s="734">
        <v>2317.13</v>
      </c>
    </row>
    <row r="106" spans="1:5" x14ac:dyDescent="0.25">
      <c r="A106" s="733" t="s">
        <v>1614</v>
      </c>
      <c r="B106" s="745" t="s">
        <v>1741</v>
      </c>
      <c r="C106" s="733">
        <v>2</v>
      </c>
      <c r="D106" s="733" t="str">
        <f>VLOOKUP(A106,'[7]Account Summary - '!C:D,2,0)</f>
        <v>ACCOUNTING DISTRICT FEE</v>
      </c>
      <c r="E106" s="734">
        <v>35917.199999999997</v>
      </c>
    </row>
    <row r="107" spans="1:5" x14ac:dyDescent="0.25">
      <c r="A107" s="733" t="s">
        <v>1615</v>
      </c>
      <c r="B107" s="745" t="s">
        <v>1741</v>
      </c>
      <c r="C107" s="733">
        <v>2</v>
      </c>
      <c r="D107" s="733" t="str">
        <f>VLOOKUP(A107,'[7]Account Summary - '!C:D,2,0)</f>
        <v>Business Manager Salaries</v>
      </c>
      <c r="E107" s="734">
        <v>9151.14</v>
      </c>
    </row>
    <row r="108" spans="1:5" x14ac:dyDescent="0.25">
      <c r="A108" s="733" t="s">
        <v>1616</v>
      </c>
      <c r="B108" s="745" t="s">
        <v>1741</v>
      </c>
      <c r="C108" s="733">
        <v>2</v>
      </c>
      <c r="D108" s="733" t="str">
        <f>VLOOKUP(A108,'[7]Account Summary - '!C:D,2,0)</f>
        <v>FICA/Med Office Manager</v>
      </c>
      <c r="E108" s="734">
        <v>572.19000000000005</v>
      </c>
    </row>
    <row r="109" spans="1:5" x14ac:dyDescent="0.25">
      <c r="A109" s="733" t="s">
        <v>1617</v>
      </c>
      <c r="B109" s="745" t="s">
        <v>1741</v>
      </c>
      <c r="C109" s="733">
        <v>2</v>
      </c>
      <c r="D109" s="733" t="str">
        <f>VLOOKUP(A109,'[7]Account Summary - '!C:D,2,0)</f>
        <v>Health Insurance - Office Manager</v>
      </c>
      <c r="E109" s="734">
        <v>1843.0599999999997</v>
      </c>
    </row>
    <row r="110" spans="1:5" x14ac:dyDescent="0.25">
      <c r="A110" s="733" t="s">
        <v>1618</v>
      </c>
      <c r="B110" s="745" t="s">
        <v>1741</v>
      </c>
      <c r="C110" s="733">
        <v>2</v>
      </c>
      <c r="D110" s="733" t="str">
        <f>VLOOKUP(A110,'[7]Account Summary - '!C:D,2,0)</f>
        <v>401k Business Manager</v>
      </c>
      <c r="E110" s="734">
        <v>366.06000000000006</v>
      </c>
    </row>
    <row r="111" spans="1:5" x14ac:dyDescent="0.25">
      <c r="A111" s="733" t="s">
        <v>1619</v>
      </c>
      <c r="B111" s="745" t="s">
        <v>1741</v>
      </c>
      <c r="C111" s="733">
        <v>2</v>
      </c>
      <c r="D111" s="733" t="str">
        <f>VLOOKUP(A111,'[7]Account Summary - '!C:D,2,0)</f>
        <v>BANKING / PAYING AGENT SERVICE FEES</v>
      </c>
      <c r="E111" s="734">
        <v>24</v>
      </c>
    </row>
    <row r="112" spans="1:5" x14ac:dyDescent="0.25">
      <c r="A112" s="733" t="s">
        <v>1620</v>
      </c>
      <c r="B112" s="745" t="s">
        <v>1741</v>
      </c>
      <c r="C112" s="733">
        <v>2</v>
      </c>
      <c r="D112" s="733" t="str">
        <f>VLOOKUP(A112,'[7]Account Summary - '!C:D,2,0)</f>
        <v>BACKGROUND CHECKS</v>
      </c>
      <c r="E112" s="734">
        <v>-121</v>
      </c>
    </row>
    <row r="113" spans="1:5" x14ac:dyDescent="0.25">
      <c r="A113" s="733" t="s">
        <v>1621</v>
      </c>
      <c r="B113" s="745" t="s">
        <v>1741</v>
      </c>
      <c r="C113" s="733">
        <v>2</v>
      </c>
      <c r="D113" s="733" t="str">
        <f>VLOOKUP(A113,'[7]Account Summary - '!C:D,2,0)</f>
        <v>Professional Payroll Service Fees</v>
      </c>
      <c r="E113" s="734">
        <v>10096.719999999999</v>
      </c>
    </row>
    <row r="114" spans="1:5" x14ac:dyDescent="0.25">
      <c r="A114" s="733" t="s">
        <v>1622</v>
      </c>
      <c r="B114" s="745" t="s">
        <v>1741</v>
      </c>
      <c r="C114" s="733">
        <v>2</v>
      </c>
      <c r="D114" s="733" t="str">
        <f>VLOOKUP(A114,'[7]Account Summary - '!C:D,2,0)</f>
        <v>Custodial Staff</v>
      </c>
      <c r="E114" s="734">
        <v>23408.829999999998</v>
      </c>
    </row>
    <row r="115" spans="1:5" x14ac:dyDescent="0.25">
      <c r="A115" s="733" t="s">
        <v>1623</v>
      </c>
      <c r="B115" s="745" t="s">
        <v>1741</v>
      </c>
      <c r="C115" s="733">
        <v>2</v>
      </c>
      <c r="D115" s="733" t="str">
        <f>VLOOKUP(A115,'[7]Account Summary - '!C:D,2,0)</f>
        <v>MED/FICA CUSTODIAL STAFF</v>
      </c>
      <c r="E115" s="734">
        <v>1770.4899999999998</v>
      </c>
    </row>
    <row r="116" spans="1:5" x14ac:dyDescent="0.25">
      <c r="A116" s="733" t="s">
        <v>1624</v>
      </c>
      <c r="B116" s="745" t="s">
        <v>1741</v>
      </c>
      <c r="C116" s="733">
        <v>2</v>
      </c>
      <c r="D116" s="733" t="str">
        <f>VLOOKUP(A116,'[7]Account Summary - '!C:D,2,0)</f>
        <v>HEALTH INS. CUSTODIAN</v>
      </c>
      <c r="E116" s="734">
        <v>3095.1600000000003</v>
      </c>
    </row>
    <row r="117" spans="1:5" x14ac:dyDescent="0.25">
      <c r="A117" s="733" t="s">
        <v>1625</v>
      </c>
      <c r="B117" s="745" t="s">
        <v>1741</v>
      </c>
      <c r="C117" s="733">
        <v>2</v>
      </c>
      <c r="D117" s="733" t="str">
        <f>VLOOKUP(A117,'[7]Account Summary - '!C:D,2,0)</f>
        <v>401k CUSTODIAL STAFF</v>
      </c>
      <c r="E117" s="734">
        <v>759.47</v>
      </c>
    </row>
    <row r="118" spans="1:5" x14ac:dyDescent="0.25">
      <c r="A118" s="733" t="s">
        <v>1626</v>
      </c>
      <c r="B118" s="745" t="s">
        <v>1741</v>
      </c>
      <c r="C118" s="733">
        <v>2</v>
      </c>
      <c r="D118" s="733" t="str">
        <f>VLOOKUP(A118,'[7]Account Summary - '!C:D,2,0)</f>
        <v>WATER/SEWAGE</v>
      </c>
      <c r="E118" s="734">
        <v>6743.61</v>
      </c>
    </row>
    <row r="119" spans="1:5" x14ac:dyDescent="0.25">
      <c r="A119" s="733" t="s">
        <v>1627</v>
      </c>
      <c r="B119" s="745" t="s">
        <v>1741</v>
      </c>
      <c r="C119" s="733">
        <v>2</v>
      </c>
      <c r="D119" s="733" t="str">
        <f>VLOOKUP(A119,'[7]Account Summary - '!C:D,2,0)</f>
        <v>Lawn Care</v>
      </c>
      <c r="E119" s="734">
        <v>7509.51</v>
      </c>
    </row>
    <row r="120" spans="1:5" x14ac:dyDescent="0.25">
      <c r="A120" s="733" t="s">
        <v>1628</v>
      </c>
      <c r="B120" s="745" t="s">
        <v>1741</v>
      </c>
      <c r="C120" s="733">
        <v>2</v>
      </c>
      <c r="D120" s="733" t="str">
        <f>VLOOKUP(A120,'[7]Account Summary - '!C:D,2,0)</f>
        <v>REPAIRS &amp; MAINTENANCE FACILITY</v>
      </c>
      <c r="E120" s="734">
        <v>9553.0400000000009</v>
      </c>
    </row>
    <row r="121" spans="1:5" x14ac:dyDescent="0.25">
      <c r="A121" s="733" t="s">
        <v>1629</v>
      </c>
      <c r="B121" s="745" t="s">
        <v>1741</v>
      </c>
      <c r="C121" s="733">
        <v>2</v>
      </c>
      <c r="D121" s="733" t="str">
        <f>VLOOKUP(A121,'[7]Account Summary - '!C:D,2,0)</f>
        <v>REP/MAINT. EQUIPMENT</v>
      </c>
      <c r="E121" s="734">
        <v>264</v>
      </c>
    </row>
    <row r="122" spans="1:5" x14ac:dyDescent="0.25">
      <c r="A122" s="733" t="s">
        <v>1630</v>
      </c>
      <c r="B122" s="745" t="s">
        <v>1741</v>
      </c>
      <c r="C122" s="733">
        <v>2</v>
      </c>
      <c r="D122" s="733" t="str">
        <f>VLOOKUP(A122,'[7]Account Summary - '!C:D,2,0)</f>
        <v>FACILITY RENT/BUILDING LEASE</v>
      </c>
      <c r="E122" s="734">
        <v>242110.3</v>
      </c>
    </row>
    <row r="123" spans="1:5" x14ac:dyDescent="0.25">
      <c r="A123" s="733" t="s">
        <v>1631</v>
      </c>
      <c r="B123" s="745" t="s">
        <v>1741</v>
      </c>
      <c r="C123" s="733">
        <v>2</v>
      </c>
      <c r="D123" s="733" t="str">
        <f>VLOOKUP(A123,'[7]Account Summary - '!C:D,2,0)</f>
        <v>Facility Rent/Building Lease Capital Con</v>
      </c>
      <c r="E123" s="734">
        <v>52466.7</v>
      </c>
    </row>
    <row r="124" spans="1:5" x14ac:dyDescent="0.25">
      <c r="A124" s="733" t="s">
        <v>1632</v>
      </c>
      <c r="B124" s="745" t="s">
        <v>1741</v>
      </c>
      <c r="C124" s="733">
        <v>2</v>
      </c>
      <c r="D124" s="733" t="str">
        <f>VLOOKUP(A124,'[7]Account Summary - '!C:D,2,0)</f>
        <v>EQUIPMENT RENTAL - OFFICE</v>
      </c>
      <c r="E124" s="734">
        <v>3478.01</v>
      </c>
    </row>
    <row r="125" spans="1:5" x14ac:dyDescent="0.25">
      <c r="A125" s="733" t="s">
        <v>1633</v>
      </c>
      <c r="B125" s="745" t="s">
        <v>1741</v>
      </c>
      <c r="C125" s="733">
        <v>2</v>
      </c>
      <c r="D125" s="733" t="str">
        <f>VLOOKUP(A125,'[7]Account Summary - '!C:D,2,0)</f>
        <v>TELEPHONE</v>
      </c>
      <c r="E125" s="734">
        <v>1992.4</v>
      </c>
    </row>
    <row r="126" spans="1:5" x14ac:dyDescent="0.25">
      <c r="A126" s="733" t="s">
        <v>1634</v>
      </c>
      <c r="B126" s="745" t="s">
        <v>1741</v>
      </c>
      <c r="C126" s="733">
        <v>2</v>
      </c>
      <c r="D126" s="733" t="str">
        <f>VLOOKUP(A126,'[7]Account Summary - '!C:D,2,0)</f>
        <v>INTERNET ONLINE SERVICE</v>
      </c>
      <c r="E126" s="734">
        <v>1530.7399999999998</v>
      </c>
    </row>
    <row r="127" spans="1:5" x14ac:dyDescent="0.25">
      <c r="A127" s="733" t="s">
        <v>1635</v>
      </c>
      <c r="B127" s="745" t="s">
        <v>1741</v>
      </c>
      <c r="C127" s="733">
        <v>2</v>
      </c>
      <c r="D127" s="733" t="str">
        <f>VLOOKUP(A127,'[7]Account Summary - '!C:D,2,0)</f>
        <v>JANITORIAL SUPPLIES</v>
      </c>
      <c r="E127" s="734">
        <v>2015.24</v>
      </c>
    </row>
    <row r="128" spans="1:5" x14ac:dyDescent="0.25">
      <c r="A128" s="733" t="s">
        <v>1636</v>
      </c>
      <c r="B128" s="745" t="s">
        <v>1741</v>
      </c>
      <c r="C128" s="733">
        <v>2</v>
      </c>
      <c r="D128" s="733" t="str">
        <f>VLOOKUP(A128,'[7]Account Summary - '!C:D,2,0)</f>
        <v>NATURAL GAS / ELECTRICITY</v>
      </c>
      <c r="E128" s="734">
        <v>3893.89</v>
      </c>
    </row>
    <row r="129" spans="1:5" x14ac:dyDescent="0.25">
      <c r="A129" s="733" t="s">
        <v>1637</v>
      </c>
      <c r="B129" s="745" t="s">
        <v>1741</v>
      </c>
      <c r="C129" s="733">
        <v>2</v>
      </c>
      <c r="D129" s="733" t="str">
        <f>VLOOKUP(A129,'[7]Account Summary - '!C:D,2,0)</f>
        <v>Salaries - Security</v>
      </c>
      <c r="E129" s="734">
        <v>1281.49</v>
      </c>
    </row>
    <row r="130" spans="1:5" x14ac:dyDescent="0.25">
      <c r="A130" s="733" t="s">
        <v>1638</v>
      </c>
      <c r="B130" s="745" t="s">
        <v>1741</v>
      </c>
      <c r="C130" s="733">
        <v>2</v>
      </c>
      <c r="D130" s="733" t="str">
        <f>VLOOKUP(A130,'[7]Account Summary - '!C:D,2,0)</f>
        <v>FICA - Security</v>
      </c>
      <c r="E130" s="734">
        <v>127.51</v>
      </c>
    </row>
    <row r="131" spans="1:5" x14ac:dyDescent="0.25">
      <c r="A131" s="733" t="s">
        <v>1639</v>
      </c>
      <c r="B131" s="745" t="s">
        <v>1741</v>
      </c>
      <c r="C131" s="733">
        <v>2</v>
      </c>
      <c r="D131" s="733" t="str">
        <f>VLOOKUP(A131,'[7]Account Summary - '!C:D,2,0)</f>
        <v>Alarm System</v>
      </c>
      <c r="E131" s="734">
        <v>162.38999999999999</v>
      </c>
    </row>
    <row r="132" spans="1:5" x14ac:dyDescent="0.25">
      <c r="A132" s="733" t="s">
        <v>1640</v>
      </c>
      <c r="B132" s="745" t="s">
        <v>1741</v>
      </c>
      <c r="C132" s="733">
        <v>2</v>
      </c>
      <c r="D132" s="733" t="str">
        <f>VLOOKUP(A132,'[7]Account Summary - '!C:D,2,0)</f>
        <v>PROFESSIONAL MARKETING</v>
      </c>
      <c r="E132" s="734">
        <v>1320</v>
      </c>
    </row>
    <row r="133" spans="1:5" x14ac:dyDescent="0.25">
      <c r="A133" s="733" t="s">
        <v>1641</v>
      </c>
      <c r="B133" s="745" t="s">
        <v>1741</v>
      </c>
      <c r="C133" s="733">
        <v>2</v>
      </c>
      <c r="D133" s="733" t="str">
        <f>VLOOKUP(A133,'[7]Account Summary - '!C:D,2,0)</f>
        <v>LIABILITY INSURANCE</v>
      </c>
      <c r="E133" s="734">
        <v>58770</v>
      </c>
    </row>
    <row r="134" spans="1:5" x14ac:dyDescent="0.25">
      <c r="A134" s="733" t="s">
        <v>1642</v>
      </c>
      <c r="B134" s="745" t="s">
        <v>1741</v>
      </c>
      <c r="C134" s="733">
        <v>2</v>
      </c>
      <c r="D134" s="733" t="str">
        <f>VLOOKUP(A134,'[7]Account Summary - '!C:D,2,0)</f>
        <v>FOOD SERVICE STAFF</v>
      </c>
      <c r="E134" s="734">
        <v>3247.2</v>
      </c>
    </row>
    <row r="135" spans="1:5" x14ac:dyDescent="0.25">
      <c r="A135" s="733" t="s">
        <v>1643</v>
      </c>
      <c r="B135" s="745" t="s">
        <v>1741</v>
      </c>
      <c r="C135" s="733">
        <v>2</v>
      </c>
      <c r="D135" s="733" t="str">
        <f>VLOOKUP(A135,'[7]Account Summary - '!C:D,2,0)</f>
        <v>MED/FICA FOOD SVC STAFF</v>
      </c>
      <c r="E135" s="734">
        <v>323.06</v>
      </c>
    </row>
    <row r="136" spans="1:5" x14ac:dyDescent="0.25">
      <c r="A136" s="733" t="s">
        <v>1644</v>
      </c>
      <c r="B136" s="745" t="s">
        <v>1741</v>
      </c>
      <c r="C136" s="733">
        <v>2</v>
      </c>
      <c r="D136" s="733" t="str">
        <f>VLOOKUP(A136,'[7]Account Summary - '!C:D,2,0)</f>
        <v>Site Improvement Services</v>
      </c>
      <c r="E136" s="734">
        <v>46764.01</v>
      </c>
    </row>
    <row r="137" spans="1:5" x14ac:dyDescent="0.25">
      <c r="A137" s="733" t="s">
        <v>1648</v>
      </c>
      <c r="B137" s="745" t="s">
        <v>1741</v>
      </c>
      <c r="C137" s="733">
        <v>2</v>
      </c>
      <c r="D137" s="733" t="str">
        <f>VLOOKUP(A137,'[7]Account Summary - '!C:D,2,0)</f>
        <v>MS TEACHERS</v>
      </c>
      <c r="E137" s="734">
        <v>68110.490000000005</v>
      </c>
    </row>
    <row r="138" spans="1:5" x14ac:dyDescent="0.25">
      <c r="A138" s="733" t="s">
        <v>1649</v>
      </c>
      <c r="B138" s="745" t="s">
        <v>1741</v>
      </c>
      <c r="C138" s="733">
        <v>2</v>
      </c>
      <c r="D138" s="733" t="str">
        <f>VLOOKUP(A138,'[7]Account Summary - '!C:D,2,0)</f>
        <v>Salary Middle School Aide</v>
      </c>
      <c r="E138" s="734">
        <v>2167.2600000000002</v>
      </c>
    </row>
    <row r="139" spans="1:5" x14ac:dyDescent="0.25">
      <c r="A139" s="733" t="s">
        <v>1650</v>
      </c>
      <c r="B139" s="745" t="s">
        <v>1741</v>
      </c>
      <c r="C139" s="733">
        <v>2</v>
      </c>
      <c r="D139" s="733" t="str">
        <f>VLOOKUP(A139,'[7]Account Summary - '!C:D,2,0)</f>
        <v>MED/FICA MS TEACHERS</v>
      </c>
      <c r="E139" s="734">
        <v>5734.41</v>
      </c>
    </row>
    <row r="140" spans="1:5" x14ac:dyDescent="0.25">
      <c r="A140" s="733" t="s">
        <v>1651</v>
      </c>
      <c r="B140" s="745" t="s">
        <v>1741</v>
      </c>
      <c r="C140" s="733">
        <v>2</v>
      </c>
      <c r="D140" s="733" t="str">
        <f>VLOOKUP(A140,'[7]Account Summary - '!C:D,2,0)</f>
        <v>MED/SS Middle School Aide</v>
      </c>
      <c r="E140" s="734">
        <v>216.27</v>
      </c>
    </row>
    <row r="141" spans="1:5" x14ac:dyDescent="0.25">
      <c r="A141" s="733" t="s">
        <v>1652</v>
      </c>
      <c r="B141" s="745" t="s">
        <v>1741</v>
      </c>
      <c r="C141" s="733">
        <v>2</v>
      </c>
      <c r="D141" s="733" t="str">
        <f>VLOOKUP(A141,'[7]Account Summary - '!C:D,2,0)</f>
        <v>HEALTH INS. MS TEACHERS</v>
      </c>
      <c r="E141" s="734">
        <v>4830.2800000000007</v>
      </c>
    </row>
    <row r="142" spans="1:5" x14ac:dyDescent="0.25">
      <c r="A142" s="733" t="s">
        <v>1653</v>
      </c>
      <c r="B142" s="745" t="s">
        <v>1741</v>
      </c>
      <c r="C142" s="733">
        <v>2</v>
      </c>
      <c r="D142" s="733" t="str">
        <f>VLOOKUP(A142,'[7]Account Summary - '!C:D,2,0)</f>
        <v>Health Insurance - Para</v>
      </c>
      <c r="E142" s="734">
        <v>7.7300000000000013</v>
      </c>
    </row>
    <row r="143" spans="1:5" x14ac:dyDescent="0.25">
      <c r="A143" s="733" t="s">
        <v>1654</v>
      </c>
      <c r="B143" s="745" t="s">
        <v>1741</v>
      </c>
      <c r="C143" s="733">
        <v>2</v>
      </c>
      <c r="D143" s="733" t="str">
        <f>VLOOKUP(A143,'[7]Account Summary - '!C:D,2,0)</f>
        <v>401k MS TEACHERS</v>
      </c>
      <c r="E143" s="734">
        <v>752.15000000000009</v>
      </c>
    </row>
    <row r="144" spans="1:5" x14ac:dyDescent="0.25">
      <c r="A144" s="733" t="s">
        <v>1655</v>
      </c>
      <c r="B144" s="745" t="s">
        <v>1741</v>
      </c>
      <c r="C144" s="733">
        <v>2</v>
      </c>
      <c r="D144" s="733" t="str">
        <f>VLOOKUP(A144,'[7]Account Summary - '!C:D,2,0)</f>
        <v>MS TEACHING SUPPLIES</v>
      </c>
      <c r="E144" s="734">
        <v>5708.34</v>
      </c>
    </row>
    <row r="145" spans="1:5" x14ac:dyDescent="0.25">
      <c r="A145" s="733" t="s">
        <v>1656</v>
      </c>
      <c r="B145" s="745" t="s">
        <v>1741</v>
      </c>
      <c r="C145" s="733">
        <v>2</v>
      </c>
      <c r="D145" s="733" t="str">
        <f>VLOOKUP(A145,'[7]Account Summary - '!C:D,2,0)</f>
        <v>HS TEACHERS</v>
      </c>
      <c r="E145" s="734">
        <v>7324.3599999999988</v>
      </c>
    </row>
    <row r="146" spans="1:5" x14ac:dyDescent="0.25">
      <c r="A146" s="733" t="s">
        <v>1657</v>
      </c>
      <c r="B146" s="745" t="s">
        <v>1741</v>
      </c>
      <c r="C146" s="733">
        <v>2</v>
      </c>
      <c r="D146" s="733" t="str">
        <f>VLOOKUP(A146,'[7]Account Summary - '!C:D,2,0)</f>
        <v>MED/FICA HS TEACHERS</v>
      </c>
      <c r="E146" s="734">
        <v>683.04</v>
      </c>
    </row>
    <row r="147" spans="1:5" x14ac:dyDescent="0.25">
      <c r="A147" s="733" t="s">
        <v>1658</v>
      </c>
      <c r="B147" s="745" t="s">
        <v>1741</v>
      </c>
      <c r="C147" s="733">
        <v>2</v>
      </c>
      <c r="D147" s="733" t="str">
        <f>VLOOKUP(A147,'[7]Account Summary - '!C:D,2,0)</f>
        <v>HEALTH INS. HS TEACHERS</v>
      </c>
      <c r="E147" s="734">
        <v>1717.37</v>
      </c>
    </row>
    <row r="148" spans="1:5" x14ac:dyDescent="0.25">
      <c r="A148" s="733" t="s">
        <v>1659</v>
      </c>
      <c r="B148" s="745" t="s">
        <v>1741</v>
      </c>
      <c r="C148" s="733">
        <v>2</v>
      </c>
      <c r="D148" s="733" t="str">
        <f>VLOOKUP(A148,'[7]Account Summary - '!C:D,2,0)</f>
        <v>401k HS TEACHERS</v>
      </c>
      <c r="E148" s="734">
        <v>-79.740000000000023</v>
      </c>
    </row>
    <row r="149" spans="1:5" x14ac:dyDescent="0.25">
      <c r="A149" s="733" t="s">
        <v>1660</v>
      </c>
      <c r="B149" s="745" t="s">
        <v>1741</v>
      </c>
      <c r="C149" s="733">
        <v>2</v>
      </c>
      <c r="D149" s="733" t="str">
        <f>VLOOKUP(A149,'[7]Account Summary - '!C:D,2,0)</f>
        <v>HS TEACHING SUPPLIES</v>
      </c>
      <c r="E149" s="734">
        <v>833.33</v>
      </c>
    </row>
    <row r="150" spans="1:5" x14ac:dyDescent="0.25">
      <c r="A150" s="733" t="s">
        <v>1661</v>
      </c>
      <c r="B150" s="745" t="s">
        <v>1741</v>
      </c>
      <c r="C150" s="733">
        <v>2</v>
      </c>
      <c r="D150" s="733" t="str">
        <f>VLOOKUP(A150,'[7]Account Summary - '!C:D,2,0)</f>
        <v>SPECIALS TEACHERS - MS/HS</v>
      </c>
      <c r="E150" s="734">
        <v>11458.78</v>
      </c>
    </row>
    <row r="151" spans="1:5" x14ac:dyDescent="0.25">
      <c r="A151" s="733" t="s">
        <v>1662</v>
      </c>
      <c r="B151" s="745" t="s">
        <v>1741</v>
      </c>
      <c r="C151" s="733">
        <v>2</v>
      </c>
      <c r="D151" s="733" t="str">
        <f>VLOOKUP(A151,'[7]Account Summary - '!C:D,2,0)</f>
        <v>MED/FICA SPECIALS TEACHERS</v>
      </c>
      <c r="E151" s="734">
        <v>859.56999999999994</v>
      </c>
    </row>
    <row r="152" spans="1:5" x14ac:dyDescent="0.25">
      <c r="A152" s="733" t="s">
        <v>1663</v>
      </c>
      <c r="B152" s="745" t="s">
        <v>1741</v>
      </c>
      <c r="C152" s="733">
        <v>2</v>
      </c>
      <c r="D152" s="733" t="str">
        <f>VLOOKUP(A152,'[7]Account Summary - '!C:D,2,0)</f>
        <v>HEALTH INS. SPECIALS TEACHERS</v>
      </c>
      <c r="E152" s="734">
        <v>1076.1200000000003</v>
      </c>
    </row>
    <row r="153" spans="1:5" x14ac:dyDescent="0.25">
      <c r="A153" s="733" t="s">
        <v>1664</v>
      </c>
      <c r="B153" s="745" t="s">
        <v>1741</v>
      </c>
      <c r="C153" s="733">
        <v>2</v>
      </c>
      <c r="D153" s="733" t="str">
        <f>VLOOKUP(A153,'[7]Account Summary - '!C:D,2,0)</f>
        <v>401k SPECIALS TEACHERS</v>
      </c>
      <c r="E153" s="734">
        <v>163.22</v>
      </c>
    </row>
    <row r="154" spans="1:5" x14ac:dyDescent="0.25">
      <c r="A154" s="733" t="s">
        <v>1665</v>
      </c>
      <c r="B154" s="745" t="s">
        <v>1741</v>
      </c>
      <c r="C154" s="733">
        <v>2</v>
      </c>
      <c r="D154" s="733" t="str">
        <f>VLOOKUP(A154,'[7]Account Summary - '!C:D,2,0)</f>
        <v>GENERAL INSTRUCTIONAL SUPPLIES MS/HS</v>
      </c>
      <c r="E154" s="734">
        <v>3287.46</v>
      </c>
    </row>
    <row r="155" spans="1:5" x14ac:dyDescent="0.25">
      <c r="A155" s="733" t="s">
        <v>1666</v>
      </c>
      <c r="B155" s="745" t="s">
        <v>1741</v>
      </c>
      <c r="C155" s="733">
        <v>2</v>
      </c>
      <c r="D155" s="733" t="str">
        <f>VLOOKUP(A155,'[7]Account Summary - '!C:D,2,0)</f>
        <v>MS/HS Music Teacher Salary</v>
      </c>
      <c r="E155" s="734">
        <v>3593.2199999999993</v>
      </c>
    </row>
    <row r="156" spans="1:5" x14ac:dyDescent="0.25">
      <c r="A156" s="733" t="s">
        <v>1667</v>
      </c>
      <c r="B156" s="745" t="s">
        <v>1741</v>
      </c>
      <c r="C156" s="733">
        <v>2</v>
      </c>
      <c r="D156" s="733" t="str">
        <f>VLOOKUP(A156,'[7]Account Summary - '!C:D,2,0)</f>
        <v>FICA/Med MS/HS Music Teacher</v>
      </c>
      <c r="E156" s="734">
        <v>272.69000000000005</v>
      </c>
    </row>
    <row r="157" spans="1:5" x14ac:dyDescent="0.25">
      <c r="A157" s="733" t="s">
        <v>1668</v>
      </c>
      <c r="B157" s="745" t="s">
        <v>1741</v>
      </c>
      <c r="C157" s="733">
        <v>2</v>
      </c>
      <c r="D157" s="733" t="str">
        <f>VLOOKUP(A157,'[7]Account Summary - '!C:D,2,0)</f>
        <v>Health Insurance - Music Teacher</v>
      </c>
      <c r="E157" s="734">
        <v>506.91000000000008</v>
      </c>
    </row>
    <row r="158" spans="1:5" x14ac:dyDescent="0.25">
      <c r="A158" s="733" t="s">
        <v>1669</v>
      </c>
      <c r="B158" s="745" t="s">
        <v>1741</v>
      </c>
      <c r="C158" s="733">
        <v>2</v>
      </c>
      <c r="D158" s="733" t="str">
        <f>VLOOKUP(A158,'[7]Account Summary - '!C:D,2,0)</f>
        <v>401k MS/HS. Music Teacher</v>
      </c>
      <c r="E158" s="734">
        <v>143.72999999999996</v>
      </c>
    </row>
    <row r="159" spans="1:5" x14ac:dyDescent="0.25">
      <c r="A159" s="733" t="s">
        <v>1670</v>
      </c>
      <c r="B159" s="745" t="s">
        <v>1741</v>
      </c>
      <c r="C159" s="733">
        <v>2</v>
      </c>
      <c r="D159" s="733" t="str">
        <f>VLOOKUP(A159,'[7]Account Summary - '!C:D,2,0)</f>
        <v>Athletic Entrance fees</v>
      </c>
      <c r="E159" s="734">
        <v>1125</v>
      </c>
    </row>
    <row r="160" spans="1:5" x14ac:dyDescent="0.25">
      <c r="A160" s="733" t="s">
        <v>1671</v>
      </c>
      <c r="B160" s="745" t="s">
        <v>1741</v>
      </c>
      <c r="C160" s="733">
        <v>2</v>
      </c>
      <c r="D160" s="733" t="str">
        <f>VLOOKUP(A160,'[7]Account Summary - '!C:D,2,0)</f>
        <v>Miscellaneous Team Sport Supplies</v>
      </c>
      <c r="E160" s="734">
        <v>19792.259999999998</v>
      </c>
    </row>
    <row r="161" spans="1:5" x14ac:dyDescent="0.25">
      <c r="A161" s="733" t="s">
        <v>1672</v>
      </c>
      <c r="B161" s="745" t="s">
        <v>1741</v>
      </c>
      <c r="C161" s="733">
        <v>2</v>
      </c>
      <c r="D161" s="733" t="str">
        <f>VLOOKUP(A161,'[7]Account Summary - '!C:D,2,0)</f>
        <v>Salaries Counselor</v>
      </c>
      <c r="E161" s="734">
        <v>20281.240000000002</v>
      </c>
    </row>
    <row r="162" spans="1:5" x14ac:dyDescent="0.25">
      <c r="A162" s="733" t="s">
        <v>1673</v>
      </c>
      <c r="B162" s="745" t="s">
        <v>1741</v>
      </c>
      <c r="C162" s="733">
        <v>2</v>
      </c>
      <c r="D162" s="733" t="str">
        <f>VLOOKUP(A162,'[7]Account Summary - '!C:D,2,0)</f>
        <v>SS/Med Counselor</v>
      </c>
      <c r="E162" s="734">
        <v>1777.98</v>
      </c>
    </row>
    <row r="163" spans="1:5" x14ac:dyDescent="0.25">
      <c r="A163" s="733" t="s">
        <v>1674</v>
      </c>
      <c r="B163" s="745" t="s">
        <v>1741</v>
      </c>
      <c r="C163" s="733">
        <v>2</v>
      </c>
      <c r="D163" s="733" t="str">
        <f>VLOOKUP(A163,'[7]Account Summary - '!C:D,2,0)</f>
        <v>Health Insurance - Counselor</v>
      </c>
      <c r="E163" s="734">
        <v>-471.58999999999992</v>
      </c>
    </row>
    <row r="164" spans="1:5" x14ac:dyDescent="0.25">
      <c r="A164" s="733" t="s">
        <v>1675</v>
      </c>
      <c r="B164" s="745" t="s">
        <v>1741</v>
      </c>
      <c r="C164" s="733">
        <v>2</v>
      </c>
      <c r="D164" s="733" t="str">
        <f>VLOOKUP(A164,'[7]Account Summary - '!C:D,2,0)</f>
        <v>PRINCIPAL</v>
      </c>
      <c r="E164" s="734">
        <v>13920</v>
      </c>
    </row>
    <row r="165" spans="1:5" x14ac:dyDescent="0.25">
      <c r="A165" s="733" t="s">
        <v>1676</v>
      </c>
      <c r="B165" s="745" t="s">
        <v>1741</v>
      </c>
      <c r="C165" s="733">
        <v>2</v>
      </c>
      <c r="D165" s="733" t="str">
        <f>VLOOKUP(A165,'[7]Account Summary - '!C:D,2,0)</f>
        <v>ASSISTANT PRINCIPAL</v>
      </c>
      <c r="E165" s="734">
        <v>21241.51</v>
      </c>
    </row>
    <row r="166" spans="1:5" x14ac:dyDescent="0.25">
      <c r="A166" s="733" t="s">
        <v>1677</v>
      </c>
      <c r="B166" s="745" t="s">
        <v>1741</v>
      </c>
      <c r="C166" s="733">
        <v>2</v>
      </c>
      <c r="D166" s="733" t="str">
        <f>VLOOKUP(A166,'[7]Account Summary - '!C:D,2,0)</f>
        <v>MED/FICA PRINCIPAL</v>
      </c>
      <c r="E166" s="734">
        <v>1064.8799999999999</v>
      </c>
    </row>
    <row r="167" spans="1:5" x14ac:dyDescent="0.25">
      <c r="A167" s="733" t="s">
        <v>1678</v>
      </c>
      <c r="B167" s="745" t="s">
        <v>1741</v>
      </c>
      <c r="C167" s="733">
        <v>2</v>
      </c>
      <c r="D167" s="733" t="str">
        <f>VLOOKUP(A167,'[7]Account Summary - '!C:D,2,0)</f>
        <v>MED/FICA ASSIST. PRINCIPAL</v>
      </c>
      <c r="E167" s="734">
        <v>1803.1799999999998</v>
      </c>
    </row>
    <row r="168" spans="1:5" x14ac:dyDescent="0.25">
      <c r="A168" s="733" t="s">
        <v>1679</v>
      </c>
      <c r="B168" s="745" t="s">
        <v>1741</v>
      </c>
      <c r="C168" s="733">
        <v>2</v>
      </c>
      <c r="D168" s="733" t="str">
        <f>VLOOKUP(A168,'[7]Account Summary - '!C:D,2,0)</f>
        <v>HEALTH INS. ASSIST. PRINCIPAL</v>
      </c>
      <c r="E168" s="734">
        <v>-334.65</v>
      </c>
    </row>
    <row r="169" spans="1:5" x14ac:dyDescent="0.25">
      <c r="A169" s="733" t="s">
        <v>1680</v>
      </c>
      <c r="B169" s="745" t="s">
        <v>1741</v>
      </c>
      <c r="C169" s="733">
        <v>2</v>
      </c>
      <c r="D169" s="733" t="str">
        <f>VLOOKUP(A169,'[7]Account Summary - '!C:D,2,0)</f>
        <v>401k ASSIST. PRINCIPAL</v>
      </c>
      <c r="E169" s="734">
        <v>437.35999999999996</v>
      </c>
    </row>
    <row r="170" spans="1:5" x14ac:dyDescent="0.25">
      <c r="A170" s="733" t="s">
        <v>1681</v>
      </c>
      <c r="B170" s="745" t="s">
        <v>1741</v>
      </c>
      <c r="C170" s="733">
        <v>2</v>
      </c>
      <c r="D170" s="733" t="str">
        <f>VLOOKUP(A170,'[7]Account Summary - '!C:D,2,0)</f>
        <v>GENERAL OFFICE SUPPLIES</v>
      </c>
      <c r="E170" s="734">
        <v>261.14999999999998</v>
      </c>
    </row>
    <row r="171" spans="1:5" x14ac:dyDescent="0.25">
      <c r="A171" s="733" t="s">
        <v>1682</v>
      </c>
      <c r="B171" s="745" t="s">
        <v>1741</v>
      </c>
      <c r="C171" s="733">
        <v>2</v>
      </c>
      <c r="D171" s="733" t="str">
        <f>VLOOKUP(A171,'[7]Account Summary - '!C:D,2,0)</f>
        <v>General Supplies - Student Fees</v>
      </c>
      <c r="E171" s="734">
        <v>1247.75</v>
      </c>
    </row>
    <row r="172" spans="1:5" x14ac:dyDescent="0.25">
      <c r="A172" s="733" t="s">
        <v>1683</v>
      </c>
      <c r="B172" s="745" t="s">
        <v>1741</v>
      </c>
      <c r="C172" s="733">
        <v>2</v>
      </c>
      <c r="D172" s="733" t="str">
        <f>VLOOKUP(A172,'[7]Account Summary - '!C:D,2,0)</f>
        <v>Non-Capital equipment purchase</v>
      </c>
      <c r="E172" s="734">
        <v>417.7</v>
      </c>
    </row>
    <row r="173" spans="1:5" x14ac:dyDescent="0.25">
      <c r="A173" s="733" t="s">
        <v>1684</v>
      </c>
      <c r="B173" s="745" t="s">
        <v>1741</v>
      </c>
      <c r="C173" s="733">
        <v>2</v>
      </c>
      <c r="D173" s="733" t="str">
        <f>VLOOKUP(A173,'[7]Account Summary - '!C:D,2,0)</f>
        <v>ADMIN DUES &amp; FEES</v>
      </c>
      <c r="E173" s="734">
        <v>159</v>
      </c>
    </row>
    <row r="174" spans="1:5" x14ac:dyDescent="0.25">
      <c r="A174" s="733" t="s">
        <v>1685</v>
      </c>
      <c r="B174" s="745" t="s">
        <v>1741</v>
      </c>
      <c r="C174" s="733">
        <v>2</v>
      </c>
      <c r="D174" s="733" t="str">
        <f>VLOOKUP(A174,'[7]Account Summary - '!C:D,2,0)</f>
        <v>MISCELLANEOUS EXPENSE</v>
      </c>
      <c r="E174" s="734">
        <v>1695.2</v>
      </c>
    </row>
    <row r="175" spans="1:5" x14ac:dyDescent="0.25">
      <c r="A175" s="733" t="s">
        <v>1686</v>
      </c>
      <c r="B175" s="745" t="s">
        <v>1741</v>
      </c>
      <c r="C175" s="733">
        <v>2</v>
      </c>
      <c r="D175" s="733" t="str">
        <f>VLOOKUP(A175,'[7]Account Summary - '!C:D,2,0)</f>
        <v>WATER/SEWAGE</v>
      </c>
      <c r="E175" s="734">
        <v>2707.6</v>
      </c>
    </row>
    <row r="176" spans="1:5" x14ac:dyDescent="0.25">
      <c r="A176" s="733" t="s">
        <v>1687</v>
      </c>
      <c r="B176" s="745" t="s">
        <v>1741</v>
      </c>
      <c r="C176" s="733">
        <v>2</v>
      </c>
      <c r="D176" s="733" t="str">
        <f>VLOOKUP(A176,'[7]Account Summary - '!C:D,2,0)</f>
        <v>Lawn Care</v>
      </c>
      <c r="E176" s="734">
        <v>10713</v>
      </c>
    </row>
    <row r="177" spans="1:6" x14ac:dyDescent="0.25">
      <c r="A177" s="733" t="s">
        <v>1688</v>
      </c>
      <c r="B177" s="745" t="s">
        <v>1741</v>
      </c>
      <c r="C177" s="733">
        <v>2</v>
      </c>
      <c r="D177" s="733" t="str">
        <f>VLOOKUP(A177,'[7]Account Summary - '!C:D,2,0)</f>
        <v>REPAIRS &amp; MAINTENANCE FACILITY</v>
      </c>
      <c r="E177" s="734">
        <v>6741.07</v>
      </c>
    </row>
    <row r="178" spans="1:6" x14ac:dyDescent="0.25">
      <c r="A178" s="733" t="s">
        <v>1689</v>
      </c>
      <c r="B178" s="745" t="s">
        <v>1741</v>
      </c>
      <c r="C178" s="733">
        <v>2</v>
      </c>
      <c r="D178" s="733" t="str">
        <f>VLOOKUP(A178,'[7]Account Summary - '!C:D,2,0)</f>
        <v>REP/MAINT. EQUIPMENT</v>
      </c>
      <c r="E178" s="734">
        <v>264</v>
      </c>
    </row>
    <row r="179" spans="1:6" x14ac:dyDescent="0.25">
      <c r="A179" s="733" t="s">
        <v>1690</v>
      </c>
      <c r="B179" s="745" t="s">
        <v>1741</v>
      </c>
      <c r="C179" s="733">
        <v>2</v>
      </c>
      <c r="D179" s="733" t="str">
        <f>VLOOKUP(A179,'[7]Account Summary - '!C:D,2,0)</f>
        <v>TELEPHONE</v>
      </c>
      <c r="E179" s="734">
        <v>1495.26</v>
      </c>
    </row>
    <row r="180" spans="1:6" x14ac:dyDescent="0.25">
      <c r="A180" s="733" t="s">
        <v>1691</v>
      </c>
      <c r="B180" s="745" t="s">
        <v>1741</v>
      </c>
      <c r="C180" s="733">
        <v>2</v>
      </c>
      <c r="D180" s="733" t="str">
        <f>VLOOKUP(A180,'[7]Account Summary - '!C:D,2,0)</f>
        <v>INTERNET ONLINE SERVICE</v>
      </c>
      <c r="E180" s="734">
        <v>2197.75</v>
      </c>
    </row>
    <row r="181" spans="1:6" x14ac:dyDescent="0.25">
      <c r="A181" s="733" t="s">
        <v>1692</v>
      </c>
      <c r="B181" s="745" t="s">
        <v>1741</v>
      </c>
      <c r="C181" s="733">
        <v>2</v>
      </c>
      <c r="D181" s="733" t="str">
        <f>VLOOKUP(A181,'[7]Account Summary - '!C:D,2,0)</f>
        <v>JANITORIAL SUPPLIES</v>
      </c>
      <c r="E181" s="734">
        <v>1383.17</v>
      </c>
    </row>
    <row r="182" spans="1:6" x14ac:dyDescent="0.25">
      <c r="A182" s="733" t="s">
        <v>1693</v>
      </c>
      <c r="B182" s="745" t="s">
        <v>1741</v>
      </c>
      <c r="C182" s="733">
        <v>2</v>
      </c>
      <c r="D182" s="733" t="str">
        <f>VLOOKUP(A182,'[7]Account Summary - '!C:D,2,0)</f>
        <v>NATURAL GAS / ELECTRICITY</v>
      </c>
      <c r="E182" s="734">
        <v>5352.47</v>
      </c>
    </row>
    <row r="183" spans="1:6" x14ac:dyDescent="0.25">
      <c r="A183" s="733" t="s">
        <v>1694</v>
      </c>
      <c r="B183" s="745" t="s">
        <v>1741</v>
      </c>
      <c r="C183" s="733">
        <v>2</v>
      </c>
      <c r="D183" s="733" t="str">
        <f>VLOOKUP(A183,'[7]Account Summary - '!C:D,2,0)</f>
        <v>Alarm System</v>
      </c>
      <c r="E183" s="734">
        <v>1720</v>
      </c>
    </row>
    <row r="184" spans="1:6" ht="15.75" thickBot="1" x14ac:dyDescent="0.3">
      <c r="A184" s="733"/>
      <c r="B184" s="745"/>
      <c r="C184" s="733"/>
      <c r="D184" s="733"/>
      <c r="E184" s="734"/>
    </row>
    <row r="185" spans="1:6" ht="15.75" thickBot="1" x14ac:dyDescent="0.3">
      <c r="A185" s="733" t="s">
        <v>1695</v>
      </c>
      <c r="B185" s="745" t="s">
        <v>1742</v>
      </c>
      <c r="C185" s="733">
        <v>1</v>
      </c>
      <c r="D185" s="733" t="str">
        <f>VLOOKUP(A185,'[7]Account Summary - '!C:D,2,0)</f>
        <v>Unreserved Fund Balance</v>
      </c>
      <c r="E185" s="746">
        <v>-14112.23</v>
      </c>
      <c r="F185" s="751" t="s">
        <v>1746</v>
      </c>
    </row>
    <row r="186" spans="1:6" x14ac:dyDescent="0.25">
      <c r="A186" s="733"/>
      <c r="B186" s="745"/>
      <c r="C186" s="733"/>
      <c r="D186" s="733"/>
      <c r="E186" s="734"/>
    </row>
    <row r="187" spans="1:6" ht="15.75" thickBot="1" x14ac:dyDescent="0.3">
      <c r="A187" s="733" t="s">
        <v>1697</v>
      </c>
      <c r="B187" s="745" t="s">
        <v>1743</v>
      </c>
      <c r="C187" s="733">
        <v>1</v>
      </c>
      <c r="D187" s="733" t="str">
        <f>VLOOKUP(A187,'[7]Account Summary - '!C:D,2,0)</f>
        <v>Deferred on Refunding - 2016 Bonds</v>
      </c>
      <c r="E187" s="734">
        <v>110986.55</v>
      </c>
    </row>
    <row r="188" spans="1:6" ht="15.75" thickBot="1" x14ac:dyDescent="0.3">
      <c r="A188" s="733" t="s">
        <v>1700</v>
      </c>
      <c r="B188" s="745" t="s">
        <v>1743</v>
      </c>
      <c r="C188" s="733">
        <v>1</v>
      </c>
      <c r="D188" s="733" t="str">
        <f>VLOOKUP(A188,'[7]Account Summary - '!C:D,2,0)</f>
        <v>Retained Earnings</v>
      </c>
      <c r="E188" s="746">
        <v>492454.16000000015</v>
      </c>
      <c r="F188" s="751" t="s">
        <v>1746</v>
      </c>
    </row>
    <row r="189" spans="1:6" x14ac:dyDescent="0.25">
      <c r="A189" s="733" t="s">
        <v>1701</v>
      </c>
      <c r="B189" s="745" t="s">
        <v>1743</v>
      </c>
      <c r="C189" s="733">
        <v>1</v>
      </c>
      <c r="D189" s="733" t="str">
        <f>VLOOKUP(A189,'[7]Account Summary - '!C:D,2,0)</f>
        <v>Due to other Funds</v>
      </c>
      <c r="E189" s="734">
        <v>-558623.88000000012</v>
      </c>
    </row>
    <row r="190" spans="1:6" x14ac:dyDescent="0.25">
      <c r="A190" s="733" t="s">
        <v>1702</v>
      </c>
      <c r="B190" s="745" t="s">
        <v>1743</v>
      </c>
      <c r="C190" s="733">
        <v>1</v>
      </c>
      <c r="D190" s="733" t="str">
        <f>VLOOKUP(A190,'[7]Account Summary - '!C:D,2,0)</f>
        <v>Construction Contracts Payable</v>
      </c>
      <c r="E190" s="734">
        <v>-830088</v>
      </c>
    </row>
    <row r="191" spans="1:6" x14ac:dyDescent="0.25">
      <c r="A191" s="733" t="s">
        <v>1703</v>
      </c>
      <c r="B191" s="745" t="s">
        <v>1743</v>
      </c>
      <c r="C191" s="733">
        <v>1</v>
      </c>
      <c r="D191" s="733" t="str">
        <f>VLOOKUP(A191,'[7]Account Summary - '!C:D,2,0)</f>
        <v>Accrued Interest</v>
      </c>
      <c r="E191" s="734">
        <v>-69103</v>
      </c>
    </row>
    <row r="192" spans="1:6" x14ac:dyDescent="0.25">
      <c r="A192" s="733" t="s">
        <v>1704</v>
      </c>
      <c r="B192" s="745" t="s">
        <v>1743</v>
      </c>
      <c r="C192" s="733">
        <v>1</v>
      </c>
      <c r="D192" s="733" t="str">
        <f>VLOOKUP(A192,'[7]Account Summary - '!C:D,2,0)</f>
        <v>Bonds Payable</v>
      </c>
      <c r="E192" s="734">
        <v>-28355000</v>
      </c>
    </row>
    <row r="193" spans="1:5" x14ac:dyDescent="0.25">
      <c r="A193" s="733" t="s">
        <v>1705</v>
      </c>
      <c r="B193" s="745" t="s">
        <v>1743</v>
      </c>
      <c r="C193" s="733">
        <v>1</v>
      </c>
      <c r="D193" s="733" t="str">
        <f>VLOOKUP(A193,'[7]Account Summary - '!C:D,2,0)</f>
        <v>Investments - Interest Reserve 2016</v>
      </c>
      <c r="E193" s="734">
        <v>470992.14999999997</v>
      </c>
    </row>
    <row r="194" spans="1:5" x14ac:dyDescent="0.25">
      <c r="A194" s="733" t="s">
        <v>1706</v>
      </c>
      <c r="B194" s="745" t="s">
        <v>1743</v>
      </c>
      <c r="C194" s="733">
        <v>1</v>
      </c>
      <c r="D194" s="733" t="str">
        <f>VLOOKUP(A194,'[7]Account Summary - '!C:D,2,0)</f>
        <v>Investments - Principal Reserve 2016</v>
      </c>
      <c r="E194" s="734">
        <v>573750.18999999994</v>
      </c>
    </row>
    <row r="195" spans="1:5" x14ac:dyDescent="0.25">
      <c r="A195" s="733" t="s">
        <v>1707</v>
      </c>
      <c r="B195" s="745" t="s">
        <v>1743</v>
      </c>
      <c r="C195" s="733">
        <v>1</v>
      </c>
      <c r="D195" s="733" t="str">
        <f>VLOOKUP(A195,'[7]Account Summary - '!C:D,2,0)</f>
        <v>Investments - Debt Service Reserve 2016</v>
      </c>
      <c r="E195" s="734">
        <v>2225165.17</v>
      </c>
    </row>
    <row r="196" spans="1:5" x14ac:dyDescent="0.25">
      <c r="A196" s="733" t="s">
        <v>1708</v>
      </c>
      <c r="B196" s="745" t="s">
        <v>1743</v>
      </c>
      <c r="C196" s="733">
        <v>1</v>
      </c>
      <c r="D196" s="733" t="str">
        <f>VLOOKUP(A196,'[7]Account Summary - '!C:D,2,0)</f>
        <v>Investments - Liquid Reserve Fund 2016</v>
      </c>
      <c r="E196" s="734">
        <v>1266388.1299999999</v>
      </c>
    </row>
    <row r="197" spans="1:5" x14ac:dyDescent="0.25">
      <c r="A197" s="733" t="s">
        <v>1709</v>
      </c>
      <c r="B197" s="745" t="s">
        <v>1743</v>
      </c>
      <c r="C197" s="733">
        <v>1</v>
      </c>
      <c r="D197" s="733" t="str">
        <f>VLOOKUP(A197,'[7]Account Summary - '!C:D,2,0)</f>
        <v>Investments - Issuance Costs 2016</v>
      </c>
      <c r="E197" s="734">
        <v>0.47</v>
      </c>
    </row>
    <row r="198" spans="1:5" x14ac:dyDescent="0.25">
      <c r="A198" s="733" t="s">
        <v>1710</v>
      </c>
      <c r="B198" s="745" t="s">
        <v>1743</v>
      </c>
      <c r="C198" s="733">
        <v>1</v>
      </c>
      <c r="D198" s="733" t="str">
        <f>VLOOKUP(A198,'[7]Account Summary - '!C:D,2,0)</f>
        <v>Investments - Repair &amp; Replacement 2016</v>
      </c>
      <c r="E198" s="734">
        <v>434.35</v>
      </c>
    </row>
    <row r="199" spans="1:5" x14ac:dyDescent="0.25">
      <c r="A199" s="733" t="s">
        <v>1711</v>
      </c>
      <c r="B199" s="745" t="s">
        <v>1743</v>
      </c>
      <c r="C199" s="733">
        <v>1</v>
      </c>
      <c r="D199" s="733" t="str">
        <f>VLOOKUP(A199,'[7]Account Summary - '!C:D,2,0)</f>
        <v>Investments - Project Fund 2016</v>
      </c>
      <c r="E199" s="734">
        <v>152189.69999999984</v>
      </c>
    </row>
    <row r="200" spans="1:5" x14ac:dyDescent="0.25">
      <c r="A200" s="733" t="s">
        <v>1712</v>
      </c>
      <c r="B200" s="745" t="s">
        <v>1743</v>
      </c>
      <c r="C200" s="733">
        <v>1</v>
      </c>
      <c r="D200" s="733" t="str">
        <f>VLOOKUP(A200,'[7]Account Summary - '!C:D,2,0)</f>
        <v>Investments - Construction Reserve 2016</v>
      </c>
      <c r="E200" s="734">
        <v>0</v>
      </c>
    </row>
    <row r="201" spans="1:5" x14ac:dyDescent="0.25">
      <c r="A201" s="733" t="s">
        <v>1713</v>
      </c>
      <c r="B201" s="745" t="s">
        <v>1743</v>
      </c>
      <c r="C201" s="733">
        <v>1</v>
      </c>
      <c r="D201" s="733" t="str">
        <f>VLOOKUP(A201,'[7]Account Summary - '!C:D,2,0)</f>
        <v>Buildings &amp; Improvements</v>
      </c>
      <c r="E201" s="734">
        <v>5827158.1800000006</v>
      </c>
    </row>
    <row r="202" spans="1:5" x14ac:dyDescent="0.25">
      <c r="A202" s="733" t="s">
        <v>1714</v>
      </c>
      <c r="B202" s="745" t="s">
        <v>1743</v>
      </c>
      <c r="C202" s="733">
        <v>1</v>
      </c>
      <c r="D202" s="733" t="str">
        <f>VLOOKUP(A202,'[7]Account Summary - '!C:D,2,0)</f>
        <v>Accumulated Depreciation - Bldg</v>
      </c>
      <c r="E202" s="734">
        <v>-1396137.54</v>
      </c>
    </row>
    <row r="203" spans="1:5" x14ac:dyDescent="0.25">
      <c r="A203" s="733" t="s">
        <v>1715</v>
      </c>
      <c r="B203" s="745" t="s">
        <v>1743</v>
      </c>
      <c r="C203" s="733">
        <v>1</v>
      </c>
      <c r="D203" s="733" t="str">
        <f>VLOOKUP(A203,'[7]Account Summary - '!C:D,2,0)</f>
        <v>Library Media</v>
      </c>
      <c r="E203" s="734">
        <v>100703.03999999999</v>
      </c>
    </row>
    <row r="204" spans="1:5" x14ac:dyDescent="0.25">
      <c r="A204" s="733" t="s">
        <v>1716</v>
      </c>
      <c r="B204" s="745" t="s">
        <v>1743</v>
      </c>
      <c r="C204" s="733">
        <v>1</v>
      </c>
      <c r="D204" s="733" t="str">
        <f>VLOOKUP(A204,'[7]Account Summary - '!C:D,2,0)</f>
        <v>Accumulated Depreciation - Library Media</v>
      </c>
      <c r="E204" s="734">
        <v>-100703.03999999999</v>
      </c>
    </row>
    <row r="205" spans="1:5" x14ac:dyDescent="0.25">
      <c r="A205" s="733" t="s">
        <v>1717</v>
      </c>
      <c r="B205" s="745" t="s">
        <v>1743</v>
      </c>
      <c r="C205" s="733">
        <v>1</v>
      </c>
      <c r="D205" s="733" t="str">
        <f>VLOOKUP(A205,'[7]Account Summary - '!C:D,2,0)</f>
        <v>Furniture, Fixtures &amp; Equipment</v>
      </c>
      <c r="E205" s="734">
        <v>637773.1</v>
      </c>
    </row>
    <row r="206" spans="1:5" x14ac:dyDescent="0.25">
      <c r="A206" s="733" t="s">
        <v>1718</v>
      </c>
      <c r="B206" s="745" t="s">
        <v>1743</v>
      </c>
      <c r="C206" s="733">
        <v>1</v>
      </c>
      <c r="D206" s="733" t="str">
        <f>VLOOKUP(A206,'[7]Account Summary - '!C:D,2,0)</f>
        <v>Accumulated Depreciation - FF&amp;E</v>
      </c>
      <c r="E206" s="734">
        <v>-201260.83</v>
      </c>
    </row>
    <row r="207" spans="1:5" x14ac:dyDescent="0.25">
      <c r="A207" s="733" t="s">
        <v>1719</v>
      </c>
      <c r="B207" s="745" t="s">
        <v>1743</v>
      </c>
      <c r="C207" s="733">
        <v>1</v>
      </c>
      <c r="D207" s="733" t="str">
        <f>VLOOKUP(A207,'[7]Account Summary - '!C:D,2,0)</f>
        <v>Construction in Progress</v>
      </c>
      <c r="E207" s="734">
        <v>19205379.91</v>
      </c>
    </row>
    <row r="208" spans="1:5" x14ac:dyDescent="0.25">
      <c r="A208" s="733"/>
      <c r="B208" s="745"/>
      <c r="C208" s="733"/>
      <c r="D208" s="733"/>
      <c r="E208" s="734"/>
    </row>
    <row r="209" spans="1:6" x14ac:dyDescent="0.25">
      <c r="A209" s="733" t="s">
        <v>1696</v>
      </c>
      <c r="B209" s="745" t="s">
        <v>1743</v>
      </c>
      <c r="C209" s="733">
        <v>2</v>
      </c>
      <c r="D209" s="733" t="str">
        <f>VLOOKUP(A209,'[7]Account Summary - '!C:D,2,0)</f>
        <v>Contribution/Donation</v>
      </c>
      <c r="E209" s="734">
        <v>-280</v>
      </c>
    </row>
    <row r="210" spans="1:6" x14ac:dyDescent="0.25">
      <c r="A210" s="733" t="s">
        <v>1698</v>
      </c>
      <c r="B210" s="745" t="s">
        <v>1743</v>
      </c>
      <c r="C210" s="733">
        <v>2</v>
      </c>
      <c r="D210" s="733" t="str">
        <f>VLOOKUP(A210,'[7]Account Summary - '!C:D,2,0)</f>
        <v>Interest on Investments</v>
      </c>
      <c r="E210" s="734">
        <v>-15221.86</v>
      </c>
    </row>
    <row r="211" spans="1:6" x14ac:dyDescent="0.25">
      <c r="A211" s="733" t="s">
        <v>1699</v>
      </c>
      <c r="B211" s="745" t="s">
        <v>1743</v>
      </c>
      <c r="C211" s="733">
        <v>2</v>
      </c>
      <c r="D211" s="733" t="str">
        <f>VLOOKUP(A211,'[7]Account Summary - '!C:D,2,0)</f>
        <v>Lease Revenue</v>
      </c>
      <c r="E211" s="734">
        <v>-294327</v>
      </c>
    </row>
    <row r="212" spans="1:6" x14ac:dyDescent="0.25">
      <c r="A212" s="733" t="s">
        <v>1720</v>
      </c>
      <c r="B212" s="745" t="s">
        <v>1743</v>
      </c>
      <c r="C212" s="733">
        <v>2</v>
      </c>
      <c r="D212" s="733" t="str">
        <f>VLOOKUP(A212,'[7]Account Summary - '!C:D,2,0)</f>
        <v>FACILITY DEBT SERVICE - INTEREST</v>
      </c>
      <c r="E212" s="734">
        <v>-29813.39</v>
      </c>
    </row>
    <row r="213" spans="1:6" ht="15.75" thickBot="1" x14ac:dyDescent="0.3">
      <c r="A213" s="733"/>
      <c r="B213" s="745"/>
      <c r="C213" s="733"/>
      <c r="D213" s="733"/>
      <c r="E213" s="734"/>
    </row>
    <row r="214" spans="1:6" ht="15.75" thickBot="1" x14ac:dyDescent="0.3">
      <c r="A214" s="733" t="s">
        <v>1725</v>
      </c>
      <c r="B214" s="745" t="s">
        <v>1744</v>
      </c>
      <c r="C214" s="733">
        <v>1</v>
      </c>
      <c r="D214" s="733" t="str">
        <f>VLOOKUP(A214,'[7]Account Summary - '!C:D,2,0)</f>
        <v>Unreserved Fund Balance</v>
      </c>
      <c r="E214" s="746">
        <v>-124690.54</v>
      </c>
      <c r="F214" s="751" t="s">
        <v>1746</v>
      </c>
    </row>
    <row r="215" spans="1:6" x14ac:dyDescent="0.25">
      <c r="A215" s="733" t="s">
        <v>1726</v>
      </c>
      <c r="B215" s="745" t="s">
        <v>1744</v>
      </c>
      <c r="C215" s="733">
        <v>1</v>
      </c>
      <c r="D215" s="733" t="str">
        <f>VLOOKUP(A215,'[7]Account Summary - '!C:D,2,0)</f>
        <v>Due from other Funds</v>
      </c>
      <c r="E215" s="734">
        <v>116106.6</v>
      </c>
    </row>
    <row r="216" spans="1:6" x14ac:dyDescent="0.25">
      <c r="A216" s="733" t="s">
        <v>1721</v>
      </c>
      <c r="B216" s="745" t="s">
        <v>1744</v>
      </c>
      <c r="C216" s="733">
        <v>2</v>
      </c>
      <c r="D216" s="733" t="str">
        <f>VLOOKUP(A216,'[7]Account Summary - '!C:D,2,0)</f>
        <v>Book Fair</v>
      </c>
      <c r="E216" s="734">
        <v>-526.09</v>
      </c>
    </row>
    <row r="217" spans="1:6" x14ac:dyDescent="0.25">
      <c r="A217" s="733" t="s">
        <v>1722</v>
      </c>
      <c r="B217" s="745" t="s">
        <v>1744</v>
      </c>
      <c r="C217" s="733">
        <v>2</v>
      </c>
      <c r="D217" s="733" t="str">
        <f>VLOOKUP(A217,'[7]Account Summary - '!C:D,2,0)</f>
        <v>Fundraisers</v>
      </c>
      <c r="E217" s="734">
        <v>-808.43</v>
      </c>
    </row>
    <row r="218" spans="1:6" x14ac:dyDescent="0.25">
      <c r="A218" s="733" t="s">
        <v>1723</v>
      </c>
      <c r="B218" s="745" t="s">
        <v>1744</v>
      </c>
      <c r="C218" s="733">
        <v>2</v>
      </c>
      <c r="D218" s="733" t="str">
        <f>VLOOKUP(A218,'[7]Account Summary - '!C:D,2,0)</f>
        <v>Club Revenues</v>
      </c>
      <c r="E218" s="734">
        <v>-663</v>
      </c>
    </row>
    <row r="219" spans="1:6" x14ac:dyDescent="0.25">
      <c r="A219" s="733" t="s">
        <v>1724</v>
      </c>
      <c r="B219" s="745" t="s">
        <v>1744</v>
      </c>
      <c r="C219" s="733">
        <v>2</v>
      </c>
      <c r="D219" s="733" t="str">
        <f>VLOOKUP(A219,'[7]Account Summary - '!C:D,2,0)</f>
        <v>PTO Reimbursements</v>
      </c>
      <c r="E219" s="734">
        <v>-4401</v>
      </c>
    </row>
    <row r="220" spans="1:6" x14ac:dyDescent="0.25">
      <c r="A220" s="733" t="s">
        <v>1727</v>
      </c>
      <c r="B220" s="745" t="s">
        <v>1744</v>
      </c>
      <c r="C220" s="733">
        <v>2</v>
      </c>
      <c r="D220" s="733" t="str">
        <f>VLOOKUP(A220,'[7]Account Summary - '!C:D,2,0)</f>
        <v>STUDENT COUNCIL</v>
      </c>
      <c r="E220" s="734">
        <v>4401</v>
      </c>
    </row>
    <row r="221" spans="1:6" x14ac:dyDescent="0.25">
      <c r="A221" s="733" t="s">
        <v>1728</v>
      </c>
      <c r="B221" s="745" t="s">
        <v>1744</v>
      </c>
      <c r="C221" s="733">
        <v>2</v>
      </c>
      <c r="D221" s="733" t="str">
        <f>VLOOKUP(A221,'[7]Account Summary - '!C:D,2,0)</f>
        <v>FUNDRAISER SUPPLIES</v>
      </c>
      <c r="E221" s="734">
        <v>790.03</v>
      </c>
    </row>
    <row r="222" spans="1:6" ht="15.75" thickBot="1" x14ac:dyDescent="0.3">
      <c r="A222" s="733"/>
      <c r="B222" s="745"/>
      <c r="C222" s="733"/>
      <c r="D222" s="733"/>
      <c r="E222" s="734"/>
    </row>
    <row r="223" spans="1:6" x14ac:dyDescent="0.25">
      <c r="A223" s="733" t="s">
        <v>1729</v>
      </c>
      <c r="B223" s="745" t="s">
        <v>1745</v>
      </c>
      <c r="C223" s="733">
        <v>1</v>
      </c>
      <c r="D223" s="733" t="str">
        <f>VLOOKUP(A223,'[7]Account Summary - '!C:D,2,0)</f>
        <v>GFAAG - Investment in Capital Assets</v>
      </c>
      <c r="E223" s="746">
        <v>-605110.5</v>
      </c>
      <c r="F223" s="810" t="s">
        <v>1746</v>
      </c>
    </row>
    <row r="224" spans="1:6" x14ac:dyDescent="0.25">
      <c r="A224" s="733" t="s">
        <v>1730</v>
      </c>
      <c r="B224" s="745" t="s">
        <v>1745</v>
      </c>
      <c r="C224" s="733">
        <v>1</v>
      </c>
      <c r="D224" s="733" t="str">
        <f>VLOOKUP(A224,'[7]Account Summary - '!C:D,2,0)</f>
        <v>GFAAG - Buildings &amp; Improvements</v>
      </c>
      <c r="E224" s="746">
        <v>656626.32999999996</v>
      </c>
      <c r="F224" s="811"/>
    </row>
    <row r="225" spans="1:6" x14ac:dyDescent="0.25">
      <c r="A225" s="733" t="s">
        <v>1731</v>
      </c>
      <c r="B225" s="745" t="s">
        <v>1745</v>
      </c>
      <c r="C225" s="733">
        <v>1</v>
      </c>
      <c r="D225" s="733" t="str">
        <f>VLOOKUP(A225,'[7]Account Summary - '!C:D,2,0)</f>
        <v>Library Media</v>
      </c>
      <c r="E225" s="746">
        <v>52452.53</v>
      </c>
      <c r="F225" s="811"/>
    </row>
    <row r="226" spans="1:6" x14ac:dyDescent="0.25">
      <c r="A226" s="733" t="s">
        <v>1732</v>
      </c>
      <c r="B226" s="745" t="s">
        <v>1745</v>
      </c>
      <c r="C226" s="733">
        <v>1</v>
      </c>
      <c r="D226" s="733" t="str">
        <f>VLOOKUP(A226,'[7]Account Summary - '!C:D,2,0)</f>
        <v>GFAAG - Furniture &amp; Equipment</v>
      </c>
      <c r="E226" s="746">
        <v>901281.75</v>
      </c>
      <c r="F226" s="811"/>
    </row>
    <row r="227" spans="1:6" ht="15.75" thickBot="1" x14ac:dyDescent="0.3">
      <c r="A227" s="733" t="s">
        <v>1733</v>
      </c>
      <c r="B227" s="745" t="s">
        <v>1745</v>
      </c>
      <c r="C227" s="733">
        <v>1</v>
      </c>
      <c r="D227" s="733" t="str">
        <f>VLOOKUP(A227,'[7]Account Summary - '!C:D,2,0)</f>
        <v>GFAAG-Accumulated Depreciation</v>
      </c>
      <c r="E227" s="746">
        <v>-775733.94</v>
      </c>
      <c r="F227" s="812"/>
    </row>
    <row r="228" spans="1:6" x14ac:dyDescent="0.25">
      <c r="C228" s="733"/>
    </row>
  </sheetData>
  <sortState xmlns:xlrd2="http://schemas.microsoft.com/office/spreadsheetml/2017/richdata2" ref="A6:E227">
    <sortCondition ref="B6:B227"/>
    <sortCondition ref="C6:C227"/>
    <sortCondition ref="A6:A227"/>
  </sortState>
  <mergeCells count="2">
    <mergeCell ref="F6:F8"/>
    <mergeCell ref="F223:F227"/>
  </mergeCells>
  <pageMargins left="0.7" right="0.7" top="0.75" bottom="0.75" header="0.3" footer="0.3"/>
  <pageSetup scale="5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R79"/>
  <sheetViews>
    <sheetView zoomScale="75" zoomScaleNormal="75" workbookViewId="0">
      <pane ySplit="7" topLeftCell="A29" activePane="bottomLeft" state="frozen"/>
      <selection activeCell="C13" sqref="C13"/>
      <selection pane="bottomLeft" activeCell="E62" sqref="E62"/>
    </sheetView>
  </sheetViews>
  <sheetFormatPr defaultColWidth="9.28515625" defaultRowHeight="12.75" x14ac:dyDescent="0.2"/>
  <cols>
    <col min="1" max="1" width="3.42578125" style="681" customWidth="1"/>
    <col min="2" max="2" width="33.5703125" style="681" customWidth="1"/>
    <col min="3" max="3" width="4.5703125" style="681" hidden="1" customWidth="1"/>
    <col min="4" max="4" width="16.28515625" style="683" customWidth="1"/>
    <col min="5" max="5" width="14.5703125" style="683" customWidth="1"/>
    <col min="6" max="7" width="11.5703125" style="683" hidden="1" customWidth="1"/>
    <col min="8" max="8" width="13.7109375" style="683" hidden="1" customWidth="1"/>
    <col min="9" max="9" width="12.5703125" style="681" hidden="1" customWidth="1"/>
    <col min="10" max="10" width="13.5703125" style="681" customWidth="1"/>
    <col min="11" max="11" width="17" style="681" customWidth="1"/>
    <col min="12" max="12" width="13.28515625" style="684" customWidth="1"/>
    <col min="13" max="13" width="18.5703125" style="681" bestFit="1" customWidth="1"/>
    <col min="14" max="14" width="10.42578125" style="681" bestFit="1" customWidth="1"/>
    <col min="15" max="16" width="13.28515625" style="681" bestFit="1" customWidth="1"/>
    <col min="17" max="17" width="12.28515625" style="681" bestFit="1" customWidth="1"/>
    <col min="18" max="16384" width="9.28515625" style="681"/>
  </cols>
  <sheetData>
    <row r="1" spans="1:13" ht="18" x14ac:dyDescent="0.25">
      <c r="A1" s="678" t="s">
        <v>0</v>
      </c>
      <c r="B1" s="679"/>
      <c r="C1" s="679"/>
      <c r="D1" s="679"/>
      <c r="E1" s="679"/>
      <c r="F1" s="679"/>
      <c r="G1" s="679"/>
      <c r="H1" s="679"/>
      <c r="I1" s="679"/>
      <c r="J1" s="679"/>
      <c r="K1" s="679"/>
      <c r="L1" s="680"/>
    </row>
    <row r="2" spans="1:13" ht="15.75" x14ac:dyDescent="0.25">
      <c r="A2" s="682" t="s">
        <v>1447</v>
      </c>
      <c r="B2" s="679"/>
      <c r="C2" s="679"/>
      <c r="D2" s="679"/>
      <c r="E2" s="679"/>
      <c r="F2" s="679"/>
      <c r="G2" s="679"/>
      <c r="H2" s="679"/>
      <c r="I2" s="679"/>
      <c r="J2" s="679"/>
      <c r="K2" s="679"/>
      <c r="L2" s="680"/>
    </row>
    <row r="3" spans="1:13" ht="15" x14ac:dyDescent="0.25">
      <c r="A3" s="748" t="s">
        <v>1760</v>
      </c>
      <c r="B3" s="749"/>
      <c r="C3" s="749"/>
      <c r="D3" s="749"/>
      <c r="E3" s="749"/>
      <c r="F3" s="749"/>
      <c r="G3" s="749"/>
      <c r="H3" s="749"/>
      <c r="I3" s="749"/>
      <c r="J3" s="749"/>
      <c r="K3" s="749"/>
      <c r="L3" s="750"/>
    </row>
    <row r="4" spans="1:13" ht="13.5" thickBot="1" x14ac:dyDescent="0.25">
      <c r="A4" s="681" t="s">
        <v>267</v>
      </c>
    </row>
    <row r="5" spans="1:13" x14ac:dyDescent="0.2">
      <c r="B5" s="685">
        <v>0</v>
      </c>
      <c r="D5" s="686" t="s">
        <v>1448</v>
      </c>
      <c r="E5" s="686" t="s">
        <v>1449</v>
      </c>
      <c r="F5" s="686" t="s">
        <v>1450</v>
      </c>
      <c r="G5" s="686" t="s">
        <v>1451</v>
      </c>
      <c r="H5" s="687" t="s">
        <v>1452</v>
      </c>
      <c r="I5" s="688" t="s">
        <v>1453</v>
      </c>
      <c r="J5" s="688" t="s">
        <v>1454</v>
      </c>
      <c r="K5" s="688" t="s">
        <v>1455</v>
      </c>
      <c r="L5" s="686" t="s">
        <v>1456</v>
      </c>
    </row>
    <row r="6" spans="1:13" x14ac:dyDescent="0.2">
      <c r="D6" s="689" t="s">
        <v>1457</v>
      </c>
      <c r="E6" s="689" t="s">
        <v>1458</v>
      </c>
      <c r="F6" s="689" t="s">
        <v>1458</v>
      </c>
      <c r="G6" s="689" t="s">
        <v>1458</v>
      </c>
      <c r="H6" s="690" t="s">
        <v>1458</v>
      </c>
      <c r="I6" s="690" t="s">
        <v>1458</v>
      </c>
      <c r="J6" s="690" t="s">
        <v>1458</v>
      </c>
      <c r="K6" s="690" t="s">
        <v>1459</v>
      </c>
      <c r="L6" s="689" t="s">
        <v>1458</v>
      </c>
    </row>
    <row r="7" spans="1:13" ht="13.5" thickBot="1" x14ac:dyDescent="0.25">
      <c r="D7" s="691"/>
      <c r="E7" s="692" t="s">
        <v>1460</v>
      </c>
      <c r="F7" s="692" t="s">
        <v>1461</v>
      </c>
      <c r="G7" s="692" t="s">
        <v>1462</v>
      </c>
      <c r="H7" s="693" t="s">
        <v>1463</v>
      </c>
      <c r="I7" s="693" t="s">
        <v>1464</v>
      </c>
      <c r="J7" s="693" t="s">
        <v>1465</v>
      </c>
      <c r="K7" s="693" t="s">
        <v>1466</v>
      </c>
      <c r="L7" s="692" t="s">
        <v>1467</v>
      </c>
    </row>
    <row r="8" spans="1:13" x14ac:dyDescent="0.2">
      <c r="A8" s="813" t="s">
        <v>1468</v>
      </c>
      <c r="B8" s="813"/>
      <c r="C8" s="694"/>
      <c r="D8" s="695"/>
      <c r="E8" s="695"/>
      <c r="F8" s="695"/>
      <c r="G8" s="695"/>
      <c r="I8" s="683"/>
      <c r="J8" s="683"/>
      <c r="K8" s="683"/>
      <c r="L8" s="695"/>
    </row>
    <row r="9" spans="1:13" x14ac:dyDescent="0.2">
      <c r="A9" s="696" t="s">
        <v>1469</v>
      </c>
      <c r="B9" s="694"/>
      <c r="C9" s="694"/>
      <c r="D9" s="695"/>
      <c r="E9" s="695"/>
      <c r="F9" s="695"/>
      <c r="G9" s="695"/>
      <c r="I9" s="683"/>
      <c r="J9" s="683"/>
      <c r="K9" s="683"/>
      <c r="L9" s="695"/>
    </row>
    <row r="10" spans="1:13" x14ac:dyDescent="0.2">
      <c r="B10" s="681" t="s">
        <v>1470</v>
      </c>
      <c r="D10" s="697">
        <f>SUM(E10:L10)</f>
        <v>2934581.65</v>
      </c>
      <c r="E10" s="794">
        <f>153.02+2753735.8+176041.81+4651.02</f>
        <v>2934581.65</v>
      </c>
      <c r="F10" s="794">
        <v>0</v>
      </c>
      <c r="G10" s="794">
        <v>0</v>
      </c>
      <c r="H10" s="794">
        <v>0</v>
      </c>
      <c r="I10" s="794"/>
      <c r="J10" s="794">
        <v>0</v>
      </c>
      <c r="K10" s="794">
        <v>0</v>
      </c>
      <c r="L10" s="794">
        <v>0</v>
      </c>
    </row>
    <row r="11" spans="1:13" x14ac:dyDescent="0.2">
      <c r="B11" s="698" t="s">
        <v>1471</v>
      </c>
      <c r="D11" s="697">
        <f>SUM(E11:L11)</f>
        <v>0</v>
      </c>
      <c r="E11" s="794">
        <v>0</v>
      </c>
      <c r="F11" s="794">
        <v>0</v>
      </c>
      <c r="G11" s="794">
        <v>0</v>
      </c>
      <c r="H11" s="794">
        <v>0</v>
      </c>
      <c r="I11" s="794"/>
      <c r="J11" s="794">
        <v>0</v>
      </c>
      <c r="K11" s="794">
        <v>0</v>
      </c>
      <c r="L11" s="794">
        <v>0</v>
      </c>
    </row>
    <row r="12" spans="1:13" x14ac:dyDescent="0.2">
      <c r="B12" s="698" t="s">
        <v>1472</v>
      </c>
      <c r="D12" s="697">
        <f>SUM(E12:L12)</f>
        <v>3888980.6700000009</v>
      </c>
      <c r="E12" s="794">
        <v>0</v>
      </c>
      <c r="F12" s="794"/>
      <c r="G12" s="794"/>
      <c r="H12" s="794"/>
      <c r="I12" s="794"/>
      <c r="J12" s="794">
        <v>0</v>
      </c>
      <c r="K12" s="794">
        <f>201655.4+17575.51+2240232.08+1273233.31+0.47+2143.93+154139.97</f>
        <v>3888980.6700000009</v>
      </c>
      <c r="L12" s="794"/>
    </row>
    <row r="13" spans="1:13" x14ac:dyDescent="0.2">
      <c r="B13" s="681" t="s">
        <v>1473</v>
      </c>
      <c r="D13" s="697">
        <f>SUM(E13:L13)</f>
        <v>0</v>
      </c>
      <c r="E13" s="795">
        <v>0</v>
      </c>
      <c r="F13" s="795">
        <v>0</v>
      </c>
      <c r="G13" s="795">
        <v>0</v>
      </c>
      <c r="H13" s="795">
        <v>0</v>
      </c>
      <c r="I13" s="795"/>
      <c r="J13" s="795">
        <v>0</v>
      </c>
      <c r="K13" s="795">
        <v>0</v>
      </c>
      <c r="L13" s="795">
        <v>0</v>
      </c>
      <c r="M13" s="699"/>
    </row>
    <row r="14" spans="1:13" x14ac:dyDescent="0.2">
      <c r="B14" s="681" t="s">
        <v>1474</v>
      </c>
      <c r="D14" s="700">
        <f>SUM(D10:D13)</f>
        <v>6823562.3200000003</v>
      </c>
      <c r="E14" s="700">
        <f t="shared" ref="E14:L14" si="0">SUM(E10:E13)</f>
        <v>2934581.65</v>
      </c>
      <c r="F14" s="700">
        <f t="shared" si="0"/>
        <v>0</v>
      </c>
      <c r="G14" s="700">
        <f t="shared" si="0"/>
        <v>0</v>
      </c>
      <c r="H14" s="700">
        <f t="shared" si="0"/>
        <v>0</v>
      </c>
      <c r="I14" s="700">
        <f t="shared" si="0"/>
        <v>0</v>
      </c>
      <c r="J14" s="700">
        <f t="shared" si="0"/>
        <v>0</v>
      </c>
      <c r="K14" s="700">
        <f t="shared" si="0"/>
        <v>3888980.6700000009</v>
      </c>
      <c r="L14" s="700">
        <f t="shared" si="0"/>
        <v>0</v>
      </c>
    </row>
    <row r="15" spans="1:13" x14ac:dyDescent="0.2">
      <c r="A15" s="681" t="s">
        <v>1475</v>
      </c>
      <c r="D15" s="701"/>
      <c r="E15" s="701"/>
      <c r="F15" s="701"/>
      <c r="G15" s="701"/>
      <c r="H15" s="701"/>
      <c r="I15" s="701"/>
      <c r="J15" s="701"/>
      <c r="K15" s="701"/>
      <c r="L15" s="701"/>
    </row>
    <row r="16" spans="1:13" x14ac:dyDescent="0.2">
      <c r="B16" s="681" t="s">
        <v>1476</v>
      </c>
      <c r="D16" s="697">
        <f t="shared" ref="D16:D21" si="1">SUM(E16:L16)</f>
        <v>20320.48</v>
      </c>
      <c r="E16" s="796">
        <v>0</v>
      </c>
      <c r="F16" s="796">
        <v>0</v>
      </c>
      <c r="G16" s="796">
        <v>0</v>
      </c>
      <c r="H16" s="796">
        <v>0</v>
      </c>
      <c r="I16" s="796">
        <v>0</v>
      </c>
      <c r="J16" s="796">
        <v>0</v>
      </c>
      <c r="K16" s="796">
        <v>20320.48</v>
      </c>
      <c r="L16" s="796">
        <v>0</v>
      </c>
    </row>
    <row r="17" spans="1:18" x14ac:dyDescent="0.2">
      <c r="B17" s="681" t="s">
        <v>1477</v>
      </c>
      <c r="D17" s="697">
        <f t="shared" si="1"/>
        <v>245403.81</v>
      </c>
      <c r="E17" s="797">
        <f>132730.4-8241.86</f>
        <v>124488.54</v>
      </c>
      <c r="F17" s="796">
        <v>0</v>
      </c>
      <c r="G17" s="796">
        <v>0</v>
      </c>
      <c r="H17" s="796">
        <v>0</v>
      </c>
      <c r="I17" s="796">
        <v>0</v>
      </c>
      <c r="J17" s="798"/>
      <c r="K17" s="796">
        <v>0</v>
      </c>
      <c r="L17" s="797">
        <v>120915.27</v>
      </c>
      <c r="M17" s="699"/>
    </row>
    <row r="18" spans="1:18" x14ac:dyDescent="0.2">
      <c r="B18" s="698" t="s">
        <v>1478</v>
      </c>
      <c r="D18" s="697">
        <f t="shared" si="1"/>
        <v>0</v>
      </c>
      <c r="E18" s="794">
        <v>0</v>
      </c>
      <c r="F18" s="794">
        <v>0</v>
      </c>
      <c r="G18" s="794">
        <v>0</v>
      </c>
      <c r="H18" s="794">
        <v>0</v>
      </c>
      <c r="I18" s="794">
        <v>0</v>
      </c>
      <c r="J18" s="794">
        <v>0</v>
      </c>
      <c r="K18" s="794">
        <v>0</v>
      </c>
      <c r="L18" s="794">
        <v>0</v>
      </c>
    </row>
    <row r="19" spans="1:18" x14ac:dyDescent="0.2">
      <c r="B19" s="681" t="s">
        <v>1479</v>
      </c>
      <c r="D19" s="697">
        <f t="shared" si="1"/>
        <v>0</v>
      </c>
      <c r="E19" s="795">
        <v>0</v>
      </c>
      <c r="F19" s="795">
        <v>0</v>
      </c>
      <c r="G19" s="795">
        <v>0</v>
      </c>
      <c r="H19" s="795">
        <v>0</v>
      </c>
      <c r="I19" s="795">
        <v>0</v>
      </c>
      <c r="J19" s="795">
        <v>0</v>
      </c>
      <c r="K19" s="795">
        <v>0</v>
      </c>
      <c r="L19" s="795">
        <v>0</v>
      </c>
    </row>
    <row r="20" spans="1:18" x14ac:dyDescent="0.2">
      <c r="B20" s="698" t="s">
        <v>1480</v>
      </c>
      <c r="D20" s="697">
        <f t="shared" si="1"/>
        <v>28116.59</v>
      </c>
      <c r="E20" s="794">
        <v>28116.59</v>
      </c>
      <c r="F20" s="794">
        <v>0</v>
      </c>
      <c r="G20" s="794">
        <v>0</v>
      </c>
      <c r="H20" s="794">
        <v>0</v>
      </c>
      <c r="I20" s="794">
        <v>0</v>
      </c>
      <c r="J20" s="794">
        <v>0</v>
      </c>
      <c r="K20" s="794">
        <v>0</v>
      </c>
      <c r="L20" s="794">
        <v>0</v>
      </c>
    </row>
    <row r="21" spans="1:18" x14ac:dyDescent="0.2">
      <c r="B21" s="681" t="s">
        <v>1481</v>
      </c>
      <c r="D21" s="697">
        <f t="shared" si="1"/>
        <v>0</v>
      </c>
      <c r="E21" s="799">
        <v>0</v>
      </c>
      <c r="F21" s="799">
        <v>0</v>
      </c>
      <c r="G21" s="799">
        <v>0</v>
      </c>
      <c r="H21" s="799">
        <v>0</v>
      </c>
      <c r="I21" s="799">
        <v>0</v>
      </c>
      <c r="J21" s="799">
        <v>0</v>
      </c>
      <c r="K21" s="799">
        <v>0</v>
      </c>
      <c r="L21" s="799">
        <v>0</v>
      </c>
    </row>
    <row r="22" spans="1:18" x14ac:dyDescent="0.2">
      <c r="B22" s="698" t="s">
        <v>1482</v>
      </c>
      <c r="D22" s="700">
        <f>SUM(D16:D21)</f>
        <v>293840.88</v>
      </c>
      <c r="E22" s="700">
        <f t="shared" ref="E22:L22" si="2">SUM(E16:E21)</f>
        <v>152605.13</v>
      </c>
      <c r="F22" s="700">
        <f t="shared" si="2"/>
        <v>0</v>
      </c>
      <c r="G22" s="700">
        <f t="shared" si="2"/>
        <v>0</v>
      </c>
      <c r="H22" s="700">
        <f t="shared" si="2"/>
        <v>0</v>
      </c>
      <c r="I22" s="700">
        <f t="shared" si="2"/>
        <v>0</v>
      </c>
      <c r="J22" s="700">
        <f t="shared" si="2"/>
        <v>0</v>
      </c>
      <c r="K22" s="700">
        <f t="shared" si="2"/>
        <v>20320.48</v>
      </c>
      <c r="L22" s="700">
        <f t="shared" si="2"/>
        <v>120915.27</v>
      </c>
    </row>
    <row r="23" spans="1:18" ht="8.25" customHeight="1" x14ac:dyDescent="0.2">
      <c r="D23" s="697"/>
      <c r="E23" s="697"/>
      <c r="F23" s="697"/>
      <c r="G23" s="697"/>
      <c r="H23" s="697"/>
      <c r="I23" s="697"/>
      <c r="J23" s="697"/>
      <c r="K23" s="697"/>
      <c r="L23" s="697"/>
    </row>
    <row r="24" spans="1:18" x14ac:dyDescent="0.2">
      <c r="A24" s="698" t="s">
        <v>1483</v>
      </c>
      <c r="D24" s="697"/>
      <c r="E24" s="697"/>
      <c r="F24" s="697"/>
      <c r="G24" s="697"/>
      <c r="H24" s="697"/>
      <c r="I24" s="697"/>
      <c r="J24" s="697"/>
      <c r="K24" s="697"/>
      <c r="L24" s="697"/>
    </row>
    <row r="25" spans="1:18" x14ac:dyDescent="0.2">
      <c r="B25" s="698" t="s">
        <v>1484</v>
      </c>
      <c r="D25" s="697">
        <f t="shared" ref="D25:D33" si="3">SUM(E25:L25)</f>
        <v>104973.55</v>
      </c>
      <c r="E25" s="794">
        <v>0</v>
      </c>
      <c r="F25" s="794">
        <v>0</v>
      </c>
      <c r="G25" s="794">
        <v>0</v>
      </c>
      <c r="H25" s="794">
        <v>0</v>
      </c>
      <c r="I25" s="794"/>
      <c r="J25" s="794">
        <v>0</v>
      </c>
      <c r="K25" s="794">
        <f>110986.55-6013</f>
        <v>104973.55</v>
      </c>
      <c r="L25" s="794">
        <v>0</v>
      </c>
      <c r="O25" s="720"/>
      <c r="P25" s="720"/>
      <c r="Q25" s="720"/>
      <c r="R25" s="720"/>
    </row>
    <row r="26" spans="1:18" x14ac:dyDescent="0.2">
      <c r="B26" s="702" t="s">
        <v>1485</v>
      </c>
      <c r="D26" s="697">
        <f t="shared" si="3"/>
        <v>0</v>
      </c>
      <c r="E26" s="794">
        <v>0</v>
      </c>
      <c r="F26" s="794">
        <v>0</v>
      </c>
      <c r="G26" s="794">
        <v>0</v>
      </c>
      <c r="H26" s="794"/>
      <c r="I26" s="794"/>
      <c r="J26" s="794">
        <v>0</v>
      </c>
      <c r="K26" s="794">
        <v>0</v>
      </c>
      <c r="L26" s="794">
        <v>0</v>
      </c>
      <c r="O26" s="720"/>
      <c r="P26" s="720"/>
      <c r="Q26" s="720"/>
      <c r="R26" s="720"/>
    </row>
    <row r="27" spans="1:18" x14ac:dyDescent="0.2">
      <c r="A27" s="698"/>
      <c r="B27" s="698" t="s">
        <v>1486</v>
      </c>
      <c r="D27" s="697">
        <f t="shared" si="3"/>
        <v>24202450.09</v>
      </c>
      <c r="E27" s="795">
        <v>0</v>
      </c>
      <c r="F27" s="795">
        <v>0</v>
      </c>
      <c r="G27" s="795">
        <v>0</v>
      </c>
      <c r="H27" s="795">
        <v>0</v>
      </c>
      <c r="I27" s="795"/>
      <c r="J27" s="795">
        <v>0</v>
      </c>
      <c r="K27" s="794">
        <f>5827158.18+18375291.91</f>
        <v>24202450.09</v>
      </c>
      <c r="L27" s="795">
        <v>0</v>
      </c>
      <c r="O27" s="720"/>
      <c r="P27" s="720"/>
      <c r="Q27" s="720"/>
      <c r="R27" s="720"/>
    </row>
    <row r="28" spans="1:18" x14ac:dyDescent="0.2">
      <c r="A28" s="698"/>
      <c r="B28" s="702" t="s">
        <v>1487</v>
      </c>
      <c r="D28" s="697">
        <f t="shared" si="3"/>
        <v>-1750211</v>
      </c>
      <c r="E28" s="795">
        <v>0</v>
      </c>
      <c r="F28" s="795">
        <v>0</v>
      </c>
      <c r="G28" s="795">
        <v>0</v>
      </c>
      <c r="H28" s="795">
        <v>0</v>
      </c>
      <c r="I28" s="795"/>
      <c r="J28" s="795">
        <v>0</v>
      </c>
      <c r="K28" s="795">
        <f>-1396137.54-370083.48+16010.02</f>
        <v>-1750211</v>
      </c>
      <c r="L28" s="795">
        <v>0</v>
      </c>
      <c r="O28" s="720"/>
      <c r="P28" s="720"/>
      <c r="Q28" s="720"/>
      <c r="R28" s="720"/>
    </row>
    <row r="29" spans="1:18" x14ac:dyDescent="0.2">
      <c r="A29" s="698"/>
      <c r="B29" s="703" t="s">
        <v>1488</v>
      </c>
      <c r="D29" s="697">
        <f t="shared" si="3"/>
        <v>0</v>
      </c>
      <c r="E29" s="795">
        <v>0</v>
      </c>
      <c r="F29" s="795"/>
      <c r="G29" s="795"/>
      <c r="H29" s="795"/>
      <c r="I29" s="795"/>
      <c r="J29" s="795">
        <v>0</v>
      </c>
      <c r="K29" s="795">
        <v>0</v>
      </c>
      <c r="L29" s="795"/>
      <c r="O29" s="720"/>
      <c r="P29" s="720"/>
      <c r="Q29" s="720"/>
      <c r="R29" s="720"/>
    </row>
    <row r="30" spans="1:18" x14ac:dyDescent="0.2">
      <c r="A30" s="698"/>
      <c r="B30" s="696" t="s">
        <v>1489</v>
      </c>
      <c r="D30" s="697">
        <f t="shared" si="3"/>
        <v>100703.03999999999</v>
      </c>
      <c r="E30" s="795">
        <v>0</v>
      </c>
      <c r="F30" s="795">
        <v>0</v>
      </c>
      <c r="G30" s="795">
        <v>0</v>
      </c>
      <c r="H30" s="795">
        <v>0</v>
      </c>
      <c r="I30" s="795"/>
      <c r="J30" s="795">
        <v>0</v>
      </c>
      <c r="K30" s="794">
        <v>100703.03999999999</v>
      </c>
      <c r="L30" s="795">
        <v>0</v>
      </c>
      <c r="O30" s="720"/>
      <c r="P30" s="720"/>
      <c r="Q30" s="720"/>
      <c r="R30" s="720"/>
    </row>
    <row r="31" spans="1:18" x14ac:dyDescent="0.2">
      <c r="A31" s="698"/>
      <c r="B31" s="702" t="s">
        <v>1487</v>
      </c>
      <c r="D31" s="697">
        <f t="shared" si="3"/>
        <v>-100703.03999999999</v>
      </c>
      <c r="E31" s="795">
        <v>0</v>
      </c>
      <c r="F31" s="795">
        <v>0</v>
      </c>
      <c r="G31" s="795">
        <v>0</v>
      </c>
      <c r="H31" s="795">
        <v>0</v>
      </c>
      <c r="I31" s="795"/>
      <c r="J31" s="795">
        <v>0</v>
      </c>
      <c r="K31" s="795">
        <v>-100703.03999999999</v>
      </c>
      <c r="L31" s="795">
        <v>0</v>
      </c>
      <c r="O31" s="720"/>
      <c r="P31" s="720"/>
      <c r="Q31" s="720"/>
      <c r="R31" s="720"/>
    </row>
    <row r="32" spans="1:18" x14ac:dyDescent="0.2">
      <c r="A32" s="698"/>
      <c r="B32" s="698" t="s">
        <v>1490</v>
      </c>
      <c r="D32" s="697">
        <f t="shared" si="3"/>
        <v>637773.1</v>
      </c>
      <c r="E32" s="795">
        <v>0</v>
      </c>
      <c r="F32" s="795">
        <v>0</v>
      </c>
      <c r="G32" s="795">
        <v>0</v>
      </c>
      <c r="H32" s="795">
        <v>0</v>
      </c>
      <c r="I32" s="795"/>
      <c r="J32" s="795">
        <v>0</v>
      </c>
      <c r="K32" s="795">
        <v>637773.1</v>
      </c>
      <c r="L32" s="795">
        <v>0</v>
      </c>
      <c r="M32" s="699"/>
      <c r="O32" s="720"/>
      <c r="P32" s="720"/>
      <c r="Q32" s="720"/>
      <c r="R32" s="720"/>
    </row>
    <row r="33" spans="1:18" x14ac:dyDescent="0.2">
      <c r="B33" s="702" t="s">
        <v>1487</v>
      </c>
      <c r="D33" s="704">
        <f t="shared" si="3"/>
        <v>-223469.05</v>
      </c>
      <c r="E33" s="799">
        <v>0</v>
      </c>
      <c r="F33" s="799">
        <v>0</v>
      </c>
      <c r="G33" s="799">
        <v>0</v>
      </c>
      <c r="H33" s="799">
        <v>0</v>
      </c>
      <c r="I33" s="799">
        <v>0</v>
      </c>
      <c r="J33" s="799">
        <v>0</v>
      </c>
      <c r="K33" s="799">
        <f>-201260.83-22208.22</f>
        <v>-223469.05</v>
      </c>
      <c r="L33" s="799">
        <v>0</v>
      </c>
      <c r="M33" s="705"/>
      <c r="O33" s="720"/>
      <c r="P33" s="720"/>
      <c r="Q33" s="720"/>
      <c r="R33" s="720"/>
    </row>
    <row r="34" spans="1:18" x14ac:dyDescent="0.2">
      <c r="B34" s="698" t="s">
        <v>1491</v>
      </c>
      <c r="D34" s="697">
        <f>SUM(D25:D33)</f>
        <v>22971516.690000001</v>
      </c>
      <c r="E34" s="697">
        <f t="shared" ref="E34:L34" si="4">SUM(E25:E33)</f>
        <v>0</v>
      </c>
      <c r="F34" s="697">
        <f t="shared" si="4"/>
        <v>0</v>
      </c>
      <c r="G34" s="697">
        <f t="shared" si="4"/>
        <v>0</v>
      </c>
      <c r="H34" s="697">
        <f t="shared" si="4"/>
        <v>0</v>
      </c>
      <c r="I34" s="697">
        <f t="shared" si="4"/>
        <v>0</v>
      </c>
      <c r="J34" s="697">
        <f t="shared" si="4"/>
        <v>0</v>
      </c>
      <c r="K34" s="697">
        <f t="shared" si="4"/>
        <v>22971516.690000001</v>
      </c>
      <c r="L34" s="697">
        <f t="shared" si="4"/>
        <v>0</v>
      </c>
      <c r="O34" s="720"/>
      <c r="P34" s="720"/>
      <c r="Q34" s="720"/>
      <c r="R34" s="720"/>
    </row>
    <row r="35" spans="1:18" ht="8.25" customHeight="1" x14ac:dyDescent="0.2">
      <c r="B35" s="698"/>
      <c r="D35" s="706"/>
      <c r="E35" s="707"/>
      <c r="F35" s="707"/>
      <c r="G35" s="707"/>
      <c r="H35" s="707"/>
      <c r="I35" s="707"/>
      <c r="J35" s="707"/>
      <c r="K35" s="707"/>
      <c r="L35" s="707"/>
      <c r="O35" s="720"/>
      <c r="P35" s="720"/>
      <c r="Q35" s="720"/>
      <c r="R35" s="720"/>
    </row>
    <row r="36" spans="1:18" ht="13.5" thickBot="1" x14ac:dyDescent="0.25">
      <c r="A36" s="681" t="s">
        <v>1492</v>
      </c>
      <c r="D36" s="708">
        <f>SUM(E36:L36)</f>
        <v>30088919.890000004</v>
      </c>
      <c r="E36" s="708">
        <f t="shared" ref="E36:L36" si="5">+E14+E22+E34</f>
        <v>3087186.78</v>
      </c>
      <c r="F36" s="708">
        <f t="shared" si="5"/>
        <v>0</v>
      </c>
      <c r="G36" s="708">
        <f t="shared" si="5"/>
        <v>0</v>
      </c>
      <c r="H36" s="708">
        <f t="shared" si="5"/>
        <v>0</v>
      </c>
      <c r="I36" s="708">
        <f t="shared" si="5"/>
        <v>0</v>
      </c>
      <c r="J36" s="708">
        <f t="shared" si="5"/>
        <v>0</v>
      </c>
      <c r="K36" s="708">
        <f t="shared" si="5"/>
        <v>26880817.840000004</v>
      </c>
      <c r="L36" s="708">
        <f t="shared" si="5"/>
        <v>120915.27</v>
      </c>
      <c r="O36" s="720"/>
      <c r="P36" s="720"/>
      <c r="Q36" s="720"/>
      <c r="R36" s="720"/>
    </row>
    <row r="37" spans="1:18" ht="13.5" thickTop="1" x14ac:dyDescent="0.2">
      <c r="D37" s="707"/>
      <c r="E37" s="707"/>
      <c r="F37" s="707"/>
      <c r="G37" s="707"/>
      <c r="H37" s="707"/>
      <c r="I37" s="707"/>
      <c r="J37" s="707"/>
      <c r="K37" s="707"/>
      <c r="L37" s="707"/>
      <c r="O37" s="720"/>
      <c r="P37" s="720"/>
      <c r="Q37" s="720"/>
      <c r="R37" s="720"/>
    </row>
    <row r="38" spans="1:18" x14ac:dyDescent="0.2">
      <c r="A38" s="813" t="s">
        <v>1493</v>
      </c>
      <c r="B38" s="813"/>
      <c r="C38" s="694"/>
      <c r="D38" s="701"/>
      <c r="E38" s="707"/>
      <c r="F38" s="707"/>
      <c r="G38" s="707"/>
      <c r="H38" s="707"/>
      <c r="I38" s="707"/>
      <c r="J38" s="707"/>
      <c r="K38" s="707"/>
      <c r="L38" s="707"/>
      <c r="M38" s="709"/>
      <c r="O38" s="720"/>
      <c r="P38" s="720"/>
      <c r="Q38" s="720"/>
      <c r="R38" s="720"/>
    </row>
    <row r="39" spans="1:18" x14ac:dyDescent="0.2">
      <c r="A39" s="681" t="s">
        <v>1516</v>
      </c>
      <c r="B39" s="694"/>
      <c r="C39" s="694"/>
      <c r="D39" s="707"/>
      <c r="E39" s="707"/>
      <c r="F39" s="707"/>
      <c r="G39" s="707"/>
      <c r="H39" s="707"/>
      <c r="I39" s="707"/>
      <c r="J39" s="707"/>
      <c r="K39" s="707"/>
      <c r="L39" s="707"/>
      <c r="O39" s="721"/>
      <c r="P39" s="720"/>
      <c r="Q39" s="720"/>
      <c r="R39" s="720"/>
    </row>
    <row r="40" spans="1:18" x14ac:dyDescent="0.2">
      <c r="B40" s="681" t="s">
        <v>1494</v>
      </c>
      <c r="D40" s="701">
        <f t="shared" ref="D40:D47" si="6">SUM(E40:L40)</f>
        <v>253645.66999999998</v>
      </c>
      <c r="E40" s="797">
        <v>120915.27</v>
      </c>
      <c r="F40" s="794">
        <v>0</v>
      </c>
      <c r="G40" s="794">
        <v>0</v>
      </c>
      <c r="H40" s="794">
        <v>0</v>
      </c>
      <c r="I40" s="794"/>
      <c r="J40" s="797">
        <v>6101.32</v>
      </c>
      <c r="K40" s="794">
        <f>237615.63-110986.55</f>
        <v>126629.08</v>
      </c>
      <c r="L40" s="794">
        <v>0</v>
      </c>
      <c r="M40" s="793"/>
      <c r="N40" s="699"/>
      <c r="O40" s="720"/>
      <c r="P40" s="720"/>
      <c r="Q40" s="720"/>
      <c r="R40" s="720"/>
    </row>
    <row r="41" spans="1:18" x14ac:dyDescent="0.2">
      <c r="B41" s="698" t="s">
        <v>1495</v>
      </c>
      <c r="D41" s="701">
        <f t="shared" si="6"/>
        <v>0</v>
      </c>
      <c r="E41" s="794">
        <v>0</v>
      </c>
      <c r="F41" s="794">
        <v>0</v>
      </c>
      <c r="G41" s="794">
        <v>0</v>
      </c>
      <c r="H41" s="794"/>
      <c r="I41" s="794"/>
      <c r="J41" s="794">
        <v>0</v>
      </c>
      <c r="K41" s="794">
        <v>0</v>
      </c>
      <c r="L41" s="794">
        <v>0</v>
      </c>
      <c r="M41" s="699"/>
      <c r="O41" s="720"/>
      <c r="P41" s="721"/>
      <c r="Q41" s="722"/>
      <c r="R41" s="720"/>
    </row>
    <row r="42" spans="1:18" x14ac:dyDescent="0.2">
      <c r="B42" s="681" t="s">
        <v>1496</v>
      </c>
      <c r="D42" s="701">
        <f t="shared" si="6"/>
        <v>187781.6</v>
      </c>
      <c r="E42" s="794">
        <f>59245.71+8774.67+8774.67</f>
        <v>76795.05</v>
      </c>
      <c r="F42" s="794">
        <v>0</v>
      </c>
      <c r="G42" s="794">
        <v>0</v>
      </c>
      <c r="H42" s="794">
        <v>0</v>
      </c>
      <c r="I42" s="794"/>
      <c r="J42" s="794">
        <v>0</v>
      </c>
      <c r="K42" s="794">
        <v>110986.55</v>
      </c>
      <c r="L42" s="794">
        <v>0</v>
      </c>
      <c r="O42" s="720"/>
      <c r="P42" s="720"/>
      <c r="Q42" s="720"/>
      <c r="R42" s="720"/>
    </row>
    <row r="43" spans="1:18" x14ac:dyDescent="0.2">
      <c r="B43" s="698" t="s">
        <v>1497</v>
      </c>
      <c r="D43" s="701">
        <f t="shared" si="6"/>
        <v>108094.23</v>
      </c>
      <c r="E43" s="794">
        <v>108094.23</v>
      </c>
      <c r="F43" s="794">
        <v>0</v>
      </c>
      <c r="G43" s="794">
        <v>0</v>
      </c>
      <c r="H43" s="794">
        <v>0</v>
      </c>
      <c r="I43" s="794"/>
      <c r="J43" s="794">
        <v>0</v>
      </c>
      <c r="K43" s="794">
        <v>0</v>
      </c>
      <c r="L43" s="794">
        <v>0</v>
      </c>
      <c r="O43" s="720"/>
      <c r="P43" s="720"/>
      <c r="Q43" s="720"/>
      <c r="R43" s="720"/>
    </row>
    <row r="44" spans="1:18" x14ac:dyDescent="0.2">
      <c r="B44" s="681" t="s">
        <v>1498</v>
      </c>
      <c r="D44" s="701">
        <f t="shared" si="6"/>
        <v>176293.93</v>
      </c>
      <c r="E44" s="794">
        <v>176293.93</v>
      </c>
      <c r="F44" s="794">
        <v>0</v>
      </c>
      <c r="G44" s="794">
        <v>0</v>
      </c>
      <c r="H44" s="794">
        <v>0</v>
      </c>
      <c r="I44" s="794"/>
      <c r="J44" s="794">
        <v>0</v>
      </c>
      <c r="K44" s="794">
        <v>0</v>
      </c>
      <c r="L44" s="794">
        <v>0</v>
      </c>
      <c r="O44" s="720"/>
      <c r="P44" s="720"/>
      <c r="Q44" s="720"/>
      <c r="R44" s="720"/>
    </row>
    <row r="45" spans="1:18" x14ac:dyDescent="0.2">
      <c r="B45" s="681" t="s">
        <v>1499</v>
      </c>
      <c r="D45" s="697">
        <f t="shared" si="6"/>
        <v>0</v>
      </c>
      <c r="E45" s="795">
        <v>0</v>
      </c>
      <c r="F45" s="795">
        <v>0</v>
      </c>
      <c r="G45" s="795">
        <v>0</v>
      </c>
      <c r="H45" s="795">
        <v>0</v>
      </c>
      <c r="I45" s="795">
        <v>0</v>
      </c>
      <c r="J45" s="795">
        <v>0</v>
      </c>
      <c r="K45" s="795"/>
      <c r="L45" s="795">
        <v>0</v>
      </c>
    </row>
    <row r="46" spans="1:18" x14ac:dyDescent="0.2">
      <c r="B46" s="698" t="s">
        <v>1500</v>
      </c>
      <c r="D46" s="697">
        <f t="shared" si="6"/>
        <v>0</v>
      </c>
      <c r="E46" s="795">
        <v>0</v>
      </c>
      <c r="F46" s="795"/>
      <c r="G46" s="795"/>
      <c r="H46" s="795"/>
      <c r="I46" s="795"/>
      <c r="J46" s="795">
        <v>0</v>
      </c>
      <c r="K46" s="795">
        <v>0</v>
      </c>
      <c r="L46" s="795"/>
    </row>
    <row r="47" spans="1:18" x14ac:dyDescent="0.2">
      <c r="B47" s="698" t="s">
        <v>1501</v>
      </c>
      <c r="D47" s="704">
        <f t="shared" si="6"/>
        <v>64761.7</v>
      </c>
      <c r="E47" s="799">
        <v>-3982.3</v>
      </c>
      <c r="F47" s="799">
        <v>0</v>
      </c>
      <c r="G47" s="799">
        <v>0</v>
      </c>
      <c r="H47" s="799">
        <v>0</v>
      </c>
      <c r="I47" s="799">
        <v>0</v>
      </c>
      <c r="J47" s="799">
        <v>0</v>
      </c>
      <c r="K47" s="799">
        <f>69103-359</f>
        <v>68744</v>
      </c>
      <c r="L47" s="799">
        <v>0</v>
      </c>
      <c r="N47" s="699"/>
    </row>
    <row r="48" spans="1:18" x14ac:dyDescent="0.2">
      <c r="A48" s="681" t="s">
        <v>1517</v>
      </c>
      <c r="D48" s="697">
        <f>SUM(D40:D47)</f>
        <v>790577.12999999989</v>
      </c>
      <c r="E48" s="697">
        <f t="shared" ref="E48:L48" si="7">SUM(E40:E47)</f>
        <v>478116.18</v>
      </c>
      <c r="F48" s="697">
        <f t="shared" si="7"/>
        <v>0</v>
      </c>
      <c r="G48" s="697">
        <f t="shared" si="7"/>
        <v>0</v>
      </c>
      <c r="H48" s="697">
        <f t="shared" si="7"/>
        <v>0</v>
      </c>
      <c r="I48" s="697">
        <f t="shared" si="7"/>
        <v>0</v>
      </c>
      <c r="J48" s="697">
        <f t="shared" si="7"/>
        <v>6101.32</v>
      </c>
      <c r="K48" s="697">
        <f t="shared" si="7"/>
        <v>306359.63</v>
      </c>
      <c r="L48" s="697">
        <f t="shared" si="7"/>
        <v>0</v>
      </c>
    </row>
    <row r="49" spans="1:13" ht="10.5" customHeight="1" x14ac:dyDescent="0.2">
      <c r="D49" s="697"/>
      <c r="E49" s="701"/>
      <c r="F49" s="701"/>
      <c r="G49" s="701"/>
      <c r="H49" s="701"/>
      <c r="I49" s="701"/>
      <c r="J49" s="701"/>
      <c r="K49" s="701"/>
      <c r="L49" s="701"/>
    </row>
    <row r="50" spans="1:13" x14ac:dyDescent="0.2">
      <c r="A50" s="698" t="s">
        <v>1502</v>
      </c>
      <c r="D50" s="697"/>
      <c r="E50" s="701"/>
      <c r="F50" s="701"/>
      <c r="G50" s="701"/>
      <c r="H50" s="701"/>
      <c r="I50" s="701"/>
      <c r="J50" s="701"/>
      <c r="K50" s="701"/>
      <c r="L50" s="701"/>
    </row>
    <row r="51" spans="1:13" x14ac:dyDescent="0.2">
      <c r="A51" s="698"/>
      <c r="B51" s="698" t="s">
        <v>1503</v>
      </c>
      <c r="D51" s="697">
        <f>SUM(E51:L51)</f>
        <v>27850000</v>
      </c>
      <c r="E51" s="795">
        <v>0</v>
      </c>
      <c r="F51" s="795">
        <v>0</v>
      </c>
      <c r="G51" s="795">
        <v>0</v>
      </c>
      <c r="H51" s="795">
        <v>0</v>
      </c>
      <c r="I51" s="795">
        <v>0</v>
      </c>
      <c r="J51" s="795">
        <v>0</v>
      </c>
      <c r="K51" s="795">
        <v>27850000</v>
      </c>
      <c r="L51" s="795"/>
    </row>
    <row r="52" spans="1:13" x14ac:dyDescent="0.2">
      <c r="A52" s="698"/>
      <c r="B52" s="698" t="s">
        <v>1504</v>
      </c>
      <c r="D52" s="704">
        <f>SUM(E52:L52)</f>
        <v>0</v>
      </c>
      <c r="E52" s="799"/>
      <c r="F52" s="799"/>
      <c r="G52" s="799"/>
      <c r="H52" s="799"/>
      <c r="I52" s="799"/>
      <c r="J52" s="799"/>
      <c r="K52" s="799">
        <v>0</v>
      </c>
      <c r="L52" s="799"/>
    </row>
    <row r="53" spans="1:13" x14ac:dyDescent="0.2">
      <c r="A53" s="681" t="s">
        <v>1515</v>
      </c>
      <c r="D53" s="697">
        <f>SUM(D51:D52)</f>
        <v>27850000</v>
      </c>
      <c r="E53" s="697">
        <f t="shared" ref="E53:L53" si="8">SUM(E51:E52)</f>
        <v>0</v>
      </c>
      <c r="F53" s="697">
        <f t="shared" si="8"/>
        <v>0</v>
      </c>
      <c r="G53" s="697">
        <f t="shared" si="8"/>
        <v>0</v>
      </c>
      <c r="H53" s="697">
        <f t="shared" si="8"/>
        <v>0</v>
      </c>
      <c r="I53" s="697">
        <f t="shared" si="8"/>
        <v>0</v>
      </c>
      <c r="J53" s="697">
        <f t="shared" si="8"/>
        <v>0</v>
      </c>
      <c r="K53" s="697">
        <f t="shared" si="8"/>
        <v>27850000</v>
      </c>
      <c r="L53" s="697">
        <f t="shared" si="8"/>
        <v>0</v>
      </c>
    </row>
    <row r="54" spans="1:13" ht="10.5" customHeight="1" x14ac:dyDescent="0.2">
      <c r="A54" s="698"/>
      <c r="D54" s="710"/>
      <c r="E54" s="706"/>
      <c r="F54" s="706"/>
      <c r="G54" s="706"/>
      <c r="H54" s="706"/>
      <c r="I54" s="706"/>
      <c r="J54" s="706"/>
      <c r="K54" s="706"/>
      <c r="L54" s="706"/>
    </row>
    <row r="55" spans="1:13" x14ac:dyDescent="0.2">
      <c r="A55" s="681" t="s">
        <v>1505</v>
      </c>
      <c r="D55" s="706"/>
      <c r="E55" s="707"/>
      <c r="F55" s="707"/>
      <c r="G55" s="707"/>
      <c r="H55" s="707"/>
      <c r="I55" s="707"/>
      <c r="J55" s="707"/>
      <c r="K55" s="707"/>
      <c r="L55" s="707"/>
    </row>
    <row r="56" spans="1:13" x14ac:dyDescent="0.2">
      <c r="B56" s="681" t="s">
        <v>1506</v>
      </c>
      <c r="D56" s="697">
        <f t="shared" ref="D56:D63" si="9">SUM(E56:L56)</f>
        <v>0</v>
      </c>
      <c r="E56" s="794"/>
      <c r="F56" s="794">
        <v>0</v>
      </c>
      <c r="G56" s="794">
        <v>0</v>
      </c>
      <c r="H56" s="794">
        <v>0</v>
      </c>
      <c r="I56" s="794">
        <v>0</v>
      </c>
      <c r="J56" s="794">
        <v>0</v>
      </c>
      <c r="K56" s="794">
        <v>0</v>
      </c>
      <c r="L56" s="794">
        <v>0</v>
      </c>
    </row>
    <row r="57" spans="1:13" hidden="1" x14ac:dyDescent="0.2">
      <c r="B57" s="681" t="s">
        <v>1507</v>
      </c>
      <c r="D57" s="697">
        <f t="shared" si="9"/>
        <v>0</v>
      </c>
      <c r="E57" s="795">
        <v>0</v>
      </c>
      <c r="F57" s="795">
        <v>0</v>
      </c>
      <c r="G57" s="795">
        <v>0</v>
      </c>
      <c r="H57" s="795">
        <v>0</v>
      </c>
      <c r="I57" s="794">
        <v>0</v>
      </c>
      <c r="J57" s="794">
        <v>0</v>
      </c>
      <c r="K57" s="794">
        <v>0</v>
      </c>
      <c r="L57" s="795">
        <v>0</v>
      </c>
    </row>
    <row r="58" spans="1:13" x14ac:dyDescent="0.2">
      <c r="B58" s="698" t="s">
        <v>1508</v>
      </c>
      <c r="D58" s="697">
        <f t="shared" si="9"/>
        <v>310000</v>
      </c>
      <c r="E58" s="795">
        <v>310000</v>
      </c>
      <c r="F58" s="795">
        <v>0</v>
      </c>
      <c r="G58" s="795">
        <v>0</v>
      </c>
      <c r="H58" s="795">
        <v>0</v>
      </c>
      <c r="I58" s="795">
        <v>0</v>
      </c>
      <c r="J58" s="795">
        <v>0</v>
      </c>
      <c r="K58" s="795">
        <v>0</v>
      </c>
      <c r="L58" s="795">
        <v>0</v>
      </c>
    </row>
    <row r="59" spans="1:13" x14ac:dyDescent="0.2">
      <c r="B59" s="698" t="s">
        <v>1509</v>
      </c>
      <c r="D59" s="697">
        <f t="shared" si="9"/>
        <v>241983</v>
      </c>
      <c r="E59" s="795">
        <v>241983</v>
      </c>
      <c r="F59" s="795">
        <v>0</v>
      </c>
      <c r="G59" s="795">
        <v>0</v>
      </c>
      <c r="H59" s="795">
        <v>0</v>
      </c>
      <c r="I59" s="795"/>
      <c r="J59" s="795">
        <v>0</v>
      </c>
      <c r="K59" s="795">
        <v>0</v>
      </c>
      <c r="L59" s="795">
        <v>0</v>
      </c>
    </row>
    <row r="60" spans="1:13" x14ac:dyDescent="0.2">
      <c r="B60" s="698" t="s">
        <v>1510</v>
      </c>
      <c r="D60" s="697">
        <f t="shared" si="9"/>
        <v>0</v>
      </c>
      <c r="E60" s="795">
        <v>0</v>
      </c>
      <c r="F60" s="795">
        <v>0</v>
      </c>
      <c r="G60" s="795">
        <v>0</v>
      </c>
      <c r="H60" s="795">
        <v>0</v>
      </c>
      <c r="I60" s="795">
        <v>0</v>
      </c>
      <c r="J60" s="795">
        <v>0</v>
      </c>
      <c r="K60" s="798">
        <v>0</v>
      </c>
      <c r="L60" s="795">
        <v>0</v>
      </c>
    </row>
    <row r="61" spans="1:13" x14ac:dyDescent="0.2">
      <c r="B61" s="698" t="s">
        <v>1511</v>
      </c>
      <c r="D61" s="697">
        <f t="shared" si="9"/>
        <v>392628.48000000004</v>
      </c>
      <c r="E61" s="795">
        <f>1621470.27-366628.4-229516.17</f>
        <v>1025325.7000000001</v>
      </c>
      <c r="F61" s="795"/>
      <c r="G61" s="795"/>
      <c r="H61" s="795"/>
      <c r="I61" s="795"/>
      <c r="J61" s="795">
        <v>14112.23</v>
      </c>
      <c r="K61" s="798">
        <f>-492454.16-279045.83</f>
        <v>-771499.99</v>
      </c>
      <c r="L61" s="795">
        <v>124690.54</v>
      </c>
    </row>
    <row r="62" spans="1:13" x14ac:dyDescent="0.2">
      <c r="B62" s="698" t="s">
        <v>1511</v>
      </c>
      <c r="D62" s="697">
        <f t="shared" si="9"/>
        <v>-394261.71</v>
      </c>
      <c r="E62" s="795">
        <v>155368.03</v>
      </c>
      <c r="F62" s="795"/>
      <c r="G62" s="795"/>
      <c r="H62" s="795"/>
      <c r="I62" s="795"/>
      <c r="J62" s="795"/>
      <c r="K62" s="798">
        <v>-541045.80000000005</v>
      </c>
      <c r="L62" s="795">
        <v>-8583.94</v>
      </c>
    </row>
    <row r="63" spans="1:13" x14ac:dyDescent="0.2">
      <c r="B63" s="698" t="s">
        <v>1512</v>
      </c>
      <c r="D63" s="697">
        <f t="shared" si="9"/>
        <v>897992.99000000092</v>
      </c>
      <c r="E63" s="799">
        <f>+'Rev-Exp 12.31.18'!C90</f>
        <v>876393.87000000104</v>
      </c>
      <c r="F63" s="799">
        <v>0</v>
      </c>
      <c r="G63" s="799">
        <v>0</v>
      </c>
      <c r="H63" s="799">
        <v>0</v>
      </c>
      <c r="I63" s="799">
        <v>0</v>
      </c>
      <c r="J63" s="800">
        <f>+'Rev-Exp 12.31.18'!C102</f>
        <v>-20213.550000000003</v>
      </c>
      <c r="K63" s="799">
        <f>+'Rev-Exp 12.31.18'!C144</f>
        <v>37003.999999999884</v>
      </c>
      <c r="L63" s="801">
        <f>+'Rev-Exp 12.31.18'!C177</f>
        <v>4808.6700000000055</v>
      </c>
    </row>
    <row r="64" spans="1:13" x14ac:dyDescent="0.2">
      <c r="A64" s="681" t="s">
        <v>1513</v>
      </c>
      <c r="D64" s="711">
        <f t="shared" ref="D64:L64" si="10">SUM(D56:D63)</f>
        <v>1448342.7600000009</v>
      </c>
      <c r="E64" s="711">
        <f t="shared" si="10"/>
        <v>2609070.6000000015</v>
      </c>
      <c r="F64" s="711">
        <f t="shared" si="10"/>
        <v>0</v>
      </c>
      <c r="G64" s="711">
        <f t="shared" si="10"/>
        <v>0</v>
      </c>
      <c r="H64" s="711">
        <f t="shared" si="10"/>
        <v>0</v>
      </c>
      <c r="I64" s="711">
        <f t="shared" si="10"/>
        <v>0</v>
      </c>
      <c r="J64" s="711">
        <f t="shared" si="10"/>
        <v>-6101.3200000000033</v>
      </c>
      <c r="K64" s="711">
        <f t="shared" si="10"/>
        <v>-1275541.79</v>
      </c>
      <c r="L64" s="711">
        <f t="shared" si="10"/>
        <v>120915.26999999999</v>
      </c>
      <c r="M64" s="699"/>
    </row>
    <row r="65" spans="1:13" x14ac:dyDescent="0.2">
      <c r="D65" s="712"/>
      <c r="I65" s="683"/>
      <c r="J65" s="683"/>
      <c r="K65" s="683"/>
      <c r="L65" s="683"/>
    </row>
    <row r="66" spans="1:13" ht="13.5" thickBot="1" x14ac:dyDescent="0.25">
      <c r="A66" s="681" t="s">
        <v>1514</v>
      </c>
      <c r="D66" s="713">
        <f t="shared" ref="D66:L66" si="11">+D48+D53+D64</f>
        <v>30088919.890000001</v>
      </c>
      <c r="E66" s="713">
        <f t="shared" si="11"/>
        <v>3087186.7800000017</v>
      </c>
      <c r="F66" s="713">
        <f t="shared" si="11"/>
        <v>0</v>
      </c>
      <c r="G66" s="713">
        <f t="shared" si="11"/>
        <v>0</v>
      </c>
      <c r="H66" s="713">
        <f t="shared" si="11"/>
        <v>0</v>
      </c>
      <c r="I66" s="713">
        <f t="shared" si="11"/>
        <v>0</v>
      </c>
      <c r="J66" s="713">
        <f t="shared" si="11"/>
        <v>0</v>
      </c>
      <c r="K66" s="713">
        <f t="shared" si="11"/>
        <v>26880817.84</v>
      </c>
      <c r="L66" s="713">
        <f t="shared" si="11"/>
        <v>120915.26999999999</v>
      </c>
    </row>
    <row r="67" spans="1:13" ht="13.5" thickTop="1" x14ac:dyDescent="0.2">
      <c r="D67" s="714"/>
      <c r="E67" s="714"/>
      <c r="F67" s="714"/>
      <c r="G67" s="714"/>
      <c r="H67" s="714"/>
      <c r="I67" s="714"/>
      <c r="J67" s="714"/>
      <c r="K67" s="714"/>
      <c r="L67" s="714"/>
    </row>
    <row r="68" spans="1:13" x14ac:dyDescent="0.2">
      <c r="A68" s="715"/>
      <c r="D68" s="697">
        <f>SUM(E68:L68)</f>
        <v>0</v>
      </c>
      <c r="E68" s="716">
        <f t="shared" ref="E68:L68" si="12">+E36-E66</f>
        <v>0</v>
      </c>
      <c r="F68" s="716">
        <f t="shared" si="12"/>
        <v>0</v>
      </c>
      <c r="G68" s="716">
        <f t="shared" si="12"/>
        <v>0</v>
      </c>
      <c r="H68" s="716">
        <f t="shared" si="12"/>
        <v>0</v>
      </c>
      <c r="I68" s="716">
        <f t="shared" si="12"/>
        <v>0</v>
      </c>
      <c r="J68" s="716">
        <f t="shared" si="12"/>
        <v>0</v>
      </c>
      <c r="K68" s="716">
        <f t="shared" si="12"/>
        <v>0</v>
      </c>
      <c r="L68" s="716">
        <f t="shared" si="12"/>
        <v>0</v>
      </c>
    </row>
    <row r="70" spans="1:13" x14ac:dyDescent="0.2">
      <c r="E70" s="707">
        <f>+E63-856180.37+J63</f>
        <v>-4.9999998955172487E-2</v>
      </c>
      <c r="K70" s="717">
        <f>37004-K63</f>
        <v>1.1641532182693481E-10</v>
      </c>
      <c r="L70" s="718"/>
      <c r="M70" s="699"/>
    </row>
    <row r="71" spans="1:13" x14ac:dyDescent="0.2">
      <c r="K71" s="717"/>
      <c r="L71" s="718"/>
    </row>
    <row r="72" spans="1:13" x14ac:dyDescent="0.2">
      <c r="K72" s="717"/>
      <c r="M72" s="699"/>
    </row>
    <row r="73" spans="1:13" x14ac:dyDescent="0.2">
      <c r="K73" s="717"/>
    </row>
    <row r="74" spans="1:13" x14ac:dyDescent="0.2">
      <c r="M74" s="699"/>
    </row>
    <row r="75" spans="1:13" x14ac:dyDescent="0.2">
      <c r="K75" s="719"/>
    </row>
    <row r="76" spans="1:13" x14ac:dyDescent="0.2">
      <c r="K76" s="699"/>
    </row>
    <row r="77" spans="1:13" x14ac:dyDescent="0.2">
      <c r="K77" s="699"/>
    </row>
    <row r="79" spans="1:13" x14ac:dyDescent="0.2">
      <c r="K79" s="699"/>
    </row>
  </sheetData>
  <mergeCells count="2">
    <mergeCell ref="A8:B8"/>
    <mergeCell ref="A38:B38"/>
  </mergeCells>
  <pageMargins left="0.83" right="0.25" top="0.75" bottom="0.75" header="0.3" footer="0.3"/>
  <pageSetup scale="7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225"/>
  <sheetViews>
    <sheetView tabSelected="1" zoomScaleNormal="100" workbookViewId="0">
      <pane xSplit="2" ySplit="10" topLeftCell="C11" activePane="bottomRight" state="frozen"/>
      <selection pane="topRight" activeCell="AO1" sqref="AO1"/>
      <selection pane="bottomLeft" activeCell="A11" sqref="A11"/>
      <selection pane="bottomRight" activeCell="K82" sqref="K82"/>
    </sheetView>
  </sheetViews>
  <sheetFormatPr defaultColWidth="8.7109375" defaultRowHeight="15" outlineLevelRow="1" outlineLevelCol="1" x14ac:dyDescent="0.25"/>
  <cols>
    <col min="1" max="1" width="27.5703125" style="400" customWidth="1"/>
    <col min="2" max="2" width="51.5703125" style="400" customWidth="1"/>
    <col min="3" max="3" width="16.140625" style="477" customWidth="1" outlineLevel="1"/>
    <col min="4" max="4" width="14" style="477" customWidth="1" outlineLevel="1"/>
    <col min="5" max="5" width="12.42578125" style="417" customWidth="1"/>
    <col min="6" max="6" width="10.5703125" style="471" bestFit="1" customWidth="1" outlineLevel="1"/>
    <col min="7" max="7" width="14.28515625" style="471" customWidth="1" outlineLevel="1"/>
    <col min="8" max="8" width="12.5703125" style="417" customWidth="1"/>
    <col min="9" max="16384" width="8.7109375" style="400"/>
  </cols>
  <sheetData>
    <row r="1" spans="1:12" ht="39" customHeight="1" x14ac:dyDescent="0.25">
      <c r="A1" s="582" t="s">
        <v>0</v>
      </c>
      <c r="C1" s="400"/>
      <c r="D1" s="400"/>
      <c r="E1" s="660"/>
      <c r="F1" s="403"/>
      <c r="G1" s="400"/>
      <c r="H1" s="660"/>
    </row>
    <row r="2" spans="1:12" s="406" customFormat="1" ht="36.75" customHeight="1" x14ac:dyDescent="0.25">
      <c r="A2" s="731" t="s">
        <v>1759</v>
      </c>
      <c r="B2" s="732"/>
      <c r="C2" s="628" t="s">
        <v>1443</v>
      </c>
      <c r="D2" s="628" t="s">
        <v>22</v>
      </c>
      <c r="E2" s="653" t="s">
        <v>1440</v>
      </c>
      <c r="F2" s="652" t="s">
        <v>18</v>
      </c>
      <c r="G2" s="789" t="s">
        <v>1758</v>
      </c>
      <c r="H2" s="653" t="s">
        <v>1441</v>
      </c>
    </row>
    <row r="3" spans="1:12" s="406" customFormat="1" ht="15.75" x14ac:dyDescent="0.25">
      <c r="A3" s="409" t="s">
        <v>1761</v>
      </c>
      <c r="B3" s="584"/>
      <c r="C3" s="754">
        <v>43465</v>
      </c>
      <c r="D3" s="626" t="s">
        <v>1757</v>
      </c>
      <c r="E3" s="626" t="s">
        <v>21</v>
      </c>
      <c r="F3" s="642">
        <v>43465</v>
      </c>
      <c r="G3" s="730">
        <v>43465</v>
      </c>
      <c r="H3" s="626" t="s">
        <v>21</v>
      </c>
    </row>
    <row r="4" spans="1:12" s="406" customFormat="1" ht="15.75" x14ac:dyDescent="0.25">
      <c r="A4" s="409"/>
      <c r="B4" s="584"/>
      <c r="C4" s="490"/>
      <c r="D4" s="490"/>
      <c r="E4" s="660"/>
      <c r="F4" s="494"/>
      <c r="G4" s="493"/>
      <c r="H4" s="660"/>
    </row>
    <row r="5" spans="1:12" s="587" customFormat="1" hidden="1" outlineLevel="1" x14ac:dyDescent="0.25">
      <c r="A5" s="586"/>
      <c r="B5" s="524" t="s">
        <v>1434</v>
      </c>
      <c r="C5" s="411" t="e">
        <v>#DIV/0!</v>
      </c>
      <c r="D5" s="411">
        <v>1369</v>
      </c>
      <c r="E5" s="661"/>
      <c r="F5" s="411"/>
      <c r="G5" s="411">
        <v>1369</v>
      </c>
      <c r="H5" s="661"/>
    </row>
    <row r="6" spans="1:12" s="587" customFormat="1" outlineLevel="1" x14ac:dyDescent="0.25">
      <c r="B6" s="524" t="s">
        <v>1435</v>
      </c>
      <c r="C6" s="790">
        <v>1326</v>
      </c>
      <c r="D6" s="790">
        <v>1326</v>
      </c>
      <c r="E6" s="666">
        <v>1</v>
      </c>
      <c r="F6" s="790">
        <v>1326</v>
      </c>
      <c r="G6" s="790">
        <v>1326</v>
      </c>
      <c r="H6" s="666">
        <v>1</v>
      </c>
      <c r="L6" s="788"/>
    </row>
    <row r="7" spans="1:12" s="588" customFormat="1" ht="15" hidden="1" customHeight="1" outlineLevel="1" x14ac:dyDescent="0.25">
      <c r="B7" s="524" t="s">
        <v>1439</v>
      </c>
      <c r="C7" s="790" t="e">
        <v>#DIV/0!</v>
      </c>
      <c r="D7" s="790"/>
      <c r="E7" s="659"/>
      <c r="F7" s="790"/>
      <c r="G7" s="790">
        <v>116</v>
      </c>
      <c r="H7" s="666">
        <v>0</v>
      </c>
    </row>
    <row r="8" spans="1:12" s="588" customFormat="1" ht="15" customHeight="1" outlineLevel="1" x14ac:dyDescent="0.25">
      <c r="A8" s="609"/>
      <c r="B8" s="524" t="s">
        <v>1436</v>
      </c>
      <c r="C8" s="622">
        <v>7773.7399999999989</v>
      </c>
      <c r="D8" s="622">
        <v>7773.74</v>
      </c>
      <c r="E8" s="665">
        <v>0.99999999999999989</v>
      </c>
      <c r="F8" s="622">
        <v>7773.74</v>
      </c>
      <c r="G8" s="622">
        <v>7773.74</v>
      </c>
      <c r="H8" s="666">
        <v>1</v>
      </c>
      <c r="L8" s="788"/>
    </row>
    <row r="9" spans="1:12" s="588" customFormat="1" ht="15" customHeight="1" outlineLevel="1" x14ac:dyDescent="0.25">
      <c r="A9" s="609"/>
      <c r="B9" s="524"/>
      <c r="C9" s="629"/>
      <c r="D9" s="629"/>
      <c r="E9" s="659"/>
      <c r="F9" s="629"/>
      <c r="G9" s="629"/>
      <c r="H9" s="659"/>
      <c r="L9" s="788"/>
    </row>
    <row r="10" spans="1:12" s="588" customFormat="1" ht="15" customHeight="1" outlineLevel="1" x14ac:dyDescent="0.25">
      <c r="A10" s="610"/>
      <c r="B10" s="625" t="s">
        <v>1433</v>
      </c>
      <c r="E10" s="664"/>
      <c r="F10" s="437"/>
      <c r="G10" s="437"/>
      <c r="H10" s="664"/>
      <c r="L10" s="788"/>
    </row>
    <row r="11" spans="1:12" s="588" customFormat="1" ht="15" customHeight="1" outlineLevel="1" x14ac:dyDescent="0.25">
      <c r="A11" s="610"/>
      <c r="B11" s="524" t="s">
        <v>8</v>
      </c>
      <c r="C11" s="440">
        <v>897992.99000000092</v>
      </c>
      <c r="D11" s="440">
        <v>-160840.0831089881</v>
      </c>
      <c r="E11" s="659">
        <v>-5.5831417930287</v>
      </c>
      <c r="F11" s="440">
        <v>-583320.61</v>
      </c>
      <c r="G11" s="440">
        <v>-235600.45359789836</v>
      </c>
      <c r="H11" s="659">
        <v>2.4758891635903173</v>
      </c>
      <c r="L11" s="788"/>
    </row>
    <row r="12" spans="1:12" s="588" customFormat="1" ht="15" customHeight="1" outlineLevel="1" x14ac:dyDescent="0.25">
      <c r="A12" s="610"/>
      <c r="B12" s="524" t="s">
        <v>9</v>
      </c>
      <c r="C12" s="448">
        <v>876393.87000000104</v>
      </c>
      <c r="D12" s="448">
        <v>254124.63628458604</v>
      </c>
      <c r="E12" s="659">
        <v>3.4486773215429443</v>
      </c>
      <c r="F12" s="448">
        <v>186445.53999999992</v>
      </c>
      <c r="G12" s="448">
        <v>-64849.581245058449</v>
      </c>
      <c r="H12" s="659">
        <v>-2.8750461671517287</v>
      </c>
      <c r="L12" s="788"/>
    </row>
    <row r="13" spans="1:12" s="588" customFormat="1" ht="15" customHeight="1" outlineLevel="1" x14ac:dyDescent="0.25">
      <c r="A13" s="610"/>
      <c r="B13" s="524" t="s">
        <v>10</v>
      </c>
      <c r="C13" s="448">
        <v>-20213.550000000003</v>
      </c>
      <c r="D13" s="448">
        <v>0.25499999999738066</v>
      </c>
      <c r="E13" s="659">
        <v>0</v>
      </c>
      <c r="F13" s="448">
        <v>-5187.59</v>
      </c>
      <c r="G13" s="448">
        <v>2146.5507142857141</v>
      </c>
      <c r="H13" s="659">
        <v>-2.4167097313264372</v>
      </c>
      <c r="L13" s="788"/>
    </row>
    <row r="14" spans="1:12" s="588" customFormat="1" ht="15" customHeight="1" outlineLevel="1" x14ac:dyDescent="0.25">
      <c r="A14" s="610"/>
      <c r="B14" s="524" t="s">
        <v>11</v>
      </c>
      <c r="C14" s="448">
        <v>37003.999999999884</v>
      </c>
      <c r="D14" s="448">
        <v>-452116.37373493961</v>
      </c>
      <c r="E14" s="659">
        <v>-8.1846184189945007E-2</v>
      </c>
      <c r="F14" s="448">
        <v>-753279.37</v>
      </c>
      <c r="G14" s="448">
        <v>-176115.45196213425</v>
      </c>
      <c r="H14" s="659">
        <v>4.2771906814965845</v>
      </c>
      <c r="L14" s="788"/>
    </row>
    <row r="15" spans="1:12" s="588" customFormat="1" ht="15" customHeight="1" outlineLevel="1" x14ac:dyDescent="0.25">
      <c r="A15" s="610"/>
      <c r="B15" s="524" t="s">
        <v>12</v>
      </c>
      <c r="C15" s="455">
        <v>4808.6700000000055</v>
      </c>
      <c r="D15" s="455">
        <v>37151.399341365468</v>
      </c>
      <c r="E15" s="663">
        <v>0.12943442468520666</v>
      </c>
      <c r="F15" s="455">
        <v>-11299.19</v>
      </c>
      <c r="G15" s="455">
        <v>3218.0288950086033</v>
      </c>
      <c r="H15" s="663">
        <v>-3.5112145877639152</v>
      </c>
      <c r="L15" s="788"/>
    </row>
    <row r="16" spans="1:12" s="588" customFormat="1" ht="15" hidden="1" customHeight="1" outlineLevel="1" x14ac:dyDescent="0.25">
      <c r="A16" s="610"/>
      <c r="B16" s="524"/>
      <c r="C16" s="429"/>
      <c r="D16" s="429"/>
      <c r="E16" s="658"/>
      <c r="F16" s="437"/>
      <c r="G16" s="437"/>
      <c r="H16" s="659">
        <v>0</v>
      </c>
      <c r="L16" s="788"/>
    </row>
    <row r="17" spans="1:12" s="588" customFormat="1" ht="15" hidden="1" customHeight="1" outlineLevel="1" x14ac:dyDescent="0.25">
      <c r="A17" s="610"/>
      <c r="B17" s="524" t="s">
        <v>13</v>
      </c>
      <c r="C17" s="464"/>
      <c r="D17" s="464"/>
      <c r="E17" s="658"/>
      <c r="F17" s="461"/>
      <c r="G17" s="461"/>
      <c r="H17" s="659">
        <v>0</v>
      </c>
      <c r="L17" s="788"/>
    </row>
    <row r="18" spans="1:12" s="588" customFormat="1" ht="15" hidden="1" customHeight="1" outlineLevel="1" x14ac:dyDescent="0.25">
      <c r="A18" s="610"/>
      <c r="B18" s="524" t="s">
        <v>14</v>
      </c>
      <c r="C18" s="470"/>
      <c r="D18" s="470"/>
      <c r="E18" s="658"/>
      <c r="F18" s="431"/>
      <c r="G18" s="431"/>
      <c r="H18" s="659">
        <v>0</v>
      </c>
      <c r="L18" s="788"/>
    </row>
    <row r="19" spans="1:12" ht="15" customHeight="1" x14ac:dyDescent="0.25">
      <c r="E19" s="657"/>
      <c r="H19" s="657"/>
      <c r="L19" s="788"/>
    </row>
    <row r="20" spans="1:12" ht="15" customHeight="1" x14ac:dyDescent="0.25">
      <c r="A20" s="588"/>
      <c r="B20" s="526"/>
      <c r="C20" s="628" t="s">
        <v>1443</v>
      </c>
      <c r="D20" s="628" t="s">
        <v>22</v>
      </c>
      <c r="E20" s="653" t="s">
        <v>1440</v>
      </c>
      <c r="F20" s="652" t="s">
        <v>21</v>
      </c>
      <c r="G20" s="652" t="s">
        <v>1442</v>
      </c>
      <c r="H20" s="653" t="s">
        <v>1440</v>
      </c>
      <c r="L20" s="788"/>
    </row>
    <row r="21" spans="1:12" x14ac:dyDescent="0.25">
      <c r="A21" s="636" t="s">
        <v>1518</v>
      </c>
      <c r="B21" s="636" t="s">
        <v>26</v>
      </c>
      <c r="C21" s="754">
        <v>43465</v>
      </c>
      <c r="D21" s="626" t="s">
        <v>21</v>
      </c>
      <c r="E21" s="626" t="s">
        <v>21</v>
      </c>
      <c r="F21" s="642">
        <v>43465</v>
      </c>
      <c r="G21" s="730">
        <v>43465</v>
      </c>
      <c r="H21" s="626" t="s">
        <v>21</v>
      </c>
      <c r="L21" s="788"/>
    </row>
    <row r="22" spans="1:12" x14ac:dyDescent="0.25">
      <c r="A22" s="526"/>
      <c r="B22" s="526"/>
      <c r="C22" s="490"/>
      <c r="D22" s="490"/>
      <c r="E22" s="655"/>
      <c r="F22" s="494"/>
      <c r="G22" s="493"/>
      <c r="H22" s="655"/>
      <c r="L22" s="788"/>
    </row>
    <row r="23" spans="1:12" x14ac:dyDescent="0.25">
      <c r="B23" s="590" t="s">
        <v>1445</v>
      </c>
      <c r="C23" s="646"/>
      <c r="D23" s="646"/>
      <c r="E23" s="654"/>
      <c r="F23" s="644"/>
      <c r="G23" s="644"/>
      <c r="H23" s="654"/>
      <c r="L23" s="788"/>
    </row>
    <row r="24" spans="1:12" x14ac:dyDescent="0.25">
      <c r="A24" s="502" t="s">
        <v>32</v>
      </c>
      <c r="B24" s="502" t="s">
        <v>33</v>
      </c>
      <c r="C24" s="449">
        <v>376.75</v>
      </c>
      <c r="D24" s="449">
        <v>4419.2859437751013</v>
      </c>
      <c r="E24" s="659">
        <v>8.5251329014064112E-2</v>
      </c>
      <c r="F24" s="449">
        <v>66.84</v>
      </c>
      <c r="G24" s="448">
        <v>587.05370625358591</v>
      </c>
      <c r="H24" s="659">
        <v>0.11385670388924782</v>
      </c>
      <c r="L24" s="788"/>
    </row>
    <row r="25" spans="1:12" x14ac:dyDescent="0.25">
      <c r="A25" s="502" t="s">
        <v>34</v>
      </c>
      <c r="B25" s="502" t="s">
        <v>35</v>
      </c>
      <c r="C25" s="449">
        <v>38907.439999999995</v>
      </c>
      <c r="D25" s="449">
        <v>48037.308329317253</v>
      </c>
      <c r="E25" s="659">
        <v>0.8099421335865048</v>
      </c>
      <c r="F25" s="449">
        <v>29</v>
      </c>
      <c r="G25" s="448">
        <v>1308.4097613310369</v>
      </c>
      <c r="H25" s="659">
        <v>2.2164310338451225E-2</v>
      </c>
      <c r="L25" s="788"/>
    </row>
    <row r="26" spans="1:12" x14ac:dyDescent="0.25">
      <c r="A26" s="502" t="s">
        <v>36</v>
      </c>
      <c r="B26" s="502" t="s">
        <v>37</v>
      </c>
      <c r="C26" s="449">
        <v>32975.479999999996</v>
      </c>
      <c r="D26" s="449">
        <v>44999.951807228907</v>
      </c>
      <c r="E26" s="659">
        <v>0.7327892292254129</v>
      </c>
      <c r="F26" s="449">
        <v>8477.5499999999993</v>
      </c>
      <c r="G26" s="448">
        <v>2928.8602581755581</v>
      </c>
      <c r="H26" s="659">
        <v>2.894487702626285</v>
      </c>
      <c r="L26" s="788"/>
    </row>
    <row r="27" spans="1:12" x14ac:dyDescent="0.25">
      <c r="A27" s="502" t="s">
        <v>38</v>
      </c>
      <c r="B27" s="502" t="s">
        <v>39</v>
      </c>
      <c r="C27" s="449">
        <v>21279.230000000003</v>
      </c>
      <c r="D27" s="449">
        <v>26514.616064257025</v>
      </c>
      <c r="E27" s="659">
        <v>0.80254716675627924</v>
      </c>
      <c r="F27" s="449">
        <v>3015.93</v>
      </c>
      <c r="G27" s="448">
        <v>1178.7594377510031</v>
      </c>
      <c r="H27" s="659">
        <v>2.5585627596366902</v>
      </c>
      <c r="L27" s="788"/>
    </row>
    <row r="28" spans="1:12" x14ac:dyDescent="0.25">
      <c r="A28" s="502" t="s">
        <v>40</v>
      </c>
      <c r="B28" s="502" t="s">
        <v>41</v>
      </c>
      <c r="C28" s="449">
        <v>68027.06</v>
      </c>
      <c r="D28" s="449">
        <v>136132.5</v>
      </c>
      <c r="E28" s="659">
        <v>0.49971211870787652</v>
      </c>
      <c r="F28" s="449">
        <v>12898.26</v>
      </c>
      <c r="G28" s="448">
        <v>11571.957142857142</v>
      </c>
      <c r="H28" s="659">
        <v>1.114613529999247</v>
      </c>
      <c r="L28" s="788"/>
    </row>
    <row r="29" spans="1:12" x14ac:dyDescent="0.25">
      <c r="A29" s="502" t="s">
        <v>42</v>
      </c>
      <c r="B29" s="502" t="s">
        <v>43</v>
      </c>
      <c r="C29" s="449">
        <v>449653.83999999997</v>
      </c>
      <c r="D29" s="449">
        <v>552200</v>
      </c>
      <c r="E29" s="659">
        <v>0.81429525534226721</v>
      </c>
      <c r="F29" s="449">
        <v>72.099999999999994</v>
      </c>
      <c r="G29" s="448">
        <v>14659.75142857143</v>
      </c>
      <c r="H29" s="659">
        <v>4.9182280034761839E-3</v>
      </c>
      <c r="L29" s="788"/>
    </row>
    <row r="30" spans="1:12" x14ac:dyDescent="0.25">
      <c r="A30" s="502" t="s">
        <v>44</v>
      </c>
      <c r="B30" s="502" t="s">
        <v>45</v>
      </c>
      <c r="C30" s="449">
        <v>5164487.46</v>
      </c>
      <c r="D30" s="449">
        <v>10307979.24</v>
      </c>
      <c r="E30" s="659">
        <v>0.5010184188147434</v>
      </c>
      <c r="F30" s="449">
        <v>888930.46</v>
      </c>
      <c r="G30" s="448">
        <v>861774.60571428575</v>
      </c>
      <c r="H30" s="659">
        <v>1.0315115508227422</v>
      </c>
      <c r="L30" s="788"/>
    </row>
    <row r="31" spans="1:12" x14ac:dyDescent="0.25">
      <c r="A31" s="502" t="s">
        <v>46</v>
      </c>
      <c r="B31" s="502" t="s">
        <v>47</v>
      </c>
      <c r="C31" s="449">
        <v>199220.28</v>
      </c>
      <c r="D31" s="449">
        <v>607573.31000000006</v>
      </c>
      <c r="E31" s="659">
        <v>0</v>
      </c>
      <c r="F31" s="449"/>
      <c r="G31" s="448">
        <v>58336.147142857146</v>
      </c>
      <c r="H31" s="659">
        <v>0</v>
      </c>
      <c r="L31" s="788"/>
    </row>
    <row r="32" spans="1:12" x14ac:dyDescent="0.25">
      <c r="A32" s="502" t="s">
        <v>48</v>
      </c>
      <c r="B32" s="502" t="s">
        <v>49</v>
      </c>
      <c r="C32" s="449">
        <v>0</v>
      </c>
      <c r="D32" s="449">
        <v>0</v>
      </c>
      <c r="E32" s="659">
        <v>0</v>
      </c>
      <c r="F32" s="449"/>
      <c r="G32" s="448">
        <v>0</v>
      </c>
      <c r="H32" s="659">
        <v>0</v>
      </c>
      <c r="L32" s="788"/>
    </row>
    <row r="33" spans="1:12" x14ac:dyDescent="0.25">
      <c r="A33" s="502" t="s">
        <v>50</v>
      </c>
      <c r="B33" s="502" t="s">
        <v>51</v>
      </c>
      <c r="C33" s="449">
        <v>15402.23</v>
      </c>
      <c r="D33" s="449">
        <v>7370.9000000000005</v>
      </c>
      <c r="E33" s="659">
        <v>2.0895996418347824</v>
      </c>
      <c r="F33" s="449"/>
      <c r="G33" s="448">
        <v>0</v>
      </c>
      <c r="H33" s="659">
        <v>0</v>
      </c>
      <c r="L33" s="788"/>
    </row>
    <row r="34" spans="1:12" x14ac:dyDescent="0.25">
      <c r="A34" s="591"/>
      <c r="B34" s="592" t="s">
        <v>52</v>
      </c>
      <c r="C34" s="504">
        <v>5990329.7700000005</v>
      </c>
      <c r="D34" s="504">
        <v>11735227.11214458</v>
      </c>
      <c r="E34" s="672">
        <v>0.5104570804429267</v>
      </c>
      <c r="F34" s="504">
        <v>913490.14</v>
      </c>
      <c r="G34" s="504">
        <v>952345.54459208273</v>
      </c>
      <c r="H34" s="672">
        <v>0.95920030832010073</v>
      </c>
      <c r="L34" s="788"/>
    </row>
    <row r="35" spans="1:12" x14ac:dyDescent="0.25">
      <c r="A35" s="587"/>
      <c r="B35" s="502"/>
      <c r="C35" s="418"/>
      <c r="D35" s="418"/>
      <c r="E35" s="657"/>
      <c r="F35" s="418"/>
      <c r="G35" s="418"/>
      <c r="H35" s="657"/>
      <c r="L35" s="788"/>
    </row>
    <row r="36" spans="1:12" x14ac:dyDescent="0.25">
      <c r="A36" s="502" t="s">
        <v>53</v>
      </c>
      <c r="B36" s="502" t="s">
        <v>54</v>
      </c>
      <c r="C36" s="449">
        <v>196961.34000000003</v>
      </c>
      <c r="D36" s="449">
        <v>393922.68</v>
      </c>
      <c r="E36" s="659">
        <v>0.50000000000000011</v>
      </c>
      <c r="F36" s="449">
        <v>32826.89</v>
      </c>
      <c r="G36" s="448">
        <v>32826.89</v>
      </c>
      <c r="H36" s="659">
        <v>1</v>
      </c>
      <c r="L36" s="788"/>
    </row>
    <row r="37" spans="1:12" x14ac:dyDescent="0.25">
      <c r="A37" s="502" t="s">
        <v>55</v>
      </c>
      <c r="B37" s="502" t="s">
        <v>56</v>
      </c>
      <c r="C37" s="449">
        <v>0</v>
      </c>
      <c r="D37" s="449">
        <v>0</v>
      </c>
      <c r="E37" s="659">
        <v>0</v>
      </c>
      <c r="F37" s="449"/>
      <c r="G37" s="448">
        <v>0</v>
      </c>
      <c r="H37" s="659">
        <v>0</v>
      </c>
      <c r="L37" s="788"/>
    </row>
    <row r="38" spans="1:12" x14ac:dyDescent="0.25">
      <c r="A38" s="502" t="s">
        <v>57</v>
      </c>
      <c r="B38" s="502" t="s">
        <v>58</v>
      </c>
      <c r="C38" s="449">
        <v>0</v>
      </c>
      <c r="D38" s="449">
        <v>0</v>
      </c>
      <c r="E38" s="659">
        <v>0</v>
      </c>
      <c r="F38" s="449"/>
      <c r="G38" s="448">
        <v>0</v>
      </c>
      <c r="H38" s="659">
        <v>0</v>
      </c>
      <c r="L38" s="788"/>
    </row>
    <row r="39" spans="1:12" x14ac:dyDescent="0.25">
      <c r="A39" s="502" t="s">
        <v>59</v>
      </c>
      <c r="B39" s="502" t="s">
        <v>60</v>
      </c>
      <c r="C39" s="449">
        <v>0</v>
      </c>
      <c r="D39" s="449">
        <v>25674.039215686284</v>
      </c>
      <c r="E39" s="659">
        <v>0</v>
      </c>
      <c r="F39" s="449"/>
      <c r="G39" s="448">
        <v>3667.7198879551834</v>
      </c>
      <c r="H39" s="659">
        <v>0</v>
      </c>
      <c r="L39" s="788"/>
    </row>
    <row r="40" spans="1:12" x14ac:dyDescent="0.25">
      <c r="A40" s="502" t="s">
        <v>61</v>
      </c>
      <c r="B40" s="502" t="s">
        <v>62</v>
      </c>
      <c r="C40" s="449">
        <v>0</v>
      </c>
      <c r="D40" s="449">
        <v>0</v>
      </c>
      <c r="E40" s="659">
        <v>0</v>
      </c>
      <c r="F40" s="449"/>
      <c r="G40" s="448">
        <v>0</v>
      </c>
      <c r="H40" s="659">
        <v>0</v>
      </c>
      <c r="L40" s="788"/>
    </row>
    <row r="41" spans="1:12" x14ac:dyDescent="0.25">
      <c r="A41" s="591"/>
      <c r="B41" s="592" t="s">
        <v>63</v>
      </c>
      <c r="C41" s="504">
        <v>196961.34000000003</v>
      </c>
      <c r="D41" s="504">
        <v>419597</v>
      </c>
      <c r="E41" s="672">
        <v>0.46940597764045028</v>
      </c>
      <c r="F41" s="504">
        <v>32826.89</v>
      </c>
      <c r="G41" s="504">
        <v>36494.609887955186</v>
      </c>
      <c r="H41" s="672">
        <v>0.89949968230333943</v>
      </c>
      <c r="L41" s="788"/>
    </row>
    <row r="42" spans="1:12" x14ac:dyDescent="0.25">
      <c r="A42" s="587"/>
      <c r="B42" s="502"/>
      <c r="C42" s="418"/>
      <c r="D42" s="418"/>
      <c r="E42" s="657"/>
      <c r="F42" s="418"/>
      <c r="G42" s="418"/>
      <c r="H42" s="657"/>
      <c r="L42" s="788"/>
    </row>
    <row r="43" spans="1:12" x14ac:dyDescent="0.25">
      <c r="A43" s="502" t="s">
        <v>64</v>
      </c>
      <c r="B43" s="502" t="s">
        <v>65</v>
      </c>
      <c r="C43" s="449">
        <v>0</v>
      </c>
      <c r="D43" s="449">
        <v>0</v>
      </c>
      <c r="E43" s="659">
        <v>0</v>
      </c>
      <c r="F43" s="449"/>
      <c r="G43" s="448">
        <v>0</v>
      </c>
      <c r="H43" s="659">
        <v>0</v>
      </c>
      <c r="L43" s="788"/>
    </row>
    <row r="44" spans="1:12" x14ac:dyDescent="0.25">
      <c r="A44" s="502" t="s">
        <v>66</v>
      </c>
      <c r="B44" s="502" t="s">
        <v>67</v>
      </c>
      <c r="C44" s="449">
        <v>0</v>
      </c>
      <c r="D44" s="449">
        <v>0</v>
      </c>
      <c r="E44" s="659">
        <v>0</v>
      </c>
      <c r="F44" s="449"/>
      <c r="G44" s="448">
        <v>0</v>
      </c>
      <c r="H44" s="659">
        <v>0</v>
      </c>
      <c r="L44" s="788"/>
    </row>
    <row r="45" spans="1:12" x14ac:dyDescent="0.25">
      <c r="A45" s="502" t="s">
        <v>68</v>
      </c>
      <c r="B45" s="502" t="s">
        <v>69</v>
      </c>
      <c r="C45" s="449">
        <v>0</v>
      </c>
      <c r="D45" s="449">
        <v>0</v>
      </c>
      <c r="E45" s="659">
        <v>0</v>
      </c>
      <c r="F45" s="449"/>
      <c r="G45" s="448">
        <v>0</v>
      </c>
      <c r="H45" s="659">
        <v>0</v>
      </c>
      <c r="L45" s="788"/>
    </row>
    <row r="46" spans="1:12" x14ac:dyDescent="0.25">
      <c r="A46" s="502" t="s">
        <v>70</v>
      </c>
      <c r="B46" s="502" t="s">
        <v>71</v>
      </c>
      <c r="C46" s="449">
        <v>0</v>
      </c>
      <c r="D46" s="449">
        <v>0</v>
      </c>
      <c r="E46" s="659">
        <v>0</v>
      </c>
      <c r="F46" s="449"/>
      <c r="G46" s="448">
        <v>0</v>
      </c>
      <c r="H46" s="659">
        <v>0</v>
      </c>
      <c r="L46" s="788"/>
    </row>
    <row r="47" spans="1:12" x14ac:dyDescent="0.25">
      <c r="A47" s="502" t="s">
        <v>72</v>
      </c>
      <c r="B47" s="502" t="s">
        <v>73</v>
      </c>
      <c r="C47" s="449">
        <v>5239.2</v>
      </c>
      <c r="D47" s="449">
        <v>26390.361445783132</v>
      </c>
      <c r="E47" s="659">
        <v>0.19852702702702701</v>
      </c>
      <c r="F47" s="449"/>
      <c r="G47" s="448">
        <v>3021.5944922547328</v>
      </c>
      <c r="H47" s="659">
        <v>0</v>
      </c>
      <c r="L47" s="788"/>
    </row>
    <row r="48" spans="1:12" hidden="1" x14ac:dyDescent="0.25">
      <c r="A48" s="502" t="s">
        <v>74</v>
      </c>
      <c r="B48" s="502" t="s">
        <v>75</v>
      </c>
      <c r="C48" s="449">
        <v>0</v>
      </c>
      <c r="D48" s="449">
        <v>0</v>
      </c>
      <c r="E48" s="659">
        <v>0</v>
      </c>
      <c r="F48" s="449"/>
      <c r="G48" s="448">
        <v>0</v>
      </c>
      <c r="H48" s="659">
        <v>0</v>
      </c>
      <c r="L48" s="788"/>
    </row>
    <row r="49" spans="1:12" x14ac:dyDescent="0.25">
      <c r="A49" s="502" t="s">
        <v>76</v>
      </c>
      <c r="B49" s="502" t="s">
        <v>77</v>
      </c>
      <c r="C49" s="449">
        <v>0</v>
      </c>
      <c r="D49" s="449">
        <v>0</v>
      </c>
      <c r="E49" s="659">
        <v>0</v>
      </c>
      <c r="F49" s="449"/>
      <c r="G49" s="448">
        <v>0</v>
      </c>
      <c r="H49" s="659">
        <v>0</v>
      </c>
      <c r="L49" s="788"/>
    </row>
    <row r="50" spans="1:12" x14ac:dyDescent="0.25">
      <c r="A50" s="591"/>
      <c r="B50" s="592" t="s">
        <v>78</v>
      </c>
      <c r="C50" s="504">
        <v>5239.2</v>
      </c>
      <c r="D50" s="504">
        <v>26390.361445783132</v>
      </c>
      <c r="E50" s="672">
        <v>0.19852702702702701</v>
      </c>
      <c r="F50" s="504">
        <v>0</v>
      </c>
      <c r="G50" s="504">
        <v>3021.5944922547328</v>
      </c>
      <c r="H50" s="672">
        <v>0</v>
      </c>
      <c r="L50" s="788"/>
    </row>
    <row r="51" spans="1:12" x14ac:dyDescent="0.25">
      <c r="A51" s="587"/>
      <c r="B51" s="502"/>
      <c r="C51" s="418"/>
      <c r="D51" s="418"/>
      <c r="E51" s="662"/>
      <c r="F51" s="513"/>
      <c r="G51" s="513"/>
      <c r="H51" s="662"/>
      <c r="L51" s="788"/>
    </row>
    <row r="52" spans="1:12" x14ac:dyDescent="0.25">
      <c r="A52" s="502" t="s">
        <v>79</v>
      </c>
      <c r="B52" s="502" t="s">
        <v>80</v>
      </c>
      <c r="C52" s="418">
        <v>0</v>
      </c>
      <c r="D52" s="418">
        <v>0</v>
      </c>
      <c r="E52" s="659">
        <v>0</v>
      </c>
      <c r="F52" s="449"/>
      <c r="G52" s="448">
        <v>0</v>
      </c>
      <c r="H52" s="659">
        <v>0</v>
      </c>
      <c r="L52" s="788"/>
    </row>
    <row r="53" spans="1:12" x14ac:dyDescent="0.25">
      <c r="A53" s="591"/>
      <c r="B53" s="592" t="s">
        <v>81</v>
      </c>
      <c r="C53" s="504">
        <v>0</v>
      </c>
      <c r="D53" s="504">
        <v>0</v>
      </c>
      <c r="E53" s="672">
        <v>0</v>
      </c>
      <c r="F53" s="504">
        <v>0</v>
      </c>
      <c r="G53" s="504">
        <v>0</v>
      </c>
      <c r="H53" s="667">
        <v>0</v>
      </c>
      <c r="L53" s="788"/>
    </row>
    <row r="54" spans="1:12" x14ac:dyDescent="0.25">
      <c r="A54" s="406"/>
      <c r="B54" s="524"/>
      <c r="C54" s="418"/>
      <c r="D54" s="418"/>
      <c r="E54" s="657"/>
      <c r="F54" s="418"/>
      <c r="G54" s="418"/>
      <c r="H54" s="657"/>
      <c r="L54" s="788"/>
    </row>
    <row r="55" spans="1:12" ht="15.75" thickBot="1" x14ac:dyDescent="0.3">
      <c r="A55" s="593"/>
      <c r="B55" s="594" t="s">
        <v>1444</v>
      </c>
      <c r="C55" s="519">
        <v>6192530.3100000005</v>
      </c>
      <c r="D55" s="519">
        <v>12181214.473590363</v>
      </c>
      <c r="E55" s="673">
        <v>0.50836723410673001</v>
      </c>
      <c r="F55" s="519">
        <v>946317.03</v>
      </c>
      <c r="G55" s="519">
        <v>991861.74897229276</v>
      </c>
      <c r="H55" s="673">
        <v>0.95408158544325017</v>
      </c>
      <c r="L55" s="788"/>
    </row>
    <row r="56" spans="1:12" ht="15.75" thickTop="1" x14ac:dyDescent="0.25">
      <c r="A56" s="526"/>
      <c r="B56" s="526"/>
      <c r="C56" s="418"/>
      <c r="D56" s="418"/>
      <c r="E56" s="655"/>
      <c r="F56" s="487"/>
      <c r="G56" s="487"/>
      <c r="H56" s="655"/>
      <c r="L56" s="788"/>
    </row>
    <row r="57" spans="1:12" x14ac:dyDescent="0.25">
      <c r="A57" s="524" t="s">
        <v>1446</v>
      </c>
      <c r="C57" s="418"/>
      <c r="D57" s="418"/>
      <c r="E57" s="662"/>
      <c r="F57" s="513"/>
      <c r="G57" s="513"/>
      <c r="H57" s="662"/>
      <c r="L57" s="788"/>
    </row>
    <row r="58" spans="1:12" s="536" customFormat="1" ht="14.25" customHeight="1" thickBot="1" x14ac:dyDescent="0.3">
      <c r="A58" s="526"/>
      <c r="B58" s="524" t="s">
        <v>141</v>
      </c>
      <c r="C58" s="533">
        <v>865499.07000000007</v>
      </c>
      <c r="D58" s="533">
        <v>1919994</v>
      </c>
      <c r="E58" s="673">
        <v>0.45078217431929479</v>
      </c>
      <c r="F58" s="533">
        <v>146992.59000000003</v>
      </c>
      <c r="G58" s="533">
        <v>171979.6418488393</v>
      </c>
      <c r="H58" s="668">
        <v>0.85470924593039033</v>
      </c>
      <c r="L58" s="788"/>
    </row>
    <row r="59" spans="1:12" s="536" customFormat="1" ht="16.5" thickTop="1" thickBot="1" x14ac:dyDescent="0.3">
      <c r="A59" s="526"/>
      <c r="B59" s="524" t="s">
        <v>187</v>
      </c>
      <c r="C59" s="533">
        <v>417908.52999999997</v>
      </c>
      <c r="D59" s="533">
        <v>1111344</v>
      </c>
      <c r="E59" s="673">
        <v>0.37603885925510011</v>
      </c>
      <c r="F59" s="533">
        <v>74068.740000000005</v>
      </c>
      <c r="G59" s="533">
        <v>109643.45604520659</v>
      </c>
      <c r="H59" s="668">
        <v>0.67554182138750773</v>
      </c>
      <c r="L59" s="788"/>
    </row>
    <row r="60" spans="1:12" ht="16.5" thickTop="1" thickBot="1" x14ac:dyDescent="0.3">
      <c r="A60" s="526"/>
      <c r="B60" s="524" t="s">
        <v>220</v>
      </c>
      <c r="C60" s="533">
        <v>76490.17</v>
      </c>
      <c r="D60" s="533">
        <v>414389</v>
      </c>
      <c r="E60" s="673">
        <v>0.18458542577143697</v>
      </c>
      <c r="F60" s="533">
        <v>21203.87</v>
      </c>
      <c r="G60" s="533">
        <v>51300.334718634826</v>
      </c>
      <c r="H60" s="668">
        <v>0.41332810236611772</v>
      </c>
      <c r="L60" s="788"/>
    </row>
    <row r="61" spans="1:12" s="536" customFormat="1" ht="15" customHeight="1" thickTop="1" thickBot="1" x14ac:dyDescent="0.3">
      <c r="A61" s="524"/>
      <c r="B61" s="524" t="s">
        <v>407</v>
      </c>
      <c r="C61" s="533">
        <v>440808.73000000004</v>
      </c>
      <c r="D61" s="533">
        <v>1086501</v>
      </c>
      <c r="E61" s="673">
        <v>0.40571405824753043</v>
      </c>
      <c r="F61" s="533">
        <v>68174.070000000007</v>
      </c>
      <c r="G61" s="533">
        <v>103953.32025169588</v>
      </c>
      <c r="H61" s="668">
        <v>0.65581426196810511</v>
      </c>
      <c r="L61" s="788"/>
    </row>
    <row r="62" spans="1:12" s="536" customFormat="1" hidden="1" x14ac:dyDescent="0.25">
      <c r="A62" s="524" t="s">
        <v>409</v>
      </c>
      <c r="B62" s="524" t="s">
        <v>410</v>
      </c>
      <c r="C62" s="528"/>
      <c r="D62" s="528"/>
      <c r="E62" s="656"/>
      <c r="F62" s="528"/>
      <c r="G62" s="528"/>
      <c r="H62" s="656"/>
      <c r="L62" s="788"/>
    </row>
    <row r="63" spans="1:12" s="536" customFormat="1" hidden="1" x14ac:dyDescent="0.25">
      <c r="A63" s="524" t="s">
        <v>411</v>
      </c>
      <c r="B63" s="524" t="s">
        <v>412</v>
      </c>
      <c r="C63" s="528"/>
      <c r="D63" s="528"/>
      <c r="E63" s="656"/>
      <c r="F63" s="528"/>
      <c r="G63" s="528"/>
      <c r="H63" s="656"/>
      <c r="L63" s="788"/>
    </row>
    <row r="64" spans="1:12" hidden="1" x14ac:dyDescent="0.25">
      <c r="A64" s="502" t="s">
        <v>413</v>
      </c>
      <c r="B64" s="502" t="s">
        <v>414</v>
      </c>
      <c r="C64" s="449"/>
      <c r="D64" s="449"/>
      <c r="E64" s="657"/>
      <c r="F64" s="449"/>
      <c r="G64" s="449"/>
      <c r="H64" s="657"/>
      <c r="L64" s="788"/>
    </row>
    <row r="65" spans="1:12" hidden="1" x14ac:dyDescent="0.25">
      <c r="A65" s="502" t="s">
        <v>415</v>
      </c>
      <c r="B65" s="502" t="s">
        <v>416</v>
      </c>
      <c r="C65" s="449"/>
      <c r="D65" s="449"/>
      <c r="E65" s="657"/>
      <c r="F65" s="449"/>
      <c r="G65" s="449"/>
      <c r="H65" s="657"/>
      <c r="L65" s="788"/>
    </row>
    <row r="66" spans="1:12" hidden="1" x14ac:dyDescent="0.25">
      <c r="A66" s="502" t="s">
        <v>417</v>
      </c>
      <c r="B66" s="502" t="s">
        <v>418</v>
      </c>
      <c r="C66" s="449"/>
      <c r="D66" s="449"/>
      <c r="E66" s="657"/>
      <c r="F66" s="449"/>
      <c r="G66" s="449"/>
      <c r="H66" s="657"/>
      <c r="L66" s="788"/>
    </row>
    <row r="67" spans="1:12" hidden="1" x14ac:dyDescent="0.25">
      <c r="A67" s="502" t="s">
        <v>419</v>
      </c>
      <c r="B67" s="502" t="s">
        <v>420</v>
      </c>
      <c r="C67" s="449"/>
      <c r="D67" s="449"/>
      <c r="E67" s="657"/>
      <c r="F67" s="449"/>
      <c r="G67" s="449"/>
      <c r="H67" s="657"/>
      <c r="L67" s="788"/>
    </row>
    <row r="68" spans="1:12" hidden="1" x14ac:dyDescent="0.25">
      <c r="A68" s="587" t="s">
        <v>421</v>
      </c>
      <c r="B68" s="502" t="s">
        <v>422</v>
      </c>
      <c r="C68" s="449"/>
      <c r="D68" s="449"/>
      <c r="E68" s="657"/>
      <c r="F68" s="449"/>
      <c r="G68" s="449"/>
      <c r="H68" s="657"/>
      <c r="L68" s="788"/>
    </row>
    <row r="69" spans="1:12" hidden="1" x14ac:dyDescent="0.25">
      <c r="A69" s="587" t="s">
        <v>423</v>
      </c>
      <c r="B69" s="502" t="s">
        <v>424</v>
      </c>
      <c r="C69" s="449"/>
      <c r="D69" s="449"/>
      <c r="E69" s="657"/>
      <c r="F69" s="449"/>
      <c r="G69" s="449"/>
      <c r="H69" s="657"/>
      <c r="L69" s="788"/>
    </row>
    <row r="70" spans="1:12" hidden="1" x14ac:dyDescent="0.25">
      <c r="A70" s="502" t="s">
        <v>425</v>
      </c>
      <c r="B70" s="502" t="s">
        <v>426</v>
      </c>
      <c r="C70" s="449"/>
      <c r="D70" s="449"/>
      <c r="E70" s="657"/>
      <c r="F70" s="449"/>
      <c r="G70" s="449"/>
      <c r="H70" s="657"/>
      <c r="L70" s="788"/>
    </row>
    <row r="71" spans="1:12" hidden="1" x14ac:dyDescent="0.25">
      <c r="A71" s="502" t="s">
        <v>427</v>
      </c>
      <c r="B71" s="502" t="s">
        <v>428</v>
      </c>
      <c r="C71" s="449"/>
      <c r="D71" s="449"/>
      <c r="E71" s="657"/>
      <c r="F71" s="449"/>
      <c r="G71" s="449"/>
      <c r="H71" s="657"/>
      <c r="L71" s="788"/>
    </row>
    <row r="72" spans="1:12" hidden="1" x14ac:dyDescent="0.25">
      <c r="A72" s="502" t="s">
        <v>429</v>
      </c>
      <c r="B72" s="502" t="s">
        <v>430</v>
      </c>
      <c r="C72" s="449"/>
      <c r="D72" s="449"/>
      <c r="E72" s="657"/>
      <c r="F72" s="449"/>
      <c r="G72" s="449"/>
      <c r="H72" s="657"/>
      <c r="L72" s="788"/>
    </row>
    <row r="73" spans="1:12" hidden="1" x14ac:dyDescent="0.25">
      <c r="A73" s="502" t="s">
        <v>431</v>
      </c>
      <c r="B73" s="502" t="s">
        <v>432</v>
      </c>
      <c r="C73" s="449"/>
      <c r="D73" s="449"/>
      <c r="E73" s="657"/>
      <c r="F73" s="449"/>
      <c r="G73" s="449"/>
      <c r="H73" s="657"/>
      <c r="L73" s="788"/>
    </row>
    <row r="74" spans="1:12" hidden="1" x14ac:dyDescent="0.25">
      <c r="A74" s="502" t="s">
        <v>433</v>
      </c>
      <c r="B74" s="502" t="s">
        <v>434</v>
      </c>
      <c r="C74" s="449"/>
      <c r="D74" s="449"/>
      <c r="E74" s="657"/>
      <c r="F74" s="449"/>
      <c r="G74" s="449"/>
      <c r="H74" s="657"/>
      <c r="L74" s="788"/>
    </row>
    <row r="75" spans="1:12" hidden="1" x14ac:dyDescent="0.25">
      <c r="A75" s="502" t="s">
        <v>435</v>
      </c>
      <c r="B75" s="502" t="s">
        <v>436</v>
      </c>
      <c r="C75" s="449"/>
      <c r="D75" s="449"/>
      <c r="E75" s="657"/>
      <c r="F75" s="449"/>
      <c r="G75" s="449"/>
      <c r="H75" s="657"/>
      <c r="L75" s="788"/>
    </row>
    <row r="76" spans="1:12" s="536" customFormat="1" ht="16.5" thickTop="1" thickBot="1" x14ac:dyDescent="0.3">
      <c r="A76" s="526"/>
      <c r="B76" s="611" t="s">
        <v>444</v>
      </c>
      <c r="C76" s="533">
        <v>410611.14</v>
      </c>
      <c r="D76" s="533">
        <v>811031</v>
      </c>
      <c r="E76" s="673">
        <v>0.50628291643599321</v>
      </c>
      <c r="F76" s="533">
        <v>70419.64</v>
      </c>
      <c r="G76" s="533">
        <v>67262.78571428571</v>
      </c>
      <c r="H76" s="668">
        <v>1.0469331481322193</v>
      </c>
      <c r="L76" s="788"/>
    </row>
    <row r="77" spans="1:12" s="536" customFormat="1" ht="16.5" thickTop="1" thickBot="1" x14ac:dyDescent="0.3">
      <c r="A77" s="526"/>
      <c r="B77" s="524" t="s">
        <v>569</v>
      </c>
      <c r="C77" s="533">
        <v>124785.29</v>
      </c>
      <c r="D77" s="533">
        <v>402829</v>
      </c>
      <c r="E77" s="673">
        <v>0.30977235998401303</v>
      </c>
      <c r="F77" s="533">
        <v>19707.979999999996</v>
      </c>
      <c r="G77" s="533">
        <v>42535.982857142844</v>
      </c>
      <c r="H77" s="668">
        <v>0.46332489991331044</v>
      </c>
      <c r="L77" s="788"/>
    </row>
    <row r="78" spans="1:12" s="536" customFormat="1" ht="16.5" thickTop="1" thickBot="1" x14ac:dyDescent="0.3">
      <c r="A78" s="526"/>
      <c r="B78" s="524" t="s">
        <v>615</v>
      </c>
      <c r="C78" s="533">
        <v>239836.1</v>
      </c>
      <c r="D78" s="533">
        <v>743268.61890596524</v>
      </c>
      <c r="E78" s="673">
        <v>0.32267755411633076</v>
      </c>
      <c r="F78" s="533">
        <v>29511.960000000003</v>
      </c>
      <c r="G78" s="533">
        <v>76192.269843709291</v>
      </c>
      <c r="H78" s="668">
        <v>0.38733535646774825</v>
      </c>
      <c r="L78" s="788"/>
    </row>
    <row r="79" spans="1:12" ht="16.5" thickTop="1" thickBot="1" x14ac:dyDescent="0.3">
      <c r="A79" s="587"/>
      <c r="B79" s="524" t="s">
        <v>619</v>
      </c>
      <c r="C79" s="533">
        <v>0</v>
      </c>
      <c r="D79" s="533">
        <v>5497.9919678714868</v>
      </c>
      <c r="E79" s="673">
        <v>0</v>
      </c>
      <c r="F79" s="533">
        <v>0</v>
      </c>
      <c r="G79" s="533">
        <v>785.42742398164103</v>
      </c>
      <c r="H79" s="668">
        <v>0</v>
      </c>
      <c r="L79" s="788"/>
    </row>
    <row r="80" spans="1:12" s="536" customFormat="1" ht="16.5" thickTop="1" thickBot="1" x14ac:dyDescent="0.3">
      <c r="A80" s="524"/>
      <c r="B80" s="524" t="s">
        <v>627</v>
      </c>
      <c r="C80" s="533">
        <v>0</v>
      </c>
      <c r="D80" s="533">
        <v>12648.806425702811</v>
      </c>
      <c r="E80" s="673">
        <v>0</v>
      </c>
      <c r="F80" s="533">
        <v>0</v>
      </c>
      <c r="G80" s="533">
        <v>1806.972346528973</v>
      </c>
      <c r="H80" s="668">
        <v>0</v>
      </c>
      <c r="L80" s="788"/>
    </row>
    <row r="81" spans="1:12" s="536" customFormat="1" ht="16.5" thickTop="1" thickBot="1" x14ac:dyDescent="0.3">
      <c r="A81" s="524"/>
      <c r="B81" s="524" t="s">
        <v>635</v>
      </c>
      <c r="C81" s="533">
        <v>243575.78</v>
      </c>
      <c r="D81" s="533">
        <v>401128.63857254904</v>
      </c>
      <c r="E81" s="673">
        <v>0.60722610299475366</v>
      </c>
      <c r="F81" s="533">
        <v>38737.370000000003</v>
      </c>
      <c r="G81" s="533">
        <v>28041.461224649869</v>
      </c>
      <c r="H81" s="668">
        <v>1.3814319335808323</v>
      </c>
      <c r="L81" s="788"/>
    </row>
    <row r="82" spans="1:12" s="536" customFormat="1" ht="16.5" thickTop="1" thickBot="1" x14ac:dyDescent="0.3">
      <c r="A82" s="524"/>
      <c r="B82" s="524" t="s">
        <v>777</v>
      </c>
      <c r="C82" s="533">
        <v>418038.14999999997</v>
      </c>
      <c r="D82" s="533">
        <v>930331.77881124511</v>
      </c>
      <c r="E82" s="673">
        <v>0.44934308331825312</v>
      </c>
      <c r="F82" s="533">
        <v>64354.160000000011</v>
      </c>
      <c r="G82" s="533">
        <v>83197.38554446357</v>
      </c>
      <c r="H82" s="668">
        <v>0.77351180663732411</v>
      </c>
      <c r="L82" s="788"/>
    </row>
    <row r="83" spans="1:12" s="536" customFormat="1" ht="16.5" thickTop="1" thickBot="1" x14ac:dyDescent="0.3">
      <c r="A83" s="524"/>
      <c r="B83" s="524" t="s">
        <v>804</v>
      </c>
      <c r="C83" s="533">
        <v>209603.33999999997</v>
      </c>
      <c r="D83" s="533">
        <v>376934.97678714863</v>
      </c>
      <c r="E83" s="673">
        <v>0.55607293806104086</v>
      </c>
      <c r="F83" s="533">
        <v>32044.260000000002</v>
      </c>
      <c r="G83" s="533">
        <v>28482.270969592661</v>
      </c>
      <c r="H83" s="668">
        <v>1.1250598673894396</v>
      </c>
      <c r="L83" s="788"/>
    </row>
    <row r="84" spans="1:12" s="536" customFormat="1" ht="15" customHeight="1" thickTop="1" thickBot="1" x14ac:dyDescent="0.3">
      <c r="A84" s="526"/>
      <c r="B84" s="524" t="s">
        <v>905</v>
      </c>
      <c r="C84" s="533">
        <v>1196522.3999999997</v>
      </c>
      <c r="D84" s="533">
        <v>2637872.201165</v>
      </c>
      <c r="E84" s="673">
        <v>0.45359377132507139</v>
      </c>
      <c r="F84" s="533">
        <v>194656.85000000003</v>
      </c>
      <c r="G84" s="533">
        <v>234551.09730928577</v>
      </c>
      <c r="H84" s="668">
        <v>0.82991233992531677</v>
      </c>
      <c r="L84" s="788"/>
    </row>
    <row r="85" spans="1:12" s="536" customFormat="1" ht="16.5" thickTop="1" thickBot="1" x14ac:dyDescent="0.3">
      <c r="A85" s="524"/>
      <c r="B85" s="524" t="s">
        <v>938</v>
      </c>
      <c r="C85" s="533">
        <v>60884.800000000003</v>
      </c>
      <c r="D85" s="533">
        <v>143760.20883534136</v>
      </c>
      <c r="E85" s="673">
        <v>0.42351635750429129</v>
      </c>
      <c r="F85" s="533">
        <v>0</v>
      </c>
      <c r="G85" s="533">
        <v>11839.344119334481</v>
      </c>
      <c r="H85" s="668">
        <v>0</v>
      </c>
      <c r="L85" s="788"/>
    </row>
    <row r="86" spans="1:12" s="536" customFormat="1" ht="16.5" thickTop="1" thickBot="1" x14ac:dyDescent="0.3">
      <c r="A86" s="524"/>
      <c r="B86" s="524" t="s">
        <v>964</v>
      </c>
      <c r="C86" s="533">
        <v>611572.93999999994</v>
      </c>
      <c r="D86" s="533">
        <v>927550</v>
      </c>
      <c r="E86" s="673">
        <v>0.65934228882540014</v>
      </c>
      <c r="F86" s="533">
        <v>0</v>
      </c>
      <c r="G86" s="533">
        <v>45139.580000000009</v>
      </c>
      <c r="H86" s="668">
        <v>0</v>
      </c>
      <c r="L86" s="788"/>
    </row>
    <row r="87" spans="1:12" ht="15.75" thickTop="1" x14ac:dyDescent="0.25">
      <c r="A87" s="502"/>
      <c r="B87" s="502"/>
      <c r="C87" s="449"/>
      <c r="D87" s="449"/>
      <c r="E87" s="657"/>
      <c r="F87" s="449"/>
      <c r="G87" s="449"/>
      <c r="H87" s="657"/>
      <c r="L87" s="788"/>
    </row>
    <row r="88" spans="1:12" s="536" customFormat="1" ht="15.75" thickBot="1" x14ac:dyDescent="0.3">
      <c r="A88" s="804" t="s">
        <v>965</v>
      </c>
      <c r="B88" s="804"/>
      <c r="C88" s="533">
        <v>5316136.4399999995</v>
      </c>
      <c r="D88" s="533">
        <v>11925081.221470825</v>
      </c>
      <c r="E88" s="673">
        <v>0.44579456871358009</v>
      </c>
      <c r="F88" s="533">
        <v>759871.49000000011</v>
      </c>
      <c r="G88" s="533">
        <v>1056711.3302173512</v>
      </c>
      <c r="H88" s="668">
        <v>0.71909088913024599</v>
      </c>
      <c r="L88" s="788"/>
    </row>
    <row r="89" spans="1:12" ht="15.75" thickTop="1" x14ac:dyDescent="0.25">
      <c r="A89" s="502"/>
      <c r="B89" s="605"/>
      <c r="C89" s="449"/>
      <c r="D89" s="449"/>
      <c r="E89" s="670"/>
      <c r="F89" s="449"/>
      <c r="G89" s="449"/>
      <c r="H89" s="657"/>
      <c r="L89" s="788"/>
    </row>
    <row r="90" spans="1:12" s="536" customFormat="1" x14ac:dyDescent="0.25">
      <c r="A90" s="804" t="s">
        <v>966</v>
      </c>
      <c r="B90" s="804"/>
      <c r="C90" s="546">
        <v>876393.87000000104</v>
      </c>
      <c r="D90" s="546">
        <v>256133.25211953744</v>
      </c>
      <c r="E90" s="656">
        <v>3.4216325398897753</v>
      </c>
      <c r="F90" s="546">
        <v>186445.53999999992</v>
      </c>
      <c r="G90" s="546">
        <v>-64849.581245058449</v>
      </c>
      <c r="H90" s="669">
        <v>-2.8750461671517287</v>
      </c>
      <c r="L90" s="788"/>
    </row>
    <row r="91" spans="1:12" ht="9" customHeight="1" x14ac:dyDescent="0.25">
      <c r="A91" s="502"/>
      <c r="B91" s="605"/>
      <c r="C91" s="449"/>
      <c r="D91" s="449"/>
      <c r="E91" s="657"/>
      <c r="F91" s="449"/>
      <c r="G91" s="449"/>
      <c r="H91" s="657"/>
      <c r="L91" s="788"/>
    </row>
    <row r="92" spans="1:12" s="536" customFormat="1" ht="17.25" x14ac:dyDescent="0.25">
      <c r="A92" s="804" t="s">
        <v>967</v>
      </c>
      <c r="B92" s="804"/>
      <c r="C92" s="725">
        <v>1732676.7300000002</v>
      </c>
      <c r="D92" s="726">
        <v>1732676.7300000002</v>
      </c>
      <c r="E92" s="656">
        <v>1</v>
      </c>
      <c r="F92" s="551"/>
      <c r="G92" s="551"/>
      <c r="H92" s="656"/>
      <c r="L92" s="788"/>
    </row>
    <row r="93" spans="1:12" ht="7.5" customHeight="1" x14ac:dyDescent="0.25">
      <c r="A93" s="502"/>
      <c r="B93" s="605"/>
      <c r="C93" s="449"/>
      <c r="D93" s="449"/>
      <c r="E93" s="657"/>
      <c r="F93" s="449"/>
      <c r="G93" s="449"/>
      <c r="H93" s="657"/>
      <c r="L93" s="788"/>
    </row>
    <row r="94" spans="1:12" ht="15.75" thickBot="1" x14ac:dyDescent="0.3">
      <c r="A94" s="804" t="s">
        <v>968</v>
      </c>
      <c r="B94" s="804"/>
      <c r="C94" s="727">
        <v>2609070.6000000015</v>
      </c>
      <c r="D94" s="727">
        <v>1988809.9821195377</v>
      </c>
      <c r="E94" s="656">
        <v>1.3118752537733305</v>
      </c>
      <c r="F94" s="551"/>
      <c r="G94" s="551"/>
      <c r="H94" s="656"/>
      <c r="L94" s="788"/>
    </row>
    <row r="95" spans="1:12" ht="27.75" customHeight="1" thickTop="1" x14ac:dyDescent="0.25">
      <c r="A95" s="502"/>
      <c r="B95" s="502"/>
      <c r="C95" s="674">
        <v>1.9865154639913325</v>
      </c>
      <c r="D95" s="674">
        <v>0.79789193373408218</v>
      </c>
      <c r="E95" s="657"/>
      <c r="F95" s="449"/>
      <c r="G95" s="449"/>
      <c r="H95" s="657"/>
      <c r="L95" s="788"/>
    </row>
    <row r="96" spans="1:12" ht="18.75" x14ac:dyDescent="0.25">
      <c r="A96" s="502"/>
      <c r="B96" s="552" t="s">
        <v>969</v>
      </c>
      <c r="C96" s="449"/>
      <c r="D96" s="449"/>
      <c r="E96" s="657"/>
      <c r="F96" s="449"/>
      <c r="G96" s="449"/>
      <c r="H96" s="657"/>
      <c r="L96" s="788"/>
    </row>
    <row r="97" spans="1:12" ht="6.75" customHeight="1" x14ac:dyDescent="0.25">
      <c r="A97" s="502"/>
      <c r="B97" s="502"/>
      <c r="C97" s="449"/>
      <c r="D97" s="449"/>
      <c r="E97" s="657"/>
      <c r="F97" s="449"/>
      <c r="G97" s="449"/>
      <c r="H97" s="657"/>
      <c r="L97" s="788"/>
    </row>
    <row r="98" spans="1:12" x14ac:dyDescent="0.25">
      <c r="A98" s="502"/>
      <c r="B98" s="524" t="s">
        <v>970</v>
      </c>
      <c r="C98" s="449"/>
      <c r="D98" s="449"/>
      <c r="E98" s="657"/>
      <c r="F98" s="449"/>
      <c r="G98" s="449"/>
      <c r="H98" s="657"/>
      <c r="L98" s="788"/>
    </row>
    <row r="99" spans="1:12" s="536" customFormat="1" ht="15" customHeight="1" thickBot="1" x14ac:dyDescent="0.3">
      <c r="A99" s="526"/>
      <c r="B99" s="524" t="s">
        <v>983</v>
      </c>
      <c r="C99" s="533">
        <v>0</v>
      </c>
      <c r="D99" s="533">
        <v>36705</v>
      </c>
      <c r="E99" s="668">
        <v>0</v>
      </c>
      <c r="F99" s="533">
        <v>0</v>
      </c>
      <c r="G99" s="533">
        <v>5243.5714285714284</v>
      </c>
      <c r="H99" s="668">
        <v>0</v>
      </c>
      <c r="L99" s="788"/>
    </row>
    <row r="100" spans="1:12" s="536" customFormat="1" ht="16.5" thickTop="1" thickBot="1" x14ac:dyDescent="0.3">
      <c r="A100" s="524"/>
      <c r="B100" s="524" t="s">
        <v>1016</v>
      </c>
      <c r="C100" s="533">
        <v>20213.550000000003</v>
      </c>
      <c r="D100" s="533">
        <v>36705.105000000003</v>
      </c>
      <c r="E100" s="673">
        <v>0.55070132615068124</v>
      </c>
      <c r="F100" s="533">
        <v>5187.59</v>
      </c>
      <c r="G100" s="533">
        <v>3097.0207142857143</v>
      </c>
      <c r="H100" s="666">
        <v>1.6750259292974885</v>
      </c>
      <c r="L100" s="788"/>
    </row>
    <row r="101" spans="1:12" ht="9" customHeight="1" thickTop="1" x14ac:dyDescent="0.25">
      <c r="A101" s="502"/>
      <c r="B101" s="502"/>
      <c r="C101" s="449"/>
      <c r="D101" s="449"/>
      <c r="E101" s="670"/>
      <c r="F101" s="449"/>
      <c r="G101" s="449"/>
      <c r="H101" s="670"/>
      <c r="L101" s="788"/>
    </row>
    <row r="102" spans="1:12" x14ac:dyDescent="0.25">
      <c r="A102" s="524" t="s">
        <v>1017</v>
      </c>
      <c r="B102" s="502"/>
      <c r="C102" s="546">
        <v>-20213.550000000003</v>
      </c>
      <c r="D102" s="546">
        <v>-0.10500000000320142</v>
      </c>
      <c r="E102" s="656">
        <v>0</v>
      </c>
      <c r="F102" s="546">
        <v>-5187.59</v>
      </c>
      <c r="G102" s="546">
        <v>2146.5507142857141</v>
      </c>
      <c r="H102" s="666">
        <v>-2.4167097313264372</v>
      </c>
      <c r="L102" s="788"/>
    </row>
    <row r="103" spans="1:12" ht="8.25" customHeight="1" x14ac:dyDescent="0.25">
      <c r="A103" s="502"/>
      <c r="B103" s="502"/>
      <c r="C103" s="449"/>
      <c r="D103" s="449"/>
      <c r="E103" s="657"/>
      <c r="F103" s="449"/>
      <c r="G103" s="449"/>
      <c r="H103" s="657"/>
      <c r="L103" s="788"/>
    </row>
    <row r="104" spans="1:12" s="536" customFormat="1" x14ac:dyDescent="0.25">
      <c r="A104" s="524" t="s">
        <v>1018</v>
      </c>
      <c r="B104" s="524"/>
      <c r="C104" s="725">
        <v>14112.23</v>
      </c>
      <c r="D104" s="725">
        <v>14112.23</v>
      </c>
      <c r="E104" s="656">
        <v>0</v>
      </c>
      <c r="F104" s="528"/>
      <c r="G104" s="528"/>
      <c r="H104" s="656"/>
      <c r="L104" s="788"/>
    </row>
    <row r="105" spans="1:12" ht="9" customHeight="1" x14ac:dyDescent="0.25">
      <c r="A105" s="502"/>
      <c r="B105" s="502"/>
      <c r="C105" s="449"/>
      <c r="D105" s="449"/>
      <c r="E105" s="657"/>
      <c r="F105" s="449"/>
      <c r="G105" s="449"/>
      <c r="H105" s="657"/>
      <c r="L105" s="788"/>
    </row>
    <row r="106" spans="1:12" s="536" customFormat="1" ht="15.75" thickBot="1" x14ac:dyDescent="0.3">
      <c r="A106" s="524" t="s">
        <v>1019</v>
      </c>
      <c r="B106" s="524"/>
      <c r="C106" s="727">
        <v>-6101.3200000000033</v>
      </c>
      <c r="D106" s="727">
        <v>14112.124999999996</v>
      </c>
      <c r="E106" s="656">
        <v>0</v>
      </c>
      <c r="F106" s="551"/>
      <c r="G106" s="551"/>
      <c r="H106" s="656"/>
      <c r="L106" s="788"/>
    </row>
    <row r="107" spans="1:12" ht="26.25" customHeight="1" thickTop="1" x14ac:dyDescent="0.25">
      <c r="A107" s="502"/>
      <c r="B107" s="502"/>
      <c r="C107" s="449"/>
      <c r="D107" s="449"/>
      <c r="E107" s="657"/>
      <c r="F107" s="449"/>
      <c r="G107" s="449"/>
      <c r="H107" s="657"/>
      <c r="L107" s="788"/>
    </row>
    <row r="108" spans="1:12" s="536" customFormat="1" ht="15.75" x14ac:dyDescent="0.25">
      <c r="A108" s="619" t="s">
        <v>1020</v>
      </c>
      <c r="B108" s="524"/>
      <c r="C108" s="528"/>
      <c r="D108" s="528"/>
      <c r="E108" s="656"/>
      <c r="F108" s="528"/>
      <c r="G108" s="528"/>
      <c r="H108" s="656"/>
      <c r="L108" s="788"/>
    </row>
    <row r="109" spans="1:12" ht="6" customHeight="1" x14ac:dyDescent="0.25">
      <c r="A109" s="502"/>
      <c r="B109" s="502"/>
      <c r="C109" s="449"/>
      <c r="D109" s="449"/>
      <c r="E109" s="657"/>
      <c r="F109" s="449"/>
      <c r="G109" s="449"/>
      <c r="H109" s="657"/>
      <c r="L109" s="788"/>
    </row>
    <row r="110" spans="1:12" x14ac:dyDescent="0.25">
      <c r="A110" s="524" t="s">
        <v>1021</v>
      </c>
      <c r="B110" s="502"/>
      <c r="C110" s="551">
        <v>856180.320000001</v>
      </c>
      <c r="D110" s="551">
        <v>254124.89128458605</v>
      </c>
      <c r="E110" s="656">
        <v>3.3691320660170714</v>
      </c>
      <c r="F110" s="551">
        <v>181257.94999999992</v>
      </c>
      <c r="G110" s="551">
        <v>-62703.030530772732</v>
      </c>
      <c r="H110" s="666">
        <v>-2.8907366751762349</v>
      </c>
      <c r="L110" s="788"/>
    </row>
    <row r="111" spans="1:12" ht="9" customHeight="1" x14ac:dyDescent="0.25">
      <c r="A111" s="502"/>
      <c r="B111" s="502"/>
      <c r="C111" s="449"/>
      <c r="D111" s="449"/>
      <c r="E111" s="657"/>
      <c r="F111" s="449"/>
      <c r="G111" s="449"/>
      <c r="H111" s="657"/>
      <c r="L111" s="788"/>
    </row>
    <row r="112" spans="1:12" x14ac:dyDescent="0.25">
      <c r="A112" s="524" t="s">
        <v>1022</v>
      </c>
      <c r="B112" s="502"/>
      <c r="C112" s="728">
        <v>1746788.9600000002</v>
      </c>
      <c r="D112" s="728">
        <v>1746788.9600000002</v>
      </c>
      <c r="E112" s="656">
        <v>1</v>
      </c>
      <c r="F112" s="551"/>
      <c r="G112" s="551"/>
      <c r="H112" s="656"/>
      <c r="L112" s="788"/>
    </row>
    <row r="113" spans="1:12" ht="7.5" customHeight="1" x14ac:dyDescent="0.25">
      <c r="A113" s="502"/>
      <c r="B113" s="502"/>
      <c r="C113" s="449"/>
      <c r="D113" s="449"/>
      <c r="E113" s="657"/>
      <c r="F113" s="449"/>
      <c r="G113" s="449"/>
      <c r="H113" s="657"/>
      <c r="L113" s="788"/>
    </row>
    <row r="114" spans="1:12" ht="15.75" thickBot="1" x14ac:dyDescent="0.3">
      <c r="A114" s="524" t="s">
        <v>1023</v>
      </c>
      <c r="B114" s="502"/>
      <c r="C114" s="727">
        <v>2602969.2800000012</v>
      </c>
      <c r="D114" s="727">
        <v>2000913.8512845864</v>
      </c>
      <c r="E114" s="656">
        <v>1.3008902298961524</v>
      </c>
      <c r="F114" s="551"/>
      <c r="G114" s="551"/>
      <c r="H114" s="656"/>
      <c r="L114" s="788"/>
    </row>
    <row r="115" spans="1:12" ht="15.75" thickTop="1" x14ac:dyDescent="0.25">
      <c r="A115" s="502"/>
      <c r="B115" s="502"/>
      <c r="C115" s="449"/>
      <c r="D115" s="449"/>
      <c r="E115" s="657"/>
      <c r="F115" s="449"/>
      <c r="G115" s="449"/>
      <c r="H115" s="657"/>
      <c r="L115" s="788"/>
    </row>
    <row r="116" spans="1:12" x14ac:dyDescent="0.25">
      <c r="A116" s="502"/>
      <c r="B116" s="502"/>
      <c r="C116" s="449"/>
      <c r="D116" s="449"/>
      <c r="E116" s="657"/>
      <c r="F116" s="449"/>
      <c r="G116" s="449"/>
      <c r="H116" s="657"/>
      <c r="L116" s="788"/>
    </row>
    <row r="117" spans="1:12" ht="18.75" x14ac:dyDescent="0.25">
      <c r="A117" s="502"/>
      <c r="B117" s="552" t="s">
        <v>1024</v>
      </c>
      <c r="C117" s="449"/>
      <c r="D117" s="449"/>
      <c r="E117" s="657"/>
      <c r="F117" s="449"/>
      <c r="G117" s="449"/>
      <c r="H117" s="657"/>
      <c r="L117" s="788"/>
    </row>
    <row r="118" spans="1:12" ht="6.75" customHeight="1" x14ac:dyDescent="0.25">
      <c r="A118" s="502"/>
      <c r="B118" s="502"/>
      <c r="C118" s="449"/>
      <c r="D118" s="449"/>
      <c r="E118" s="657"/>
      <c r="F118" s="449"/>
      <c r="G118" s="449"/>
      <c r="H118" s="657"/>
      <c r="L118" s="788"/>
    </row>
    <row r="119" spans="1:12" s="536" customFormat="1" x14ac:dyDescent="0.25">
      <c r="A119" s="524"/>
      <c r="B119" s="524" t="s">
        <v>1025</v>
      </c>
      <c r="C119" s="528"/>
      <c r="D119" s="528"/>
      <c r="E119" s="656"/>
      <c r="F119" s="528"/>
      <c r="G119" s="528"/>
      <c r="H119" s="656"/>
      <c r="L119" s="788"/>
    </row>
    <row r="120" spans="1:12" s="536" customFormat="1" ht="5.25" customHeight="1" x14ac:dyDescent="0.25">
      <c r="A120" s="524"/>
      <c r="B120" s="524"/>
      <c r="C120" s="528"/>
      <c r="D120" s="528"/>
      <c r="E120" s="656"/>
      <c r="F120" s="528"/>
      <c r="G120" s="528"/>
      <c r="H120" s="656"/>
      <c r="L120" s="788"/>
    </row>
    <row r="121" spans="1:12" x14ac:dyDescent="0.25">
      <c r="A121" s="502" t="s">
        <v>1026</v>
      </c>
      <c r="B121" s="502" t="s">
        <v>972</v>
      </c>
      <c r="C121" s="449">
        <v>45356.590000000004</v>
      </c>
      <c r="D121" s="449">
        <v>27891.460000000003</v>
      </c>
      <c r="E121" s="657">
        <v>1.6261819926242655</v>
      </c>
      <c r="F121" s="449">
        <v>7873.55</v>
      </c>
      <c r="G121" s="448">
        <v>0</v>
      </c>
      <c r="H121" s="659">
        <v>0</v>
      </c>
      <c r="L121" s="788"/>
    </row>
    <row r="122" spans="1:12" x14ac:dyDescent="0.25">
      <c r="A122" s="502" t="s">
        <v>1027</v>
      </c>
      <c r="B122" s="502" t="s">
        <v>1028</v>
      </c>
      <c r="C122" s="449">
        <v>887520.58</v>
      </c>
      <c r="D122" s="449">
        <v>1763199.5000000002</v>
      </c>
      <c r="E122" s="657">
        <v>0.50335800344770965</v>
      </c>
      <c r="F122" s="449">
        <v>151703.07999999999</v>
      </c>
      <c r="G122" s="448">
        <v>146768.85714285719</v>
      </c>
      <c r="H122" s="659">
        <v>1.0336190044209452</v>
      </c>
      <c r="L122" s="788"/>
    </row>
    <row r="123" spans="1:12" ht="6.75" customHeight="1" x14ac:dyDescent="0.25">
      <c r="A123" s="587"/>
      <c r="B123" s="502"/>
      <c r="C123" s="449"/>
      <c r="D123" s="449"/>
      <c r="E123" s="657"/>
      <c r="F123" s="449"/>
      <c r="G123" s="449"/>
      <c r="H123" s="657"/>
      <c r="L123" s="788"/>
    </row>
    <row r="124" spans="1:12" s="536" customFormat="1" ht="15.75" thickBot="1" x14ac:dyDescent="0.3">
      <c r="A124" s="526"/>
      <c r="B124" s="524" t="s">
        <v>1029</v>
      </c>
      <c r="C124" s="533">
        <v>932877.16999999993</v>
      </c>
      <c r="D124" s="533">
        <v>1791090.9600000002</v>
      </c>
      <c r="E124" s="668">
        <v>0.52084298945934038</v>
      </c>
      <c r="F124" s="533">
        <v>159576.62999999998</v>
      </c>
      <c r="G124" s="533">
        <v>146768.85714285719</v>
      </c>
      <c r="H124" s="668">
        <v>1.0872649219083061</v>
      </c>
      <c r="L124" s="788"/>
    </row>
    <row r="125" spans="1:12" ht="15.75" thickTop="1" x14ac:dyDescent="0.25">
      <c r="A125" s="587"/>
      <c r="B125" s="502"/>
      <c r="C125" s="449"/>
      <c r="D125" s="449"/>
      <c r="E125" s="657"/>
      <c r="F125" s="449"/>
      <c r="G125" s="449"/>
      <c r="H125" s="657"/>
      <c r="L125" s="788"/>
    </row>
    <row r="126" spans="1:12" x14ac:dyDescent="0.25">
      <c r="A126" s="587"/>
      <c r="B126" s="524" t="s">
        <v>1030</v>
      </c>
      <c r="C126" s="449"/>
      <c r="D126" s="449"/>
      <c r="E126" s="657"/>
      <c r="F126" s="449"/>
      <c r="G126" s="449"/>
      <c r="H126" s="657"/>
      <c r="L126" s="788"/>
    </row>
    <row r="127" spans="1:12" ht="5.25" customHeight="1" x14ac:dyDescent="0.25">
      <c r="A127" s="587"/>
      <c r="B127" s="524"/>
      <c r="C127" s="449"/>
      <c r="D127" s="449"/>
      <c r="E127" s="657"/>
      <c r="F127" s="449"/>
      <c r="G127" s="449"/>
      <c r="H127" s="657"/>
      <c r="L127" s="788"/>
    </row>
    <row r="128" spans="1:12" hidden="1" x14ac:dyDescent="0.25">
      <c r="A128" s="502" t="s">
        <v>1031</v>
      </c>
      <c r="B128" s="502" t="s">
        <v>1032</v>
      </c>
      <c r="C128" s="449">
        <v>0</v>
      </c>
      <c r="D128" s="449">
        <v>0</v>
      </c>
      <c r="E128" s="657" t="e">
        <v>#DIV/0!</v>
      </c>
      <c r="F128" s="449"/>
      <c r="G128" s="449">
        <v>0</v>
      </c>
      <c r="H128" s="657" t="e">
        <v>#DIV/0!</v>
      </c>
      <c r="L128" s="788"/>
    </row>
    <row r="129" spans="1:12" hidden="1" x14ac:dyDescent="0.25">
      <c r="A129" s="502" t="s">
        <v>1033</v>
      </c>
      <c r="B129" s="502" t="s">
        <v>1034</v>
      </c>
      <c r="C129" s="449">
        <v>0</v>
      </c>
      <c r="D129" s="449">
        <v>0</v>
      </c>
      <c r="E129" s="657" t="e">
        <v>#DIV/0!</v>
      </c>
      <c r="F129" s="449"/>
      <c r="G129" s="449">
        <v>0</v>
      </c>
      <c r="H129" s="657" t="e">
        <v>#DIV/0!</v>
      </c>
      <c r="L129" s="788"/>
    </row>
    <row r="130" spans="1:12" hidden="1" x14ac:dyDescent="0.25">
      <c r="A130" s="502" t="s">
        <v>1035</v>
      </c>
      <c r="B130" s="502" t="s">
        <v>1036</v>
      </c>
      <c r="C130" s="449">
        <v>0</v>
      </c>
      <c r="D130" s="449">
        <v>0</v>
      </c>
      <c r="E130" s="657" t="e">
        <v>#DIV/0!</v>
      </c>
      <c r="F130" s="449"/>
      <c r="G130" s="449">
        <v>0</v>
      </c>
      <c r="H130" s="657" t="e">
        <v>#DIV/0!</v>
      </c>
      <c r="L130" s="788"/>
    </row>
    <row r="131" spans="1:12" hidden="1" x14ac:dyDescent="0.25">
      <c r="A131" s="502" t="s">
        <v>1037</v>
      </c>
      <c r="B131" s="502" t="s">
        <v>1038</v>
      </c>
      <c r="C131" s="449">
        <v>0</v>
      </c>
      <c r="D131" s="449">
        <v>0</v>
      </c>
      <c r="E131" s="657" t="e">
        <v>#DIV/0!</v>
      </c>
      <c r="F131" s="449"/>
      <c r="G131" s="449">
        <v>0</v>
      </c>
      <c r="H131" s="657" t="e">
        <v>#DIV/0!</v>
      </c>
      <c r="L131" s="788"/>
    </row>
    <row r="132" spans="1:12" hidden="1" x14ac:dyDescent="0.25">
      <c r="A132" s="502" t="s">
        <v>1039</v>
      </c>
      <c r="B132" s="502" t="s">
        <v>1040</v>
      </c>
      <c r="C132" s="449">
        <v>0</v>
      </c>
      <c r="D132" s="449">
        <v>0</v>
      </c>
      <c r="E132" s="657" t="e">
        <v>#DIV/0!</v>
      </c>
      <c r="F132" s="449"/>
      <c r="G132" s="449">
        <v>0</v>
      </c>
      <c r="H132" s="657" t="e">
        <v>#DIV/0!</v>
      </c>
      <c r="L132" s="788"/>
    </row>
    <row r="133" spans="1:12" hidden="1" x14ac:dyDescent="0.25">
      <c r="A133" s="502" t="s">
        <v>1041</v>
      </c>
      <c r="B133" s="502" t="s">
        <v>1042</v>
      </c>
      <c r="C133" s="449">
        <v>0</v>
      </c>
      <c r="D133" s="449">
        <v>0</v>
      </c>
      <c r="E133" s="657" t="e">
        <v>#DIV/0!</v>
      </c>
      <c r="F133" s="449"/>
      <c r="G133" s="449">
        <v>0</v>
      </c>
      <c r="H133" s="657" t="e">
        <v>#DIV/0!</v>
      </c>
      <c r="L133" s="788"/>
    </row>
    <row r="134" spans="1:12" hidden="1" x14ac:dyDescent="0.25">
      <c r="A134" s="502" t="s">
        <v>1043</v>
      </c>
      <c r="B134" s="502" t="s">
        <v>1044</v>
      </c>
      <c r="C134" s="449">
        <v>0</v>
      </c>
      <c r="D134" s="449">
        <v>0</v>
      </c>
      <c r="E134" s="657" t="e">
        <v>#DIV/0!</v>
      </c>
      <c r="F134" s="449"/>
      <c r="G134" s="449">
        <v>0</v>
      </c>
      <c r="H134" s="657" t="e">
        <v>#DIV/0!</v>
      </c>
      <c r="L134" s="788"/>
    </row>
    <row r="135" spans="1:12" x14ac:dyDescent="0.25">
      <c r="A135" s="502" t="s">
        <v>1045</v>
      </c>
      <c r="B135" s="502" t="s">
        <v>1046</v>
      </c>
      <c r="C135" s="449">
        <v>0</v>
      </c>
      <c r="D135" s="449">
        <v>449114.00000000006</v>
      </c>
      <c r="E135" s="657">
        <v>0</v>
      </c>
      <c r="F135" s="449"/>
      <c r="G135" s="448">
        <v>64159.142857142862</v>
      </c>
      <c r="H135" s="659">
        <v>0</v>
      </c>
      <c r="L135" s="788"/>
    </row>
    <row r="136" spans="1:12" x14ac:dyDescent="0.25">
      <c r="A136" s="502" t="s">
        <v>1047</v>
      </c>
      <c r="B136" s="502" t="s">
        <v>1048</v>
      </c>
      <c r="C136" s="449">
        <v>0</v>
      </c>
      <c r="D136" s="449">
        <v>20308</v>
      </c>
      <c r="E136" s="657">
        <v>0</v>
      </c>
      <c r="F136" s="449"/>
      <c r="G136" s="448">
        <v>2901.1428571428573</v>
      </c>
      <c r="H136" s="659">
        <v>0</v>
      </c>
      <c r="L136" s="788"/>
    </row>
    <row r="137" spans="1:12" ht="15" customHeight="1" x14ac:dyDescent="0.25">
      <c r="A137" s="502" t="s">
        <v>1049</v>
      </c>
      <c r="B137" s="502" t="s">
        <v>1050</v>
      </c>
      <c r="C137" s="449">
        <v>0</v>
      </c>
      <c r="D137" s="449">
        <v>0</v>
      </c>
      <c r="E137" s="657">
        <v>0</v>
      </c>
      <c r="F137" s="449"/>
      <c r="G137" s="448">
        <v>0</v>
      </c>
      <c r="H137" s="659">
        <v>0</v>
      </c>
      <c r="L137" s="788"/>
    </row>
    <row r="138" spans="1:12" ht="15" customHeight="1" x14ac:dyDescent="0.25">
      <c r="A138" s="612" t="s">
        <v>1051</v>
      </c>
      <c r="B138" s="502" t="s">
        <v>1052</v>
      </c>
      <c r="C138" s="449">
        <v>888373.17</v>
      </c>
      <c r="D138" s="449">
        <v>1763199.5</v>
      </c>
      <c r="E138" s="657">
        <v>0.50384155054490432</v>
      </c>
      <c r="F138" s="449">
        <v>912856</v>
      </c>
      <c r="G138" s="448">
        <v>255383.19</v>
      </c>
      <c r="H138" s="659">
        <v>3.5744560947805533</v>
      </c>
      <c r="L138" s="788"/>
    </row>
    <row r="139" spans="1:12" ht="15" customHeight="1" x14ac:dyDescent="0.25">
      <c r="A139" s="502" t="s">
        <v>1053</v>
      </c>
      <c r="B139" s="502" t="s">
        <v>1052</v>
      </c>
      <c r="C139" s="449">
        <v>0</v>
      </c>
      <c r="D139" s="449">
        <v>0</v>
      </c>
      <c r="E139" s="657">
        <v>0</v>
      </c>
      <c r="F139" s="449"/>
      <c r="G139" s="448">
        <v>0</v>
      </c>
      <c r="H139" s="659">
        <v>0</v>
      </c>
      <c r="L139" s="788"/>
    </row>
    <row r="140" spans="1:12" ht="15" customHeight="1" x14ac:dyDescent="0.25">
      <c r="A140" s="502" t="s">
        <v>1054</v>
      </c>
      <c r="B140" s="502" t="s">
        <v>1055</v>
      </c>
      <c r="C140" s="449">
        <v>7500</v>
      </c>
      <c r="D140" s="449">
        <v>10585.833734939757</v>
      </c>
      <c r="E140" s="657">
        <v>0.70849402964316266</v>
      </c>
      <c r="F140" s="449"/>
      <c r="G140" s="448">
        <v>440.83339070567956</v>
      </c>
      <c r="H140" s="659">
        <v>0</v>
      </c>
      <c r="L140" s="788"/>
    </row>
    <row r="141" spans="1:12" s="536" customFormat="1" ht="8.25" customHeight="1" x14ac:dyDescent="0.25">
      <c r="A141" s="502"/>
      <c r="B141" s="502"/>
      <c r="C141" s="449"/>
      <c r="D141" s="449"/>
      <c r="E141" s="657"/>
      <c r="F141" s="449"/>
      <c r="G141" s="449"/>
      <c r="H141" s="657"/>
      <c r="L141" s="788"/>
    </row>
    <row r="142" spans="1:12" s="536" customFormat="1" ht="15" customHeight="1" thickBot="1" x14ac:dyDescent="0.3">
      <c r="A142" s="524"/>
      <c r="B142" s="524" t="s">
        <v>1056</v>
      </c>
      <c r="C142" s="533">
        <v>895873.17</v>
      </c>
      <c r="D142" s="533">
        <v>2243207.3337349398</v>
      </c>
      <c r="E142" s="668">
        <v>0.39937154115325191</v>
      </c>
      <c r="F142" s="533">
        <v>912856</v>
      </c>
      <c r="G142" s="533">
        <v>322884.30910499144</v>
      </c>
      <c r="H142" s="668">
        <v>2.8271921993681306</v>
      </c>
      <c r="L142" s="788"/>
    </row>
    <row r="143" spans="1:12" s="536" customFormat="1" ht="15" customHeight="1" thickTop="1" x14ac:dyDescent="0.25">
      <c r="A143" s="502"/>
      <c r="B143" s="502"/>
      <c r="C143" s="449"/>
      <c r="D143" s="449"/>
      <c r="E143" s="657"/>
      <c r="F143" s="449"/>
      <c r="G143" s="449"/>
      <c r="H143" s="657"/>
      <c r="L143" s="788"/>
    </row>
    <row r="144" spans="1:12" s="536" customFormat="1" ht="15" customHeight="1" x14ac:dyDescent="0.25">
      <c r="A144" s="524" t="s">
        <v>1057</v>
      </c>
      <c r="B144" s="502"/>
      <c r="C144" s="551">
        <v>37003.999999999884</v>
      </c>
      <c r="D144" s="551">
        <v>-452116.37373493961</v>
      </c>
      <c r="E144" s="656">
        <v>-8.1846184189945007E-2</v>
      </c>
      <c r="F144" s="551">
        <v>-753279.37</v>
      </c>
      <c r="G144" s="551">
        <v>-176115.45196213425</v>
      </c>
      <c r="H144" s="656">
        <v>4.2771906814965845</v>
      </c>
      <c r="L144" s="788"/>
    </row>
    <row r="145" spans="1:12" s="536" customFormat="1" ht="9" customHeight="1" x14ac:dyDescent="0.25">
      <c r="A145" s="502"/>
      <c r="B145" s="502"/>
      <c r="C145" s="449"/>
      <c r="D145" s="449"/>
      <c r="E145" s="657"/>
      <c r="F145" s="449"/>
      <c r="G145" s="449"/>
      <c r="H145" s="657"/>
      <c r="L145" s="788"/>
    </row>
    <row r="146" spans="1:12" s="536" customFormat="1" ht="15" customHeight="1" x14ac:dyDescent="0.25">
      <c r="A146" s="524" t="s">
        <v>1058</v>
      </c>
      <c r="B146" s="502"/>
      <c r="C146" s="728">
        <v>-1312545.79</v>
      </c>
      <c r="D146" s="728">
        <v>-1312545.79</v>
      </c>
      <c r="E146" s="656">
        <v>1</v>
      </c>
      <c r="F146" s="551"/>
      <c r="G146" s="551"/>
      <c r="H146" s="656"/>
      <c r="L146" s="788"/>
    </row>
    <row r="147" spans="1:12" s="536" customFormat="1" ht="7.5" customHeight="1" x14ac:dyDescent="0.25">
      <c r="A147" s="502"/>
      <c r="B147" s="502"/>
      <c r="C147" s="449"/>
      <c r="D147" s="449"/>
      <c r="E147" s="657"/>
      <c r="F147" s="449"/>
      <c r="G147" s="449"/>
      <c r="H147" s="657"/>
      <c r="L147" s="788"/>
    </row>
    <row r="148" spans="1:12" s="536" customFormat="1" ht="15" customHeight="1" thickBot="1" x14ac:dyDescent="0.3">
      <c r="A148" s="524" t="s">
        <v>1059</v>
      </c>
      <c r="B148" s="502"/>
      <c r="C148" s="727">
        <v>-1275541.79</v>
      </c>
      <c r="D148" s="727">
        <v>-1764662.1637349396</v>
      </c>
      <c r="E148" s="656">
        <v>0.72282492151375455</v>
      </c>
      <c r="F148" s="551"/>
      <c r="G148" s="551"/>
      <c r="H148" s="656"/>
      <c r="L148" s="788"/>
    </row>
    <row r="149" spans="1:12" s="536" customFormat="1" ht="15" customHeight="1" thickTop="1" x14ac:dyDescent="0.25">
      <c r="A149" s="502"/>
      <c r="B149" s="502"/>
      <c r="C149" s="449"/>
      <c r="D149" s="449"/>
      <c r="E149" s="657"/>
      <c r="F149" s="449"/>
      <c r="G149" s="449"/>
      <c r="H149" s="657"/>
      <c r="L149" s="788"/>
    </row>
    <row r="150" spans="1:12" s="536" customFormat="1" ht="15" customHeight="1" x14ac:dyDescent="0.25">
      <c r="A150" s="502"/>
      <c r="B150" s="502"/>
      <c r="C150" s="449"/>
      <c r="D150" s="449"/>
      <c r="E150" s="657"/>
      <c r="F150" s="449"/>
      <c r="G150" s="449"/>
      <c r="H150" s="657"/>
      <c r="L150" s="788"/>
    </row>
    <row r="151" spans="1:12" s="536" customFormat="1" ht="15" customHeight="1" x14ac:dyDescent="0.25">
      <c r="A151" s="502"/>
      <c r="B151" s="552" t="s">
        <v>1060</v>
      </c>
      <c r="C151" s="449"/>
      <c r="D151" s="449"/>
      <c r="E151" s="657"/>
      <c r="F151" s="449"/>
      <c r="G151" s="449"/>
      <c r="H151" s="657"/>
      <c r="L151" s="788"/>
    </row>
    <row r="152" spans="1:12" s="536" customFormat="1" ht="15" customHeight="1" x14ac:dyDescent="0.25">
      <c r="A152" s="502"/>
      <c r="B152" s="502"/>
      <c r="C152" s="449"/>
      <c r="D152" s="449"/>
      <c r="E152" s="657"/>
      <c r="F152" s="449"/>
      <c r="G152" s="449"/>
      <c r="H152" s="657"/>
      <c r="L152" s="788"/>
    </row>
    <row r="153" spans="1:12" s="536" customFormat="1" ht="15" customHeight="1" x14ac:dyDescent="0.25">
      <c r="A153" s="502"/>
      <c r="B153" s="524" t="s">
        <v>1061</v>
      </c>
      <c r="C153" s="449"/>
      <c r="D153" s="449"/>
      <c r="E153" s="657"/>
      <c r="F153" s="449"/>
      <c r="G153" s="449"/>
      <c r="H153" s="657"/>
      <c r="L153" s="788"/>
    </row>
    <row r="154" spans="1:12" ht="15" customHeight="1" x14ac:dyDescent="0.25">
      <c r="A154" s="502" t="s">
        <v>1062</v>
      </c>
      <c r="B154" s="502" t="s">
        <v>1063</v>
      </c>
      <c r="C154" s="449">
        <v>580.82000000000005</v>
      </c>
      <c r="D154" s="449">
        <v>17676.04417670683</v>
      </c>
      <c r="E154" s="657">
        <v>3.2859162049696286E-2</v>
      </c>
      <c r="F154" s="449">
        <v>34</v>
      </c>
      <c r="G154" s="448">
        <v>2447.0320252438328</v>
      </c>
      <c r="H154" s="659">
        <v>1.3894382929709346E-2</v>
      </c>
      <c r="L154" s="788"/>
    </row>
    <row r="155" spans="1:12" ht="15" customHeight="1" x14ac:dyDescent="0.25">
      <c r="A155" s="502" t="s">
        <v>1064</v>
      </c>
      <c r="B155" s="502" t="s">
        <v>1065</v>
      </c>
      <c r="C155" s="449">
        <v>28425.5</v>
      </c>
      <c r="D155" s="449">
        <v>53028.1325301205</v>
      </c>
      <c r="E155" s="657">
        <v>0.53604565432987927</v>
      </c>
      <c r="F155" s="449">
        <v>2762</v>
      </c>
      <c r="G155" s="448">
        <v>3909.233218588643</v>
      </c>
      <c r="H155" s="659">
        <v>0.70653241839512693</v>
      </c>
      <c r="L155" s="788"/>
    </row>
    <row r="156" spans="1:12" ht="15" customHeight="1" x14ac:dyDescent="0.25">
      <c r="A156" s="502" t="s">
        <v>1066</v>
      </c>
      <c r="B156" s="502" t="s">
        <v>1067</v>
      </c>
      <c r="C156" s="449">
        <v>3878.48</v>
      </c>
      <c r="D156" s="449">
        <v>113126.6827309237</v>
      </c>
      <c r="E156" s="657">
        <v>3.428439609800208E-2</v>
      </c>
      <c r="F156" s="449">
        <v>639.84</v>
      </c>
      <c r="G156" s="448">
        <v>15698.291818703385</v>
      </c>
      <c r="H156" s="659">
        <v>4.0758574715605476E-2</v>
      </c>
      <c r="L156" s="788"/>
    </row>
    <row r="157" spans="1:12" x14ac:dyDescent="0.25">
      <c r="A157" s="502" t="s">
        <v>1068</v>
      </c>
      <c r="B157" s="502" t="s">
        <v>1069</v>
      </c>
      <c r="C157" s="449">
        <v>0</v>
      </c>
      <c r="D157" s="449">
        <v>5000</v>
      </c>
      <c r="E157" s="657">
        <v>0</v>
      </c>
      <c r="F157" s="449"/>
      <c r="G157" s="448">
        <v>714.28571428571433</v>
      </c>
      <c r="H157" s="659">
        <v>0</v>
      </c>
      <c r="L157" s="788"/>
    </row>
    <row r="158" spans="1:12" x14ac:dyDescent="0.25">
      <c r="A158" s="502" t="s">
        <v>1070</v>
      </c>
      <c r="B158" s="502" t="s">
        <v>1071</v>
      </c>
      <c r="C158" s="449">
        <v>4064.35</v>
      </c>
      <c r="D158" s="449">
        <v>17676.04417670683</v>
      </c>
      <c r="E158" s="657">
        <v>0.22993549684357129</v>
      </c>
      <c r="F158" s="449">
        <v>1070.0999999999999</v>
      </c>
      <c r="G158" s="448">
        <v>2097.3991681009757</v>
      </c>
      <c r="H158" s="659">
        <v>0.51020331097436666</v>
      </c>
      <c r="L158" s="788"/>
    </row>
    <row r="159" spans="1:12" x14ac:dyDescent="0.25">
      <c r="A159" s="502" t="s">
        <v>1072</v>
      </c>
      <c r="B159" s="502" t="s">
        <v>1073</v>
      </c>
      <c r="C159" s="449">
        <v>255</v>
      </c>
      <c r="D159" s="449">
        <v>1768.1542168674698</v>
      </c>
      <c r="E159" s="657">
        <v>0.14421818954896809</v>
      </c>
      <c r="F159" s="449"/>
      <c r="G159" s="448">
        <v>216.16488812392427</v>
      </c>
      <c r="H159" s="659">
        <v>0</v>
      </c>
      <c r="L159" s="788"/>
    </row>
    <row r="160" spans="1:12" x14ac:dyDescent="0.25">
      <c r="A160" s="502" t="s">
        <v>1074</v>
      </c>
      <c r="B160" s="502" t="s">
        <v>1075</v>
      </c>
      <c r="C160" s="449">
        <v>13866.71</v>
      </c>
      <c r="D160" s="449">
        <v>11080.477076305222</v>
      </c>
      <c r="E160" s="657">
        <v>1.2514542383425826</v>
      </c>
      <c r="F160" s="449">
        <v>1303.57</v>
      </c>
      <c r="G160" s="448">
        <v>0</v>
      </c>
      <c r="H160" s="659">
        <v>0</v>
      </c>
      <c r="L160" s="788"/>
    </row>
    <row r="161" spans="1:12" x14ac:dyDescent="0.25">
      <c r="A161" s="587"/>
      <c r="B161" s="502"/>
      <c r="C161" s="449"/>
      <c r="D161" s="449"/>
      <c r="E161" s="657"/>
      <c r="F161" s="449"/>
      <c r="G161" s="449"/>
      <c r="H161" s="657"/>
      <c r="L161" s="788"/>
    </row>
    <row r="162" spans="1:12" s="536" customFormat="1" ht="15.75" thickBot="1" x14ac:dyDescent="0.3">
      <c r="A162" s="526"/>
      <c r="B162" s="524" t="s">
        <v>1076</v>
      </c>
      <c r="C162" s="533">
        <v>51070.86</v>
      </c>
      <c r="D162" s="533">
        <v>219355.53490763056</v>
      </c>
      <c r="E162" s="668">
        <v>0.23282229929372728</v>
      </c>
      <c r="F162" s="533">
        <v>5809.51</v>
      </c>
      <c r="G162" s="533">
        <v>25082.406833046472</v>
      </c>
      <c r="H162" s="668">
        <v>0.23161692730164465</v>
      </c>
      <c r="L162" s="788"/>
    </row>
    <row r="163" spans="1:12" ht="15.75" thickTop="1" x14ac:dyDescent="0.25">
      <c r="A163" s="587"/>
      <c r="B163" s="502"/>
      <c r="C163" s="449"/>
      <c r="D163" s="449"/>
      <c r="E163" s="657"/>
      <c r="F163" s="449"/>
      <c r="G163" s="449"/>
      <c r="H163" s="657"/>
      <c r="L163" s="788"/>
    </row>
    <row r="164" spans="1:12" x14ac:dyDescent="0.25">
      <c r="A164" s="587"/>
      <c r="B164" s="524" t="s">
        <v>1077</v>
      </c>
      <c r="C164" s="449"/>
      <c r="D164" s="449"/>
      <c r="E164" s="657"/>
      <c r="F164" s="449"/>
      <c r="G164" s="449"/>
      <c r="H164" s="657"/>
      <c r="L164" s="788"/>
    </row>
    <row r="165" spans="1:12" x14ac:dyDescent="0.25">
      <c r="A165" s="502" t="s">
        <v>1078</v>
      </c>
      <c r="B165" s="502" t="s">
        <v>1079</v>
      </c>
      <c r="C165" s="449">
        <v>33809.96</v>
      </c>
      <c r="D165" s="449">
        <v>53028.1325301205</v>
      </c>
      <c r="E165" s="657">
        <v>0.63758534172018244</v>
      </c>
      <c r="F165" s="449">
        <v>14111.56</v>
      </c>
      <c r="G165" s="448">
        <v>4761.3903614457859</v>
      </c>
      <c r="H165" s="659">
        <v>2.9637477561732735</v>
      </c>
      <c r="L165" s="788"/>
    </row>
    <row r="166" spans="1:12" x14ac:dyDescent="0.25">
      <c r="A166" s="502" t="s">
        <v>1080</v>
      </c>
      <c r="B166" s="502" t="s">
        <v>1081</v>
      </c>
      <c r="C166" s="449">
        <v>0</v>
      </c>
      <c r="D166" s="449">
        <v>177.03534136546185</v>
      </c>
      <c r="E166" s="657">
        <v>0</v>
      </c>
      <c r="F166" s="449"/>
      <c r="G166" s="448">
        <v>25.290763052208835</v>
      </c>
      <c r="H166" s="659">
        <v>0</v>
      </c>
      <c r="L166" s="788"/>
    </row>
    <row r="167" spans="1:12" x14ac:dyDescent="0.25">
      <c r="A167" s="502" t="s">
        <v>1082</v>
      </c>
      <c r="B167" s="502" t="s">
        <v>1063</v>
      </c>
      <c r="C167" s="449">
        <v>0</v>
      </c>
      <c r="D167" s="449">
        <v>26514.616064257028</v>
      </c>
      <c r="E167" s="657">
        <v>0</v>
      </c>
      <c r="F167" s="449"/>
      <c r="G167" s="448">
        <v>3787.802294893861</v>
      </c>
      <c r="H167" s="659">
        <v>0</v>
      </c>
      <c r="L167" s="788"/>
    </row>
    <row r="168" spans="1:12" x14ac:dyDescent="0.25">
      <c r="A168" s="502" t="s">
        <v>1083</v>
      </c>
      <c r="B168" s="502" t="s">
        <v>1084</v>
      </c>
      <c r="C168" s="449">
        <v>4401</v>
      </c>
      <c r="D168" s="449">
        <v>42422.506024096372</v>
      </c>
      <c r="E168" s="657">
        <v>0.10374210324821904</v>
      </c>
      <c r="F168" s="449"/>
      <c r="G168" s="448">
        <v>5431.6437177280532</v>
      </c>
      <c r="H168" s="659">
        <v>0</v>
      </c>
      <c r="L168" s="788"/>
    </row>
    <row r="169" spans="1:12" x14ac:dyDescent="0.25">
      <c r="A169" s="502" t="s">
        <v>1085</v>
      </c>
      <c r="B169" s="502" t="s">
        <v>1086</v>
      </c>
      <c r="C169" s="449">
        <v>0</v>
      </c>
      <c r="D169" s="449">
        <v>2828.1670682730928</v>
      </c>
      <c r="E169" s="657">
        <v>0</v>
      </c>
      <c r="F169" s="449"/>
      <c r="G169" s="448">
        <v>404.02386689615611</v>
      </c>
      <c r="H169" s="659">
        <v>0</v>
      </c>
      <c r="L169" s="788"/>
    </row>
    <row r="170" spans="1:12" x14ac:dyDescent="0.25">
      <c r="A170" s="502" t="s">
        <v>1087</v>
      </c>
      <c r="B170" s="502" t="s">
        <v>1088</v>
      </c>
      <c r="C170" s="449">
        <v>4064.66</v>
      </c>
      <c r="D170" s="449">
        <v>7739.6552449799201</v>
      </c>
      <c r="E170" s="657">
        <v>0.52517326306445133</v>
      </c>
      <c r="F170" s="449">
        <v>2234.66</v>
      </c>
      <c r="G170" s="448">
        <v>844.23646356856</v>
      </c>
      <c r="H170" s="659">
        <v>2.646959822789654</v>
      </c>
      <c r="L170" s="788"/>
    </row>
    <row r="171" spans="1:12" x14ac:dyDescent="0.25">
      <c r="A171" s="502" t="s">
        <v>1089</v>
      </c>
      <c r="B171" s="502" t="s">
        <v>1090</v>
      </c>
      <c r="C171" s="449">
        <v>2496.2399999999998</v>
      </c>
      <c r="D171" s="449">
        <v>35352.088353413659</v>
      </c>
      <c r="E171" s="657">
        <v>7.0610821489389006E-2</v>
      </c>
      <c r="F171" s="449"/>
      <c r="G171" s="448">
        <v>4693.6926219162369</v>
      </c>
      <c r="H171" s="659">
        <v>0</v>
      </c>
      <c r="L171" s="788"/>
    </row>
    <row r="172" spans="1:12" ht="15" customHeight="1" x14ac:dyDescent="0.25">
      <c r="A172" s="502" t="s">
        <v>1091</v>
      </c>
      <c r="B172" s="502" t="s">
        <v>1092</v>
      </c>
      <c r="C172" s="449">
        <v>0</v>
      </c>
      <c r="D172" s="449">
        <v>8838.5718875502025</v>
      </c>
      <c r="E172" s="657">
        <v>0</v>
      </c>
      <c r="F172" s="449"/>
      <c r="G172" s="448">
        <v>1262.653126792886</v>
      </c>
      <c r="H172" s="659">
        <v>0</v>
      </c>
      <c r="L172" s="788"/>
    </row>
    <row r="173" spans="1:12" ht="15" customHeight="1" x14ac:dyDescent="0.25">
      <c r="A173" s="502" t="s">
        <v>1093</v>
      </c>
      <c r="B173" s="502" t="s">
        <v>1094</v>
      </c>
      <c r="C173" s="449">
        <v>1490.33</v>
      </c>
      <c r="D173" s="449">
        <v>5303.3630522088351</v>
      </c>
      <c r="E173" s="657">
        <v>0.28101602423377026</v>
      </c>
      <c r="F173" s="449">
        <v>762.48</v>
      </c>
      <c r="G173" s="448">
        <v>653.64472174411924</v>
      </c>
      <c r="H173" s="659">
        <v>1.1665052506895119</v>
      </c>
      <c r="L173" s="788"/>
    </row>
    <row r="174" spans="1:12" x14ac:dyDescent="0.25">
      <c r="C174" s="407"/>
      <c r="D174" s="407"/>
      <c r="E174" s="657"/>
      <c r="F174" s="473"/>
      <c r="G174" s="473"/>
      <c r="H174" s="657"/>
      <c r="L174" s="788"/>
    </row>
    <row r="175" spans="1:12" ht="15.75" thickBot="1" x14ac:dyDescent="0.3">
      <c r="B175" s="524" t="s">
        <v>1095</v>
      </c>
      <c r="C175" s="559">
        <v>46262.189999999995</v>
      </c>
      <c r="D175" s="559">
        <v>182204.13556626509</v>
      </c>
      <c r="E175" s="671">
        <v>0.25390307336451806</v>
      </c>
      <c r="F175" s="559">
        <v>17108.7</v>
      </c>
      <c r="G175" s="559">
        <v>21864.377938037869</v>
      </c>
      <c r="H175" s="791">
        <v>0.78249196242787566</v>
      </c>
      <c r="L175" s="788"/>
    </row>
    <row r="176" spans="1:12" ht="15.75" thickTop="1" x14ac:dyDescent="0.25">
      <c r="C176" s="407"/>
      <c r="D176" s="407"/>
      <c r="E176" s="657"/>
      <c r="F176" s="473"/>
      <c r="G176" s="473"/>
      <c r="H176" s="657"/>
      <c r="L176" s="788"/>
    </row>
    <row r="177" spans="1:12" x14ac:dyDescent="0.25">
      <c r="A177" s="524" t="s">
        <v>1021</v>
      </c>
      <c r="C177" s="564">
        <v>4808.6700000000055</v>
      </c>
      <c r="D177" s="564">
        <v>37151.399341365468</v>
      </c>
      <c r="E177" s="655">
        <v>0.12943442468520666</v>
      </c>
      <c r="F177" s="564">
        <v>-11299.19</v>
      </c>
      <c r="G177" s="564">
        <v>3218.0288950086033</v>
      </c>
      <c r="H177" s="792">
        <v>-3.5112145877639152</v>
      </c>
      <c r="L177" s="788"/>
    </row>
    <row r="178" spans="1:12" ht="8.25" customHeight="1" x14ac:dyDescent="0.25">
      <c r="A178" s="502"/>
      <c r="C178" s="564"/>
      <c r="D178" s="564"/>
      <c r="E178" s="656"/>
      <c r="F178" s="551"/>
      <c r="G178" s="551"/>
      <c r="H178" s="656"/>
      <c r="L178" s="788"/>
    </row>
    <row r="179" spans="1:12" x14ac:dyDescent="0.25">
      <c r="A179" s="524" t="s">
        <v>1022</v>
      </c>
      <c r="C179" s="568">
        <v>116106.59999999999</v>
      </c>
      <c r="D179" s="568">
        <v>116106.59999999999</v>
      </c>
      <c r="E179" s="655">
        <v>1</v>
      </c>
      <c r="F179" s="551"/>
      <c r="G179" s="551"/>
      <c r="H179" s="656"/>
      <c r="L179" s="788"/>
    </row>
    <row r="180" spans="1:12" ht="6.75" customHeight="1" x14ac:dyDescent="0.25">
      <c r="A180" s="502"/>
      <c r="C180" s="564"/>
      <c r="D180" s="564"/>
      <c r="E180" s="656"/>
      <c r="F180" s="551"/>
      <c r="G180" s="551"/>
      <c r="H180" s="656"/>
      <c r="L180" s="788"/>
    </row>
    <row r="181" spans="1:12" ht="15.75" thickBot="1" x14ac:dyDescent="0.3">
      <c r="A181" s="524" t="s">
        <v>1023</v>
      </c>
      <c r="C181" s="729">
        <v>120915.26999999999</v>
      </c>
      <c r="D181" s="729">
        <v>153257.99934136547</v>
      </c>
      <c r="E181" s="655">
        <v>0.7889654733824002</v>
      </c>
      <c r="F181" s="564"/>
      <c r="G181" s="564"/>
      <c r="H181" s="655"/>
      <c r="L181" s="788"/>
    </row>
    <row r="182" spans="1:12" ht="15.75" thickTop="1" x14ac:dyDescent="0.25">
      <c r="C182" s="407"/>
      <c r="D182" s="407"/>
      <c r="E182" s="657"/>
      <c r="F182" s="473"/>
      <c r="G182" s="473"/>
      <c r="H182" s="657"/>
      <c r="L182" s="788"/>
    </row>
    <row r="183" spans="1:12" hidden="1" x14ac:dyDescent="0.25">
      <c r="C183" s="449">
        <v>7176478.3400000008</v>
      </c>
      <c r="D183" s="449">
        <v>12796739.13908368</v>
      </c>
      <c r="E183" s="657"/>
      <c r="F183" s="449">
        <v>1111703.17</v>
      </c>
      <c r="G183" s="449">
        <v>1067274.3084594065</v>
      </c>
      <c r="H183" s="657"/>
    </row>
    <row r="184" spans="1:12" hidden="1" x14ac:dyDescent="0.25">
      <c r="C184" s="449">
        <v>6278485.3499999996</v>
      </c>
      <c r="D184" s="449">
        <v>13568060.954863288</v>
      </c>
      <c r="E184" s="657"/>
      <c r="F184" s="449">
        <v>1695023.78</v>
      </c>
      <c r="G184" s="449">
        <v>785833.72817320284</v>
      </c>
      <c r="H184" s="657"/>
    </row>
    <row r="185" spans="1:12" hidden="1" x14ac:dyDescent="0.25">
      <c r="C185" s="449">
        <v>897992.99000000115</v>
      </c>
      <c r="D185" s="449">
        <v>-771321.81577960774</v>
      </c>
      <c r="E185" s="657"/>
      <c r="F185" s="449">
        <v>-583320.6100000001</v>
      </c>
      <c r="G185" s="449">
        <v>281440.58028620365</v>
      </c>
      <c r="H185" s="657"/>
    </row>
    <row r="186" spans="1:12" hidden="1" x14ac:dyDescent="0.25">
      <c r="E186" s="657"/>
      <c r="H186" s="657"/>
    </row>
    <row r="187" spans="1:12" s="588" customFormat="1" ht="15" hidden="1" customHeight="1" x14ac:dyDescent="0.25">
      <c r="A187" s="610"/>
      <c r="C187" s="420"/>
      <c r="D187" s="420"/>
      <c r="E187" s="657"/>
      <c r="F187" s="417">
        <v>6</v>
      </c>
      <c r="G187" s="417">
        <v>1</v>
      </c>
      <c r="H187" s="657"/>
    </row>
    <row r="188" spans="1:12" s="588" customFormat="1" ht="15" hidden="1" customHeight="1" x14ac:dyDescent="0.25">
      <c r="A188" s="610"/>
      <c r="C188" s="437"/>
      <c r="D188" s="437"/>
      <c r="E188" s="657"/>
      <c r="F188" s="417">
        <v>7</v>
      </c>
      <c r="G188" s="417">
        <v>12</v>
      </c>
      <c r="H188" s="657"/>
    </row>
    <row r="189" spans="1:12" ht="15" hidden="1" customHeight="1" x14ac:dyDescent="0.25">
      <c r="A189" s="620"/>
      <c r="C189" s="472"/>
      <c r="D189" s="472"/>
      <c r="E189" s="657"/>
      <c r="F189" s="406"/>
      <c r="H189" s="657"/>
    </row>
    <row r="190" spans="1:12" hidden="1" x14ac:dyDescent="0.25">
      <c r="E190" s="657"/>
      <c r="F190" s="606">
        <v>2.8571428571428571E-2</v>
      </c>
      <c r="G190" s="606">
        <v>0.2</v>
      </c>
      <c r="H190" s="657"/>
    </row>
    <row r="191" spans="1:12" hidden="1" x14ac:dyDescent="0.25">
      <c r="E191" s="657"/>
      <c r="H191" s="657"/>
    </row>
    <row r="192" spans="1:12" hidden="1" x14ac:dyDescent="0.25">
      <c r="E192" s="657"/>
      <c r="H192" s="657"/>
    </row>
    <row r="193" spans="3:8" hidden="1" x14ac:dyDescent="0.25">
      <c r="E193" s="657"/>
      <c r="H193" s="657"/>
    </row>
    <row r="194" spans="3:8" hidden="1" x14ac:dyDescent="0.25">
      <c r="C194" s="675">
        <v>5362398.63</v>
      </c>
      <c r="D194" s="675">
        <v>11280758.059758347</v>
      </c>
      <c r="E194" s="657"/>
      <c r="H194" s="657"/>
    </row>
    <row r="195" spans="3:8" hidden="1" x14ac:dyDescent="0.25">
      <c r="C195" s="677">
        <v>14691.50309589041</v>
      </c>
      <c r="D195" s="677">
        <v>30906.186465091359</v>
      </c>
      <c r="E195" s="657"/>
      <c r="H195" s="657"/>
    </row>
    <row r="196" spans="3:8" hidden="1" x14ac:dyDescent="0.25">
      <c r="C196" s="676">
        <v>881490.18575342465</v>
      </c>
      <c r="D196" s="676">
        <v>1854371.1879054816</v>
      </c>
      <c r="E196" s="657"/>
      <c r="H196" s="657"/>
    </row>
    <row r="197" spans="3:8" hidden="1" x14ac:dyDescent="0.25">
      <c r="C197" s="676"/>
      <c r="D197" s="676"/>
      <c r="E197" s="657"/>
      <c r="H197" s="657"/>
    </row>
    <row r="198" spans="3:8" hidden="1" x14ac:dyDescent="0.25">
      <c r="C198" s="676">
        <v>2165000</v>
      </c>
      <c r="D198" s="676">
        <v>2165000</v>
      </c>
      <c r="E198" s="657"/>
      <c r="H198" s="657"/>
    </row>
    <row r="199" spans="3:8" hidden="1" x14ac:dyDescent="0.25">
      <c r="C199" s="675">
        <v>876393.87000000104</v>
      </c>
      <c r="D199" s="675">
        <v>-356356.84138603322</v>
      </c>
      <c r="E199" s="657"/>
      <c r="H199" s="657"/>
    </row>
    <row r="200" spans="3:8" hidden="1" x14ac:dyDescent="0.25">
      <c r="C200" s="675">
        <v>4808.6700000000055</v>
      </c>
      <c r="D200" s="675">
        <v>37151.399341365468</v>
      </c>
      <c r="E200" s="657"/>
      <c r="H200" s="657"/>
    </row>
    <row r="201" spans="3:8" hidden="1" x14ac:dyDescent="0.25">
      <c r="C201" s="676">
        <v>3046202.540000001</v>
      </c>
      <c r="D201" s="676">
        <v>1845794.5579553323</v>
      </c>
      <c r="E201" s="657"/>
      <c r="H201" s="657"/>
    </row>
    <row r="202" spans="3:8" hidden="1" x14ac:dyDescent="0.25">
      <c r="C202" s="676"/>
      <c r="D202" s="676"/>
      <c r="E202" s="657"/>
      <c r="H202" s="657"/>
    </row>
    <row r="203" spans="3:8" hidden="1" x14ac:dyDescent="0.25">
      <c r="E203" s="657"/>
      <c r="H203" s="657"/>
    </row>
    <row r="204" spans="3:8" x14ac:dyDescent="0.25">
      <c r="E204" s="657"/>
      <c r="H204" s="657"/>
    </row>
    <row r="205" spans="3:8" x14ac:dyDescent="0.25">
      <c r="E205" s="657"/>
      <c r="H205" s="657"/>
    </row>
    <row r="206" spans="3:8" x14ac:dyDescent="0.25">
      <c r="E206" s="657"/>
      <c r="H206" s="657"/>
    </row>
    <row r="207" spans="3:8" x14ac:dyDescent="0.25">
      <c r="E207" s="657"/>
      <c r="H207" s="657"/>
    </row>
    <row r="208" spans="3:8" x14ac:dyDescent="0.25">
      <c r="E208" s="657"/>
      <c r="H208" s="657"/>
    </row>
    <row r="209" spans="2:8" x14ac:dyDescent="0.25">
      <c r="E209" s="657"/>
      <c r="H209" s="657"/>
    </row>
    <row r="210" spans="2:8" x14ac:dyDescent="0.25">
      <c r="E210" s="657"/>
      <c r="H210" s="657"/>
    </row>
    <row r="211" spans="2:8" x14ac:dyDescent="0.25">
      <c r="E211" s="657"/>
      <c r="H211" s="657"/>
    </row>
    <row r="212" spans="2:8" x14ac:dyDescent="0.25">
      <c r="E212" s="657"/>
      <c r="H212" s="657"/>
    </row>
    <row r="213" spans="2:8" x14ac:dyDescent="0.25">
      <c r="E213" s="657"/>
      <c r="H213" s="657"/>
    </row>
    <row r="214" spans="2:8" x14ac:dyDescent="0.25">
      <c r="E214" s="657"/>
      <c r="H214" s="657"/>
    </row>
    <row r="215" spans="2:8" x14ac:dyDescent="0.25">
      <c r="E215" s="657"/>
      <c r="H215" s="657"/>
    </row>
    <row r="217" spans="2:8" hidden="1" x14ac:dyDescent="0.25">
      <c r="B217" s="607" t="s">
        <v>1096</v>
      </c>
    </row>
    <row r="218" spans="2:8" hidden="1" x14ac:dyDescent="0.25">
      <c r="B218" s="605" t="s">
        <v>1097</v>
      </c>
    </row>
    <row r="219" spans="2:8" hidden="1" x14ac:dyDescent="0.25">
      <c r="B219" s="605" t="s">
        <v>1098</v>
      </c>
    </row>
    <row r="220" spans="2:8" hidden="1" x14ac:dyDescent="0.25">
      <c r="B220" s="588"/>
    </row>
    <row r="221" spans="2:8" hidden="1" x14ac:dyDescent="0.25">
      <c r="B221" s="605" t="s">
        <v>1099</v>
      </c>
    </row>
    <row r="222" spans="2:8" hidden="1" x14ac:dyDescent="0.25">
      <c r="B222" s="588"/>
    </row>
    <row r="223" spans="2:8" hidden="1" x14ac:dyDescent="0.25">
      <c r="B223" s="605" t="s">
        <v>1100</v>
      </c>
    </row>
    <row r="224" spans="2:8" hidden="1" x14ac:dyDescent="0.25">
      <c r="B224" s="588"/>
    </row>
    <row r="225" spans="2:2" hidden="1" x14ac:dyDescent="0.25">
      <c r="B225" s="605" t="s">
        <v>1101</v>
      </c>
    </row>
  </sheetData>
  <mergeCells count="4">
    <mergeCell ref="A90:B90"/>
    <mergeCell ref="A92:B92"/>
    <mergeCell ref="A94:B94"/>
    <mergeCell ref="A88:B88"/>
  </mergeCells>
  <printOptions horizontalCentered="1"/>
  <pageMargins left="0.7" right="0.7" top="0.75" bottom="0.75" header="0.3" footer="0.3"/>
  <pageSetup scale="65" fitToHeight="0" orientation="landscape" r:id="rId1"/>
  <headerFooter alignWithMargins="0">
    <oddFooter>&amp;CPage &amp;P of &amp;N&amp;R&amp;F</oddFooter>
  </headerFooter>
  <rowBreaks count="4" manualBreakCount="4">
    <brk id="55" max="78" man="1"/>
    <brk id="95" max="78" man="1"/>
    <brk id="115" max="78" man="1"/>
    <brk id="149" max="7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V736"/>
  <sheetViews>
    <sheetView topLeftCell="A663" zoomScale="90" zoomScaleNormal="90" workbookViewId="0">
      <selection activeCell="BM675" sqref="BM675:BM683"/>
    </sheetView>
  </sheetViews>
  <sheetFormatPr defaultColWidth="8.7109375" defaultRowHeight="15" outlineLevelRow="1" outlineLevelCol="2" x14ac:dyDescent="0.25"/>
  <cols>
    <col min="1" max="1" width="29.5703125" customWidth="1"/>
    <col min="2" max="2" width="59.42578125" bestFit="1" customWidth="1"/>
    <col min="3" max="3" width="3.5703125" customWidth="1"/>
    <col min="4" max="4" width="13.42578125" hidden="1" customWidth="1" outlineLevel="1"/>
    <col min="5" max="5" width="18.42578125" hidden="1" customWidth="1" outlineLevel="1"/>
    <col min="6" max="6" width="11" hidden="1" customWidth="1" outlineLevel="1"/>
    <col min="7" max="7" width="9.28515625" hidden="1" customWidth="1" outlineLevel="1"/>
    <col min="8" max="8" width="17.7109375" hidden="1" customWidth="1" outlineLevel="1"/>
    <col min="9" max="9" width="11" hidden="1" customWidth="1" outlineLevel="1"/>
    <col min="10" max="10" width="8.42578125" hidden="1" customWidth="1" outlineLevel="1"/>
    <col min="11" max="11" width="3.7109375" hidden="1" customWidth="1" collapsed="1"/>
    <col min="12" max="12" width="10.42578125" hidden="1" customWidth="1" outlineLevel="1"/>
    <col min="13" max="14" width="12" hidden="1" customWidth="1" outlineLevel="1"/>
    <col min="15" max="16" width="10.42578125" hidden="1" customWidth="1" outlineLevel="1"/>
    <col min="17" max="23" width="12" hidden="1" customWidth="1" outlineLevel="1"/>
    <col min="24" max="24" width="3.7109375" hidden="1" customWidth="1" outlineLevel="1"/>
    <col min="25" max="25" width="13.28515625" hidden="1" customWidth="1" outlineLevel="1"/>
    <col min="26" max="26" width="3.7109375" hidden="1" customWidth="1" collapsed="1"/>
    <col min="27" max="38" width="12" hidden="1" customWidth="1" outlineLevel="1"/>
    <col min="39" max="39" width="3.5703125" hidden="1" customWidth="1" collapsed="1"/>
    <col min="40" max="41" width="12.42578125" bestFit="1" customWidth="1" outlineLevel="1"/>
    <col min="42" max="42" width="11.42578125" bestFit="1" customWidth="1" outlineLevel="1"/>
    <col min="43" max="43" width="8.5703125" bestFit="1" customWidth="1" outlineLevel="1"/>
    <col min="44" max="44" width="12.42578125" hidden="1" customWidth="1" outlineLevel="2"/>
    <col min="45" max="46" width="5.5703125" hidden="1" customWidth="1" outlineLevel="2"/>
    <col min="47" max="47" width="4.28515625" hidden="1" customWidth="1"/>
    <col min="48" max="58" width="11.42578125" hidden="1" customWidth="1" outlineLevel="1"/>
    <col min="59" max="59" width="12" hidden="1" customWidth="1" outlineLevel="1"/>
    <col min="60" max="60" width="4.28515625" bestFit="1" customWidth="1" collapsed="1"/>
    <col min="61" max="63" width="11.42578125" bestFit="1" customWidth="1" outlineLevel="1"/>
    <col min="64" max="64" width="11.42578125" style="787" bestFit="1" customWidth="1" outlineLevel="1"/>
    <col min="65" max="71" width="11.42578125" bestFit="1" customWidth="1" outlineLevel="1"/>
    <col min="72" max="72" width="12" bestFit="1" customWidth="1" outlineLevel="1"/>
    <col min="73" max="73" width="3.5703125" hidden="1" customWidth="1"/>
  </cols>
  <sheetData>
    <row r="1" spans="1:73" ht="39" customHeight="1" x14ac:dyDescent="0.25">
      <c r="A1" s="582" t="s">
        <v>0</v>
      </c>
      <c r="B1" s="400"/>
      <c r="C1" s="583"/>
      <c r="D1" s="400"/>
      <c r="E1" s="400"/>
      <c r="F1" s="401"/>
      <c r="G1" s="402"/>
      <c r="H1" s="400"/>
      <c r="I1" s="401"/>
      <c r="J1" s="402"/>
      <c r="K1" s="802" t="s">
        <v>1</v>
      </c>
      <c r="L1" s="400"/>
      <c r="M1" s="403"/>
      <c r="N1" s="403"/>
      <c r="O1" s="403"/>
      <c r="P1" s="403"/>
      <c r="Q1" s="403"/>
      <c r="R1" s="403"/>
      <c r="S1" s="403"/>
      <c r="T1" s="403"/>
      <c r="U1" s="403"/>
      <c r="V1" s="403"/>
      <c r="W1" s="403"/>
      <c r="X1" s="403"/>
      <c r="Y1" s="403"/>
      <c r="Z1" s="802" t="s">
        <v>2</v>
      </c>
      <c r="AA1" s="400"/>
      <c r="AB1" s="403"/>
      <c r="AC1" s="403"/>
      <c r="AD1" s="403"/>
      <c r="AE1" s="403"/>
      <c r="AF1" s="403"/>
      <c r="AG1" s="403"/>
      <c r="AH1" s="403"/>
      <c r="AI1" s="403"/>
      <c r="AJ1" s="403"/>
      <c r="AK1" s="403"/>
      <c r="AL1" s="403"/>
      <c r="AM1" s="802" t="s">
        <v>3</v>
      </c>
      <c r="AN1" s="400"/>
      <c r="AO1" s="400"/>
      <c r="AP1" s="401"/>
      <c r="AQ1" s="404"/>
      <c r="AR1" s="400"/>
      <c r="AS1" s="401"/>
      <c r="AT1" s="402"/>
      <c r="AU1" s="803" t="s">
        <v>4</v>
      </c>
      <c r="AV1" s="400"/>
      <c r="AW1" s="403"/>
      <c r="AX1" s="403"/>
      <c r="AY1" s="403"/>
      <c r="AZ1" s="403"/>
      <c r="BA1" s="403"/>
      <c r="BB1" s="403"/>
      <c r="BC1" s="403"/>
      <c r="BD1" s="403"/>
      <c r="BE1" s="403"/>
      <c r="BF1" s="403"/>
      <c r="BG1" s="403"/>
      <c r="BH1" s="803" t="s">
        <v>5</v>
      </c>
      <c r="BI1" s="400"/>
      <c r="BJ1" s="403"/>
      <c r="BK1" s="403"/>
      <c r="BL1" s="755"/>
      <c r="BM1" s="403"/>
      <c r="BN1" s="403"/>
      <c r="BO1" s="403"/>
      <c r="BP1" s="403"/>
      <c r="BQ1" s="403"/>
      <c r="BR1" s="403"/>
      <c r="BS1" s="403"/>
      <c r="BT1" s="403"/>
      <c r="BU1" s="803" t="s">
        <v>6</v>
      </c>
    </row>
    <row r="2" spans="1:73" s="406" customFormat="1" ht="15.75" customHeight="1" x14ac:dyDescent="0.25">
      <c r="A2" s="405" t="s">
        <v>1432</v>
      </c>
      <c r="B2" s="526"/>
      <c r="C2" s="535"/>
      <c r="F2" s="407"/>
      <c r="G2" s="408"/>
      <c r="I2" s="407"/>
      <c r="J2" s="408"/>
      <c r="K2" s="802"/>
      <c r="Z2" s="802"/>
      <c r="AM2" s="802"/>
      <c r="AN2" s="628" t="s">
        <v>15</v>
      </c>
      <c r="AO2" s="628" t="s">
        <v>22</v>
      </c>
      <c r="AP2" s="808" t="s">
        <v>23</v>
      </c>
      <c r="AQ2" s="808"/>
      <c r="AU2" s="803"/>
      <c r="BH2" s="803"/>
      <c r="BI2" s="482" t="s">
        <v>21</v>
      </c>
      <c r="BJ2" s="482" t="s">
        <v>21</v>
      </c>
      <c r="BK2" s="482" t="s">
        <v>21</v>
      </c>
      <c r="BL2" s="756" t="s">
        <v>21</v>
      </c>
      <c r="BM2" s="482" t="s">
        <v>21</v>
      </c>
      <c r="BN2" s="482" t="s">
        <v>21</v>
      </c>
      <c r="BO2" s="482" t="s">
        <v>21</v>
      </c>
      <c r="BP2" s="482" t="s">
        <v>21</v>
      </c>
      <c r="BQ2" s="482" t="s">
        <v>21</v>
      </c>
      <c r="BR2" s="482" t="s">
        <v>21</v>
      </c>
      <c r="BS2" s="482" t="s">
        <v>21</v>
      </c>
      <c r="BT2" s="482" t="s">
        <v>21</v>
      </c>
      <c r="BU2" s="803"/>
    </row>
    <row r="3" spans="1:73" s="406" customFormat="1" ht="15.75" x14ac:dyDescent="0.25">
      <c r="A3" s="409" t="s">
        <v>7</v>
      </c>
      <c r="B3" s="584"/>
      <c r="C3" s="585"/>
      <c r="F3" s="407"/>
      <c r="G3" s="408"/>
      <c r="I3" s="407"/>
      <c r="J3" s="408"/>
      <c r="K3" s="802"/>
      <c r="Z3" s="802"/>
      <c r="AM3" s="802"/>
      <c r="AN3" s="490" t="s">
        <v>19</v>
      </c>
      <c r="AO3" s="490" t="s">
        <v>21</v>
      </c>
      <c r="AP3" s="488" t="s">
        <v>28</v>
      </c>
      <c r="AQ3" s="492" t="s">
        <v>29</v>
      </c>
      <c r="AU3" s="803"/>
      <c r="BH3" s="803"/>
      <c r="BI3" s="493">
        <v>43312</v>
      </c>
      <c r="BJ3" s="494">
        <v>43343</v>
      </c>
      <c r="BK3" s="493">
        <v>43373</v>
      </c>
      <c r="BL3" s="757">
        <v>43404</v>
      </c>
      <c r="BM3" s="493">
        <v>43434</v>
      </c>
      <c r="BN3" s="494">
        <v>43465</v>
      </c>
      <c r="BO3" s="493">
        <v>43496</v>
      </c>
      <c r="BP3" s="494">
        <v>43524</v>
      </c>
      <c r="BQ3" s="493">
        <v>43555</v>
      </c>
      <c r="BR3" s="494">
        <v>43585</v>
      </c>
      <c r="BS3" s="493">
        <v>43616</v>
      </c>
      <c r="BT3" s="494">
        <v>43646</v>
      </c>
      <c r="BU3" s="803"/>
    </row>
    <row r="4" spans="1:73" s="406" customFormat="1" ht="15.75" x14ac:dyDescent="0.25">
      <c r="A4" s="409"/>
      <c r="B4" s="584"/>
      <c r="C4" s="585"/>
      <c r="F4" s="407"/>
      <c r="G4" s="408"/>
      <c r="I4" s="407"/>
      <c r="J4" s="408"/>
      <c r="K4" s="724"/>
      <c r="Z4" s="724"/>
      <c r="AM4" s="724"/>
      <c r="AN4" s="490"/>
      <c r="AO4" s="490"/>
      <c r="AP4" s="488"/>
      <c r="AQ4" s="492"/>
      <c r="AU4" s="723"/>
      <c r="BH4" s="723"/>
      <c r="BI4" s="493"/>
      <c r="BJ4" s="494"/>
      <c r="BK4" s="493"/>
      <c r="BL4" s="757"/>
      <c r="BM4" s="493"/>
      <c r="BN4" s="494"/>
      <c r="BO4" s="493"/>
      <c r="BP4" s="494"/>
      <c r="BQ4" s="493"/>
      <c r="BR4" s="494"/>
      <c r="BS4" s="493"/>
      <c r="BT4" s="494"/>
      <c r="BU4" s="723"/>
    </row>
    <row r="5" spans="1:73" s="587" customFormat="1" outlineLevel="1" x14ac:dyDescent="0.25">
      <c r="A5" s="586"/>
      <c r="B5" s="524" t="s">
        <v>1434</v>
      </c>
      <c r="C5" s="585"/>
      <c r="D5" s="410"/>
      <c r="E5" s="411">
        <v>1286</v>
      </c>
      <c r="F5" s="412"/>
      <c r="G5" s="413"/>
      <c r="H5" s="411">
        <v>1245</v>
      </c>
      <c r="I5" s="414"/>
      <c r="J5" s="415"/>
      <c r="K5" s="416"/>
      <c r="L5" s="417"/>
      <c r="M5" s="417"/>
      <c r="N5" s="417"/>
      <c r="O5" s="417"/>
      <c r="P5" s="417"/>
      <c r="Q5" s="417"/>
      <c r="R5" s="417"/>
      <c r="S5" s="417"/>
      <c r="T5" s="417"/>
      <c r="U5" s="417"/>
      <c r="V5" s="417"/>
      <c r="W5" s="417"/>
      <c r="X5" s="417"/>
      <c r="Y5" s="417"/>
      <c r="Z5" s="416"/>
      <c r="AA5" s="417"/>
      <c r="AB5" s="417"/>
      <c r="AC5" s="417"/>
      <c r="AD5" s="417"/>
      <c r="AE5" s="417"/>
      <c r="AF5" s="417"/>
      <c r="AG5" s="417"/>
      <c r="AH5" s="417"/>
      <c r="AI5" s="417"/>
      <c r="AJ5" s="417"/>
      <c r="AK5" s="417"/>
      <c r="AL5" s="417"/>
      <c r="AM5" s="416"/>
      <c r="AN5" s="422">
        <v>1245</v>
      </c>
      <c r="AO5" s="411">
        <v>1369</v>
      </c>
      <c r="AP5" s="411">
        <v>124</v>
      </c>
      <c r="AQ5" s="634">
        <v>9.9598393574297187E-2</v>
      </c>
      <c r="AR5" s="480" t="s">
        <v>22</v>
      </c>
      <c r="AS5" s="806" t="s">
        <v>24</v>
      </c>
      <c r="AT5" s="807"/>
      <c r="AU5" s="416"/>
      <c r="AV5" s="422">
        <v>1369</v>
      </c>
      <c r="AW5" s="411">
        <v>1369</v>
      </c>
      <c r="AX5" s="411">
        <v>1369</v>
      </c>
      <c r="AY5" s="411">
        <v>1369</v>
      </c>
      <c r="AZ5" s="411">
        <v>1369</v>
      </c>
      <c r="BA5" s="411">
        <v>1369</v>
      </c>
      <c r="BB5" s="411">
        <v>1369</v>
      </c>
      <c r="BC5" s="411">
        <v>1369</v>
      </c>
      <c r="BD5" s="411">
        <v>1369</v>
      </c>
      <c r="BE5" s="411">
        <v>1369</v>
      </c>
      <c r="BF5" s="411">
        <v>1369</v>
      </c>
      <c r="BG5" s="423">
        <v>1369</v>
      </c>
      <c r="BH5" s="416"/>
      <c r="BI5" s="422">
        <v>1369</v>
      </c>
      <c r="BJ5" s="411">
        <v>1369</v>
      </c>
      <c r="BK5" s="411">
        <v>1369</v>
      </c>
      <c r="BL5" s="758">
        <v>1369</v>
      </c>
      <c r="BM5" s="411">
        <v>1369</v>
      </c>
      <c r="BN5" s="411">
        <v>1369</v>
      </c>
      <c r="BO5" s="411">
        <v>1369</v>
      </c>
      <c r="BP5" s="411">
        <v>1369</v>
      </c>
      <c r="BQ5" s="411">
        <v>1369</v>
      </c>
      <c r="BR5" s="411">
        <v>1369</v>
      </c>
      <c r="BS5" s="411">
        <v>1369</v>
      </c>
      <c r="BT5" s="423">
        <v>1369</v>
      </c>
      <c r="BU5" s="416"/>
    </row>
    <row r="6" spans="1:73" s="587" customFormat="1" outlineLevel="1" x14ac:dyDescent="0.25">
      <c r="B6" s="524" t="s">
        <v>1435</v>
      </c>
      <c r="C6" s="585"/>
      <c r="D6" s="424"/>
      <c r="E6" s="425">
        <v>1237.28</v>
      </c>
      <c r="F6" s="418"/>
      <c r="G6" s="421"/>
      <c r="H6" s="425">
        <v>1196.28</v>
      </c>
      <c r="I6" s="417"/>
      <c r="J6" s="426"/>
      <c r="K6" s="416"/>
      <c r="L6" s="417"/>
      <c r="M6" s="417"/>
      <c r="N6" s="417"/>
      <c r="O6" s="417"/>
      <c r="P6" s="417"/>
      <c r="Q6" s="417"/>
      <c r="R6" s="417"/>
      <c r="S6" s="417"/>
      <c r="T6" s="417"/>
      <c r="U6" s="417"/>
      <c r="V6" s="417"/>
      <c r="W6" s="417"/>
      <c r="X6" s="417"/>
      <c r="Y6" s="417"/>
      <c r="Z6" s="416"/>
      <c r="AA6" s="417"/>
      <c r="AB6" s="417"/>
      <c r="AC6" s="417"/>
      <c r="AD6" s="417"/>
      <c r="AE6" s="417"/>
      <c r="AF6" s="417"/>
      <c r="AG6" s="417"/>
      <c r="AH6" s="417"/>
      <c r="AI6" s="417"/>
      <c r="AJ6" s="417"/>
      <c r="AK6" s="417"/>
      <c r="AL6" s="417"/>
      <c r="AM6" s="416"/>
      <c r="AN6" s="427">
        <v>1196.28</v>
      </c>
      <c r="AO6" s="420">
        <v>1320.2800000000002</v>
      </c>
      <c r="AP6" s="420">
        <v>124.00000000000023</v>
      </c>
      <c r="AQ6" s="635">
        <v>0.10365466278797625</v>
      </c>
      <c r="AR6" s="490" t="s">
        <v>21</v>
      </c>
      <c r="AS6" s="488" t="s">
        <v>28</v>
      </c>
      <c r="AT6" s="491" t="s">
        <v>29</v>
      </c>
      <c r="AU6" s="416"/>
      <c r="AV6" s="427">
        <v>1320.28</v>
      </c>
      <c r="AW6" s="420">
        <v>1320.28</v>
      </c>
      <c r="AX6" s="420">
        <v>1320.28</v>
      </c>
      <c r="AY6" s="420">
        <v>1320.28</v>
      </c>
      <c r="AZ6" s="420">
        <v>1320.28</v>
      </c>
      <c r="BA6" s="420">
        <v>1320.28</v>
      </c>
      <c r="BB6" s="420">
        <v>1320.28</v>
      </c>
      <c r="BC6" s="420">
        <v>1320.28</v>
      </c>
      <c r="BD6" s="420">
        <v>1320.28</v>
      </c>
      <c r="BE6" s="420">
        <v>1320.28</v>
      </c>
      <c r="BF6" s="420">
        <v>1320.28</v>
      </c>
      <c r="BG6" s="428">
        <v>1320.28</v>
      </c>
      <c r="BH6" s="416"/>
      <c r="BI6" s="427">
        <v>1320.28</v>
      </c>
      <c r="BJ6" s="420">
        <v>1320.28</v>
      </c>
      <c r="BK6" s="420">
        <v>1320.28</v>
      </c>
      <c r="BL6" s="759">
        <v>1320.28</v>
      </c>
      <c r="BM6" s="420">
        <v>1320.28</v>
      </c>
      <c r="BN6" s="420">
        <v>1320.28</v>
      </c>
      <c r="BO6" s="420">
        <v>1320.28</v>
      </c>
      <c r="BP6" s="420">
        <v>1320.28</v>
      </c>
      <c r="BQ6" s="420">
        <v>1320.28</v>
      </c>
      <c r="BR6" s="420">
        <v>1320.28</v>
      </c>
      <c r="BS6" s="420">
        <v>1320.28</v>
      </c>
      <c r="BT6" s="428">
        <v>1320.28</v>
      </c>
      <c r="BU6" s="416"/>
    </row>
    <row r="7" spans="1:73" s="588" customFormat="1" ht="15" customHeight="1" outlineLevel="1" x14ac:dyDescent="0.25">
      <c r="B7" s="524" t="s">
        <v>1439</v>
      </c>
      <c r="C7" s="538"/>
      <c r="D7" s="424"/>
      <c r="E7" s="420">
        <v>116</v>
      </c>
      <c r="F7" s="418"/>
      <c r="G7" s="421"/>
      <c r="H7" s="420">
        <v>116</v>
      </c>
      <c r="I7" s="418"/>
      <c r="J7" s="426"/>
      <c r="K7" s="416"/>
      <c r="L7" s="417"/>
      <c r="M7" s="417"/>
      <c r="N7" s="417"/>
      <c r="O7" s="417"/>
      <c r="P7" s="417"/>
      <c r="Q7" s="417"/>
      <c r="R7" s="417"/>
      <c r="S7" s="417"/>
      <c r="T7" s="417"/>
      <c r="U7" s="417"/>
      <c r="V7" s="417"/>
      <c r="W7" s="417"/>
      <c r="X7" s="417"/>
      <c r="Y7" s="417"/>
      <c r="Z7" s="416"/>
      <c r="AA7" s="417"/>
      <c r="AB7" s="417"/>
      <c r="AC7" s="417"/>
      <c r="AD7" s="417"/>
      <c r="AE7" s="417"/>
      <c r="AF7" s="417"/>
      <c r="AG7" s="417"/>
      <c r="AH7" s="417"/>
      <c r="AI7" s="417"/>
      <c r="AJ7" s="417"/>
      <c r="AK7" s="417"/>
      <c r="AL7" s="417"/>
      <c r="AM7" s="416"/>
      <c r="AN7" s="427">
        <v>116</v>
      </c>
      <c r="AO7" s="420">
        <v>116</v>
      </c>
      <c r="AP7" s="420">
        <v>0</v>
      </c>
      <c r="AQ7" s="635">
        <v>0</v>
      </c>
      <c r="AR7" s="429"/>
      <c r="AS7" s="418"/>
      <c r="AT7" s="421"/>
      <c r="AU7" s="416"/>
      <c r="AV7" s="427">
        <v>116</v>
      </c>
      <c r="AW7" s="420">
        <v>116</v>
      </c>
      <c r="AX7" s="420">
        <v>116</v>
      </c>
      <c r="AY7" s="420">
        <v>116</v>
      </c>
      <c r="AZ7" s="420">
        <v>116</v>
      </c>
      <c r="BA7" s="420">
        <v>116</v>
      </c>
      <c r="BB7" s="420">
        <v>116</v>
      </c>
      <c r="BC7" s="420">
        <v>116</v>
      </c>
      <c r="BD7" s="420">
        <v>116</v>
      </c>
      <c r="BE7" s="420">
        <v>116</v>
      </c>
      <c r="BF7" s="420">
        <v>116</v>
      </c>
      <c r="BG7" s="428">
        <v>116</v>
      </c>
      <c r="BH7" s="416"/>
      <c r="BI7" s="427">
        <v>116</v>
      </c>
      <c r="BJ7" s="420">
        <v>116</v>
      </c>
      <c r="BK7" s="420">
        <v>116</v>
      </c>
      <c r="BL7" s="759">
        <v>116</v>
      </c>
      <c r="BM7" s="420">
        <v>116</v>
      </c>
      <c r="BN7" s="420">
        <v>116</v>
      </c>
      <c r="BO7" s="420">
        <v>116</v>
      </c>
      <c r="BP7" s="420">
        <v>116</v>
      </c>
      <c r="BQ7" s="420">
        <v>116</v>
      </c>
      <c r="BR7" s="420">
        <v>116</v>
      </c>
      <c r="BS7" s="420">
        <v>116</v>
      </c>
      <c r="BT7" s="428">
        <v>116</v>
      </c>
      <c r="BU7" s="416"/>
    </row>
    <row r="8" spans="1:73" s="588" customFormat="1" ht="15" customHeight="1" outlineLevel="1" x14ac:dyDescent="0.25">
      <c r="A8" s="609"/>
      <c r="B8" s="524" t="s">
        <v>1436</v>
      </c>
      <c r="C8" s="538"/>
      <c r="D8" s="430"/>
      <c r="E8" s="431">
        <v>7092</v>
      </c>
      <c r="F8" s="432"/>
      <c r="G8" s="433"/>
      <c r="H8" s="431">
        <v>7321</v>
      </c>
      <c r="I8" s="432"/>
      <c r="J8" s="434"/>
      <c r="K8" s="416"/>
      <c r="L8" s="417"/>
      <c r="M8" s="417"/>
      <c r="N8" s="417"/>
      <c r="O8" s="417"/>
      <c r="P8" s="417"/>
      <c r="Q8" s="417"/>
      <c r="R8" s="417"/>
      <c r="S8" s="417"/>
      <c r="T8" s="417"/>
      <c r="U8" s="417"/>
      <c r="V8" s="417"/>
      <c r="W8" s="417"/>
      <c r="X8" s="417"/>
      <c r="Y8" s="417"/>
      <c r="Z8" s="416"/>
      <c r="AA8" s="417"/>
      <c r="AB8" s="417"/>
      <c r="AC8" s="417"/>
      <c r="AD8" s="417"/>
      <c r="AE8" s="417"/>
      <c r="AF8" s="417"/>
      <c r="AG8" s="417"/>
      <c r="AH8" s="417"/>
      <c r="AI8" s="417"/>
      <c r="AJ8" s="417"/>
      <c r="AK8" s="417"/>
      <c r="AL8" s="417"/>
      <c r="AM8" s="416"/>
      <c r="AN8" s="621">
        <v>7321</v>
      </c>
      <c r="AO8" s="622">
        <v>7502</v>
      </c>
      <c r="AP8" s="622">
        <v>181</v>
      </c>
      <c r="AQ8" s="570">
        <v>2.4723398442835678E-2</v>
      </c>
      <c r="AR8" s="429"/>
      <c r="AS8" s="418"/>
      <c r="AT8" s="421"/>
      <c r="AU8" s="416"/>
      <c r="AV8" s="435">
        <v>7502</v>
      </c>
      <c r="AW8" s="431">
        <v>7502</v>
      </c>
      <c r="AX8" s="431">
        <v>7502</v>
      </c>
      <c r="AY8" s="431">
        <v>7502</v>
      </c>
      <c r="AZ8" s="431">
        <v>7502</v>
      </c>
      <c r="BA8" s="431">
        <v>7502</v>
      </c>
      <c r="BB8" s="431">
        <v>7502</v>
      </c>
      <c r="BC8" s="431">
        <v>7502</v>
      </c>
      <c r="BD8" s="431">
        <v>7502</v>
      </c>
      <c r="BE8" s="431">
        <v>7502</v>
      </c>
      <c r="BF8" s="431">
        <v>7502</v>
      </c>
      <c r="BG8" s="436">
        <v>7502</v>
      </c>
      <c r="BH8" s="416"/>
      <c r="BI8" s="621">
        <v>7502</v>
      </c>
      <c r="BJ8" s="622">
        <v>7502</v>
      </c>
      <c r="BK8" s="622">
        <v>7502</v>
      </c>
      <c r="BL8" s="760">
        <v>7502</v>
      </c>
      <c r="BM8" s="622">
        <v>7502</v>
      </c>
      <c r="BN8" s="622">
        <v>7502</v>
      </c>
      <c r="BO8" s="622">
        <v>7502</v>
      </c>
      <c r="BP8" s="622">
        <v>7502</v>
      </c>
      <c r="BQ8" s="622">
        <v>7502</v>
      </c>
      <c r="BR8" s="622">
        <v>7502</v>
      </c>
      <c r="BS8" s="622">
        <v>7502</v>
      </c>
      <c r="BT8" s="623">
        <v>7502</v>
      </c>
      <c r="BU8" s="416"/>
    </row>
    <row r="9" spans="1:73" s="588" customFormat="1" ht="15" customHeight="1" outlineLevel="1" x14ac:dyDescent="0.25">
      <c r="A9" s="609"/>
      <c r="B9" s="524"/>
      <c r="C9" s="538"/>
      <c r="D9" s="417"/>
      <c r="E9" s="437"/>
      <c r="F9" s="418"/>
      <c r="G9" s="421"/>
      <c r="H9" s="437"/>
      <c r="I9" s="418"/>
      <c r="J9" s="421"/>
      <c r="K9" s="416"/>
      <c r="L9" s="417"/>
      <c r="M9" s="417"/>
      <c r="N9" s="417"/>
      <c r="O9" s="417"/>
      <c r="P9" s="417"/>
      <c r="Q9" s="417"/>
      <c r="R9" s="417"/>
      <c r="S9" s="417"/>
      <c r="T9" s="417"/>
      <c r="U9" s="417"/>
      <c r="V9" s="417"/>
      <c r="W9" s="417"/>
      <c r="X9" s="417"/>
      <c r="Y9" s="417"/>
      <c r="Z9" s="416"/>
      <c r="AA9" s="417"/>
      <c r="AB9" s="417"/>
      <c r="AC9" s="417"/>
      <c r="AD9" s="417"/>
      <c r="AE9" s="417"/>
      <c r="AF9" s="417"/>
      <c r="AG9" s="417"/>
      <c r="AH9" s="417"/>
      <c r="AI9" s="417"/>
      <c r="AJ9" s="417"/>
      <c r="AK9" s="417"/>
      <c r="AL9" s="417"/>
      <c r="AM9" s="416"/>
      <c r="AN9" s="629"/>
      <c r="AO9" s="629"/>
      <c r="AP9" s="629"/>
      <c r="AQ9" s="629"/>
      <c r="AR9" s="429"/>
      <c r="AS9" s="418"/>
      <c r="AT9" s="421"/>
      <c r="AU9" s="416"/>
      <c r="AV9" s="437"/>
      <c r="AW9" s="437"/>
      <c r="AX9" s="437"/>
      <c r="AY9" s="437"/>
      <c r="AZ9" s="437"/>
      <c r="BA9" s="437"/>
      <c r="BB9" s="437"/>
      <c r="BC9" s="437"/>
      <c r="BD9" s="437"/>
      <c r="BE9" s="437"/>
      <c r="BF9" s="437"/>
      <c r="BG9" s="437"/>
      <c r="BH9" s="416"/>
      <c r="BI9" s="629"/>
      <c r="BJ9" s="629"/>
      <c r="BK9" s="629"/>
      <c r="BL9" s="761"/>
      <c r="BM9" s="629"/>
      <c r="BN9" s="629"/>
      <c r="BO9" s="629"/>
      <c r="BP9" s="629"/>
      <c r="BQ9" s="629"/>
      <c r="BR9" s="629"/>
      <c r="BS9" s="629"/>
      <c r="BT9" s="629"/>
      <c r="BU9" s="416"/>
    </row>
    <row r="10" spans="1:73" s="588" customFormat="1" ht="15" customHeight="1" outlineLevel="1" x14ac:dyDescent="0.25">
      <c r="A10" s="610"/>
      <c r="B10" s="625" t="s">
        <v>1433</v>
      </c>
      <c r="C10" s="538"/>
      <c r="D10" s="417"/>
      <c r="E10" s="437"/>
      <c r="F10" s="418"/>
      <c r="G10" s="421"/>
      <c r="H10" s="437"/>
      <c r="I10" s="418"/>
      <c r="J10" s="421"/>
      <c r="K10" s="438"/>
      <c r="L10" s="417"/>
      <c r="M10" s="417"/>
      <c r="N10" s="417"/>
      <c r="O10" s="417"/>
      <c r="P10" s="417"/>
      <c r="Q10" s="417"/>
      <c r="R10" s="417"/>
      <c r="S10" s="417"/>
      <c r="T10" s="417"/>
      <c r="U10" s="417"/>
      <c r="V10" s="417"/>
      <c r="W10" s="417"/>
      <c r="X10" s="417"/>
      <c r="Y10" s="417"/>
      <c r="Z10" s="438"/>
      <c r="AA10" s="417"/>
      <c r="AB10" s="417"/>
      <c r="AC10" s="417"/>
      <c r="AD10" s="417"/>
      <c r="AE10" s="417"/>
      <c r="AF10" s="417"/>
      <c r="AG10" s="417"/>
      <c r="AH10" s="417"/>
      <c r="AI10" s="417"/>
      <c r="AJ10" s="417"/>
      <c r="AK10" s="417"/>
      <c r="AL10" s="417"/>
      <c r="AM10" s="438"/>
      <c r="AR10" s="429"/>
      <c r="AS10" s="418"/>
      <c r="AT10" s="421"/>
      <c r="AU10" s="438"/>
      <c r="AV10" s="437"/>
      <c r="AW10" s="437"/>
      <c r="AX10" s="437"/>
      <c r="AY10" s="437"/>
      <c r="AZ10" s="437"/>
      <c r="BA10" s="437"/>
      <c r="BB10" s="437"/>
      <c r="BC10" s="437"/>
      <c r="BD10" s="437"/>
      <c r="BE10" s="437"/>
      <c r="BF10" s="437"/>
      <c r="BG10" s="437"/>
      <c r="BH10" s="438"/>
      <c r="BI10" s="437"/>
      <c r="BJ10" s="437"/>
      <c r="BK10" s="437"/>
      <c r="BL10" s="762"/>
      <c r="BM10" s="437"/>
      <c r="BN10" s="437"/>
      <c r="BO10" s="437"/>
      <c r="BP10" s="437"/>
      <c r="BQ10" s="437"/>
      <c r="BR10" s="437"/>
      <c r="BS10" s="437"/>
      <c r="BT10" s="437"/>
      <c r="BU10" s="438"/>
    </row>
    <row r="11" spans="1:73" s="588" customFormat="1" ht="15" customHeight="1" outlineLevel="1" x14ac:dyDescent="0.25">
      <c r="A11" s="610"/>
      <c r="B11" s="524" t="s">
        <v>8</v>
      </c>
      <c r="C11" s="538"/>
      <c r="D11" s="439">
        <v>-1082404.610000001</v>
      </c>
      <c r="E11" s="440">
        <v>-659544.33257400012</v>
      </c>
      <c r="F11" s="441">
        <v>-422860.27742600092</v>
      </c>
      <c r="G11" s="413">
        <v>-0.64114003644865902</v>
      </c>
      <c r="H11" s="440">
        <v>-984834.03000000119</v>
      </c>
      <c r="I11" s="441">
        <v>-97570.579999999813</v>
      </c>
      <c r="J11" s="415">
        <v>1.9343971580585803E-2</v>
      </c>
      <c r="K11" s="442"/>
      <c r="L11" s="439">
        <v>251112.56000000014</v>
      </c>
      <c r="M11" s="440">
        <v>-431066.7900000001</v>
      </c>
      <c r="N11" s="440">
        <v>350867.09000000008</v>
      </c>
      <c r="O11" s="440">
        <v>50867.1899999999</v>
      </c>
      <c r="P11" s="440">
        <v>155824.00999999972</v>
      </c>
      <c r="Q11" s="440">
        <v>-424744.07999999996</v>
      </c>
      <c r="R11" s="440">
        <v>-172544.09833333327</v>
      </c>
      <c r="S11" s="440">
        <v>-172544.09833333344</v>
      </c>
      <c r="T11" s="440">
        <v>-172544.09833333339</v>
      </c>
      <c r="U11" s="440">
        <v>-172544.09833333327</v>
      </c>
      <c r="V11" s="440">
        <v>-172544.09833333315</v>
      </c>
      <c r="W11" s="443">
        <v>-172544.09833333277</v>
      </c>
      <c r="X11" s="418"/>
      <c r="Y11" s="444">
        <v>-1082404.6100000015</v>
      </c>
      <c r="Z11" s="442"/>
      <c r="AA11" s="439">
        <v>-82069.502500000031</v>
      </c>
      <c r="AB11" s="440">
        <v>-82069.502500000031</v>
      </c>
      <c r="AC11" s="440">
        <v>-82069.502500000031</v>
      </c>
      <c r="AD11" s="440">
        <v>-82069.502500000031</v>
      </c>
      <c r="AE11" s="440">
        <v>-82069.502500000031</v>
      </c>
      <c r="AF11" s="440">
        <v>-82069.502500000031</v>
      </c>
      <c r="AG11" s="440">
        <v>-82069.502500000031</v>
      </c>
      <c r="AH11" s="440">
        <v>-82069.502500000031</v>
      </c>
      <c r="AI11" s="440">
        <v>-82069.502500000031</v>
      </c>
      <c r="AJ11" s="440">
        <v>-82069.502500000031</v>
      </c>
      <c r="AK11" s="440">
        <v>-82069.502500000031</v>
      </c>
      <c r="AL11" s="443">
        <v>-82069.502500000031</v>
      </c>
      <c r="AM11" s="442"/>
      <c r="AN11" s="439">
        <v>-1082404.610000001</v>
      </c>
      <c r="AO11" s="440">
        <v>-771321.81577960739</v>
      </c>
      <c r="AP11" s="445">
        <v>311082.79422039364</v>
      </c>
      <c r="AQ11" s="446">
        <v>0.28739973143720565</v>
      </c>
      <c r="AR11" s="440">
        <v>-771321.81577960739</v>
      </c>
      <c r="AS11" s="445">
        <v>0</v>
      </c>
      <c r="AT11" s="415">
        <v>0</v>
      </c>
      <c r="AU11" s="442"/>
      <c r="AV11" s="439">
        <v>281440.58028620348</v>
      </c>
      <c r="AW11" s="440">
        <v>165854.55252172289</v>
      </c>
      <c r="AX11" s="440">
        <v>88509.028171574246</v>
      </c>
      <c r="AY11" s="440">
        <v>-151210.47182842571</v>
      </c>
      <c r="AZ11" s="440">
        <v>92513.028171574246</v>
      </c>
      <c r="BA11" s="440">
        <v>-751178.82720138424</v>
      </c>
      <c r="BB11" s="440">
        <v>29930.8127986158</v>
      </c>
      <c r="BC11" s="440">
        <v>134424.92279861579</v>
      </c>
      <c r="BD11" s="440">
        <v>175420.92279861579</v>
      </c>
      <c r="BE11" s="440">
        <v>83701.422798615895</v>
      </c>
      <c r="BF11" s="440">
        <v>130420.92279861578</v>
      </c>
      <c r="BG11" s="443">
        <v>-1051148.7098939505</v>
      </c>
      <c r="BH11" s="442"/>
      <c r="BI11" s="439">
        <v>281440.58028620348</v>
      </c>
      <c r="BJ11" s="440">
        <v>165854.55252172289</v>
      </c>
      <c r="BK11" s="440">
        <v>88509.028171574246</v>
      </c>
      <c r="BL11" s="763">
        <v>-151210.47182842571</v>
      </c>
      <c r="BM11" s="440">
        <v>92513.028171574246</v>
      </c>
      <c r="BN11" s="440">
        <v>-751178.82720138424</v>
      </c>
      <c r="BO11" s="440">
        <v>29930.8127986158</v>
      </c>
      <c r="BP11" s="440">
        <v>134424.92279861579</v>
      </c>
      <c r="BQ11" s="440">
        <v>175420.92279861579</v>
      </c>
      <c r="BR11" s="440">
        <v>83701.422798615895</v>
      </c>
      <c r="BS11" s="440">
        <v>130420.92279861578</v>
      </c>
      <c r="BT11" s="443">
        <v>-1051148.7098939505</v>
      </c>
      <c r="BU11" s="438"/>
    </row>
    <row r="12" spans="1:73" s="588" customFormat="1" ht="15" customHeight="1" outlineLevel="1" x14ac:dyDescent="0.25">
      <c r="A12" s="610"/>
      <c r="B12" s="524" t="s">
        <v>9</v>
      </c>
      <c r="C12" s="538"/>
      <c r="D12" s="447">
        <v>67640.709999999031</v>
      </c>
      <c r="E12" s="448">
        <v>25963.682426000014</v>
      </c>
      <c r="F12" s="449">
        <v>41677.027573999017</v>
      </c>
      <c r="G12" s="421">
        <v>1.6052047968459078</v>
      </c>
      <c r="H12" s="448">
        <v>175442.96999999881</v>
      </c>
      <c r="I12" s="449">
        <v>-107802.25999999978</v>
      </c>
      <c r="J12" s="426">
        <v>-1.0795850540643744E-2</v>
      </c>
      <c r="K12" s="442"/>
      <c r="L12" s="447">
        <v>162417.92000000016</v>
      </c>
      <c r="M12" s="448">
        <v>-143180.8600000001</v>
      </c>
      <c r="N12" s="448">
        <v>273165.74</v>
      </c>
      <c r="O12" s="448">
        <v>-54004.590000000084</v>
      </c>
      <c r="P12" s="448">
        <v>84363.649999999674</v>
      </c>
      <c r="Q12" s="448">
        <v>204534.83000000019</v>
      </c>
      <c r="R12" s="448">
        <v>-76609.329999999958</v>
      </c>
      <c r="S12" s="448">
        <v>-76609.330000000075</v>
      </c>
      <c r="T12" s="448">
        <v>-76609.330000000075</v>
      </c>
      <c r="U12" s="448">
        <v>-76609.329999999958</v>
      </c>
      <c r="V12" s="448">
        <v>-76609.329999999958</v>
      </c>
      <c r="W12" s="450">
        <v>-76609.329999999492</v>
      </c>
      <c r="X12" s="418"/>
      <c r="Y12" s="451">
        <v>67640.709999999031</v>
      </c>
      <c r="Z12" s="442"/>
      <c r="AA12" s="447">
        <v>14620.247499999939</v>
      </c>
      <c r="AB12" s="448">
        <v>14620.247499999939</v>
      </c>
      <c r="AC12" s="448">
        <v>14620.247499999939</v>
      </c>
      <c r="AD12" s="448">
        <v>14620.247499999939</v>
      </c>
      <c r="AE12" s="448">
        <v>14620.247499999939</v>
      </c>
      <c r="AF12" s="448">
        <v>14620.247499999939</v>
      </c>
      <c r="AG12" s="448">
        <v>14620.247499999939</v>
      </c>
      <c r="AH12" s="448">
        <v>14620.247499999939</v>
      </c>
      <c r="AI12" s="448">
        <v>14620.247499999939</v>
      </c>
      <c r="AJ12" s="448">
        <v>14620.247499999939</v>
      </c>
      <c r="AK12" s="448">
        <v>14620.247499999939</v>
      </c>
      <c r="AL12" s="450">
        <v>14620.247499999939</v>
      </c>
      <c r="AM12" s="442"/>
      <c r="AN12" s="447">
        <v>67640.709999999031</v>
      </c>
      <c r="AO12" s="448">
        <v>-356356.84138603322</v>
      </c>
      <c r="AP12" s="452">
        <v>-423997.55138603225</v>
      </c>
      <c r="AQ12" s="453">
        <v>-6.2683781909746115</v>
      </c>
      <c r="AR12" s="448">
        <v>-356356.84138603322</v>
      </c>
      <c r="AS12" s="452">
        <v>0</v>
      </c>
      <c r="AT12" s="426">
        <v>0</v>
      </c>
      <c r="AU12" s="442"/>
      <c r="AV12" s="447">
        <v>169087.70315233467</v>
      </c>
      <c r="AW12" s="448">
        <v>57911.231524854084</v>
      </c>
      <c r="AX12" s="448">
        <v>-19434.292825294542</v>
      </c>
      <c r="AY12" s="448">
        <v>-259153.79282529454</v>
      </c>
      <c r="AZ12" s="448">
        <v>-15430.292825294542</v>
      </c>
      <c r="BA12" s="448">
        <v>22477.601801746991</v>
      </c>
      <c r="BB12" s="448">
        <v>-78012.508198252995</v>
      </c>
      <c r="BC12" s="448">
        <v>26481.601801746991</v>
      </c>
      <c r="BD12" s="448">
        <v>67477.601801746991</v>
      </c>
      <c r="BE12" s="448">
        <v>-24241.898198252893</v>
      </c>
      <c r="BF12" s="448">
        <v>22477.601801746991</v>
      </c>
      <c r="BG12" s="450">
        <v>-325997.39839781926</v>
      </c>
      <c r="BH12" s="442"/>
      <c r="BI12" s="447">
        <v>169087.70315233467</v>
      </c>
      <c r="BJ12" s="448">
        <v>57911.231524854084</v>
      </c>
      <c r="BK12" s="448">
        <v>-19434.292825294542</v>
      </c>
      <c r="BL12" s="764">
        <v>-259153.79282529454</v>
      </c>
      <c r="BM12" s="448">
        <v>-15430.292825294542</v>
      </c>
      <c r="BN12" s="448">
        <v>22477.601801746991</v>
      </c>
      <c r="BO12" s="448">
        <v>-78012.508198252995</v>
      </c>
      <c r="BP12" s="448">
        <v>26481.601801746991</v>
      </c>
      <c r="BQ12" s="448">
        <v>67477.601801746991</v>
      </c>
      <c r="BR12" s="448">
        <v>-24241.898198252893</v>
      </c>
      <c r="BS12" s="448">
        <v>22477.601801746991</v>
      </c>
      <c r="BT12" s="450">
        <v>-325997.39839781926</v>
      </c>
      <c r="BU12" s="438"/>
    </row>
    <row r="13" spans="1:73" s="588" customFormat="1" ht="15" customHeight="1" outlineLevel="1" x14ac:dyDescent="0.25">
      <c r="A13" s="610"/>
      <c r="B13" s="524" t="s">
        <v>10</v>
      </c>
      <c r="C13" s="538"/>
      <c r="D13" s="447">
        <v>0</v>
      </c>
      <c r="E13" s="448">
        <v>0</v>
      </c>
      <c r="F13" s="449">
        <v>0</v>
      </c>
      <c r="G13" s="421">
        <v>0</v>
      </c>
      <c r="H13" s="448">
        <v>0</v>
      </c>
      <c r="I13" s="449">
        <v>0</v>
      </c>
      <c r="J13" s="426">
        <v>0</v>
      </c>
      <c r="K13" s="442"/>
      <c r="L13" s="447">
        <v>0</v>
      </c>
      <c r="M13" s="448">
        <v>-1699.5900000000001</v>
      </c>
      <c r="N13" s="448">
        <v>-2688.72</v>
      </c>
      <c r="O13" s="448">
        <v>-2395.9600000000009</v>
      </c>
      <c r="P13" s="448">
        <v>-2271.33</v>
      </c>
      <c r="Q13" s="448">
        <v>-2271.1400000000003</v>
      </c>
      <c r="R13" s="448">
        <v>1887.79</v>
      </c>
      <c r="S13" s="448">
        <v>1887.7900000000004</v>
      </c>
      <c r="T13" s="448">
        <v>1887.7899999999995</v>
      </c>
      <c r="U13" s="448">
        <v>1887.7899999999991</v>
      </c>
      <c r="V13" s="448">
        <v>1887.7899999999991</v>
      </c>
      <c r="W13" s="450">
        <v>1887.7899999999991</v>
      </c>
      <c r="X13" s="418"/>
      <c r="Y13" s="451">
        <v>0</v>
      </c>
      <c r="Z13" s="442"/>
      <c r="AA13" s="447">
        <v>0</v>
      </c>
      <c r="AB13" s="448">
        <v>0</v>
      </c>
      <c r="AC13" s="448">
        <v>0</v>
      </c>
      <c r="AD13" s="448">
        <v>0</v>
      </c>
      <c r="AE13" s="448">
        <v>0</v>
      </c>
      <c r="AF13" s="448">
        <v>0</v>
      </c>
      <c r="AG13" s="448">
        <v>0</v>
      </c>
      <c r="AH13" s="448">
        <v>0</v>
      </c>
      <c r="AI13" s="448">
        <v>0</v>
      </c>
      <c r="AJ13" s="448">
        <v>0</v>
      </c>
      <c r="AK13" s="448">
        <v>0</v>
      </c>
      <c r="AL13" s="450">
        <v>0</v>
      </c>
      <c r="AM13" s="442"/>
      <c r="AN13" s="447">
        <v>0</v>
      </c>
      <c r="AO13" s="448">
        <v>0</v>
      </c>
      <c r="AP13" s="452">
        <v>0</v>
      </c>
      <c r="AQ13" s="453" t="s">
        <v>1519</v>
      </c>
      <c r="AR13" s="448">
        <v>0</v>
      </c>
      <c r="AS13" s="452">
        <v>0</v>
      </c>
      <c r="AT13" s="426">
        <v>0</v>
      </c>
      <c r="AU13" s="442"/>
      <c r="AV13" s="447">
        <v>0</v>
      </c>
      <c r="AW13" s="448">
        <v>-4409.5561369999996</v>
      </c>
      <c r="AX13" s="448">
        <v>-4409.5561369999996</v>
      </c>
      <c r="AY13" s="448">
        <v>-4409.5561369999996</v>
      </c>
      <c r="AZ13" s="448">
        <v>-4409.5561369999996</v>
      </c>
      <c r="BA13" s="448">
        <v>-4409.5561369999996</v>
      </c>
      <c r="BB13" s="448">
        <v>-4409.5561369999996</v>
      </c>
      <c r="BC13" s="448">
        <v>-4409.5561369999996</v>
      </c>
      <c r="BD13" s="448">
        <v>-4409.5561369999996</v>
      </c>
      <c r="BE13" s="448">
        <v>-4409.5561369999996</v>
      </c>
      <c r="BF13" s="448">
        <v>-4409.5561369999996</v>
      </c>
      <c r="BG13" s="450">
        <v>44095.561370000003</v>
      </c>
      <c r="BH13" s="442"/>
      <c r="BI13" s="447">
        <v>0</v>
      </c>
      <c r="BJ13" s="448">
        <v>-4409.5561369999996</v>
      </c>
      <c r="BK13" s="448">
        <v>-4409.5561369999996</v>
      </c>
      <c r="BL13" s="764">
        <v>-4409.5561369999996</v>
      </c>
      <c r="BM13" s="448">
        <v>-4409.5561369999996</v>
      </c>
      <c r="BN13" s="448">
        <v>-4409.5561369999996</v>
      </c>
      <c r="BO13" s="448">
        <v>-4409.5561369999996</v>
      </c>
      <c r="BP13" s="448">
        <v>-4409.5561369999996</v>
      </c>
      <c r="BQ13" s="448">
        <v>-4409.5561369999996</v>
      </c>
      <c r="BR13" s="448">
        <v>-4409.5561369999996</v>
      </c>
      <c r="BS13" s="448">
        <v>-4409.5561369999996</v>
      </c>
      <c r="BT13" s="450">
        <v>44095.561370000003</v>
      </c>
      <c r="BU13" s="438"/>
    </row>
    <row r="14" spans="1:73" s="588" customFormat="1" ht="15" customHeight="1" outlineLevel="1" x14ac:dyDescent="0.25">
      <c r="A14" s="610"/>
      <c r="B14" s="524" t="s">
        <v>11</v>
      </c>
      <c r="C14" s="538"/>
      <c r="D14" s="447">
        <v>-1184284.54</v>
      </c>
      <c r="E14" s="448">
        <v>-714781.26500000013</v>
      </c>
      <c r="F14" s="449">
        <v>-469503.27499999991</v>
      </c>
      <c r="G14" s="421">
        <v>-0.65684888229408167</v>
      </c>
      <c r="H14" s="448">
        <v>-1189549</v>
      </c>
      <c r="I14" s="449">
        <v>5264.4599999999627</v>
      </c>
      <c r="J14" s="426">
        <v>4.8863414489550613E-3</v>
      </c>
      <c r="K14" s="442"/>
      <c r="L14" s="447">
        <v>83192.049999999988</v>
      </c>
      <c r="M14" s="448">
        <v>-286256.55</v>
      </c>
      <c r="N14" s="448">
        <v>79720.040000000008</v>
      </c>
      <c r="O14" s="448">
        <v>75772.829999999987</v>
      </c>
      <c r="P14" s="448">
        <v>79613.050000000047</v>
      </c>
      <c r="Q14" s="448">
        <v>-629237.00000000012</v>
      </c>
      <c r="R14" s="448">
        <v>-97848.159999999974</v>
      </c>
      <c r="S14" s="448">
        <v>-97848.160000000047</v>
      </c>
      <c r="T14" s="448">
        <v>-97848.16</v>
      </c>
      <c r="U14" s="448">
        <v>-97848.15999999996</v>
      </c>
      <c r="V14" s="448">
        <v>-97848.159999999887</v>
      </c>
      <c r="W14" s="450">
        <v>-97848.159999999945</v>
      </c>
      <c r="X14" s="418"/>
      <c r="Y14" s="451">
        <v>-1184284.5400000005</v>
      </c>
      <c r="Z14" s="442"/>
      <c r="AA14" s="447">
        <v>-99129.083333333314</v>
      </c>
      <c r="AB14" s="448">
        <v>-99129.083333333314</v>
      </c>
      <c r="AC14" s="448">
        <v>-99129.083333333314</v>
      </c>
      <c r="AD14" s="448">
        <v>-99129.083333333314</v>
      </c>
      <c r="AE14" s="448">
        <v>-99129.083333333314</v>
      </c>
      <c r="AF14" s="448">
        <v>-99129.083333333314</v>
      </c>
      <c r="AG14" s="448">
        <v>-99129.083333333314</v>
      </c>
      <c r="AH14" s="448">
        <v>-99129.083333333314</v>
      </c>
      <c r="AI14" s="448">
        <v>-99129.083333333314</v>
      </c>
      <c r="AJ14" s="448">
        <v>-99129.083333333314</v>
      </c>
      <c r="AK14" s="448">
        <v>-99129.083333333314</v>
      </c>
      <c r="AL14" s="450">
        <v>-99129.083333333314</v>
      </c>
      <c r="AM14" s="442"/>
      <c r="AN14" s="447">
        <v>-1184284.54</v>
      </c>
      <c r="AO14" s="448">
        <v>-452116.37373493961</v>
      </c>
      <c r="AP14" s="452">
        <v>732168.16626506043</v>
      </c>
      <c r="AQ14" s="453">
        <v>0.61823670033306388</v>
      </c>
      <c r="AR14" s="448">
        <v>-452116.37373493961</v>
      </c>
      <c r="AS14" s="452">
        <v>0</v>
      </c>
      <c r="AT14" s="426">
        <v>0</v>
      </c>
      <c r="AU14" s="442"/>
      <c r="AV14" s="447">
        <v>109256.92718875501</v>
      </c>
      <c r="AW14" s="448">
        <v>109256.92718875501</v>
      </c>
      <c r="AX14" s="448">
        <v>109256.92718875501</v>
      </c>
      <c r="AY14" s="448">
        <v>109256.92718875501</v>
      </c>
      <c r="AZ14" s="448">
        <v>109256.92718875501</v>
      </c>
      <c r="BA14" s="448">
        <v>-772342.82281124499</v>
      </c>
      <c r="BB14" s="448">
        <v>109256.92718875501</v>
      </c>
      <c r="BC14" s="448">
        <v>109256.92718875501</v>
      </c>
      <c r="BD14" s="448">
        <v>109256.92718875501</v>
      </c>
      <c r="BE14" s="448">
        <v>109256.92718875501</v>
      </c>
      <c r="BF14" s="448">
        <v>109256.92718875501</v>
      </c>
      <c r="BG14" s="450">
        <v>-772342.82281124499</v>
      </c>
      <c r="BH14" s="442"/>
      <c r="BI14" s="447">
        <v>109256.92718875501</v>
      </c>
      <c r="BJ14" s="448">
        <v>109256.92718875501</v>
      </c>
      <c r="BK14" s="448">
        <v>109256.92718875501</v>
      </c>
      <c r="BL14" s="764">
        <v>109256.92718875501</v>
      </c>
      <c r="BM14" s="448">
        <v>109256.92718875501</v>
      </c>
      <c r="BN14" s="448">
        <v>-772342.82281124499</v>
      </c>
      <c r="BO14" s="448">
        <v>109256.92718875501</v>
      </c>
      <c r="BP14" s="448">
        <v>109256.92718875501</v>
      </c>
      <c r="BQ14" s="448">
        <v>109256.92718875501</v>
      </c>
      <c r="BR14" s="448">
        <v>109256.92718875501</v>
      </c>
      <c r="BS14" s="448">
        <v>109256.92718875501</v>
      </c>
      <c r="BT14" s="450">
        <v>-772342.82281124499</v>
      </c>
      <c r="BU14" s="438"/>
    </row>
    <row r="15" spans="1:73" s="588" customFormat="1" ht="15" customHeight="1" outlineLevel="1" x14ac:dyDescent="0.25">
      <c r="A15" s="610"/>
      <c r="B15" s="524" t="s">
        <v>12</v>
      </c>
      <c r="C15" s="538"/>
      <c r="D15" s="454">
        <v>34239.22</v>
      </c>
      <c r="E15" s="455">
        <v>29273.25</v>
      </c>
      <c r="F15" s="456">
        <v>4965.9700000000012</v>
      </c>
      <c r="G15" s="433">
        <v>0.16964190856840294</v>
      </c>
      <c r="H15" s="455">
        <v>29272</v>
      </c>
      <c r="I15" s="456">
        <v>4967.2200000000012</v>
      </c>
      <c r="J15" s="434">
        <v>2.5253480672274488E-2</v>
      </c>
      <c r="K15" s="442"/>
      <c r="L15" s="454">
        <v>5502.59</v>
      </c>
      <c r="M15" s="455">
        <v>70.210000000000036</v>
      </c>
      <c r="N15" s="455">
        <v>670.02999999999975</v>
      </c>
      <c r="O15" s="455">
        <v>31494.909999999996</v>
      </c>
      <c r="P15" s="455">
        <v>-5881.3600000000006</v>
      </c>
      <c r="Q15" s="455">
        <v>2229.2299999999987</v>
      </c>
      <c r="R15" s="455">
        <v>25.601666666669189</v>
      </c>
      <c r="S15" s="455">
        <v>25.601666666669189</v>
      </c>
      <c r="T15" s="455">
        <v>25.601666666669189</v>
      </c>
      <c r="U15" s="455">
        <v>25.601666666665551</v>
      </c>
      <c r="V15" s="455">
        <v>25.601666666669189</v>
      </c>
      <c r="W15" s="457">
        <v>25.601666666654637</v>
      </c>
      <c r="X15" s="418"/>
      <c r="Y15" s="458">
        <v>34239.219999999972</v>
      </c>
      <c r="Z15" s="442"/>
      <c r="AA15" s="454">
        <v>2439.3333333333358</v>
      </c>
      <c r="AB15" s="455">
        <v>2439.3333333333358</v>
      </c>
      <c r="AC15" s="455">
        <v>2439.3333333333358</v>
      </c>
      <c r="AD15" s="455">
        <v>2439.3333333333358</v>
      </c>
      <c r="AE15" s="455">
        <v>2439.3333333333358</v>
      </c>
      <c r="AF15" s="455">
        <v>2439.3333333333358</v>
      </c>
      <c r="AG15" s="455">
        <v>2439.3333333333358</v>
      </c>
      <c r="AH15" s="455">
        <v>2439.3333333333358</v>
      </c>
      <c r="AI15" s="455">
        <v>2439.3333333333358</v>
      </c>
      <c r="AJ15" s="455">
        <v>2439.3333333333358</v>
      </c>
      <c r="AK15" s="455">
        <v>2439.3333333333358</v>
      </c>
      <c r="AL15" s="457">
        <v>2439.3333333333358</v>
      </c>
      <c r="AM15" s="442"/>
      <c r="AN15" s="454">
        <v>34239.22</v>
      </c>
      <c r="AO15" s="455">
        <v>37151.399341365468</v>
      </c>
      <c r="AP15" s="459">
        <v>2912.1793413654668</v>
      </c>
      <c r="AQ15" s="460">
        <v>8.505390430522268E-2</v>
      </c>
      <c r="AR15" s="455">
        <v>37151.399341365468</v>
      </c>
      <c r="AS15" s="459">
        <v>0</v>
      </c>
      <c r="AT15" s="434">
        <v>0</v>
      </c>
      <c r="AU15" s="442"/>
      <c r="AV15" s="454">
        <v>3095.9499451137872</v>
      </c>
      <c r="AW15" s="455">
        <v>3095.9499451137872</v>
      </c>
      <c r="AX15" s="455">
        <v>3095.9499451137872</v>
      </c>
      <c r="AY15" s="455">
        <v>3095.9499451137872</v>
      </c>
      <c r="AZ15" s="455">
        <v>3095.9499451137872</v>
      </c>
      <c r="BA15" s="455">
        <v>3095.9499451137872</v>
      </c>
      <c r="BB15" s="455">
        <v>3095.9499451137872</v>
      </c>
      <c r="BC15" s="455">
        <v>3095.9499451137872</v>
      </c>
      <c r="BD15" s="455">
        <v>3095.9499451137872</v>
      </c>
      <c r="BE15" s="455">
        <v>3095.9499451137872</v>
      </c>
      <c r="BF15" s="455">
        <v>3095.9499451137872</v>
      </c>
      <c r="BG15" s="457">
        <v>3095.9499451137872</v>
      </c>
      <c r="BH15" s="442"/>
      <c r="BI15" s="454">
        <v>3095.9499451137872</v>
      </c>
      <c r="BJ15" s="455">
        <v>3095.9499451137872</v>
      </c>
      <c r="BK15" s="455">
        <v>3095.9499451137872</v>
      </c>
      <c r="BL15" s="765">
        <v>3095.9499451137872</v>
      </c>
      <c r="BM15" s="455">
        <v>3095.9499451137872</v>
      </c>
      <c r="BN15" s="455">
        <v>3095.9499451137872</v>
      </c>
      <c r="BO15" s="455">
        <v>3095.9499451137872</v>
      </c>
      <c r="BP15" s="455">
        <v>3095.9499451137872</v>
      </c>
      <c r="BQ15" s="455">
        <v>3095.9499451137872</v>
      </c>
      <c r="BR15" s="455">
        <v>3095.9499451137872</v>
      </c>
      <c r="BS15" s="455">
        <v>3095.9499451137872</v>
      </c>
      <c r="BT15" s="457">
        <v>3095.9499451137872</v>
      </c>
      <c r="BU15" s="438"/>
    </row>
    <row r="16" spans="1:73" s="588" customFormat="1" ht="15" hidden="1" customHeight="1" outlineLevel="1" x14ac:dyDescent="0.25">
      <c r="A16" s="610"/>
      <c r="B16" s="524"/>
      <c r="C16" s="538"/>
      <c r="D16" s="417"/>
      <c r="E16" s="437"/>
      <c r="F16" s="418"/>
      <c r="G16" s="421"/>
      <c r="H16" s="437"/>
      <c r="I16" s="418"/>
      <c r="J16" s="421"/>
      <c r="K16" s="438"/>
      <c r="L16" s="417"/>
      <c r="M16" s="417"/>
      <c r="N16" s="417"/>
      <c r="O16" s="417"/>
      <c r="P16" s="417"/>
      <c r="Q16" s="417"/>
      <c r="R16" s="417"/>
      <c r="S16" s="417"/>
      <c r="T16" s="417"/>
      <c r="U16" s="417"/>
      <c r="V16" s="417"/>
      <c r="W16" s="417"/>
      <c r="X16" s="417"/>
      <c r="Y16" s="417"/>
      <c r="Z16" s="438"/>
      <c r="AA16" s="417"/>
      <c r="AB16" s="417"/>
      <c r="AC16" s="417"/>
      <c r="AD16" s="417"/>
      <c r="AE16" s="417"/>
      <c r="AF16" s="417"/>
      <c r="AG16" s="417"/>
      <c r="AH16" s="417"/>
      <c r="AI16" s="417"/>
      <c r="AJ16" s="417"/>
      <c r="AK16" s="417"/>
      <c r="AL16" s="417"/>
      <c r="AM16" s="438"/>
      <c r="AN16" s="417"/>
      <c r="AO16" s="429"/>
      <c r="AP16" s="418"/>
      <c r="AQ16" s="419"/>
      <c r="AR16" s="429"/>
      <c r="AS16" s="418"/>
      <c r="AT16" s="421"/>
      <c r="AU16" s="438"/>
      <c r="AV16" s="437"/>
      <c r="AW16" s="437"/>
      <c r="AX16" s="437"/>
      <c r="AY16" s="437"/>
      <c r="AZ16" s="437"/>
      <c r="BA16" s="437"/>
      <c r="BB16" s="437"/>
      <c r="BC16" s="437"/>
      <c r="BD16" s="437"/>
      <c r="BE16" s="437"/>
      <c r="BF16" s="437"/>
      <c r="BG16" s="437"/>
      <c r="BH16" s="438"/>
      <c r="BI16" s="437"/>
      <c r="BJ16" s="437"/>
      <c r="BK16" s="437"/>
      <c r="BL16" s="762"/>
      <c r="BM16" s="437"/>
      <c r="BN16" s="437"/>
      <c r="BO16" s="437"/>
      <c r="BP16" s="437"/>
      <c r="BQ16" s="437"/>
      <c r="BR16" s="437"/>
      <c r="BS16" s="437"/>
      <c r="BT16" s="437"/>
      <c r="BU16" s="438"/>
    </row>
    <row r="17" spans="1:73" s="588" customFormat="1" ht="15" hidden="1" customHeight="1" outlineLevel="1" x14ac:dyDescent="0.25">
      <c r="A17" s="610"/>
      <c r="B17" s="524" t="s">
        <v>13</v>
      </c>
      <c r="C17" s="538"/>
      <c r="D17" s="410"/>
      <c r="E17" s="461"/>
      <c r="F17" s="412"/>
      <c r="G17" s="413"/>
      <c r="H17" s="461"/>
      <c r="I17" s="412"/>
      <c r="J17" s="415"/>
      <c r="K17" s="438"/>
      <c r="L17" s="410"/>
      <c r="M17" s="414"/>
      <c r="N17" s="414"/>
      <c r="O17" s="414"/>
      <c r="P17" s="414"/>
      <c r="Q17" s="414"/>
      <c r="R17" s="414"/>
      <c r="S17" s="414"/>
      <c r="T17" s="414"/>
      <c r="U17" s="414"/>
      <c r="V17" s="414"/>
      <c r="W17" s="462"/>
      <c r="X17" s="417"/>
      <c r="Y17" s="463"/>
      <c r="Z17" s="438"/>
      <c r="AA17" s="410"/>
      <c r="AB17" s="414"/>
      <c r="AC17" s="414"/>
      <c r="AD17" s="414"/>
      <c r="AE17" s="414"/>
      <c r="AF17" s="414"/>
      <c r="AG17" s="414"/>
      <c r="AH17" s="414"/>
      <c r="AI17" s="414"/>
      <c r="AJ17" s="414"/>
      <c r="AK17" s="414"/>
      <c r="AL17" s="462"/>
      <c r="AM17" s="438"/>
      <c r="AN17" s="410"/>
      <c r="AO17" s="464"/>
      <c r="AP17" s="412"/>
      <c r="AQ17" s="446"/>
      <c r="AR17" s="464"/>
      <c r="AS17" s="412"/>
      <c r="AT17" s="415"/>
      <c r="AU17" s="438"/>
      <c r="AV17" s="465"/>
      <c r="AW17" s="461"/>
      <c r="AX17" s="461"/>
      <c r="AY17" s="461"/>
      <c r="AZ17" s="461"/>
      <c r="BA17" s="461"/>
      <c r="BB17" s="461"/>
      <c r="BC17" s="461"/>
      <c r="BD17" s="461"/>
      <c r="BE17" s="461"/>
      <c r="BF17" s="461"/>
      <c r="BG17" s="466"/>
      <c r="BH17" s="438"/>
      <c r="BI17" s="465"/>
      <c r="BJ17" s="461"/>
      <c r="BK17" s="461"/>
      <c r="BL17" s="766"/>
      <c r="BM17" s="461"/>
      <c r="BN17" s="461"/>
      <c r="BO17" s="461"/>
      <c r="BP17" s="461"/>
      <c r="BQ17" s="461"/>
      <c r="BR17" s="461"/>
      <c r="BS17" s="461"/>
      <c r="BT17" s="466"/>
      <c r="BU17" s="438"/>
    </row>
    <row r="18" spans="1:73" s="588" customFormat="1" ht="15" hidden="1" customHeight="1" outlineLevel="1" x14ac:dyDescent="0.25">
      <c r="A18" s="610"/>
      <c r="B18" s="524" t="s">
        <v>14</v>
      </c>
      <c r="C18" s="538"/>
      <c r="D18" s="430"/>
      <c r="E18" s="431"/>
      <c r="F18" s="432"/>
      <c r="G18" s="433"/>
      <c r="H18" s="431"/>
      <c r="I18" s="432"/>
      <c r="J18" s="434"/>
      <c r="K18" s="438"/>
      <c r="L18" s="430"/>
      <c r="M18" s="467"/>
      <c r="N18" s="467"/>
      <c r="O18" s="467"/>
      <c r="P18" s="467"/>
      <c r="Q18" s="467"/>
      <c r="R18" s="467"/>
      <c r="S18" s="467"/>
      <c r="T18" s="467"/>
      <c r="U18" s="467"/>
      <c r="V18" s="467"/>
      <c r="W18" s="468"/>
      <c r="X18" s="417"/>
      <c r="Y18" s="469"/>
      <c r="Z18" s="438"/>
      <c r="AA18" s="430"/>
      <c r="AB18" s="467"/>
      <c r="AC18" s="467"/>
      <c r="AD18" s="467"/>
      <c r="AE18" s="467"/>
      <c r="AF18" s="467"/>
      <c r="AG18" s="467"/>
      <c r="AH18" s="467"/>
      <c r="AI18" s="467"/>
      <c r="AJ18" s="467"/>
      <c r="AK18" s="467"/>
      <c r="AL18" s="468"/>
      <c r="AM18" s="438"/>
      <c r="AN18" s="430"/>
      <c r="AO18" s="470"/>
      <c r="AP18" s="432"/>
      <c r="AQ18" s="460"/>
      <c r="AR18" s="470"/>
      <c r="AS18" s="432"/>
      <c r="AT18" s="434"/>
      <c r="AU18" s="438"/>
      <c r="AV18" s="435"/>
      <c r="AW18" s="431"/>
      <c r="AX18" s="431"/>
      <c r="AY18" s="431"/>
      <c r="AZ18" s="431"/>
      <c r="BA18" s="431"/>
      <c r="BB18" s="431"/>
      <c r="BC18" s="431"/>
      <c r="BD18" s="431"/>
      <c r="BE18" s="431"/>
      <c r="BF18" s="431"/>
      <c r="BG18" s="436"/>
      <c r="BH18" s="438"/>
      <c r="BI18" s="435"/>
      <c r="BJ18" s="431"/>
      <c r="BK18" s="431"/>
      <c r="BL18" s="767"/>
      <c r="BM18" s="431"/>
      <c r="BN18" s="431"/>
      <c r="BO18" s="431"/>
      <c r="BP18" s="431"/>
      <c r="BQ18" s="431"/>
      <c r="BR18" s="431"/>
      <c r="BS18" s="431"/>
      <c r="BT18" s="436"/>
      <c r="BU18" s="438"/>
    </row>
    <row r="19" spans="1:73" ht="15" customHeight="1" x14ac:dyDescent="0.25">
      <c r="A19" s="400"/>
      <c r="B19" s="400"/>
      <c r="C19" s="583"/>
      <c r="D19" s="471"/>
      <c r="E19" s="472"/>
      <c r="F19" s="473"/>
      <c r="G19" s="474"/>
      <c r="H19" s="472"/>
      <c r="I19" s="473"/>
      <c r="J19" s="474"/>
      <c r="K19" s="475"/>
      <c r="L19" s="471"/>
      <c r="M19" s="471"/>
      <c r="N19" s="471"/>
      <c r="O19" s="471"/>
      <c r="P19" s="471"/>
      <c r="Q19" s="471"/>
      <c r="R19" s="471"/>
      <c r="S19" s="471"/>
      <c r="T19" s="471"/>
      <c r="U19" s="471"/>
      <c r="V19" s="471"/>
      <c r="W19" s="471"/>
      <c r="X19" s="471"/>
      <c r="Y19" s="471"/>
      <c r="Z19" s="475"/>
      <c r="AA19" s="471"/>
      <c r="AB19" s="471"/>
      <c r="AC19" s="471"/>
      <c r="AD19" s="471"/>
      <c r="AE19" s="471"/>
      <c r="AF19" s="471"/>
      <c r="AG19" s="471"/>
      <c r="AH19" s="471"/>
      <c r="AI19" s="471"/>
      <c r="AJ19" s="471"/>
      <c r="AK19" s="471"/>
      <c r="AL19" s="471"/>
      <c r="AM19" s="475"/>
      <c r="AN19" s="471"/>
      <c r="AO19" s="477"/>
      <c r="AP19" s="473"/>
      <c r="AQ19" s="476"/>
      <c r="AR19" s="477"/>
      <c r="AS19" s="473"/>
      <c r="AT19" s="474"/>
      <c r="AU19" s="475"/>
      <c r="AV19" s="471"/>
      <c r="AW19" s="471"/>
      <c r="AX19" s="471"/>
      <c r="AY19" s="471"/>
      <c r="AZ19" s="471"/>
      <c r="BA19" s="471"/>
      <c r="BB19" s="471"/>
      <c r="BC19" s="471"/>
      <c r="BD19" s="471"/>
      <c r="BE19" s="471"/>
      <c r="BF19" s="471"/>
      <c r="BG19" s="471"/>
      <c r="BH19" s="475"/>
      <c r="BI19" s="471"/>
      <c r="BJ19" s="471"/>
      <c r="BK19" s="471"/>
      <c r="BL19" s="768"/>
      <c r="BM19" s="471"/>
      <c r="BN19" s="471"/>
      <c r="BO19" s="471"/>
      <c r="BP19" s="471"/>
      <c r="BQ19" s="471"/>
      <c r="BR19" s="471"/>
      <c r="BS19" s="471"/>
      <c r="BT19" s="471"/>
      <c r="BU19" s="475"/>
    </row>
    <row r="20" spans="1:73" ht="15" customHeight="1" x14ac:dyDescent="0.25">
      <c r="A20" s="588"/>
      <c r="B20" s="526"/>
      <c r="C20" s="589"/>
      <c r="D20" s="478" t="s">
        <v>15</v>
      </c>
      <c r="E20" s="479" t="s">
        <v>15</v>
      </c>
      <c r="F20" s="805" t="s">
        <v>16</v>
      </c>
      <c r="G20" s="805"/>
      <c r="H20" s="480" t="s">
        <v>15</v>
      </c>
      <c r="I20" s="806" t="s">
        <v>17</v>
      </c>
      <c r="J20" s="807"/>
      <c r="K20" s="481"/>
      <c r="L20" s="482" t="s">
        <v>18</v>
      </c>
      <c r="M20" s="483" t="s">
        <v>18</v>
      </c>
      <c r="N20" s="483" t="s">
        <v>18</v>
      </c>
      <c r="O20" s="483" t="s">
        <v>18</v>
      </c>
      <c r="P20" s="483" t="s">
        <v>18</v>
      </c>
      <c r="Q20" s="484" t="s">
        <v>18</v>
      </c>
      <c r="R20" s="484" t="s">
        <v>19</v>
      </c>
      <c r="S20" s="484" t="s">
        <v>19</v>
      </c>
      <c r="T20" s="484" t="s">
        <v>19</v>
      </c>
      <c r="U20" s="484" t="s">
        <v>19</v>
      </c>
      <c r="V20" s="484" t="s">
        <v>19</v>
      </c>
      <c r="W20" s="484" t="s">
        <v>19</v>
      </c>
      <c r="X20" s="485"/>
      <c r="Y20" s="484" t="s">
        <v>20</v>
      </c>
      <c r="Z20" s="485"/>
      <c r="AA20" s="482" t="s">
        <v>21</v>
      </c>
      <c r="AB20" s="482" t="s">
        <v>21</v>
      </c>
      <c r="AC20" s="482" t="s">
        <v>21</v>
      </c>
      <c r="AD20" s="482" t="s">
        <v>21</v>
      </c>
      <c r="AE20" s="482" t="s">
        <v>21</v>
      </c>
      <c r="AF20" s="482" t="s">
        <v>21</v>
      </c>
      <c r="AG20" s="482" t="s">
        <v>21</v>
      </c>
      <c r="AH20" s="482" t="s">
        <v>21</v>
      </c>
      <c r="AI20" s="482" t="s">
        <v>21</v>
      </c>
      <c r="AJ20" s="482" t="s">
        <v>21</v>
      </c>
      <c r="AK20" s="482" t="s">
        <v>21</v>
      </c>
      <c r="AL20" s="482" t="s">
        <v>21</v>
      </c>
      <c r="AM20" s="400"/>
      <c r="AN20" s="628" t="s">
        <v>15</v>
      </c>
      <c r="AO20" s="628" t="s">
        <v>22</v>
      </c>
      <c r="AP20" s="808" t="s">
        <v>23</v>
      </c>
      <c r="AQ20" s="808"/>
      <c r="AR20" s="480" t="s">
        <v>22</v>
      </c>
      <c r="AS20" s="806" t="s">
        <v>24</v>
      </c>
      <c r="AT20" s="807"/>
      <c r="AU20" s="481"/>
      <c r="AV20" s="484" t="s">
        <v>19</v>
      </c>
      <c r="AW20" s="484" t="s">
        <v>19</v>
      </c>
      <c r="AX20" s="484" t="s">
        <v>19</v>
      </c>
      <c r="AY20" s="484" t="s">
        <v>19</v>
      </c>
      <c r="AZ20" s="484" t="s">
        <v>19</v>
      </c>
      <c r="BA20" s="484" t="s">
        <v>19</v>
      </c>
      <c r="BB20" s="484" t="s">
        <v>19</v>
      </c>
      <c r="BC20" s="484" t="s">
        <v>19</v>
      </c>
      <c r="BD20" s="484" t="s">
        <v>19</v>
      </c>
      <c r="BE20" s="484" t="s">
        <v>19</v>
      </c>
      <c r="BF20" s="484" t="s">
        <v>19</v>
      </c>
      <c r="BG20" s="484" t="s">
        <v>19</v>
      </c>
      <c r="BH20" s="485"/>
      <c r="BI20" s="482" t="s">
        <v>21</v>
      </c>
      <c r="BJ20" s="482" t="s">
        <v>21</v>
      </c>
      <c r="BK20" s="482" t="s">
        <v>21</v>
      </c>
      <c r="BL20" s="756" t="s">
        <v>21</v>
      </c>
      <c r="BM20" s="482" t="s">
        <v>21</v>
      </c>
      <c r="BN20" s="482" t="s">
        <v>21</v>
      </c>
      <c r="BO20" s="482" t="s">
        <v>21</v>
      </c>
      <c r="BP20" s="482" t="s">
        <v>21</v>
      </c>
      <c r="BQ20" s="482" t="s">
        <v>21</v>
      </c>
      <c r="BR20" s="482" t="s">
        <v>21</v>
      </c>
      <c r="BS20" s="482" t="s">
        <v>21</v>
      </c>
      <c r="BT20" s="482" t="s">
        <v>21</v>
      </c>
      <c r="BU20" s="400"/>
    </row>
    <row r="21" spans="1:73" x14ac:dyDescent="0.25">
      <c r="A21" s="636" t="s">
        <v>25</v>
      </c>
      <c r="B21" s="636" t="s">
        <v>26</v>
      </c>
      <c r="C21" s="637"/>
      <c r="D21" s="638" t="s">
        <v>19</v>
      </c>
      <c r="E21" s="639" t="s">
        <v>27</v>
      </c>
      <c r="F21" s="627" t="s">
        <v>28</v>
      </c>
      <c r="G21" s="569" t="s">
        <v>29</v>
      </c>
      <c r="H21" s="626" t="s">
        <v>30</v>
      </c>
      <c r="I21" s="627" t="s">
        <v>28</v>
      </c>
      <c r="J21" s="570" t="s">
        <v>29</v>
      </c>
      <c r="K21" s="640"/>
      <c r="L21" s="641">
        <v>42947</v>
      </c>
      <c r="M21" s="642">
        <v>42978</v>
      </c>
      <c r="N21" s="642">
        <v>43008</v>
      </c>
      <c r="O21" s="642">
        <v>43039</v>
      </c>
      <c r="P21" s="642">
        <v>43069</v>
      </c>
      <c r="Q21" s="643">
        <v>43100</v>
      </c>
      <c r="R21" s="643">
        <v>43131</v>
      </c>
      <c r="S21" s="643">
        <v>43159</v>
      </c>
      <c r="T21" s="643">
        <v>43190</v>
      </c>
      <c r="U21" s="643">
        <v>43220</v>
      </c>
      <c r="V21" s="643">
        <v>43251</v>
      </c>
      <c r="W21" s="643">
        <v>43281</v>
      </c>
      <c r="X21" s="644"/>
      <c r="Y21" s="643">
        <v>43100</v>
      </c>
      <c r="Z21" s="644"/>
      <c r="AA21" s="641">
        <v>42947</v>
      </c>
      <c r="AB21" s="642">
        <v>42978</v>
      </c>
      <c r="AC21" s="642">
        <v>43008</v>
      </c>
      <c r="AD21" s="642">
        <v>43039</v>
      </c>
      <c r="AE21" s="642">
        <v>43069</v>
      </c>
      <c r="AF21" s="643">
        <v>43100</v>
      </c>
      <c r="AG21" s="643">
        <v>43131</v>
      </c>
      <c r="AH21" s="643">
        <v>43159</v>
      </c>
      <c r="AI21" s="643">
        <v>43190</v>
      </c>
      <c r="AJ21" s="643">
        <v>43220</v>
      </c>
      <c r="AK21" s="643">
        <v>43251</v>
      </c>
      <c r="AL21" s="643">
        <v>43281</v>
      </c>
      <c r="AM21" s="645"/>
      <c r="AN21" s="626" t="s">
        <v>19</v>
      </c>
      <c r="AO21" s="626" t="s">
        <v>21</v>
      </c>
      <c r="AP21" s="627" t="s">
        <v>28</v>
      </c>
      <c r="AQ21" s="640" t="s">
        <v>29</v>
      </c>
      <c r="AR21" s="626" t="s">
        <v>21</v>
      </c>
      <c r="AS21" s="627" t="s">
        <v>28</v>
      </c>
      <c r="AT21" s="570" t="s">
        <v>29</v>
      </c>
      <c r="AU21" s="640"/>
      <c r="AV21" s="641">
        <v>43312</v>
      </c>
      <c r="AW21" s="642">
        <v>43343</v>
      </c>
      <c r="AX21" s="641">
        <v>43373</v>
      </c>
      <c r="AY21" s="642">
        <v>43404</v>
      </c>
      <c r="AZ21" s="641">
        <v>43434</v>
      </c>
      <c r="BA21" s="642">
        <v>43465</v>
      </c>
      <c r="BB21" s="641">
        <v>43496</v>
      </c>
      <c r="BC21" s="642">
        <v>43524</v>
      </c>
      <c r="BD21" s="641">
        <v>43555</v>
      </c>
      <c r="BE21" s="642">
        <v>43585</v>
      </c>
      <c r="BF21" s="641">
        <v>43616</v>
      </c>
      <c r="BG21" s="642">
        <v>43646</v>
      </c>
      <c r="BH21" s="644"/>
      <c r="BI21" s="641">
        <v>43312</v>
      </c>
      <c r="BJ21" s="642">
        <v>43343</v>
      </c>
      <c r="BK21" s="641">
        <v>43373</v>
      </c>
      <c r="BL21" s="769">
        <v>43404</v>
      </c>
      <c r="BM21" s="641">
        <v>43434</v>
      </c>
      <c r="BN21" s="642">
        <v>43465</v>
      </c>
      <c r="BO21" s="641">
        <v>43496</v>
      </c>
      <c r="BP21" s="642">
        <v>43524</v>
      </c>
      <c r="BQ21" s="641">
        <v>43555</v>
      </c>
      <c r="BR21" s="642">
        <v>43585</v>
      </c>
      <c r="BS21" s="641">
        <v>43616</v>
      </c>
      <c r="BT21" s="642">
        <v>43646</v>
      </c>
      <c r="BU21" s="400"/>
    </row>
    <row r="22" spans="1:73" x14ac:dyDescent="0.25">
      <c r="A22" s="526"/>
      <c r="B22" s="526"/>
      <c r="C22" s="535"/>
      <c r="D22" s="486"/>
      <c r="E22" s="487"/>
      <c r="F22" s="488"/>
      <c r="G22" s="489"/>
      <c r="H22" s="490"/>
      <c r="I22" s="488"/>
      <c r="J22" s="491"/>
      <c r="K22" s="492"/>
      <c r="L22" s="493"/>
      <c r="M22" s="494"/>
      <c r="N22" s="494"/>
      <c r="O22" s="494"/>
      <c r="P22" s="494"/>
      <c r="Q22" s="495"/>
      <c r="R22" s="495"/>
      <c r="S22" s="495"/>
      <c r="T22" s="495"/>
      <c r="U22" s="495"/>
      <c r="V22" s="495"/>
      <c r="W22" s="495"/>
      <c r="X22" s="496"/>
      <c r="Y22" s="495"/>
      <c r="Z22" s="496"/>
      <c r="AA22" s="493"/>
      <c r="AB22" s="494"/>
      <c r="AC22" s="494"/>
      <c r="AD22" s="494"/>
      <c r="AE22" s="494"/>
      <c r="AF22" s="495"/>
      <c r="AG22" s="495"/>
      <c r="AH22" s="495"/>
      <c r="AI22" s="495"/>
      <c r="AJ22" s="495"/>
      <c r="AK22" s="495"/>
      <c r="AL22" s="495"/>
      <c r="AM22" s="400"/>
      <c r="AN22" s="490"/>
      <c r="AO22" s="490"/>
      <c r="AP22" s="488"/>
      <c r="AQ22" s="492"/>
      <c r="AR22" s="490"/>
      <c r="AS22" s="488"/>
      <c r="AT22" s="491"/>
      <c r="AU22" s="492"/>
      <c r="AV22" s="493"/>
      <c r="AW22" s="494"/>
      <c r="AX22" s="493"/>
      <c r="AY22" s="494"/>
      <c r="AZ22" s="493"/>
      <c r="BA22" s="494"/>
      <c r="BB22" s="493"/>
      <c r="BC22" s="494"/>
      <c r="BD22" s="493"/>
      <c r="BE22" s="494"/>
      <c r="BF22" s="493"/>
      <c r="BG22" s="494"/>
      <c r="BH22" s="496"/>
      <c r="BI22" s="493"/>
      <c r="BJ22" s="494"/>
      <c r="BK22" s="493"/>
      <c r="BL22" s="757"/>
      <c r="BM22" s="493"/>
      <c r="BN22" s="494"/>
      <c r="BO22" s="493"/>
      <c r="BP22" s="494"/>
      <c r="BQ22" s="493"/>
      <c r="BR22" s="494"/>
      <c r="BS22" s="493"/>
      <c r="BT22" s="494"/>
      <c r="BU22" s="400"/>
    </row>
    <row r="23" spans="1:73" x14ac:dyDescent="0.25">
      <c r="A23" s="400"/>
      <c r="B23" s="590" t="s">
        <v>31</v>
      </c>
      <c r="C23" s="406"/>
      <c r="D23" s="497"/>
      <c r="E23" s="487"/>
      <c r="F23" s="487"/>
      <c r="G23" s="489"/>
      <c r="H23" s="498"/>
      <c r="I23" s="487"/>
      <c r="J23" s="491"/>
      <c r="K23" s="492"/>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00"/>
      <c r="AN23" s="644"/>
      <c r="AO23" s="646"/>
      <c r="AP23" s="639"/>
      <c r="AQ23" s="647"/>
      <c r="AR23" s="498"/>
      <c r="AS23" s="487"/>
      <c r="AT23" s="491"/>
      <c r="AU23" s="492"/>
      <c r="AV23" s="496"/>
      <c r="AW23" s="496"/>
      <c r="AX23" s="496"/>
      <c r="AY23" s="496"/>
      <c r="AZ23" s="496"/>
      <c r="BA23" s="496"/>
      <c r="BB23" s="496"/>
      <c r="BC23" s="496"/>
      <c r="BD23" s="496"/>
      <c r="BE23" s="496"/>
      <c r="BF23" s="496"/>
      <c r="BG23" s="496"/>
      <c r="BH23" s="496"/>
      <c r="BI23" s="496"/>
      <c r="BJ23" s="496"/>
      <c r="BK23" s="496"/>
      <c r="BL23" s="770"/>
      <c r="BM23" s="496"/>
      <c r="BN23" s="496"/>
      <c r="BO23" s="496"/>
      <c r="BP23" s="496"/>
      <c r="BQ23" s="496"/>
      <c r="BR23" s="496"/>
      <c r="BS23" s="496"/>
      <c r="BT23" s="496"/>
      <c r="BU23" s="400"/>
    </row>
    <row r="24" spans="1:73" x14ac:dyDescent="0.25">
      <c r="A24" s="502" t="s">
        <v>32</v>
      </c>
      <c r="B24" s="502" t="s">
        <v>33</v>
      </c>
      <c r="C24" s="400"/>
      <c r="D24" s="500">
        <v>4019</v>
      </c>
      <c r="E24" s="449">
        <v>4018.75</v>
      </c>
      <c r="F24" s="449">
        <v>0.25</v>
      </c>
      <c r="G24" s="421">
        <v>6.2208398133748054E-5</v>
      </c>
      <c r="H24" s="449">
        <v>4019</v>
      </c>
      <c r="I24" s="449">
        <v>0</v>
      </c>
      <c r="J24" s="426">
        <v>0</v>
      </c>
      <c r="K24" s="421"/>
      <c r="L24" s="449">
        <v>39.119999999999997</v>
      </c>
      <c r="M24" s="449">
        <v>39.610000000000007</v>
      </c>
      <c r="N24" s="449">
        <v>35.78</v>
      </c>
      <c r="O24" s="449">
        <v>41.179999999999993</v>
      </c>
      <c r="P24" s="449">
        <v>41.430000000000007</v>
      </c>
      <c r="Q24" s="449">
        <v>47.609999999999985</v>
      </c>
      <c r="R24" s="449">
        <v>629.04499999999996</v>
      </c>
      <c r="S24" s="449">
        <v>629.04499999999996</v>
      </c>
      <c r="T24" s="449">
        <v>629.04500000000007</v>
      </c>
      <c r="U24" s="449">
        <v>629.04500000000007</v>
      </c>
      <c r="V24" s="449">
        <v>629.04500000000007</v>
      </c>
      <c r="W24" s="449">
        <v>629.04500000000007</v>
      </c>
      <c r="X24" s="449"/>
      <c r="Y24" s="449">
        <v>4019</v>
      </c>
      <c r="Z24" s="501"/>
      <c r="AA24" s="449">
        <v>334.91666666666669</v>
      </c>
      <c r="AB24" s="449">
        <v>334.91666666666669</v>
      </c>
      <c r="AC24" s="449">
        <v>334.91666666666669</v>
      </c>
      <c r="AD24" s="449">
        <v>334.91666666666669</v>
      </c>
      <c r="AE24" s="449">
        <v>334.91666666666669</v>
      </c>
      <c r="AF24" s="449">
        <v>334.91666666666669</v>
      </c>
      <c r="AG24" s="449">
        <v>334.91666666666669</v>
      </c>
      <c r="AH24" s="449">
        <v>334.91666666666669</v>
      </c>
      <c r="AI24" s="449">
        <v>334.91666666666669</v>
      </c>
      <c r="AJ24" s="449">
        <v>334.91666666666669</v>
      </c>
      <c r="AK24" s="449">
        <v>334.91666666666669</v>
      </c>
      <c r="AL24" s="449">
        <v>334.91666666666669</v>
      </c>
      <c r="AM24" s="400"/>
      <c r="AN24" s="500">
        <v>4019</v>
      </c>
      <c r="AO24" s="449">
        <v>4419.2859437751013</v>
      </c>
      <c r="AP24" s="449">
        <v>400.28594377510126</v>
      </c>
      <c r="AQ24" s="453">
        <v>9.9598393574297409E-2</v>
      </c>
      <c r="AR24" s="449">
        <v>4419.2859437751013</v>
      </c>
      <c r="AS24" s="449">
        <v>0</v>
      </c>
      <c r="AT24" s="426">
        <v>0</v>
      </c>
      <c r="AU24" s="421"/>
      <c r="AV24" s="449">
        <v>368.27382864792503</v>
      </c>
      <c r="AW24" s="449">
        <v>368.27382864792503</v>
      </c>
      <c r="AX24" s="449">
        <v>368.27382864792503</v>
      </c>
      <c r="AY24" s="449">
        <v>368.27382864792503</v>
      </c>
      <c r="AZ24" s="449">
        <v>368.27382864792503</v>
      </c>
      <c r="BA24" s="449">
        <v>368.27382864792503</v>
      </c>
      <c r="BB24" s="449">
        <v>368.27382864792503</v>
      </c>
      <c r="BC24" s="449">
        <v>368.27382864792503</v>
      </c>
      <c r="BD24" s="449">
        <v>368.27382864792503</v>
      </c>
      <c r="BE24" s="449">
        <v>368.27382864792503</v>
      </c>
      <c r="BF24" s="449">
        <v>368.27382864792503</v>
      </c>
      <c r="BG24" s="449">
        <v>368.27382864792503</v>
      </c>
      <c r="BH24" s="400"/>
      <c r="BI24" s="449">
        <v>368.27382864792503</v>
      </c>
      <c r="BJ24" s="449">
        <v>368.27382864792503</v>
      </c>
      <c r="BK24" s="449">
        <v>368.27382864792503</v>
      </c>
      <c r="BL24" s="771">
        <v>368.27382864792503</v>
      </c>
      <c r="BM24" s="449">
        <v>368.27382864792503</v>
      </c>
      <c r="BN24" s="449">
        <v>368.27382864792503</v>
      </c>
      <c r="BO24" s="449">
        <v>368.27382864792503</v>
      </c>
      <c r="BP24" s="449">
        <v>368.27382864792503</v>
      </c>
      <c r="BQ24" s="449">
        <v>368.27382864792503</v>
      </c>
      <c r="BR24" s="449">
        <v>368.27382864792503</v>
      </c>
      <c r="BS24" s="449">
        <v>368.27382864792503</v>
      </c>
      <c r="BT24" s="449">
        <v>368.27382864792503</v>
      </c>
      <c r="BU24" s="400"/>
    </row>
    <row r="25" spans="1:73" x14ac:dyDescent="0.25">
      <c r="A25" s="502" t="s">
        <v>34</v>
      </c>
      <c r="B25" s="502" t="s">
        <v>35</v>
      </c>
      <c r="C25" s="400"/>
      <c r="D25" s="500">
        <v>43686.23</v>
      </c>
      <c r="E25" s="449">
        <v>40187.5</v>
      </c>
      <c r="F25" s="449">
        <v>3498.7300000000032</v>
      </c>
      <c r="G25" s="421">
        <v>8.7060155520995414E-2</v>
      </c>
      <c r="H25" s="449">
        <v>40188</v>
      </c>
      <c r="I25" s="449">
        <v>3498.2300000000032</v>
      </c>
      <c r="J25" s="426">
        <v>8.7046630835075231E-2</v>
      </c>
      <c r="K25" s="421"/>
      <c r="L25" s="449">
        <v>0</v>
      </c>
      <c r="M25" s="449">
        <v>24546</v>
      </c>
      <c r="N25" s="449">
        <v>1560</v>
      </c>
      <c r="O25" s="449">
        <v>1470</v>
      </c>
      <c r="P25" s="449">
        <v>11598</v>
      </c>
      <c r="Q25" s="449">
        <v>4512.2300000000032</v>
      </c>
      <c r="R25" s="449">
        <v>0</v>
      </c>
      <c r="S25" s="449">
        <v>0</v>
      </c>
      <c r="T25" s="449">
        <v>0</v>
      </c>
      <c r="U25" s="449">
        <v>0</v>
      </c>
      <c r="V25" s="449">
        <v>0</v>
      </c>
      <c r="W25" s="449">
        <v>0</v>
      </c>
      <c r="X25" s="449"/>
      <c r="Y25" s="449">
        <v>43686.23</v>
      </c>
      <c r="Z25" s="501"/>
      <c r="AA25" s="449">
        <v>3349</v>
      </c>
      <c r="AB25" s="449">
        <v>3349</v>
      </c>
      <c r="AC25" s="449">
        <v>3349</v>
      </c>
      <c r="AD25" s="449">
        <v>3349</v>
      </c>
      <c r="AE25" s="449">
        <v>3349</v>
      </c>
      <c r="AF25" s="449">
        <v>3349</v>
      </c>
      <c r="AG25" s="449">
        <v>3349</v>
      </c>
      <c r="AH25" s="449">
        <v>3349</v>
      </c>
      <c r="AI25" s="449">
        <v>3349</v>
      </c>
      <c r="AJ25" s="449">
        <v>3349</v>
      </c>
      <c r="AK25" s="449">
        <v>3349</v>
      </c>
      <c r="AL25" s="449">
        <v>3349</v>
      </c>
      <c r="AM25" s="400"/>
      <c r="AN25" s="500">
        <v>43686.23</v>
      </c>
      <c r="AO25" s="449">
        <v>48037.308329317253</v>
      </c>
      <c r="AP25" s="449">
        <v>4351.0783293172499</v>
      </c>
      <c r="AQ25" s="453">
        <v>9.9598393574296742E-2</v>
      </c>
      <c r="AR25" s="449">
        <v>48037.308329317253</v>
      </c>
      <c r="AS25" s="449">
        <v>0</v>
      </c>
      <c r="AT25" s="426">
        <v>0</v>
      </c>
      <c r="AU25" s="421"/>
      <c r="AV25" s="449">
        <v>0</v>
      </c>
      <c r="AW25" s="449">
        <v>25000</v>
      </c>
      <c r="AX25" s="449">
        <v>2303.7308329317266</v>
      </c>
      <c r="AY25" s="449">
        <v>2303.7308329317266</v>
      </c>
      <c r="AZ25" s="449">
        <v>2303.7308329317266</v>
      </c>
      <c r="BA25" s="449">
        <v>2303.7308329317266</v>
      </c>
      <c r="BB25" s="449">
        <v>2303.7308329317266</v>
      </c>
      <c r="BC25" s="449">
        <v>2303.7308329317266</v>
      </c>
      <c r="BD25" s="449">
        <v>2303.7308329317266</v>
      </c>
      <c r="BE25" s="449">
        <v>2303.7308329317266</v>
      </c>
      <c r="BF25" s="449">
        <v>2303.7308329317266</v>
      </c>
      <c r="BG25" s="449">
        <v>2303.7308329317266</v>
      </c>
      <c r="BH25" s="400"/>
      <c r="BI25" s="449">
        <v>0</v>
      </c>
      <c r="BJ25" s="449">
        <v>25000</v>
      </c>
      <c r="BK25" s="449">
        <v>2303.7308329317266</v>
      </c>
      <c r="BL25" s="771">
        <v>2303.7308329317266</v>
      </c>
      <c r="BM25" s="449">
        <v>2303.7308329317266</v>
      </c>
      <c r="BN25" s="449">
        <v>2303.7308329317266</v>
      </c>
      <c r="BO25" s="449">
        <v>2303.7308329317266</v>
      </c>
      <c r="BP25" s="449">
        <v>2303.7308329317266</v>
      </c>
      <c r="BQ25" s="449">
        <v>2303.7308329317266</v>
      </c>
      <c r="BR25" s="449">
        <v>2303.7308329317266</v>
      </c>
      <c r="BS25" s="449">
        <v>2303.7308329317266</v>
      </c>
      <c r="BT25" s="449">
        <v>2303.7308329317266</v>
      </c>
      <c r="BU25" s="400"/>
    </row>
    <row r="26" spans="1:73" x14ac:dyDescent="0.25">
      <c r="A26" s="502" t="s">
        <v>36</v>
      </c>
      <c r="B26" s="502" t="s">
        <v>37</v>
      </c>
      <c r="C26" s="400"/>
      <c r="D26" s="500">
        <v>30000</v>
      </c>
      <c r="E26" s="449">
        <v>24112.5</v>
      </c>
      <c r="F26" s="449">
        <v>5887.5</v>
      </c>
      <c r="G26" s="421">
        <v>0.24416796267496113</v>
      </c>
      <c r="H26" s="449">
        <v>30000</v>
      </c>
      <c r="I26" s="449">
        <v>0</v>
      </c>
      <c r="J26" s="426">
        <v>0</v>
      </c>
      <c r="K26" s="421"/>
      <c r="L26" s="449">
        <v>0</v>
      </c>
      <c r="M26" s="449">
        <v>530</v>
      </c>
      <c r="N26" s="449">
        <v>12800</v>
      </c>
      <c r="O26" s="449">
        <v>7185.5</v>
      </c>
      <c r="P26" s="449">
        <v>1095</v>
      </c>
      <c r="Q26" s="449">
        <v>4725.5499999999993</v>
      </c>
      <c r="R26" s="449">
        <v>610.65833333333342</v>
      </c>
      <c r="S26" s="449">
        <v>610.65833333333353</v>
      </c>
      <c r="T26" s="449">
        <v>610.65833333333376</v>
      </c>
      <c r="U26" s="449">
        <v>610.6583333333341</v>
      </c>
      <c r="V26" s="449">
        <v>610.65833333333467</v>
      </c>
      <c r="W26" s="449">
        <v>610.65833333333285</v>
      </c>
      <c r="X26" s="449"/>
      <c r="Y26" s="449">
        <v>30000</v>
      </c>
      <c r="Z26" s="501"/>
      <c r="AA26" s="449">
        <v>2500</v>
      </c>
      <c r="AB26" s="449">
        <v>2500</v>
      </c>
      <c r="AC26" s="449">
        <v>2500</v>
      </c>
      <c r="AD26" s="449">
        <v>2500</v>
      </c>
      <c r="AE26" s="449">
        <v>2500</v>
      </c>
      <c r="AF26" s="449">
        <v>2500</v>
      </c>
      <c r="AG26" s="449">
        <v>2500</v>
      </c>
      <c r="AH26" s="449">
        <v>2500</v>
      </c>
      <c r="AI26" s="449">
        <v>2500</v>
      </c>
      <c r="AJ26" s="449">
        <v>2500</v>
      </c>
      <c r="AK26" s="449">
        <v>2500</v>
      </c>
      <c r="AL26" s="449">
        <v>2500</v>
      </c>
      <c r="AM26" s="400"/>
      <c r="AN26" s="500">
        <v>30000</v>
      </c>
      <c r="AO26" s="449">
        <v>44999.951807228907</v>
      </c>
      <c r="AP26" s="449">
        <v>14999.951807228907</v>
      </c>
      <c r="AQ26" s="453">
        <v>0.49999839357429687</v>
      </c>
      <c r="AR26" s="449">
        <v>44999.951807228907</v>
      </c>
      <c r="AS26" s="449">
        <v>0</v>
      </c>
      <c r="AT26" s="426">
        <v>0</v>
      </c>
      <c r="AU26" s="421"/>
      <c r="AV26" s="449">
        <v>0</v>
      </c>
      <c r="AW26" s="449">
        <v>7002.9047097480834</v>
      </c>
      <c r="AX26" s="449">
        <v>2998.904709748083</v>
      </c>
      <c r="AY26" s="449">
        <v>2998.904709748083</v>
      </c>
      <c r="AZ26" s="449">
        <v>7002.9047097480834</v>
      </c>
      <c r="BA26" s="449">
        <v>2998.904709748083</v>
      </c>
      <c r="BB26" s="449">
        <v>2998.904709748083</v>
      </c>
      <c r="BC26" s="449">
        <v>7002.9047097480834</v>
      </c>
      <c r="BD26" s="449">
        <v>2998.904709748083</v>
      </c>
      <c r="BE26" s="449">
        <v>2998.904709748083</v>
      </c>
      <c r="BF26" s="449">
        <v>2998.904709748083</v>
      </c>
      <c r="BG26" s="449">
        <v>2998.904709748083</v>
      </c>
      <c r="BH26" s="400"/>
      <c r="BI26" s="449">
        <v>0</v>
      </c>
      <c r="BJ26" s="449">
        <v>7002.9047097480834</v>
      </c>
      <c r="BK26" s="449">
        <v>2998.904709748083</v>
      </c>
      <c r="BL26" s="771">
        <v>2998.904709748083</v>
      </c>
      <c r="BM26" s="449">
        <v>7002.9047097480834</v>
      </c>
      <c r="BN26" s="449">
        <v>2998.904709748083</v>
      </c>
      <c r="BO26" s="449">
        <v>2998.904709748083</v>
      </c>
      <c r="BP26" s="449">
        <v>7002.9047097480834</v>
      </c>
      <c r="BQ26" s="449">
        <v>2998.904709748083</v>
      </c>
      <c r="BR26" s="449">
        <v>2998.904709748083</v>
      </c>
      <c r="BS26" s="449">
        <v>2998.904709748083</v>
      </c>
      <c r="BT26" s="449">
        <v>2998.904709748083</v>
      </c>
      <c r="BU26" s="400"/>
    </row>
    <row r="27" spans="1:73" x14ac:dyDescent="0.25">
      <c r="A27" s="502" t="s">
        <v>38</v>
      </c>
      <c r="B27" s="502" t="s">
        <v>39</v>
      </c>
      <c r="C27" s="400"/>
      <c r="D27" s="500">
        <v>24113</v>
      </c>
      <c r="E27" s="449">
        <v>24112.5</v>
      </c>
      <c r="F27" s="449">
        <v>0.5</v>
      </c>
      <c r="G27" s="421">
        <v>2.0736132711249351E-5</v>
      </c>
      <c r="H27" s="449">
        <v>24113</v>
      </c>
      <c r="I27" s="449">
        <v>0</v>
      </c>
      <c r="J27" s="426">
        <v>0</v>
      </c>
      <c r="K27" s="421"/>
      <c r="L27" s="449">
        <v>0</v>
      </c>
      <c r="M27" s="449">
        <v>0</v>
      </c>
      <c r="N27" s="449">
        <v>0</v>
      </c>
      <c r="O27" s="449">
        <v>4636.3</v>
      </c>
      <c r="P27" s="449">
        <v>0</v>
      </c>
      <c r="Q27" s="449">
        <v>0</v>
      </c>
      <c r="R27" s="449">
        <v>3246.1166666666668</v>
      </c>
      <c r="S27" s="449">
        <v>3246.1166666666663</v>
      </c>
      <c r="T27" s="449">
        <v>3246.1166666666668</v>
      </c>
      <c r="U27" s="449">
        <v>3246.1166666666668</v>
      </c>
      <c r="V27" s="449">
        <v>3246.1166666666668</v>
      </c>
      <c r="W27" s="449">
        <v>3246.1166666666686</v>
      </c>
      <c r="X27" s="449"/>
      <c r="Y27" s="449">
        <v>24113</v>
      </c>
      <c r="Z27" s="501"/>
      <c r="AA27" s="449">
        <v>2009.4166666666667</v>
      </c>
      <c r="AB27" s="449">
        <v>2009.4166666666667</v>
      </c>
      <c r="AC27" s="449">
        <v>2009.4166666666667</v>
      </c>
      <c r="AD27" s="449">
        <v>2009.4166666666667</v>
      </c>
      <c r="AE27" s="449">
        <v>2009.4166666666667</v>
      </c>
      <c r="AF27" s="449">
        <v>2009.4166666666667</v>
      </c>
      <c r="AG27" s="449">
        <v>2009.4166666666667</v>
      </c>
      <c r="AH27" s="449">
        <v>2009.4166666666667</v>
      </c>
      <c r="AI27" s="449">
        <v>2009.4166666666667</v>
      </c>
      <c r="AJ27" s="449">
        <v>2009.4166666666667</v>
      </c>
      <c r="AK27" s="449">
        <v>2009.4166666666667</v>
      </c>
      <c r="AL27" s="449">
        <v>2009.4166666666667</v>
      </c>
      <c r="AM27" s="400"/>
      <c r="AN27" s="500">
        <v>24113</v>
      </c>
      <c r="AO27" s="449">
        <v>26514.616064257025</v>
      </c>
      <c r="AP27" s="449">
        <v>2401.6160642570248</v>
      </c>
      <c r="AQ27" s="453">
        <v>9.9598393574297048E-2</v>
      </c>
      <c r="AR27" s="449">
        <v>26514.616064257025</v>
      </c>
      <c r="AS27" s="449">
        <v>0</v>
      </c>
      <c r="AT27" s="426">
        <v>0</v>
      </c>
      <c r="AU27" s="421"/>
      <c r="AV27" s="449">
        <v>0</v>
      </c>
      <c r="AW27" s="449">
        <v>2410.4196422051846</v>
      </c>
      <c r="AX27" s="449">
        <v>2410.4196422051846</v>
      </c>
      <c r="AY27" s="449">
        <v>2410.4196422051846</v>
      </c>
      <c r="AZ27" s="449">
        <v>2410.4196422051846</v>
      </c>
      <c r="BA27" s="449">
        <v>2410.4196422051846</v>
      </c>
      <c r="BB27" s="449">
        <v>2410.4196422051846</v>
      </c>
      <c r="BC27" s="449">
        <v>2410.4196422051846</v>
      </c>
      <c r="BD27" s="449">
        <v>2410.4196422051846</v>
      </c>
      <c r="BE27" s="449">
        <v>2410.4196422051846</v>
      </c>
      <c r="BF27" s="449">
        <v>2410.4196422051846</v>
      </c>
      <c r="BG27" s="449">
        <v>2410.4196422051846</v>
      </c>
      <c r="BH27" s="400"/>
      <c r="BI27" s="449">
        <v>0</v>
      </c>
      <c r="BJ27" s="449">
        <v>2410.4196422051846</v>
      </c>
      <c r="BK27" s="449">
        <v>2410.4196422051846</v>
      </c>
      <c r="BL27" s="771">
        <v>2410.4196422051846</v>
      </c>
      <c r="BM27" s="449">
        <v>2410.4196422051846</v>
      </c>
      <c r="BN27" s="449">
        <v>2410.4196422051846</v>
      </c>
      <c r="BO27" s="449">
        <v>2410.4196422051846</v>
      </c>
      <c r="BP27" s="449">
        <v>2410.4196422051846</v>
      </c>
      <c r="BQ27" s="449">
        <v>2410.4196422051846</v>
      </c>
      <c r="BR27" s="449">
        <v>2410.4196422051846</v>
      </c>
      <c r="BS27" s="449">
        <v>2410.4196422051846</v>
      </c>
      <c r="BT27" s="449">
        <v>2410.4196422051846</v>
      </c>
      <c r="BU27" s="400"/>
    </row>
    <row r="28" spans="1:73" x14ac:dyDescent="0.25">
      <c r="A28" s="502" t="s">
        <v>40</v>
      </c>
      <c r="B28" s="502" t="s">
        <v>41</v>
      </c>
      <c r="C28" s="400"/>
      <c r="D28" s="500">
        <v>129650</v>
      </c>
      <c r="E28" s="449">
        <v>222150</v>
      </c>
      <c r="F28" s="449">
        <v>-92500</v>
      </c>
      <c r="G28" s="421">
        <v>-0.41638532523069999</v>
      </c>
      <c r="H28" s="449">
        <v>129650</v>
      </c>
      <c r="I28" s="449">
        <v>0</v>
      </c>
      <c r="J28" s="426">
        <v>0</v>
      </c>
      <c r="K28" s="421"/>
      <c r="L28" s="449">
        <v>1950</v>
      </c>
      <c r="M28" s="449">
        <v>10948.26</v>
      </c>
      <c r="N28" s="449">
        <v>25021.93</v>
      </c>
      <c r="O28" s="449">
        <v>2610</v>
      </c>
      <c r="P28" s="449">
        <v>12793.259999999995</v>
      </c>
      <c r="Q28" s="449">
        <v>11303.260000000002</v>
      </c>
      <c r="R28" s="449">
        <v>10837.215</v>
      </c>
      <c r="S28" s="449">
        <v>10837.215</v>
      </c>
      <c r="T28" s="449">
        <v>10837.215</v>
      </c>
      <c r="U28" s="449">
        <v>10837.215000000002</v>
      </c>
      <c r="V28" s="449">
        <v>10837.215000000004</v>
      </c>
      <c r="W28" s="449">
        <v>10837.214999999997</v>
      </c>
      <c r="X28" s="449"/>
      <c r="Y28" s="449">
        <v>129650</v>
      </c>
      <c r="Z28" s="501"/>
      <c r="AA28" s="449">
        <v>10804.166666666666</v>
      </c>
      <c r="AB28" s="449">
        <v>10804.166666666666</v>
      </c>
      <c r="AC28" s="449">
        <v>10804.166666666666</v>
      </c>
      <c r="AD28" s="449">
        <v>10804.166666666666</v>
      </c>
      <c r="AE28" s="449">
        <v>10804.166666666666</v>
      </c>
      <c r="AF28" s="449">
        <v>10804.166666666666</v>
      </c>
      <c r="AG28" s="449">
        <v>10804.166666666666</v>
      </c>
      <c r="AH28" s="449">
        <v>10804.166666666666</v>
      </c>
      <c r="AI28" s="449">
        <v>10804.166666666666</v>
      </c>
      <c r="AJ28" s="449">
        <v>10804.166666666666</v>
      </c>
      <c r="AK28" s="449">
        <v>10804.166666666666</v>
      </c>
      <c r="AL28" s="449">
        <v>10804.166666666666</v>
      </c>
      <c r="AM28" s="400"/>
      <c r="AN28" s="500">
        <v>129650</v>
      </c>
      <c r="AO28" s="449">
        <v>136132.5</v>
      </c>
      <c r="AP28" s="449">
        <v>6482.5</v>
      </c>
      <c r="AQ28" s="453">
        <v>0.05</v>
      </c>
      <c r="AR28" s="449">
        <v>136132.5</v>
      </c>
      <c r="AS28" s="449">
        <v>0</v>
      </c>
      <c r="AT28" s="426">
        <v>0</v>
      </c>
      <c r="AU28" s="421"/>
      <c r="AV28" s="449">
        <v>11344.375</v>
      </c>
      <c r="AW28" s="449">
        <v>11344.375</v>
      </c>
      <c r="AX28" s="449">
        <v>11344.375</v>
      </c>
      <c r="AY28" s="449">
        <v>11344.375</v>
      </c>
      <c r="AZ28" s="449">
        <v>11344.375</v>
      </c>
      <c r="BA28" s="449">
        <v>11344.375</v>
      </c>
      <c r="BB28" s="449">
        <v>11344.375</v>
      </c>
      <c r="BC28" s="449">
        <v>11344.375</v>
      </c>
      <c r="BD28" s="449">
        <v>11344.375</v>
      </c>
      <c r="BE28" s="449">
        <v>11344.375</v>
      </c>
      <c r="BF28" s="449">
        <v>11344.375</v>
      </c>
      <c r="BG28" s="449">
        <v>11344.375</v>
      </c>
      <c r="BH28" s="400"/>
      <c r="BI28" s="449">
        <v>11344.375</v>
      </c>
      <c r="BJ28" s="449">
        <v>11344.375</v>
      </c>
      <c r="BK28" s="449">
        <v>11344.375</v>
      </c>
      <c r="BL28" s="771">
        <v>11344.375</v>
      </c>
      <c r="BM28" s="449">
        <v>11344.375</v>
      </c>
      <c r="BN28" s="449">
        <v>11344.375</v>
      </c>
      <c r="BO28" s="449">
        <v>11344.375</v>
      </c>
      <c r="BP28" s="449">
        <v>11344.375</v>
      </c>
      <c r="BQ28" s="449">
        <v>11344.375</v>
      </c>
      <c r="BR28" s="449">
        <v>11344.375</v>
      </c>
      <c r="BS28" s="449">
        <v>11344.375</v>
      </c>
      <c r="BT28" s="449">
        <v>11344.375</v>
      </c>
      <c r="BU28" s="400"/>
    </row>
    <row r="29" spans="1:73" x14ac:dyDescent="0.25">
      <c r="A29" s="502" t="s">
        <v>42</v>
      </c>
      <c r="B29" s="502" t="s">
        <v>43</v>
      </c>
      <c r="C29" s="400"/>
      <c r="D29" s="500">
        <v>239290.05</v>
      </c>
      <c r="E29" s="449">
        <v>45000</v>
      </c>
      <c r="F29" s="449">
        <v>194290.05</v>
      </c>
      <c r="G29" s="421">
        <v>4.3175566666666665</v>
      </c>
      <c r="H29" s="449">
        <v>202000</v>
      </c>
      <c r="I29" s="449">
        <v>37290.049999999988</v>
      </c>
      <c r="J29" s="426">
        <v>0.18460420792079202</v>
      </c>
      <c r="K29" s="421"/>
      <c r="L29" s="449">
        <v>0</v>
      </c>
      <c r="M29" s="449">
        <v>0</v>
      </c>
      <c r="N29" s="449">
        <v>167313.9</v>
      </c>
      <c r="O29" s="449">
        <v>67750</v>
      </c>
      <c r="P29" s="449">
        <v>170</v>
      </c>
      <c r="Q29" s="449">
        <v>4056.1499999999942</v>
      </c>
      <c r="R29" s="449">
        <v>0</v>
      </c>
      <c r="S29" s="449">
        <v>0</v>
      </c>
      <c r="T29" s="449">
        <v>0</v>
      </c>
      <c r="U29" s="449">
        <v>0</v>
      </c>
      <c r="V29" s="449">
        <v>0</v>
      </c>
      <c r="W29" s="449">
        <v>0</v>
      </c>
      <c r="X29" s="449"/>
      <c r="Y29" s="449">
        <v>239290.05</v>
      </c>
      <c r="Z29" s="501"/>
      <c r="AA29" s="449">
        <v>16833.333333333332</v>
      </c>
      <c r="AB29" s="449">
        <v>16833.333333333332</v>
      </c>
      <c r="AC29" s="449">
        <v>16833.333333333332</v>
      </c>
      <c r="AD29" s="449">
        <v>16833.333333333332</v>
      </c>
      <c r="AE29" s="449">
        <v>16833.333333333332</v>
      </c>
      <c r="AF29" s="449">
        <v>16833.333333333332</v>
      </c>
      <c r="AG29" s="449">
        <v>16833.333333333332</v>
      </c>
      <c r="AH29" s="449">
        <v>16833.333333333332</v>
      </c>
      <c r="AI29" s="449">
        <v>16833.333333333332</v>
      </c>
      <c r="AJ29" s="449">
        <v>16833.333333333332</v>
      </c>
      <c r="AK29" s="449">
        <v>16833.333333333332</v>
      </c>
      <c r="AL29" s="449">
        <v>16833.333333333332</v>
      </c>
      <c r="AM29" s="400"/>
      <c r="AN29" s="500">
        <v>239290.05</v>
      </c>
      <c r="AO29" s="449">
        <v>152200</v>
      </c>
      <c r="AP29" s="449">
        <v>-87090.049999999988</v>
      </c>
      <c r="AQ29" s="453">
        <v>-0.36395182332069381</v>
      </c>
      <c r="AR29" s="449">
        <v>152200</v>
      </c>
      <c r="AS29" s="449">
        <v>0</v>
      </c>
      <c r="AT29" s="426">
        <v>0</v>
      </c>
      <c r="AU29" s="421"/>
      <c r="AV29" s="449">
        <v>27200</v>
      </c>
      <c r="AW29" s="449">
        <v>60000</v>
      </c>
      <c r="AX29" s="449">
        <v>0</v>
      </c>
      <c r="AY29" s="449">
        <v>20000</v>
      </c>
      <c r="AZ29" s="449">
        <v>0</v>
      </c>
      <c r="BA29" s="449">
        <v>0</v>
      </c>
      <c r="BB29" s="449">
        <v>0</v>
      </c>
      <c r="BC29" s="449">
        <v>0</v>
      </c>
      <c r="BD29" s="449">
        <v>45000</v>
      </c>
      <c r="BE29" s="449">
        <v>0</v>
      </c>
      <c r="BF29" s="449">
        <v>0</v>
      </c>
      <c r="BG29" s="449">
        <v>0</v>
      </c>
      <c r="BH29" s="400"/>
      <c r="BI29" s="449">
        <v>27200</v>
      </c>
      <c r="BJ29" s="449">
        <v>60000</v>
      </c>
      <c r="BK29" s="449"/>
      <c r="BL29" s="771">
        <v>20000</v>
      </c>
      <c r="BM29" s="449"/>
      <c r="BN29" s="449"/>
      <c r="BO29" s="449"/>
      <c r="BP29" s="449"/>
      <c r="BQ29" s="449">
        <v>45000</v>
      </c>
      <c r="BR29" s="449"/>
      <c r="BS29" s="449"/>
      <c r="BT29" s="449"/>
      <c r="BU29" s="400"/>
    </row>
    <row r="30" spans="1:73" x14ac:dyDescent="0.25">
      <c r="A30" s="502" t="s">
        <v>44</v>
      </c>
      <c r="B30" s="502" t="s">
        <v>45</v>
      </c>
      <c r="C30" s="400"/>
      <c r="D30" s="500">
        <v>8758313</v>
      </c>
      <c r="E30" s="449">
        <v>8774789.7599999998</v>
      </c>
      <c r="F30" s="449">
        <v>-16476.759999999776</v>
      </c>
      <c r="G30" s="421">
        <v>-1.8777384359804623E-3</v>
      </c>
      <c r="H30" s="449">
        <v>8758313</v>
      </c>
      <c r="I30" s="449">
        <v>0</v>
      </c>
      <c r="J30" s="426">
        <v>0</v>
      </c>
      <c r="K30" s="421"/>
      <c r="L30" s="449">
        <v>728323.63</v>
      </c>
      <c r="M30" s="449">
        <v>729833.29999999993</v>
      </c>
      <c r="N30" s="449">
        <v>729078.4600000002</v>
      </c>
      <c r="O30" s="449">
        <v>729078.46</v>
      </c>
      <c r="P30" s="449">
        <v>729078.46999999974</v>
      </c>
      <c r="Q30" s="449">
        <v>742558.43000000017</v>
      </c>
      <c r="R30" s="449">
        <v>728393.70833333337</v>
      </c>
      <c r="S30" s="449">
        <v>728393.70833333337</v>
      </c>
      <c r="T30" s="449">
        <v>728393.70833333349</v>
      </c>
      <c r="U30" s="449">
        <v>728393.70833333337</v>
      </c>
      <c r="V30" s="449">
        <v>728393.70833333349</v>
      </c>
      <c r="W30" s="449">
        <v>728393.70833333395</v>
      </c>
      <c r="X30" s="449"/>
      <c r="Y30" s="449">
        <v>8758313</v>
      </c>
      <c r="Z30" s="501"/>
      <c r="AA30" s="449">
        <v>729859.41666666663</v>
      </c>
      <c r="AB30" s="449">
        <v>729859.41666666663</v>
      </c>
      <c r="AC30" s="449">
        <v>729859.41666666663</v>
      </c>
      <c r="AD30" s="449">
        <v>729859.41666666663</v>
      </c>
      <c r="AE30" s="449">
        <v>729859.41666666663</v>
      </c>
      <c r="AF30" s="449">
        <v>729859.41666666663</v>
      </c>
      <c r="AG30" s="449">
        <v>729859.41666666663</v>
      </c>
      <c r="AH30" s="449">
        <v>729859.41666666663</v>
      </c>
      <c r="AI30" s="449">
        <v>729859.41666666663</v>
      </c>
      <c r="AJ30" s="449">
        <v>729859.41666666663</v>
      </c>
      <c r="AK30" s="449">
        <v>729859.41666666663</v>
      </c>
      <c r="AL30" s="449">
        <v>729859.41666666663</v>
      </c>
      <c r="AM30" s="400"/>
      <c r="AN30" s="500">
        <v>8758313</v>
      </c>
      <c r="AO30" s="449">
        <v>9904740.5600000005</v>
      </c>
      <c r="AP30" s="449">
        <v>1146427.5600000005</v>
      </c>
      <c r="AQ30" s="453">
        <v>0.1308959339544043</v>
      </c>
      <c r="AR30" s="449">
        <v>9904740.5600000005</v>
      </c>
      <c r="AS30" s="449">
        <v>0</v>
      </c>
      <c r="AT30" s="426">
        <v>0</v>
      </c>
      <c r="AU30" s="421"/>
      <c r="AV30" s="449">
        <v>825395.04666666675</v>
      </c>
      <c r="AW30" s="449">
        <v>825395.04666666675</v>
      </c>
      <c r="AX30" s="449">
        <v>825395.04666666675</v>
      </c>
      <c r="AY30" s="449">
        <v>825395.04666666675</v>
      </c>
      <c r="AZ30" s="449">
        <v>825395.04666666675</v>
      </c>
      <c r="BA30" s="449">
        <v>825395.04666666675</v>
      </c>
      <c r="BB30" s="449">
        <v>825395.04666666675</v>
      </c>
      <c r="BC30" s="449">
        <v>825395.04666666675</v>
      </c>
      <c r="BD30" s="449">
        <v>825395.04666666675</v>
      </c>
      <c r="BE30" s="449">
        <v>825395.04666666675</v>
      </c>
      <c r="BF30" s="449">
        <v>825395.04666666675</v>
      </c>
      <c r="BG30" s="449">
        <v>825395.04666666675</v>
      </c>
      <c r="BH30" s="400"/>
      <c r="BI30" s="449">
        <v>825395.04666666675</v>
      </c>
      <c r="BJ30" s="449">
        <v>825395.04666666675</v>
      </c>
      <c r="BK30" s="449">
        <v>825395.04666666675</v>
      </c>
      <c r="BL30" s="771">
        <v>825395.04666666675</v>
      </c>
      <c r="BM30" s="449">
        <v>825395.04666666675</v>
      </c>
      <c r="BN30" s="449">
        <v>825395.04666666675</v>
      </c>
      <c r="BO30" s="449">
        <v>825395.04666666675</v>
      </c>
      <c r="BP30" s="449">
        <v>825395.04666666675</v>
      </c>
      <c r="BQ30" s="449">
        <v>825395.04666666675</v>
      </c>
      <c r="BR30" s="449">
        <v>825395.04666666675</v>
      </c>
      <c r="BS30" s="449">
        <v>825395.04666666675</v>
      </c>
      <c r="BT30" s="449">
        <v>825395.04666666675</v>
      </c>
      <c r="BU30" s="400"/>
    </row>
    <row r="31" spans="1:73" x14ac:dyDescent="0.25">
      <c r="A31" s="502" t="s">
        <v>46</v>
      </c>
      <c r="B31" s="502" t="s">
        <v>47</v>
      </c>
      <c r="C31" s="400"/>
      <c r="D31" s="500">
        <v>700684</v>
      </c>
      <c r="E31" s="449">
        <v>604000</v>
      </c>
      <c r="F31" s="449">
        <v>96684</v>
      </c>
      <c r="G31" s="421">
        <v>0.16007284768211921</v>
      </c>
      <c r="H31" s="449">
        <v>700684</v>
      </c>
      <c r="I31" s="449">
        <v>0</v>
      </c>
      <c r="J31" s="426">
        <v>0</v>
      </c>
      <c r="K31" s="421"/>
      <c r="L31" s="449">
        <v>0</v>
      </c>
      <c r="M31" s="449">
        <v>0</v>
      </c>
      <c r="N31" s="449">
        <v>0</v>
      </c>
      <c r="O31" s="449">
        <v>0</v>
      </c>
      <c r="P31" s="449">
        <v>0</v>
      </c>
      <c r="Q31" s="449">
        <v>128610.41</v>
      </c>
      <c r="R31" s="449">
        <v>95345.598333333328</v>
      </c>
      <c r="S31" s="449">
        <v>95345.598333333342</v>
      </c>
      <c r="T31" s="449">
        <v>95345.598333333328</v>
      </c>
      <c r="U31" s="449">
        <v>95345.598333333328</v>
      </c>
      <c r="V31" s="449">
        <v>95345.598333333328</v>
      </c>
      <c r="W31" s="449">
        <v>95345.598333333386</v>
      </c>
      <c r="X31" s="449"/>
      <c r="Y31" s="449">
        <v>700684</v>
      </c>
      <c r="Z31" s="501"/>
      <c r="AA31" s="449">
        <v>58390.333333333336</v>
      </c>
      <c r="AB31" s="449">
        <v>58390.333333333336</v>
      </c>
      <c r="AC31" s="449">
        <v>58390.333333333336</v>
      </c>
      <c r="AD31" s="449">
        <v>58390.333333333336</v>
      </c>
      <c r="AE31" s="449">
        <v>58390.333333333336</v>
      </c>
      <c r="AF31" s="449">
        <v>58390.333333333336</v>
      </c>
      <c r="AG31" s="449">
        <v>58390.333333333336</v>
      </c>
      <c r="AH31" s="449">
        <v>58390.333333333336</v>
      </c>
      <c r="AI31" s="449">
        <v>58390.333333333336</v>
      </c>
      <c r="AJ31" s="449">
        <v>58390.333333333336</v>
      </c>
      <c r="AK31" s="449">
        <v>58390.333333333336</v>
      </c>
      <c r="AL31" s="449">
        <v>58390.333333333336</v>
      </c>
      <c r="AM31" s="400"/>
      <c r="AN31" s="500">
        <v>700684</v>
      </c>
      <c r="AO31" s="449">
        <v>549179.01</v>
      </c>
      <c r="AP31" s="449">
        <v>-151504.99</v>
      </c>
      <c r="AQ31" s="453">
        <v>-0.21622441785455354</v>
      </c>
      <c r="AR31" s="449">
        <v>549179.00999999989</v>
      </c>
      <c r="AS31" s="449">
        <v>1.1641532182693481E-10</v>
      </c>
      <c r="AT31" s="426">
        <v>2.1198064694230547E-16</v>
      </c>
      <c r="AU31" s="421"/>
      <c r="AV31" s="449">
        <v>45764.917500000003</v>
      </c>
      <c r="AW31" s="449">
        <v>45764.917500000003</v>
      </c>
      <c r="AX31" s="449">
        <v>45764.917500000003</v>
      </c>
      <c r="AY31" s="449">
        <v>45764.917500000003</v>
      </c>
      <c r="AZ31" s="449">
        <v>45764.917500000003</v>
      </c>
      <c r="BA31" s="449">
        <v>45764.917500000003</v>
      </c>
      <c r="BB31" s="449">
        <v>45764.917500000003</v>
      </c>
      <c r="BC31" s="449">
        <v>45764.917500000003</v>
      </c>
      <c r="BD31" s="449">
        <v>45764.917500000003</v>
      </c>
      <c r="BE31" s="449">
        <v>45764.917500000003</v>
      </c>
      <c r="BF31" s="449">
        <v>45764.917500000003</v>
      </c>
      <c r="BG31" s="449">
        <v>45764.917500000003</v>
      </c>
      <c r="BH31" s="400"/>
      <c r="BI31" s="449">
        <v>45764.917500000003</v>
      </c>
      <c r="BJ31" s="449">
        <v>45764.917500000003</v>
      </c>
      <c r="BK31" s="449">
        <v>45764.917500000003</v>
      </c>
      <c r="BL31" s="771">
        <v>45764.917500000003</v>
      </c>
      <c r="BM31" s="449">
        <v>45764.917500000003</v>
      </c>
      <c r="BN31" s="449">
        <v>45764.917500000003</v>
      </c>
      <c r="BO31" s="449">
        <v>45764.917500000003</v>
      </c>
      <c r="BP31" s="449">
        <v>45764.917500000003</v>
      </c>
      <c r="BQ31" s="449">
        <v>45764.917500000003</v>
      </c>
      <c r="BR31" s="449">
        <v>45764.917500000003</v>
      </c>
      <c r="BS31" s="449">
        <v>45764.917500000003</v>
      </c>
      <c r="BT31" s="449">
        <v>45764.917500000003</v>
      </c>
      <c r="BU31" s="400"/>
    </row>
    <row r="32" spans="1:73" x14ac:dyDescent="0.25">
      <c r="A32" s="502" t="s">
        <v>48</v>
      </c>
      <c r="B32" s="502" t="s">
        <v>49</v>
      </c>
      <c r="C32" s="400"/>
      <c r="D32" s="500">
        <v>26350.44</v>
      </c>
      <c r="E32" s="449">
        <v>0</v>
      </c>
      <c r="F32" s="449">
        <v>26350.44</v>
      </c>
      <c r="G32" s="421">
        <v>0</v>
      </c>
      <c r="H32" s="449">
        <v>0</v>
      </c>
      <c r="I32" s="449">
        <v>26350.44</v>
      </c>
      <c r="J32" s="426">
        <v>0</v>
      </c>
      <c r="K32" s="421"/>
      <c r="L32" s="449">
        <v>0</v>
      </c>
      <c r="M32" s="449">
        <v>26350.44</v>
      </c>
      <c r="N32" s="449">
        <v>0</v>
      </c>
      <c r="O32" s="449">
        <v>0</v>
      </c>
      <c r="P32" s="449">
        <v>0</v>
      </c>
      <c r="Q32" s="449">
        <v>0</v>
      </c>
      <c r="R32" s="449">
        <v>0</v>
      </c>
      <c r="S32" s="449">
        <v>0</v>
      </c>
      <c r="T32" s="449">
        <v>0</v>
      </c>
      <c r="U32" s="449">
        <v>0</v>
      </c>
      <c r="V32" s="449">
        <v>0</v>
      </c>
      <c r="W32" s="449">
        <v>0</v>
      </c>
      <c r="X32" s="449"/>
      <c r="Y32" s="449">
        <v>26350.44</v>
      </c>
      <c r="Z32" s="501"/>
      <c r="AA32" s="449">
        <v>0</v>
      </c>
      <c r="AB32" s="449">
        <v>0</v>
      </c>
      <c r="AC32" s="449">
        <v>0</v>
      </c>
      <c r="AD32" s="449">
        <v>0</v>
      </c>
      <c r="AE32" s="449">
        <v>0</v>
      </c>
      <c r="AF32" s="449">
        <v>0</v>
      </c>
      <c r="AG32" s="449">
        <v>0</v>
      </c>
      <c r="AH32" s="449">
        <v>0</v>
      </c>
      <c r="AI32" s="449">
        <v>0</v>
      </c>
      <c r="AJ32" s="449">
        <v>0</v>
      </c>
      <c r="AK32" s="449">
        <v>0</v>
      </c>
      <c r="AL32" s="449">
        <v>0</v>
      </c>
      <c r="AM32" s="400"/>
      <c r="AN32" s="500">
        <v>26350.44</v>
      </c>
      <c r="AO32" s="449">
        <v>0</v>
      </c>
      <c r="AP32" s="449">
        <v>-26350.44</v>
      </c>
      <c r="AQ32" s="453">
        <v>-1</v>
      </c>
      <c r="AR32" s="449">
        <v>0</v>
      </c>
      <c r="AS32" s="449">
        <v>0</v>
      </c>
      <c r="AT32" s="426">
        <v>0</v>
      </c>
      <c r="AU32" s="421"/>
      <c r="AV32" s="449">
        <v>0</v>
      </c>
      <c r="AW32" s="449">
        <v>0</v>
      </c>
      <c r="AX32" s="449">
        <v>0</v>
      </c>
      <c r="AY32" s="449">
        <v>0</v>
      </c>
      <c r="AZ32" s="449">
        <v>0</v>
      </c>
      <c r="BA32" s="449">
        <v>0</v>
      </c>
      <c r="BB32" s="449">
        <v>0</v>
      </c>
      <c r="BC32" s="449">
        <v>0</v>
      </c>
      <c r="BD32" s="449">
        <v>0</v>
      </c>
      <c r="BE32" s="449">
        <v>0</v>
      </c>
      <c r="BF32" s="449">
        <v>0</v>
      </c>
      <c r="BG32" s="449">
        <v>0</v>
      </c>
      <c r="BH32" s="400"/>
      <c r="BI32" s="449">
        <v>0</v>
      </c>
      <c r="BJ32" s="449">
        <v>0</v>
      </c>
      <c r="BK32" s="449">
        <v>0</v>
      </c>
      <c r="BL32" s="771">
        <v>0</v>
      </c>
      <c r="BM32" s="449">
        <v>0</v>
      </c>
      <c r="BN32" s="449">
        <v>0</v>
      </c>
      <c r="BO32" s="449">
        <v>0</v>
      </c>
      <c r="BP32" s="449">
        <v>0</v>
      </c>
      <c r="BQ32" s="449">
        <v>0</v>
      </c>
      <c r="BR32" s="449">
        <v>0</v>
      </c>
      <c r="BS32" s="449">
        <v>0</v>
      </c>
      <c r="BT32" s="449">
        <v>0</v>
      </c>
      <c r="BU32" s="400"/>
    </row>
    <row r="33" spans="1:72" x14ac:dyDescent="0.25">
      <c r="A33" s="502" t="s">
        <v>50</v>
      </c>
      <c r="B33" s="502" t="s">
        <v>51</v>
      </c>
      <c r="C33" s="400"/>
      <c r="D33" s="500">
        <v>7370.9</v>
      </c>
      <c r="E33" s="449">
        <v>7200</v>
      </c>
      <c r="F33" s="449">
        <v>170.89999999999964</v>
      </c>
      <c r="G33" s="421">
        <v>2.3736111111111062E-2</v>
      </c>
      <c r="H33" s="449">
        <v>7200</v>
      </c>
      <c r="I33" s="449">
        <v>170.89999999999964</v>
      </c>
      <c r="J33" s="426">
        <v>2.3736111111111062E-2</v>
      </c>
      <c r="K33" s="421"/>
      <c r="L33" s="449">
        <v>0</v>
      </c>
      <c r="M33" s="449">
        <v>130</v>
      </c>
      <c r="N33" s="449">
        <v>3521.2000000000007</v>
      </c>
      <c r="O33" s="449">
        <v>423.19999999999936</v>
      </c>
      <c r="P33" s="449">
        <v>185.99999999999955</v>
      </c>
      <c r="Q33" s="449">
        <v>3110.5</v>
      </c>
      <c r="R33" s="449">
        <v>0</v>
      </c>
      <c r="S33" s="449">
        <v>0</v>
      </c>
      <c r="T33" s="449">
        <v>0</v>
      </c>
      <c r="U33" s="449">
        <v>0</v>
      </c>
      <c r="V33" s="449">
        <v>0</v>
      </c>
      <c r="W33" s="449">
        <v>0</v>
      </c>
      <c r="X33" s="449"/>
      <c r="Y33" s="449">
        <v>7370.9</v>
      </c>
      <c r="Z33" s="501"/>
      <c r="AA33" s="449">
        <v>600</v>
      </c>
      <c r="AB33" s="449">
        <v>600</v>
      </c>
      <c r="AC33" s="449">
        <v>600</v>
      </c>
      <c r="AD33" s="449">
        <v>600</v>
      </c>
      <c r="AE33" s="449">
        <v>600</v>
      </c>
      <c r="AF33" s="449">
        <v>600</v>
      </c>
      <c r="AG33" s="449">
        <v>600</v>
      </c>
      <c r="AH33" s="449">
        <v>600</v>
      </c>
      <c r="AI33" s="449">
        <v>600</v>
      </c>
      <c r="AJ33" s="449">
        <v>600</v>
      </c>
      <c r="AK33" s="449">
        <v>600</v>
      </c>
      <c r="AL33" s="449">
        <v>600</v>
      </c>
      <c r="AM33" s="400"/>
      <c r="AN33" s="500">
        <v>7370.9</v>
      </c>
      <c r="AO33" s="449">
        <v>7370.9000000000005</v>
      </c>
      <c r="AP33" s="449">
        <v>9.0949470177292824E-13</v>
      </c>
      <c r="AQ33" s="453">
        <v>1.2338991192024424E-16</v>
      </c>
      <c r="AR33" s="449">
        <v>7370.9000000000005</v>
      </c>
      <c r="AS33" s="449">
        <v>0</v>
      </c>
      <c r="AT33" s="426">
        <v>0</v>
      </c>
      <c r="AU33" s="421"/>
      <c r="AV33" s="449">
        <v>614.24166666666667</v>
      </c>
      <c r="AW33" s="449">
        <v>614.24166666666667</v>
      </c>
      <c r="AX33" s="449">
        <v>614.24166666666667</v>
      </c>
      <c r="AY33" s="449">
        <v>614.24166666666667</v>
      </c>
      <c r="AZ33" s="449">
        <v>614.24166666666667</v>
      </c>
      <c r="BA33" s="449">
        <v>614.24166666666667</v>
      </c>
      <c r="BB33" s="449">
        <v>614.24166666666667</v>
      </c>
      <c r="BC33" s="449">
        <v>614.24166666666667</v>
      </c>
      <c r="BD33" s="449">
        <v>614.24166666666667</v>
      </c>
      <c r="BE33" s="449">
        <v>614.24166666666667</v>
      </c>
      <c r="BF33" s="449">
        <v>614.24166666666667</v>
      </c>
      <c r="BG33" s="449">
        <v>614.24166666666667</v>
      </c>
      <c r="BH33" s="400"/>
      <c r="BI33" s="449">
        <v>614.24166666666667</v>
      </c>
      <c r="BJ33" s="449">
        <v>614.24166666666667</v>
      </c>
      <c r="BK33" s="449">
        <v>614.24166666666667</v>
      </c>
      <c r="BL33" s="771">
        <v>614.24166666666667</v>
      </c>
      <c r="BM33" s="449">
        <v>614.24166666666667</v>
      </c>
      <c r="BN33" s="449">
        <v>614.24166666666667</v>
      </c>
      <c r="BO33" s="449">
        <v>614.24166666666667</v>
      </c>
      <c r="BP33" s="449">
        <v>614.24166666666667</v>
      </c>
      <c r="BQ33" s="449">
        <v>614.24166666666667</v>
      </c>
      <c r="BR33" s="449">
        <v>614.24166666666667</v>
      </c>
      <c r="BS33" s="449">
        <v>614.24166666666667</v>
      </c>
      <c r="BT33" s="449">
        <v>614.24166666666667</v>
      </c>
    </row>
    <row r="34" spans="1:72" x14ac:dyDescent="0.25">
      <c r="A34" s="591"/>
      <c r="B34" s="592" t="s">
        <v>52</v>
      </c>
      <c r="C34" s="400"/>
      <c r="D34" s="503">
        <v>9963476.6199999992</v>
      </c>
      <c r="E34" s="504">
        <v>9745571.0099999998</v>
      </c>
      <c r="F34" s="504">
        <v>217905.6099999994</v>
      </c>
      <c r="G34" s="505">
        <v>2.2359450233999108E-2</v>
      </c>
      <c r="H34" s="504">
        <v>9896167</v>
      </c>
      <c r="I34" s="504">
        <v>67309.61999999918</v>
      </c>
      <c r="J34" s="506">
        <v>6.8015848964552818E-3</v>
      </c>
      <c r="K34" s="507"/>
      <c r="L34" s="504">
        <v>730312.75</v>
      </c>
      <c r="M34" s="504">
        <v>792377.60999999987</v>
      </c>
      <c r="N34" s="504">
        <v>939331.27000000014</v>
      </c>
      <c r="O34" s="504">
        <v>813194.6399999999</v>
      </c>
      <c r="P34" s="504">
        <v>754962.15999999968</v>
      </c>
      <c r="Q34" s="504">
        <v>898924.14000000025</v>
      </c>
      <c r="R34" s="504">
        <v>839062.34166666679</v>
      </c>
      <c r="S34" s="504">
        <v>839062.34166666679</v>
      </c>
      <c r="T34" s="504">
        <v>839062.34166666679</v>
      </c>
      <c r="U34" s="504">
        <v>839062.34166666679</v>
      </c>
      <c r="V34" s="504">
        <v>839062.34166666679</v>
      </c>
      <c r="W34" s="504">
        <v>839062.34166666737</v>
      </c>
      <c r="X34" s="504"/>
      <c r="Y34" s="504">
        <v>9963476.6199999992</v>
      </c>
      <c r="Z34" s="508"/>
      <c r="AA34" s="504">
        <v>824680.58333333337</v>
      </c>
      <c r="AB34" s="504">
        <v>824680.58333333337</v>
      </c>
      <c r="AC34" s="504">
        <v>824680.58333333337</v>
      </c>
      <c r="AD34" s="504">
        <v>824680.58333333337</v>
      </c>
      <c r="AE34" s="504">
        <v>824680.58333333337</v>
      </c>
      <c r="AF34" s="504">
        <v>824680.58333333337</v>
      </c>
      <c r="AG34" s="504">
        <v>824680.58333333337</v>
      </c>
      <c r="AH34" s="504">
        <v>824680.58333333337</v>
      </c>
      <c r="AI34" s="504">
        <v>824680.58333333337</v>
      </c>
      <c r="AJ34" s="504">
        <v>824680.58333333337</v>
      </c>
      <c r="AK34" s="504">
        <v>824680.58333333337</v>
      </c>
      <c r="AL34" s="504">
        <v>824680.58333333337</v>
      </c>
      <c r="AM34" s="400"/>
      <c r="AN34" s="503">
        <v>9963476.6199999992</v>
      </c>
      <c r="AO34" s="504">
        <v>10873594.13214458</v>
      </c>
      <c r="AP34" s="504">
        <v>910117.51214458048</v>
      </c>
      <c r="AQ34" s="509">
        <v>9.1345375400156317E-2</v>
      </c>
      <c r="AR34" s="504">
        <v>10873594.13214458</v>
      </c>
      <c r="AS34" s="504">
        <v>0</v>
      </c>
      <c r="AT34" s="506">
        <v>0</v>
      </c>
      <c r="AU34" s="507"/>
      <c r="AV34" s="504">
        <v>910686.85466198134</v>
      </c>
      <c r="AW34" s="504">
        <v>977900.17901393468</v>
      </c>
      <c r="AX34" s="504">
        <v>891199.90984686639</v>
      </c>
      <c r="AY34" s="504">
        <v>911199.90984686639</v>
      </c>
      <c r="AZ34" s="504">
        <v>895203.90984686639</v>
      </c>
      <c r="BA34" s="504">
        <v>891199.90984686639</v>
      </c>
      <c r="BB34" s="504">
        <v>891199.90984686639</v>
      </c>
      <c r="BC34" s="504">
        <v>895203.90984686639</v>
      </c>
      <c r="BD34" s="504">
        <v>936199.90984686639</v>
      </c>
      <c r="BE34" s="504">
        <v>891199.90984686639</v>
      </c>
      <c r="BF34" s="504">
        <v>891199.90984686639</v>
      </c>
      <c r="BG34" s="504">
        <v>891199.90984686639</v>
      </c>
      <c r="BH34" s="508"/>
      <c r="BI34" s="504">
        <v>910686.85466198134</v>
      </c>
      <c r="BJ34" s="504">
        <v>977900.17901393468</v>
      </c>
      <c r="BK34" s="504">
        <v>891199.90984686639</v>
      </c>
      <c r="BL34" s="772">
        <v>911199.90984686639</v>
      </c>
      <c r="BM34" s="504">
        <v>895203.90984686639</v>
      </c>
      <c r="BN34" s="504">
        <v>891199.90984686639</v>
      </c>
      <c r="BO34" s="504">
        <v>891199.90984686639</v>
      </c>
      <c r="BP34" s="504">
        <v>895203.90984686639</v>
      </c>
      <c r="BQ34" s="504">
        <v>936199.90984686639</v>
      </c>
      <c r="BR34" s="504">
        <v>891199.90984686639</v>
      </c>
      <c r="BS34" s="504">
        <v>891199.90984686639</v>
      </c>
      <c r="BT34" s="504">
        <v>891199.90984686639</v>
      </c>
    </row>
    <row r="35" spans="1:72" x14ac:dyDescent="0.25">
      <c r="A35" s="587"/>
      <c r="B35" s="502"/>
      <c r="C35" s="400"/>
      <c r="D35" s="510"/>
      <c r="E35" s="418"/>
      <c r="F35" s="418"/>
      <c r="G35" s="421"/>
      <c r="H35" s="418"/>
      <c r="I35" s="418"/>
      <c r="J35" s="426"/>
      <c r="K35" s="421"/>
      <c r="L35" s="418"/>
      <c r="M35" s="418"/>
      <c r="N35" s="418"/>
      <c r="O35" s="418"/>
      <c r="P35" s="418"/>
      <c r="Q35" s="418"/>
      <c r="R35" s="418"/>
      <c r="S35" s="418"/>
      <c r="T35" s="418"/>
      <c r="U35" s="418"/>
      <c r="V35" s="418"/>
      <c r="W35" s="418"/>
      <c r="X35" s="418"/>
      <c r="Y35" s="418"/>
      <c r="Z35" s="511"/>
      <c r="AA35" s="418"/>
      <c r="AB35" s="418"/>
      <c r="AC35" s="418"/>
      <c r="AD35" s="418"/>
      <c r="AE35" s="418"/>
      <c r="AF35" s="418"/>
      <c r="AG35" s="418"/>
      <c r="AH35" s="418"/>
      <c r="AI35" s="418"/>
      <c r="AJ35" s="418"/>
      <c r="AK35" s="418"/>
      <c r="AL35" s="418"/>
      <c r="AM35" s="400"/>
      <c r="AN35" s="510"/>
      <c r="AO35" s="418"/>
      <c r="AP35" s="418"/>
      <c r="AQ35" s="453"/>
      <c r="AR35" s="418"/>
      <c r="AS35" s="418"/>
      <c r="AT35" s="426"/>
      <c r="AU35" s="421"/>
      <c r="AV35" s="418"/>
      <c r="AW35" s="418"/>
      <c r="AX35" s="418"/>
      <c r="AY35" s="418"/>
      <c r="AZ35" s="418"/>
      <c r="BA35" s="418"/>
      <c r="BB35" s="418"/>
      <c r="BC35" s="418"/>
      <c r="BD35" s="418"/>
      <c r="BE35" s="418"/>
      <c r="BF35" s="418"/>
      <c r="BG35" s="418"/>
      <c r="BH35" s="511"/>
      <c r="BI35" s="418"/>
      <c r="BJ35" s="418"/>
      <c r="BK35" s="418"/>
      <c r="BL35" s="773"/>
      <c r="BM35" s="418"/>
      <c r="BN35" s="418"/>
      <c r="BO35" s="418"/>
      <c r="BP35" s="418"/>
      <c r="BQ35" s="418"/>
      <c r="BR35" s="418"/>
      <c r="BS35" s="418"/>
      <c r="BT35" s="418"/>
    </row>
    <row r="36" spans="1:72" x14ac:dyDescent="0.25">
      <c r="A36" s="502" t="s">
        <v>53</v>
      </c>
      <c r="B36" s="502" t="s">
        <v>54</v>
      </c>
      <c r="C36" s="400"/>
      <c r="D36" s="500">
        <v>331370</v>
      </c>
      <c r="E36" s="449">
        <v>308453.90399999998</v>
      </c>
      <c r="F36" s="449">
        <v>22916.09600000002</v>
      </c>
      <c r="G36" s="421">
        <v>7.4293421813847502E-2</v>
      </c>
      <c r="H36" s="449">
        <v>331370</v>
      </c>
      <c r="I36" s="449">
        <v>0</v>
      </c>
      <c r="J36" s="426">
        <v>0</v>
      </c>
      <c r="K36" s="421"/>
      <c r="L36" s="449">
        <v>0</v>
      </c>
      <c r="M36" s="449">
        <v>52942.559999999998</v>
      </c>
      <c r="N36" s="449">
        <v>26471.279999999999</v>
      </c>
      <c r="O36" s="449">
        <v>26471.279999999999</v>
      </c>
      <c r="P36" s="449">
        <v>-2904</v>
      </c>
      <c r="Q36" s="449">
        <v>52942.540000000008</v>
      </c>
      <c r="R36" s="449">
        <v>29241.056666666667</v>
      </c>
      <c r="S36" s="449">
        <v>29241.056666666664</v>
      </c>
      <c r="T36" s="449">
        <v>29241.056666666664</v>
      </c>
      <c r="U36" s="449">
        <v>29241.05666666666</v>
      </c>
      <c r="V36" s="449">
        <v>29241.056666666671</v>
      </c>
      <c r="W36" s="449">
        <v>29241.056666666642</v>
      </c>
      <c r="X36" s="449"/>
      <c r="Y36" s="449">
        <v>331370</v>
      </c>
      <c r="Z36" s="501"/>
      <c r="AA36" s="449">
        <v>27614.166666666668</v>
      </c>
      <c r="AB36" s="449">
        <v>27614.166666666668</v>
      </c>
      <c r="AC36" s="449">
        <v>27614.166666666668</v>
      </c>
      <c r="AD36" s="449">
        <v>27614.166666666668</v>
      </c>
      <c r="AE36" s="449">
        <v>27614.166666666668</v>
      </c>
      <c r="AF36" s="449">
        <v>27614.166666666668</v>
      </c>
      <c r="AG36" s="449">
        <v>27614.166666666668</v>
      </c>
      <c r="AH36" s="449">
        <v>27614.166666666668</v>
      </c>
      <c r="AI36" s="449">
        <v>27614.166666666668</v>
      </c>
      <c r="AJ36" s="449">
        <v>27614.166666666668</v>
      </c>
      <c r="AK36" s="449">
        <v>27614.166666666668</v>
      </c>
      <c r="AL36" s="449">
        <v>27614.166666666668</v>
      </c>
      <c r="AM36" s="400"/>
      <c r="AN36" s="500">
        <v>331370</v>
      </c>
      <c r="AO36" s="449">
        <v>365717.55999999988</v>
      </c>
      <c r="AP36" s="449">
        <v>34347.559999999881</v>
      </c>
      <c r="AQ36" s="453">
        <v>0.10365319733228681</v>
      </c>
      <c r="AR36" s="449">
        <v>365717.55999999988</v>
      </c>
      <c r="AS36" s="449">
        <v>0</v>
      </c>
      <c r="AT36" s="426">
        <v>0</v>
      </c>
      <c r="AU36" s="421"/>
      <c r="AV36" s="449">
        <v>30476.463333333333</v>
      </c>
      <c r="AW36" s="449">
        <v>30476.463333333333</v>
      </c>
      <c r="AX36" s="449">
        <v>30476.463333333333</v>
      </c>
      <c r="AY36" s="449">
        <v>30476.463333333333</v>
      </c>
      <c r="AZ36" s="449">
        <v>30476.463333333333</v>
      </c>
      <c r="BA36" s="449">
        <v>30476.463333333333</v>
      </c>
      <c r="BB36" s="449">
        <v>30476.463333333333</v>
      </c>
      <c r="BC36" s="449">
        <v>30476.463333333333</v>
      </c>
      <c r="BD36" s="449">
        <v>30476.463333333333</v>
      </c>
      <c r="BE36" s="449">
        <v>30476.463333333333</v>
      </c>
      <c r="BF36" s="449">
        <v>30476.463333333333</v>
      </c>
      <c r="BG36" s="449">
        <v>30476.463333333333</v>
      </c>
      <c r="BH36" s="400"/>
      <c r="BI36" s="449">
        <v>30476.463333333333</v>
      </c>
      <c r="BJ36" s="449">
        <v>30476.463333333333</v>
      </c>
      <c r="BK36" s="449">
        <v>30476.463333333333</v>
      </c>
      <c r="BL36" s="771">
        <v>30476.463333333333</v>
      </c>
      <c r="BM36" s="449">
        <v>30476.463333333333</v>
      </c>
      <c r="BN36" s="449">
        <v>30476.463333333333</v>
      </c>
      <c r="BO36" s="449">
        <v>30476.463333333333</v>
      </c>
      <c r="BP36" s="449">
        <v>30476.463333333333</v>
      </c>
      <c r="BQ36" s="449">
        <v>30476.463333333333</v>
      </c>
      <c r="BR36" s="449">
        <v>30476.463333333333</v>
      </c>
      <c r="BS36" s="449">
        <v>30476.463333333333</v>
      </c>
      <c r="BT36" s="449">
        <v>30476.463333333333</v>
      </c>
    </row>
    <row r="37" spans="1:72" x14ac:dyDescent="0.25">
      <c r="A37" s="502" t="s">
        <v>55</v>
      </c>
      <c r="B37" s="502" t="s">
        <v>56</v>
      </c>
      <c r="C37" s="400"/>
      <c r="D37" s="500">
        <v>0</v>
      </c>
      <c r="E37" s="449">
        <v>0</v>
      </c>
      <c r="F37" s="449">
        <v>0</v>
      </c>
      <c r="G37" s="421">
        <v>0</v>
      </c>
      <c r="H37" s="449">
        <v>0</v>
      </c>
      <c r="I37" s="449">
        <v>0</v>
      </c>
      <c r="J37" s="426">
        <v>0</v>
      </c>
      <c r="K37" s="421"/>
      <c r="L37" s="449">
        <v>0</v>
      </c>
      <c r="M37" s="449">
        <v>0</v>
      </c>
      <c r="N37" s="449">
        <v>0</v>
      </c>
      <c r="O37" s="449">
        <v>0</v>
      </c>
      <c r="P37" s="449">
        <v>0</v>
      </c>
      <c r="Q37" s="449">
        <v>0</v>
      </c>
      <c r="R37" s="449">
        <v>0</v>
      </c>
      <c r="S37" s="449">
        <v>0</v>
      </c>
      <c r="T37" s="449">
        <v>0</v>
      </c>
      <c r="U37" s="449">
        <v>0</v>
      </c>
      <c r="V37" s="449">
        <v>0</v>
      </c>
      <c r="W37" s="449">
        <v>0</v>
      </c>
      <c r="X37" s="449"/>
      <c r="Y37" s="449">
        <v>0</v>
      </c>
      <c r="Z37" s="501"/>
      <c r="AA37" s="449">
        <v>0</v>
      </c>
      <c r="AB37" s="449">
        <v>0</v>
      </c>
      <c r="AC37" s="449">
        <v>0</v>
      </c>
      <c r="AD37" s="449">
        <v>0</v>
      </c>
      <c r="AE37" s="449">
        <v>0</v>
      </c>
      <c r="AF37" s="449">
        <v>0</v>
      </c>
      <c r="AG37" s="449">
        <v>0</v>
      </c>
      <c r="AH37" s="449">
        <v>0</v>
      </c>
      <c r="AI37" s="449">
        <v>0</v>
      </c>
      <c r="AJ37" s="449">
        <v>0</v>
      </c>
      <c r="AK37" s="449">
        <v>0</v>
      </c>
      <c r="AL37" s="449">
        <v>0</v>
      </c>
      <c r="AM37" s="400"/>
      <c r="AN37" s="500">
        <v>0</v>
      </c>
      <c r="AO37" s="449">
        <v>0</v>
      </c>
      <c r="AP37" s="449">
        <v>0</v>
      </c>
      <c r="AQ37" s="453" t="s">
        <v>1519</v>
      </c>
      <c r="AR37" s="449">
        <v>0</v>
      </c>
      <c r="AS37" s="449">
        <v>0</v>
      </c>
      <c r="AT37" s="426">
        <v>0</v>
      </c>
      <c r="AU37" s="421"/>
      <c r="AV37" s="449">
        <v>0</v>
      </c>
      <c r="AW37" s="449">
        <v>0</v>
      </c>
      <c r="AX37" s="449">
        <v>0</v>
      </c>
      <c r="AY37" s="449">
        <v>0</v>
      </c>
      <c r="AZ37" s="449">
        <v>0</v>
      </c>
      <c r="BA37" s="449">
        <v>0</v>
      </c>
      <c r="BB37" s="449">
        <v>0</v>
      </c>
      <c r="BC37" s="449">
        <v>0</v>
      </c>
      <c r="BD37" s="449">
        <v>0</v>
      </c>
      <c r="BE37" s="449">
        <v>0</v>
      </c>
      <c r="BF37" s="449">
        <v>0</v>
      </c>
      <c r="BG37" s="449">
        <v>0</v>
      </c>
      <c r="BH37" s="400"/>
      <c r="BI37" s="449">
        <v>0</v>
      </c>
      <c r="BJ37" s="449">
        <v>0</v>
      </c>
      <c r="BK37" s="449">
        <v>0</v>
      </c>
      <c r="BL37" s="771">
        <v>0</v>
      </c>
      <c r="BM37" s="449">
        <v>0</v>
      </c>
      <c r="BN37" s="449">
        <v>0</v>
      </c>
      <c r="BO37" s="449">
        <v>0</v>
      </c>
      <c r="BP37" s="449">
        <v>0</v>
      </c>
      <c r="BQ37" s="449">
        <v>0</v>
      </c>
      <c r="BR37" s="449">
        <v>0</v>
      </c>
      <c r="BS37" s="449">
        <v>0</v>
      </c>
      <c r="BT37" s="449">
        <v>0</v>
      </c>
    </row>
    <row r="38" spans="1:72" x14ac:dyDescent="0.25">
      <c r="A38" s="502" t="s">
        <v>57</v>
      </c>
      <c r="B38" s="502" t="s">
        <v>58</v>
      </c>
      <c r="C38" s="400"/>
      <c r="D38" s="500">
        <v>0</v>
      </c>
      <c r="E38" s="449">
        <v>0</v>
      </c>
      <c r="F38" s="449">
        <v>0</v>
      </c>
      <c r="G38" s="421">
        <v>0</v>
      </c>
      <c r="H38" s="449">
        <v>0</v>
      </c>
      <c r="I38" s="449">
        <v>0</v>
      </c>
      <c r="J38" s="426">
        <v>0</v>
      </c>
      <c r="K38" s="421"/>
      <c r="L38" s="449">
        <v>0</v>
      </c>
      <c r="M38" s="449">
        <v>0</v>
      </c>
      <c r="N38" s="449">
        <v>0</v>
      </c>
      <c r="O38" s="449">
        <v>0</v>
      </c>
      <c r="P38" s="449">
        <v>0</v>
      </c>
      <c r="Q38" s="449">
        <v>0</v>
      </c>
      <c r="R38" s="449">
        <v>0</v>
      </c>
      <c r="S38" s="449">
        <v>0</v>
      </c>
      <c r="T38" s="449">
        <v>0</v>
      </c>
      <c r="U38" s="449">
        <v>0</v>
      </c>
      <c r="V38" s="449">
        <v>0</v>
      </c>
      <c r="W38" s="449">
        <v>0</v>
      </c>
      <c r="X38" s="449"/>
      <c r="Y38" s="449">
        <v>0</v>
      </c>
      <c r="Z38" s="501"/>
      <c r="AA38" s="449">
        <v>0</v>
      </c>
      <c r="AB38" s="449">
        <v>0</v>
      </c>
      <c r="AC38" s="449">
        <v>0</v>
      </c>
      <c r="AD38" s="449">
        <v>0</v>
      </c>
      <c r="AE38" s="449">
        <v>0</v>
      </c>
      <c r="AF38" s="449">
        <v>0</v>
      </c>
      <c r="AG38" s="449">
        <v>0</v>
      </c>
      <c r="AH38" s="449">
        <v>0</v>
      </c>
      <c r="AI38" s="449">
        <v>0</v>
      </c>
      <c r="AJ38" s="449">
        <v>0</v>
      </c>
      <c r="AK38" s="449">
        <v>0</v>
      </c>
      <c r="AL38" s="449">
        <v>0</v>
      </c>
      <c r="AM38" s="400"/>
      <c r="AN38" s="500">
        <v>0</v>
      </c>
      <c r="AO38" s="449">
        <v>0</v>
      </c>
      <c r="AP38" s="449">
        <v>0</v>
      </c>
      <c r="AQ38" s="453" t="s">
        <v>1519</v>
      </c>
      <c r="AR38" s="449">
        <v>0</v>
      </c>
      <c r="AS38" s="449">
        <v>0</v>
      </c>
      <c r="AT38" s="426">
        <v>0</v>
      </c>
      <c r="AU38" s="421"/>
      <c r="AV38" s="449">
        <v>0</v>
      </c>
      <c r="AW38" s="449">
        <v>0</v>
      </c>
      <c r="AX38" s="449">
        <v>0</v>
      </c>
      <c r="AY38" s="449">
        <v>0</v>
      </c>
      <c r="AZ38" s="449">
        <v>0</v>
      </c>
      <c r="BA38" s="449">
        <v>0</v>
      </c>
      <c r="BB38" s="449">
        <v>0</v>
      </c>
      <c r="BC38" s="449">
        <v>0</v>
      </c>
      <c r="BD38" s="449">
        <v>0</v>
      </c>
      <c r="BE38" s="449">
        <v>0</v>
      </c>
      <c r="BF38" s="449">
        <v>0</v>
      </c>
      <c r="BG38" s="449">
        <v>0</v>
      </c>
      <c r="BH38" s="400"/>
      <c r="BI38" s="449">
        <v>0</v>
      </c>
      <c r="BJ38" s="449">
        <v>0</v>
      </c>
      <c r="BK38" s="449">
        <v>0</v>
      </c>
      <c r="BL38" s="771">
        <v>0</v>
      </c>
      <c r="BM38" s="449">
        <v>0</v>
      </c>
      <c r="BN38" s="449">
        <v>0</v>
      </c>
      <c r="BO38" s="449">
        <v>0</v>
      </c>
      <c r="BP38" s="449">
        <v>0</v>
      </c>
      <c r="BQ38" s="449">
        <v>0</v>
      </c>
      <c r="BR38" s="449">
        <v>0</v>
      </c>
      <c r="BS38" s="449">
        <v>0</v>
      </c>
      <c r="BT38" s="449">
        <v>0</v>
      </c>
    </row>
    <row r="39" spans="1:72" x14ac:dyDescent="0.25">
      <c r="A39" s="502" t="s">
        <v>59</v>
      </c>
      <c r="B39" s="502" t="s">
        <v>60</v>
      </c>
      <c r="C39" s="400"/>
      <c r="D39" s="500">
        <v>15968</v>
      </c>
      <c r="E39" s="449">
        <v>8152.83</v>
      </c>
      <c r="F39" s="449">
        <v>7815.17</v>
      </c>
      <c r="G39" s="421">
        <v>0.95858370651663294</v>
      </c>
      <c r="H39" s="449">
        <v>15968</v>
      </c>
      <c r="I39" s="449">
        <v>0</v>
      </c>
      <c r="J39" s="426">
        <v>0</v>
      </c>
      <c r="K39" s="421"/>
      <c r="L39" s="449">
        <v>0</v>
      </c>
      <c r="M39" s="449">
        <v>0</v>
      </c>
      <c r="N39" s="449">
        <v>0</v>
      </c>
      <c r="O39" s="449">
        <v>2662.2</v>
      </c>
      <c r="P39" s="449">
        <v>9552.5999999999985</v>
      </c>
      <c r="Q39" s="449">
        <v>0</v>
      </c>
      <c r="R39" s="449">
        <v>625.53333333333342</v>
      </c>
      <c r="S39" s="449">
        <v>625.53333333333353</v>
      </c>
      <c r="T39" s="449">
        <v>625.53333333333376</v>
      </c>
      <c r="U39" s="449">
        <v>625.5333333333341</v>
      </c>
      <c r="V39" s="449">
        <v>625.53333333333376</v>
      </c>
      <c r="W39" s="449">
        <v>625.53333333333285</v>
      </c>
      <c r="X39" s="449"/>
      <c r="Y39" s="449">
        <v>15968</v>
      </c>
      <c r="Z39" s="501"/>
      <c r="AA39" s="449">
        <v>1330.6666666666667</v>
      </c>
      <c r="AB39" s="449">
        <v>1330.6666666666667</v>
      </c>
      <c r="AC39" s="449">
        <v>1330.6666666666667</v>
      </c>
      <c r="AD39" s="449">
        <v>1330.6666666666667</v>
      </c>
      <c r="AE39" s="449">
        <v>1330.6666666666667</v>
      </c>
      <c r="AF39" s="449">
        <v>1330.6666666666667</v>
      </c>
      <c r="AG39" s="449">
        <v>1330.6666666666667</v>
      </c>
      <c r="AH39" s="449">
        <v>1330.6666666666667</v>
      </c>
      <c r="AI39" s="449">
        <v>1330.6666666666667</v>
      </c>
      <c r="AJ39" s="449">
        <v>1330.6666666666667</v>
      </c>
      <c r="AK39" s="449">
        <v>1330.6666666666667</v>
      </c>
      <c r="AL39" s="449">
        <v>1330.6666666666667</v>
      </c>
      <c r="AM39" s="400"/>
      <c r="AN39" s="500">
        <v>15968</v>
      </c>
      <c r="AO39" s="449">
        <v>25674.039215686284</v>
      </c>
      <c r="AP39" s="449">
        <v>9706.0392156862836</v>
      </c>
      <c r="AQ39" s="453">
        <v>0.60784313725490258</v>
      </c>
      <c r="AR39" s="449">
        <v>25674.039215686284</v>
      </c>
      <c r="AS39" s="449">
        <v>0</v>
      </c>
      <c r="AT39" s="426">
        <v>0</v>
      </c>
      <c r="AU39" s="421"/>
      <c r="AV39" s="449">
        <v>2139.5032679738565</v>
      </c>
      <c r="AW39" s="449">
        <v>2139.5032679738565</v>
      </c>
      <c r="AX39" s="449">
        <v>2139.5032679738565</v>
      </c>
      <c r="AY39" s="449">
        <v>2139.5032679738565</v>
      </c>
      <c r="AZ39" s="449">
        <v>2139.5032679738565</v>
      </c>
      <c r="BA39" s="449">
        <v>2139.5032679738565</v>
      </c>
      <c r="BB39" s="449">
        <v>2139.5032679738565</v>
      </c>
      <c r="BC39" s="449">
        <v>2139.5032679738565</v>
      </c>
      <c r="BD39" s="449">
        <v>2139.5032679738565</v>
      </c>
      <c r="BE39" s="449">
        <v>2139.5032679738565</v>
      </c>
      <c r="BF39" s="449">
        <v>2139.5032679738565</v>
      </c>
      <c r="BG39" s="449">
        <v>2139.5032679738565</v>
      </c>
      <c r="BH39" s="400"/>
      <c r="BI39" s="449">
        <v>2139.5032679738565</v>
      </c>
      <c r="BJ39" s="449">
        <v>2139.5032679738565</v>
      </c>
      <c r="BK39" s="449">
        <v>2139.5032679738565</v>
      </c>
      <c r="BL39" s="771">
        <v>2139.5032679738565</v>
      </c>
      <c r="BM39" s="449">
        <v>2139.5032679738565</v>
      </c>
      <c r="BN39" s="449">
        <v>2139.5032679738565</v>
      </c>
      <c r="BO39" s="449">
        <v>2139.5032679738565</v>
      </c>
      <c r="BP39" s="449">
        <v>2139.5032679738565</v>
      </c>
      <c r="BQ39" s="449">
        <v>2139.5032679738565</v>
      </c>
      <c r="BR39" s="449">
        <v>2139.5032679738565</v>
      </c>
      <c r="BS39" s="449">
        <v>2139.5032679738565</v>
      </c>
      <c r="BT39" s="449">
        <v>2139.5032679738565</v>
      </c>
    </row>
    <row r="40" spans="1:72" x14ac:dyDescent="0.25">
      <c r="A40" s="502" t="s">
        <v>61</v>
      </c>
      <c r="B40" s="502" t="s">
        <v>62</v>
      </c>
      <c r="C40" s="400"/>
      <c r="D40" s="500">
        <v>0</v>
      </c>
      <c r="E40" s="449">
        <v>0</v>
      </c>
      <c r="F40" s="449">
        <v>0</v>
      </c>
      <c r="G40" s="421">
        <v>0</v>
      </c>
      <c r="H40" s="449">
        <v>0</v>
      </c>
      <c r="I40" s="449">
        <v>0</v>
      </c>
      <c r="J40" s="426">
        <v>0</v>
      </c>
      <c r="K40" s="421"/>
      <c r="L40" s="449">
        <v>0</v>
      </c>
      <c r="M40" s="449">
        <v>0</v>
      </c>
      <c r="N40" s="449">
        <v>0</v>
      </c>
      <c r="O40" s="449">
        <v>0</v>
      </c>
      <c r="P40" s="449">
        <v>0</v>
      </c>
      <c r="Q40" s="449">
        <v>0</v>
      </c>
      <c r="R40" s="449">
        <v>0</v>
      </c>
      <c r="S40" s="449">
        <v>0</v>
      </c>
      <c r="T40" s="449">
        <v>0</v>
      </c>
      <c r="U40" s="449">
        <v>0</v>
      </c>
      <c r="V40" s="449">
        <v>0</v>
      </c>
      <c r="W40" s="449">
        <v>0</v>
      </c>
      <c r="X40" s="449"/>
      <c r="Y40" s="449">
        <v>0</v>
      </c>
      <c r="Z40" s="501"/>
      <c r="AA40" s="449">
        <v>0</v>
      </c>
      <c r="AB40" s="449">
        <v>0</v>
      </c>
      <c r="AC40" s="449">
        <v>0</v>
      </c>
      <c r="AD40" s="449">
        <v>0</v>
      </c>
      <c r="AE40" s="449">
        <v>0</v>
      </c>
      <c r="AF40" s="449">
        <v>0</v>
      </c>
      <c r="AG40" s="449">
        <v>0</v>
      </c>
      <c r="AH40" s="449">
        <v>0</v>
      </c>
      <c r="AI40" s="449">
        <v>0</v>
      </c>
      <c r="AJ40" s="449">
        <v>0</v>
      </c>
      <c r="AK40" s="449">
        <v>0</v>
      </c>
      <c r="AL40" s="449">
        <v>0</v>
      </c>
      <c r="AM40" s="400"/>
      <c r="AN40" s="500">
        <v>0</v>
      </c>
      <c r="AO40" s="449">
        <v>0</v>
      </c>
      <c r="AP40" s="449">
        <v>0</v>
      </c>
      <c r="AQ40" s="453" t="s">
        <v>1519</v>
      </c>
      <c r="AR40" s="449">
        <v>0</v>
      </c>
      <c r="AS40" s="449">
        <v>0</v>
      </c>
      <c r="AT40" s="426">
        <v>0</v>
      </c>
      <c r="AU40" s="421"/>
      <c r="AV40" s="449">
        <v>0</v>
      </c>
      <c r="AW40" s="449">
        <v>0</v>
      </c>
      <c r="AX40" s="449">
        <v>0</v>
      </c>
      <c r="AY40" s="449">
        <v>0</v>
      </c>
      <c r="AZ40" s="449">
        <v>0</v>
      </c>
      <c r="BA40" s="449">
        <v>0</v>
      </c>
      <c r="BB40" s="449">
        <v>0</v>
      </c>
      <c r="BC40" s="449">
        <v>0</v>
      </c>
      <c r="BD40" s="449">
        <v>0</v>
      </c>
      <c r="BE40" s="449">
        <v>0</v>
      </c>
      <c r="BF40" s="449">
        <v>0</v>
      </c>
      <c r="BG40" s="449">
        <v>0</v>
      </c>
      <c r="BH40" s="400"/>
      <c r="BI40" s="449">
        <v>0</v>
      </c>
      <c r="BJ40" s="449">
        <v>0</v>
      </c>
      <c r="BK40" s="449">
        <v>0</v>
      </c>
      <c r="BL40" s="771">
        <v>0</v>
      </c>
      <c r="BM40" s="449">
        <v>0</v>
      </c>
      <c r="BN40" s="449">
        <v>0</v>
      </c>
      <c r="BO40" s="449">
        <v>0</v>
      </c>
      <c r="BP40" s="449">
        <v>0</v>
      </c>
      <c r="BQ40" s="449">
        <v>0</v>
      </c>
      <c r="BR40" s="449">
        <v>0</v>
      </c>
      <c r="BS40" s="449">
        <v>0</v>
      </c>
      <c r="BT40" s="449">
        <v>0</v>
      </c>
    </row>
    <row r="41" spans="1:72" x14ac:dyDescent="0.25">
      <c r="A41" s="591"/>
      <c r="B41" s="592" t="s">
        <v>63</v>
      </c>
      <c r="C41" s="400"/>
      <c r="D41" s="503">
        <v>347338</v>
      </c>
      <c r="E41" s="504">
        <v>316606.734</v>
      </c>
      <c r="F41" s="504">
        <v>30731.266000000003</v>
      </c>
      <c r="G41" s="505">
        <v>9.7064473682357003E-2</v>
      </c>
      <c r="H41" s="504">
        <v>347338</v>
      </c>
      <c r="I41" s="504">
        <v>0</v>
      </c>
      <c r="J41" s="506">
        <v>0</v>
      </c>
      <c r="K41" s="507"/>
      <c r="L41" s="504">
        <v>0</v>
      </c>
      <c r="M41" s="504">
        <v>52942.559999999998</v>
      </c>
      <c r="N41" s="504">
        <v>26471.279999999999</v>
      </c>
      <c r="O41" s="504">
        <v>29133.48</v>
      </c>
      <c r="P41" s="504">
        <v>6648.5999999999985</v>
      </c>
      <c r="Q41" s="504">
        <v>52942.540000000008</v>
      </c>
      <c r="R41" s="504">
        <v>29866.59</v>
      </c>
      <c r="S41" s="504">
        <v>29866.589999999997</v>
      </c>
      <c r="T41" s="504">
        <v>29866.589999999997</v>
      </c>
      <c r="U41" s="504">
        <v>29866.589999999993</v>
      </c>
      <c r="V41" s="504">
        <v>29866.590000000004</v>
      </c>
      <c r="W41" s="504">
        <v>29866.589999999975</v>
      </c>
      <c r="X41" s="504"/>
      <c r="Y41" s="504">
        <v>347337.99999999994</v>
      </c>
      <c r="Z41" s="508"/>
      <c r="AA41" s="504">
        <v>28944.833333333336</v>
      </c>
      <c r="AB41" s="504">
        <v>28944.833333333336</v>
      </c>
      <c r="AC41" s="504">
        <v>28944.833333333336</v>
      </c>
      <c r="AD41" s="504">
        <v>28944.833333333336</v>
      </c>
      <c r="AE41" s="504">
        <v>28944.833333333336</v>
      </c>
      <c r="AF41" s="504">
        <v>28944.833333333336</v>
      </c>
      <c r="AG41" s="504">
        <v>28944.833333333336</v>
      </c>
      <c r="AH41" s="504">
        <v>28944.833333333336</v>
      </c>
      <c r="AI41" s="504">
        <v>28944.833333333336</v>
      </c>
      <c r="AJ41" s="504">
        <v>28944.833333333336</v>
      </c>
      <c r="AK41" s="504">
        <v>28944.833333333336</v>
      </c>
      <c r="AL41" s="504">
        <v>28944.833333333336</v>
      </c>
      <c r="AM41" s="400"/>
      <c r="AN41" s="503">
        <v>347338</v>
      </c>
      <c r="AO41" s="504">
        <v>391391.59921568615</v>
      </c>
      <c r="AP41" s="504">
        <v>44053.599215686147</v>
      </c>
      <c r="AQ41" s="509">
        <v>0.12683207485413675</v>
      </c>
      <c r="AR41" s="504">
        <v>391391.59921568615</v>
      </c>
      <c r="AS41" s="504">
        <v>0</v>
      </c>
      <c r="AT41" s="506">
        <v>0</v>
      </c>
      <c r="AU41" s="507"/>
      <c r="AV41" s="504">
        <v>32615.966601307191</v>
      </c>
      <c r="AW41" s="504">
        <v>32615.966601307191</v>
      </c>
      <c r="AX41" s="504">
        <v>32615.966601307191</v>
      </c>
      <c r="AY41" s="504">
        <v>32615.966601307191</v>
      </c>
      <c r="AZ41" s="504">
        <v>32615.966601307191</v>
      </c>
      <c r="BA41" s="504">
        <v>32615.966601307191</v>
      </c>
      <c r="BB41" s="504">
        <v>32615.966601307191</v>
      </c>
      <c r="BC41" s="504">
        <v>32615.966601307191</v>
      </c>
      <c r="BD41" s="504">
        <v>32615.966601307191</v>
      </c>
      <c r="BE41" s="504">
        <v>32615.966601307191</v>
      </c>
      <c r="BF41" s="504">
        <v>32615.966601307191</v>
      </c>
      <c r="BG41" s="504">
        <v>32615.966601307191</v>
      </c>
      <c r="BH41" s="508"/>
      <c r="BI41" s="504">
        <v>32615.966601307191</v>
      </c>
      <c r="BJ41" s="504">
        <v>32615.966601307191</v>
      </c>
      <c r="BK41" s="504">
        <v>32615.966601307191</v>
      </c>
      <c r="BL41" s="772">
        <v>32615.966601307191</v>
      </c>
      <c r="BM41" s="504">
        <v>32615.966601307191</v>
      </c>
      <c r="BN41" s="504">
        <v>32615.966601307191</v>
      </c>
      <c r="BO41" s="504">
        <v>32615.966601307191</v>
      </c>
      <c r="BP41" s="504">
        <v>32615.966601307191</v>
      </c>
      <c r="BQ41" s="504">
        <v>32615.966601307191</v>
      </c>
      <c r="BR41" s="504">
        <v>32615.966601307191</v>
      </c>
      <c r="BS41" s="504">
        <v>32615.966601307191</v>
      </c>
      <c r="BT41" s="504">
        <v>32615.966601307191</v>
      </c>
    </row>
    <row r="42" spans="1:72" x14ac:dyDescent="0.25">
      <c r="A42" s="587"/>
      <c r="B42" s="502"/>
      <c r="C42" s="400"/>
      <c r="D42" s="510"/>
      <c r="E42" s="418"/>
      <c r="F42" s="418"/>
      <c r="G42" s="421"/>
      <c r="H42" s="418"/>
      <c r="I42" s="418"/>
      <c r="J42" s="426"/>
      <c r="K42" s="421"/>
      <c r="L42" s="418"/>
      <c r="M42" s="418"/>
      <c r="N42" s="418"/>
      <c r="O42" s="418"/>
      <c r="P42" s="418"/>
      <c r="Q42" s="418"/>
      <c r="R42" s="418"/>
      <c r="S42" s="418"/>
      <c r="T42" s="418"/>
      <c r="U42" s="418"/>
      <c r="V42" s="418"/>
      <c r="W42" s="418"/>
      <c r="X42" s="418"/>
      <c r="Y42" s="418"/>
      <c r="Z42" s="511"/>
      <c r="AA42" s="418"/>
      <c r="AB42" s="418"/>
      <c r="AC42" s="418"/>
      <c r="AD42" s="418"/>
      <c r="AE42" s="418"/>
      <c r="AF42" s="418"/>
      <c r="AG42" s="418"/>
      <c r="AH42" s="418"/>
      <c r="AI42" s="418"/>
      <c r="AJ42" s="418"/>
      <c r="AK42" s="418"/>
      <c r="AL42" s="418"/>
      <c r="AM42" s="400"/>
      <c r="AN42" s="510"/>
      <c r="AO42" s="418"/>
      <c r="AP42" s="418"/>
      <c r="AQ42" s="453"/>
      <c r="AR42" s="418"/>
      <c r="AS42" s="418"/>
      <c r="AT42" s="426"/>
      <c r="AU42" s="421"/>
      <c r="AV42" s="418"/>
      <c r="AW42" s="418"/>
      <c r="AX42" s="418"/>
      <c r="AY42" s="418"/>
      <c r="AZ42" s="418"/>
      <c r="BA42" s="418"/>
      <c r="BB42" s="418"/>
      <c r="BC42" s="418"/>
      <c r="BD42" s="418"/>
      <c r="BE42" s="418"/>
      <c r="BF42" s="418"/>
      <c r="BG42" s="418"/>
      <c r="BH42" s="511"/>
      <c r="BI42" s="418"/>
      <c r="BJ42" s="418"/>
      <c r="BK42" s="418"/>
      <c r="BL42" s="773"/>
      <c r="BM42" s="418"/>
      <c r="BN42" s="418"/>
      <c r="BO42" s="418"/>
      <c r="BP42" s="418"/>
      <c r="BQ42" s="418"/>
      <c r="BR42" s="418"/>
      <c r="BS42" s="418"/>
      <c r="BT42" s="418"/>
    </row>
    <row r="43" spans="1:72" x14ac:dyDescent="0.25">
      <c r="A43" s="502" t="s">
        <v>64</v>
      </c>
      <c r="B43" s="502" t="s">
        <v>65</v>
      </c>
      <c r="C43" s="400"/>
      <c r="D43" s="500">
        <v>0</v>
      </c>
      <c r="E43" s="449">
        <v>0</v>
      </c>
      <c r="F43" s="449">
        <v>0</v>
      </c>
      <c r="G43" s="421">
        <v>0</v>
      </c>
      <c r="H43" s="449">
        <v>0</v>
      </c>
      <c r="I43" s="449">
        <v>0</v>
      </c>
      <c r="J43" s="426">
        <v>0</v>
      </c>
      <c r="K43" s="421"/>
      <c r="L43" s="449">
        <v>0</v>
      </c>
      <c r="M43" s="449">
        <v>0</v>
      </c>
      <c r="N43" s="449">
        <v>0</v>
      </c>
      <c r="O43" s="449">
        <v>0</v>
      </c>
      <c r="P43" s="449">
        <v>0</v>
      </c>
      <c r="Q43" s="449">
        <v>0</v>
      </c>
      <c r="R43" s="449">
        <v>0</v>
      </c>
      <c r="S43" s="449">
        <v>0</v>
      </c>
      <c r="T43" s="449">
        <v>0</v>
      </c>
      <c r="U43" s="449">
        <v>0</v>
      </c>
      <c r="V43" s="449">
        <v>0</v>
      </c>
      <c r="W43" s="449">
        <v>0</v>
      </c>
      <c r="X43" s="449"/>
      <c r="Y43" s="449">
        <v>0</v>
      </c>
      <c r="Z43" s="501"/>
      <c r="AA43" s="449">
        <v>0</v>
      </c>
      <c r="AB43" s="449">
        <v>0</v>
      </c>
      <c r="AC43" s="449">
        <v>0</v>
      </c>
      <c r="AD43" s="449">
        <v>0</v>
      </c>
      <c r="AE43" s="449">
        <v>0</v>
      </c>
      <c r="AF43" s="449">
        <v>0</v>
      </c>
      <c r="AG43" s="449">
        <v>0</v>
      </c>
      <c r="AH43" s="449">
        <v>0</v>
      </c>
      <c r="AI43" s="449">
        <v>0</v>
      </c>
      <c r="AJ43" s="449">
        <v>0</v>
      </c>
      <c r="AK43" s="449">
        <v>0</v>
      </c>
      <c r="AL43" s="449">
        <v>0</v>
      </c>
      <c r="AM43" s="400"/>
      <c r="AN43" s="500">
        <v>0</v>
      </c>
      <c r="AO43" s="449">
        <v>0</v>
      </c>
      <c r="AP43" s="449">
        <v>0</v>
      </c>
      <c r="AQ43" s="453" t="s">
        <v>1519</v>
      </c>
      <c r="AR43" s="449">
        <v>0</v>
      </c>
      <c r="AS43" s="449">
        <v>0</v>
      </c>
      <c r="AT43" s="426">
        <v>0</v>
      </c>
      <c r="AU43" s="421"/>
      <c r="AV43" s="449">
        <v>0</v>
      </c>
      <c r="AW43" s="449">
        <v>0</v>
      </c>
      <c r="AX43" s="449">
        <v>0</v>
      </c>
      <c r="AY43" s="449">
        <v>0</v>
      </c>
      <c r="AZ43" s="449">
        <v>0</v>
      </c>
      <c r="BA43" s="449">
        <v>0</v>
      </c>
      <c r="BB43" s="449">
        <v>0</v>
      </c>
      <c r="BC43" s="449">
        <v>0</v>
      </c>
      <c r="BD43" s="449">
        <v>0</v>
      </c>
      <c r="BE43" s="449">
        <v>0</v>
      </c>
      <c r="BF43" s="449">
        <v>0</v>
      </c>
      <c r="BG43" s="449">
        <v>0</v>
      </c>
      <c r="BH43" s="400"/>
      <c r="BI43" s="449">
        <v>0</v>
      </c>
      <c r="BJ43" s="449">
        <v>0</v>
      </c>
      <c r="BK43" s="449">
        <v>0</v>
      </c>
      <c r="BL43" s="771">
        <v>0</v>
      </c>
      <c r="BM43" s="449">
        <v>0</v>
      </c>
      <c r="BN43" s="449">
        <v>0</v>
      </c>
      <c r="BO43" s="449">
        <v>0</v>
      </c>
      <c r="BP43" s="449">
        <v>0</v>
      </c>
      <c r="BQ43" s="449">
        <v>0</v>
      </c>
      <c r="BR43" s="449">
        <v>0</v>
      </c>
      <c r="BS43" s="449">
        <v>0</v>
      </c>
      <c r="BT43" s="449">
        <v>0</v>
      </c>
    </row>
    <row r="44" spans="1:72" x14ac:dyDescent="0.25">
      <c r="A44" s="502" t="s">
        <v>66</v>
      </c>
      <c r="B44" s="502" t="s">
        <v>67</v>
      </c>
      <c r="C44" s="400"/>
      <c r="D44" s="500">
        <v>0</v>
      </c>
      <c r="E44" s="449">
        <v>0</v>
      </c>
      <c r="F44" s="449">
        <v>0</v>
      </c>
      <c r="G44" s="421">
        <v>0</v>
      </c>
      <c r="H44" s="449">
        <v>0</v>
      </c>
      <c r="I44" s="449">
        <v>0</v>
      </c>
      <c r="J44" s="426">
        <v>0</v>
      </c>
      <c r="K44" s="421"/>
      <c r="L44" s="449">
        <v>0</v>
      </c>
      <c r="M44" s="449">
        <v>0</v>
      </c>
      <c r="N44" s="449">
        <v>0</v>
      </c>
      <c r="O44" s="449">
        <v>0</v>
      </c>
      <c r="P44" s="449">
        <v>0</v>
      </c>
      <c r="Q44" s="449">
        <v>0</v>
      </c>
      <c r="R44" s="449">
        <v>0</v>
      </c>
      <c r="S44" s="449">
        <v>0</v>
      </c>
      <c r="T44" s="449">
        <v>0</v>
      </c>
      <c r="U44" s="449">
        <v>0</v>
      </c>
      <c r="V44" s="449">
        <v>0</v>
      </c>
      <c r="W44" s="449">
        <v>0</v>
      </c>
      <c r="X44" s="449"/>
      <c r="Y44" s="449">
        <v>0</v>
      </c>
      <c r="Z44" s="501"/>
      <c r="AA44" s="449">
        <v>0</v>
      </c>
      <c r="AB44" s="449">
        <v>0</v>
      </c>
      <c r="AC44" s="449">
        <v>0</v>
      </c>
      <c r="AD44" s="449">
        <v>0</v>
      </c>
      <c r="AE44" s="449">
        <v>0</v>
      </c>
      <c r="AF44" s="449">
        <v>0</v>
      </c>
      <c r="AG44" s="449">
        <v>0</v>
      </c>
      <c r="AH44" s="449">
        <v>0</v>
      </c>
      <c r="AI44" s="449">
        <v>0</v>
      </c>
      <c r="AJ44" s="449">
        <v>0</v>
      </c>
      <c r="AK44" s="449">
        <v>0</v>
      </c>
      <c r="AL44" s="449">
        <v>0</v>
      </c>
      <c r="AM44" s="400"/>
      <c r="AN44" s="500">
        <v>0</v>
      </c>
      <c r="AO44" s="449">
        <v>0</v>
      </c>
      <c r="AP44" s="449">
        <v>0</v>
      </c>
      <c r="AQ44" s="453" t="s">
        <v>1519</v>
      </c>
      <c r="AR44" s="449">
        <v>0</v>
      </c>
      <c r="AS44" s="449">
        <v>0</v>
      </c>
      <c r="AT44" s="426">
        <v>0</v>
      </c>
      <c r="AU44" s="421"/>
      <c r="AV44" s="449">
        <v>0</v>
      </c>
      <c r="AW44" s="449">
        <v>0</v>
      </c>
      <c r="AX44" s="449">
        <v>0</v>
      </c>
      <c r="AY44" s="449">
        <v>0</v>
      </c>
      <c r="AZ44" s="449">
        <v>0</v>
      </c>
      <c r="BA44" s="449">
        <v>0</v>
      </c>
      <c r="BB44" s="449">
        <v>0</v>
      </c>
      <c r="BC44" s="449">
        <v>0</v>
      </c>
      <c r="BD44" s="449">
        <v>0</v>
      </c>
      <c r="BE44" s="449">
        <v>0</v>
      </c>
      <c r="BF44" s="449">
        <v>0</v>
      </c>
      <c r="BG44" s="449">
        <v>0</v>
      </c>
      <c r="BH44" s="400"/>
      <c r="BI44" s="449">
        <v>0</v>
      </c>
      <c r="BJ44" s="449">
        <v>0</v>
      </c>
      <c r="BK44" s="449">
        <v>0</v>
      </c>
      <c r="BL44" s="771">
        <v>0</v>
      </c>
      <c r="BM44" s="449">
        <v>0</v>
      </c>
      <c r="BN44" s="449">
        <v>0</v>
      </c>
      <c r="BO44" s="449">
        <v>0</v>
      </c>
      <c r="BP44" s="449">
        <v>0</v>
      </c>
      <c r="BQ44" s="449">
        <v>0</v>
      </c>
      <c r="BR44" s="449">
        <v>0</v>
      </c>
      <c r="BS44" s="449">
        <v>0</v>
      </c>
      <c r="BT44" s="449">
        <v>0</v>
      </c>
    </row>
    <row r="45" spans="1:72" x14ac:dyDescent="0.25">
      <c r="A45" s="502" t="s">
        <v>68</v>
      </c>
      <c r="B45" s="502" t="s">
        <v>69</v>
      </c>
      <c r="C45" s="400"/>
      <c r="D45" s="500">
        <v>0</v>
      </c>
      <c r="E45" s="449">
        <v>0</v>
      </c>
      <c r="F45" s="449">
        <v>0</v>
      </c>
      <c r="G45" s="421">
        <v>0</v>
      </c>
      <c r="H45" s="449">
        <v>0</v>
      </c>
      <c r="I45" s="449">
        <v>0</v>
      </c>
      <c r="J45" s="426">
        <v>0</v>
      </c>
      <c r="K45" s="421"/>
      <c r="L45" s="449">
        <v>0</v>
      </c>
      <c r="M45" s="449">
        <v>0</v>
      </c>
      <c r="N45" s="449">
        <v>0</v>
      </c>
      <c r="O45" s="449">
        <v>0</v>
      </c>
      <c r="P45" s="449">
        <v>0</v>
      </c>
      <c r="Q45" s="449">
        <v>0</v>
      </c>
      <c r="R45" s="449">
        <v>0</v>
      </c>
      <c r="S45" s="449">
        <v>0</v>
      </c>
      <c r="T45" s="449">
        <v>0</v>
      </c>
      <c r="U45" s="449">
        <v>0</v>
      </c>
      <c r="V45" s="449">
        <v>0</v>
      </c>
      <c r="W45" s="449">
        <v>0</v>
      </c>
      <c r="X45" s="449"/>
      <c r="Y45" s="449">
        <v>0</v>
      </c>
      <c r="Z45" s="501"/>
      <c r="AA45" s="449">
        <v>0</v>
      </c>
      <c r="AB45" s="449">
        <v>0</v>
      </c>
      <c r="AC45" s="449">
        <v>0</v>
      </c>
      <c r="AD45" s="449">
        <v>0</v>
      </c>
      <c r="AE45" s="449">
        <v>0</v>
      </c>
      <c r="AF45" s="449">
        <v>0</v>
      </c>
      <c r="AG45" s="449">
        <v>0</v>
      </c>
      <c r="AH45" s="449">
        <v>0</v>
      </c>
      <c r="AI45" s="449">
        <v>0</v>
      </c>
      <c r="AJ45" s="449">
        <v>0</v>
      </c>
      <c r="AK45" s="449">
        <v>0</v>
      </c>
      <c r="AL45" s="449">
        <v>0</v>
      </c>
      <c r="AM45" s="400"/>
      <c r="AN45" s="500">
        <v>0</v>
      </c>
      <c r="AO45" s="449">
        <v>0</v>
      </c>
      <c r="AP45" s="449">
        <v>0</v>
      </c>
      <c r="AQ45" s="453" t="s">
        <v>1519</v>
      </c>
      <c r="AR45" s="449">
        <v>0</v>
      </c>
      <c r="AS45" s="449">
        <v>0</v>
      </c>
      <c r="AT45" s="426">
        <v>0</v>
      </c>
      <c r="AU45" s="421"/>
      <c r="AV45" s="449">
        <v>0</v>
      </c>
      <c r="AW45" s="449">
        <v>0</v>
      </c>
      <c r="AX45" s="449">
        <v>0</v>
      </c>
      <c r="AY45" s="449">
        <v>0</v>
      </c>
      <c r="AZ45" s="449">
        <v>0</v>
      </c>
      <c r="BA45" s="449">
        <v>0</v>
      </c>
      <c r="BB45" s="449">
        <v>0</v>
      </c>
      <c r="BC45" s="449">
        <v>0</v>
      </c>
      <c r="BD45" s="449">
        <v>0</v>
      </c>
      <c r="BE45" s="449">
        <v>0</v>
      </c>
      <c r="BF45" s="449">
        <v>0</v>
      </c>
      <c r="BG45" s="449">
        <v>0</v>
      </c>
      <c r="BH45" s="400"/>
      <c r="BI45" s="449">
        <v>0</v>
      </c>
      <c r="BJ45" s="449">
        <v>0</v>
      </c>
      <c r="BK45" s="449">
        <v>0</v>
      </c>
      <c r="BL45" s="771">
        <v>0</v>
      </c>
      <c r="BM45" s="449">
        <v>0</v>
      </c>
      <c r="BN45" s="449">
        <v>0</v>
      </c>
      <c r="BO45" s="449">
        <v>0</v>
      </c>
      <c r="BP45" s="449">
        <v>0</v>
      </c>
      <c r="BQ45" s="449">
        <v>0</v>
      </c>
      <c r="BR45" s="449">
        <v>0</v>
      </c>
      <c r="BS45" s="449">
        <v>0</v>
      </c>
      <c r="BT45" s="449">
        <v>0</v>
      </c>
    </row>
    <row r="46" spans="1:72" x14ac:dyDescent="0.25">
      <c r="A46" s="502" t="s">
        <v>70</v>
      </c>
      <c r="B46" s="502" t="s">
        <v>71</v>
      </c>
      <c r="C46" s="400"/>
      <c r="D46" s="500">
        <v>0</v>
      </c>
      <c r="E46" s="449">
        <v>0</v>
      </c>
      <c r="F46" s="449">
        <v>0</v>
      </c>
      <c r="G46" s="421">
        <v>0</v>
      </c>
      <c r="H46" s="449">
        <v>0</v>
      </c>
      <c r="I46" s="449">
        <v>0</v>
      </c>
      <c r="J46" s="426">
        <v>0</v>
      </c>
      <c r="K46" s="421"/>
      <c r="L46" s="449">
        <v>0</v>
      </c>
      <c r="M46" s="449">
        <v>0</v>
      </c>
      <c r="N46" s="449">
        <v>0</v>
      </c>
      <c r="O46" s="449">
        <v>0</v>
      </c>
      <c r="P46" s="449">
        <v>0</v>
      </c>
      <c r="Q46" s="449">
        <v>0</v>
      </c>
      <c r="R46" s="449">
        <v>0</v>
      </c>
      <c r="S46" s="449">
        <v>0</v>
      </c>
      <c r="T46" s="449">
        <v>0</v>
      </c>
      <c r="U46" s="449">
        <v>0</v>
      </c>
      <c r="V46" s="449">
        <v>0</v>
      </c>
      <c r="W46" s="449">
        <v>0</v>
      </c>
      <c r="X46" s="449"/>
      <c r="Y46" s="449">
        <v>0</v>
      </c>
      <c r="Z46" s="501"/>
      <c r="AA46" s="449">
        <v>0</v>
      </c>
      <c r="AB46" s="449">
        <v>0</v>
      </c>
      <c r="AC46" s="449">
        <v>0</v>
      </c>
      <c r="AD46" s="449">
        <v>0</v>
      </c>
      <c r="AE46" s="449">
        <v>0</v>
      </c>
      <c r="AF46" s="449">
        <v>0</v>
      </c>
      <c r="AG46" s="449">
        <v>0</v>
      </c>
      <c r="AH46" s="449">
        <v>0</v>
      </c>
      <c r="AI46" s="449">
        <v>0</v>
      </c>
      <c r="AJ46" s="449">
        <v>0</v>
      </c>
      <c r="AK46" s="449">
        <v>0</v>
      </c>
      <c r="AL46" s="449">
        <v>0</v>
      </c>
      <c r="AM46" s="400"/>
      <c r="AN46" s="500">
        <v>0</v>
      </c>
      <c r="AO46" s="449">
        <v>0</v>
      </c>
      <c r="AP46" s="449">
        <v>0</v>
      </c>
      <c r="AQ46" s="453" t="s">
        <v>1519</v>
      </c>
      <c r="AR46" s="449">
        <v>0</v>
      </c>
      <c r="AS46" s="449">
        <v>0</v>
      </c>
      <c r="AT46" s="426">
        <v>0</v>
      </c>
      <c r="AU46" s="421"/>
      <c r="AV46" s="449">
        <v>0</v>
      </c>
      <c r="AW46" s="449">
        <v>0</v>
      </c>
      <c r="AX46" s="449">
        <v>0</v>
      </c>
      <c r="AY46" s="449">
        <v>0</v>
      </c>
      <c r="AZ46" s="449">
        <v>0</v>
      </c>
      <c r="BA46" s="449">
        <v>0</v>
      </c>
      <c r="BB46" s="449">
        <v>0</v>
      </c>
      <c r="BC46" s="449">
        <v>0</v>
      </c>
      <c r="BD46" s="449">
        <v>0</v>
      </c>
      <c r="BE46" s="449">
        <v>0</v>
      </c>
      <c r="BF46" s="449">
        <v>0</v>
      </c>
      <c r="BG46" s="449">
        <v>0</v>
      </c>
      <c r="BH46" s="400"/>
      <c r="BI46" s="449">
        <v>0</v>
      </c>
      <c r="BJ46" s="449">
        <v>0</v>
      </c>
      <c r="BK46" s="449">
        <v>0</v>
      </c>
      <c r="BL46" s="771">
        <v>0</v>
      </c>
      <c r="BM46" s="449">
        <v>0</v>
      </c>
      <c r="BN46" s="449">
        <v>0</v>
      </c>
      <c r="BO46" s="449">
        <v>0</v>
      </c>
      <c r="BP46" s="449">
        <v>0</v>
      </c>
      <c r="BQ46" s="449">
        <v>0</v>
      </c>
      <c r="BR46" s="449">
        <v>0</v>
      </c>
      <c r="BS46" s="449">
        <v>0</v>
      </c>
      <c r="BT46" s="449">
        <v>0</v>
      </c>
    </row>
    <row r="47" spans="1:72" x14ac:dyDescent="0.25">
      <c r="A47" s="502" t="s">
        <v>72</v>
      </c>
      <c r="B47" s="502" t="s">
        <v>73</v>
      </c>
      <c r="C47" s="400"/>
      <c r="D47" s="500">
        <v>24000</v>
      </c>
      <c r="E47" s="449">
        <v>54000</v>
      </c>
      <c r="F47" s="449">
        <v>-30000</v>
      </c>
      <c r="G47" s="421">
        <v>-0.55555555555555558</v>
      </c>
      <c r="H47" s="449">
        <v>24000</v>
      </c>
      <c r="I47" s="449">
        <v>0</v>
      </c>
      <c r="J47" s="426">
        <v>0</v>
      </c>
      <c r="K47" s="421"/>
      <c r="L47" s="449">
        <v>0</v>
      </c>
      <c r="M47" s="449">
        <v>2755.63</v>
      </c>
      <c r="N47" s="449">
        <v>0</v>
      </c>
      <c r="O47" s="449">
        <v>0</v>
      </c>
      <c r="P47" s="449">
        <v>0</v>
      </c>
      <c r="Q47" s="449">
        <v>0</v>
      </c>
      <c r="R47" s="449">
        <v>3540.728333333333</v>
      </c>
      <c r="S47" s="449">
        <v>3540.7283333333335</v>
      </c>
      <c r="T47" s="449">
        <v>3540.7283333333335</v>
      </c>
      <c r="U47" s="449">
        <v>3540.7283333333339</v>
      </c>
      <c r="V47" s="449">
        <v>3540.7283333333344</v>
      </c>
      <c r="W47" s="449">
        <v>3540.7283333333326</v>
      </c>
      <c r="X47" s="449"/>
      <c r="Y47" s="449">
        <v>24000</v>
      </c>
      <c r="Z47" s="501"/>
      <c r="AA47" s="449">
        <v>2000</v>
      </c>
      <c r="AB47" s="449">
        <v>2000</v>
      </c>
      <c r="AC47" s="449">
        <v>2000</v>
      </c>
      <c r="AD47" s="449">
        <v>2000</v>
      </c>
      <c r="AE47" s="449">
        <v>2000</v>
      </c>
      <c r="AF47" s="449">
        <v>2000</v>
      </c>
      <c r="AG47" s="449">
        <v>2000</v>
      </c>
      <c r="AH47" s="449">
        <v>2000</v>
      </c>
      <c r="AI47" s="449">
        <v>2000</v>
      </c>
      <c r="AJ47" s="449">
        <v>2000</v>
      </c>
      <c r="AK47" s="449">
        <v>2000</v>
      </c>
      <c r="AL47" s="449">
        <v>2000</v>
      </c>
      <c r="AM47" s="400"/>
      <c r="AN47" s="500">
        <v>24000</v>
      </c>
      <c r="AO47" s="449">
        <v>26390.361445783132</v>
      </c>
      <c r="AP47" s="449">
        <v>2390.3614457831318</v>
      </c>
      <c r="AQ47" s="453">
        <v>9.9598393574297159E-2</v>
      </c>
      <c r="AR47" s="449">
        <v>26390.361445783132</v>
      </c>
      <c r="AS47" s="449">
        <v>0</v>
      </c>
      <c r="AT47" s="426">
        <v>0</v>
      </c>
      <c r="AU47" s="421"/>
      <c r="AV47" s="449">
        <v>2199.1967871485945</v>
      </c>
      <c r="AW47" s="449">
        <v>2199.1967871485945</v>
      </c>
      <c r="AX47" s="449">
        <v>2199.1967871485945</v>
      </c>
      <c r="AY47" s="449">
        <v>2199.1967871485945</v>
      </c>
      <c r="AZ47" s="449">
        <v>2199.1967871485945</v>
      </c>
      <c r="BA47" s="449">
        <v>2199.1967871485945</v>
      </c>
      <c r="BB47" s="449">
        <v>2199.1967871485945</v>
      </c>
      <c r="BC47" s="449">
        <v>2199.1967871485945</v>
      </c>
      <c r="BD47" s="449">
        <v>2199.1967871485945</v>
      </c>
      <c r="BE47" s="449">
        <v>2199.1967871485945</v>
      </c>
      <c r="BF47" s="449">
        <v>2199.1967871485945</v>
      </c>
      <c r="BG47" s="449">
        <v>2199.1967871485945</v>
      </c>
      <c r="BH47" s="400"/>
      <c r="BI47" s="449">
        <v>2199.1967871485945</v>
      </c>
      <c r="BJ47" s="449">
        <v>2199.1967871485945</v>
      </c>
      <c r="BK47" s="449">
        <v>2199.1967871485945</v>
      </c>
      <c r="BL47" s="771">
        <v>2199.1967871485945</v>
      </c>
      <c r="BM47" s="449">
        <v>2199.1967871485945</v>
      </c>
      <c r="BN47" s="449">
        <v>2199.1967871485945</v>
      </c>
      <c r="BO47" s="449">
        <v>2199.1967871485945</v>
      </c>
      <c r="BP47" s="449">
        <v>2199.1967871485945</v>
      </c>
      <c r="BQ47" s="449">
        <v>2199.1967871485945</v>
      </c>
      <c r="BR47" s="449">
        <v>2199.1967871485945</v>
      </c>
      <c r="BS47" s="449">
        <v>2199.1967871485945</v>
      </c>
      <c r="BT47" s="449">
        <v>2199.1967871485945</v>
      </c>
    </row>
    <row r="48" spans="1:72" x14ac:dyDescent="0.25">
      <c r="A48" s="502" t="s">
        <v>74</v>
      </c>
      <c r="B48" s="502" t="s">
        <v>75</v>
      </c>
      <c r="C48" s="400"/>
      <c r="D48" s="500">
        <v>0</v>
      </c>
      <c r="E48" s="449">
        <v>0</v>
      </c>
      <c r="F48" s="449">
        <v>0</v>
      </c>
      <c r="G48" s="421">
        <v>0</v>
      </c>
      <c r="H48" s="449">
        <v>0</v>
      </c>
      <c r="I48" s="449">
        <v>0</v>
      </c>
      <c r="J48" s="426">
        <v>0</v>
      </c>
      <c r="K48" s="421"/>
      <c r="L48" s="449">
        <v>0</v>
      </c>
      <c r="M48" s="449">
        <v>0</v>
      </c>
      <c r="N48" s="449">
        <v>0</v>
      </c>
      <c r="O48" s="449">
        <v>0</v>
      </c>
      <c r="P48" s="449">
        <v>0</v>
      </c>
      <c r="Q48" s="449">
        <v>0</v>
      </c>
      <c r="R48" s="449">
        <v>0</v>
      </c>
      <c r="S48" s="449">
        <v>0</v>
      </c>
      <c r="T48" s="449">
        <v>0</v>
      </c>
      <c r="U48" s="449">
        <v>0</v>
      </c>
      <c r="V48" s="449">
        <v>0</v>
      </c>
      <c r="W48" s="449">
        <v>0</v>
      </c>
      <c r="X48" s="449"/>
      <c r="Y48" s="449">
        <v>0</v>
      </c>
      <c r="Z48" s="501"/>
      <c r="AA48" s="449">
        <v>0</v>
      </c>
      <c r="AB48" s="449">
        <v>0</v>
      </c>
      <c r="AC48" s="449">
        <v>0</v>
      </c>
      <c r="AD48" s="449">
        <v>0</v>
      </c>
      <c r="AE48" s="449">
        <v>0</v>
      </c>
      <c r="AF48" s="449">
        <v>0</v>
      </c>
      <c r="AG48" s="449">
        <v>0</v>
      </c>
      <c r="AH48" s="449">
        <v>0</v>
      </c>
      <c r="AI48" s="449">
        <v>0</v>
      </c>
      <c r="AJ48" s="449">
        <v>0</v>
      </c>
      <c r="AK48" s="449">
        <v>0</v>
      </c>
      <c r="AL48" s="449">
        <v>0</v>
      </c>
      <c r="AM48" s="400"/>
      <c r="AN48" s="500">
        <v>0</v>
      </c>
      <c r="AO48" s="449">
        <v>0</v>
      </c>
      <c r="AP48" s="449">
        <v>0</v>
      </c>
      <c r="AQ48" s="453" t="s">
        <v>1519</v>
      </c>
      <c r="AR48" s="449">
        <v>0</v>
      </c>
      <c r="AS48" s="449">
        <v>0</v>
      </c>
      <c r="AT48" s="426">
        <v>0</v>
      </c>
      <c r="AU48" s="421"/>
      <c r="AV48" s="449">
        <v>0</v>
      </c>
      <c r="AW48" s="449">
        <v>0</v>
      </c>
      <c r="AX48" s="449">
        <v>0</v>
      </c>
      <c r="AY48" s="449">
        <v>0</v>
      </c>
      <c r="AZ48" s="449">
        <v>0</v>
      </c>
      <c r="BA48" s="449">
        <v>0</v>
      </c>
      <c r="BB48" s="449">
        <v>0</v>
      </c>
      <c r="BC48" s="449">
        <v>0</v>
      </c>
      <c r="BD48" s="449">
        <v>0</v>
      </c>
      <c r="BE48" s="449">
        <v>0</v>
      </c>
      <c r="BF48" s="449">
        <v>0</v>
      </c>
      <c r="BG48" s="449">
        <v>0</v>
      </c>
      <c r="BH48" s="400"/>
      <c r="BI48" s="449">
        <v>0</v>
      </c>
      <c r="BJ48" s="449">
        <v>0</v>
      </c>
      <c r="BK48" s="449">
        <v>0</v>
      </c>
      <c r="BL48" s="771">
        <v>0</v>
      </c>
      <c r="BM48" s="449">
        <v>0</v>
      </c>
      <c r="BN48" s="449">
        <v>0</v>
      </c>
      <c r="BO48" s="449">
        <v>0</v>
      </c>
      <c r="BP48" s="449">
        <v>0</v>
      </c>
      <c r="BQ48" s="449">
        <v>0</v>
      </c>
      <c r="BR48" s="449">
        <v>0</v>
      </c>
      <c r="BS48" s="449">
        <v>0</v>
      </c>
      <c r="BT48" s="449">
        <v>0</v>
      </c>
    </row>
    <row r="49" spans="1:72" x14ac:dyDescent="0.25">
      <c r="A49" s="502" t="s">
        <v>76</v>
      </c>
      <c r="B49" s="502" t="s">
        <v>77</v>
      </c>
      <c r="C49" s="400"/>
      <c r="D49" s="500">
        <v>0</v>
      </c>
      <c r="E49" s="449">
        <v>0</v>
      </c>
      <c r="F49" s="449">
        <v>0</v>
      </c>
      <c r="G49" s="421">
        <v>0</v>
      </c>
      <c r="H49" s="449">
        <v>0</v>
      </c>
      <c r="I49" s="449">
        <v>0</v>
      </c>
      <c r="J49" s="426">
        <v>0</v>
      </c>
      <c r="K49" s="421"/>
      <c r="L49" s="449">
        <v>0</v>
      </c>
      <c r="M49" s="449">
        <v>0</v>
      </c>
      <c r="N49" s="449">
        <v>0</v>
      </c>
      <c r="O49" s="449">
        <v>0</v>
      </c>
      <c r="P49" s="449">
        <v>0</v>
      </c>
      <c r="Q49" s="449">
        <v>0</v>
      </c>
      <c r="R49" s="449">
        <v>0</v>
      </c>
      <c r="S49" s="449">
        <v>0</v>
      </c>
      <c r="T49" s="449">
        <v>0</v>
      </c>
      <c r="U49" s="449">
        <v>0</v>
      </c>
      <c r="V49" s="449">
        <v>0</v>
      </c>
      <c r="W49" s="449">
        <v>0</v>
      </c>
      <c r="X49" s="449"/>
      <c r="Y49" s="449">
        <v>0</v>
      </c>
      <c r="Z49" s="501"/>
      <c r="AA49" s="449">
        <v>0</v>
      </c>
      <c r="AB49" s="449">
        <v>0</v>
      </c>
      <c r="AC49" s="449">
        <v>0</v>
      </c>
      <c r="AD49" s="449">
        <v>0</v>
      </c>
      <c r="AE49" s="449">
        <v>0</v>
      </c>
      <c r="AF49" s="449">
        <v>0</v>
      </c>
      <c r="AG49" s="449">
        <v>0</v>
      </c>
      <c r="AH49" s="449">
        <v>0</v>
      </c>
      <c r="AI49" s="449">
        <v>0</v>
      </c>
      <c r="AJ49" s="449">
        <v>0</v>
      </c>
      <c r="AK49" s="449">
        <v>0</v>
      </c>
      <c r="AL49" s="449">
        <v>0</v>
      </c>
      <c r="AM49" s="400"/>
      <c r="AN49" s="500">
        <v>0</v>
      </c>
      <c r="AO49" s="449">
        <v>0</v>
      </c>
      <c r="AP49" s="449">
        <v>0</v>
      </c>
      <c r="AQ49" s="453" t="s">
        <v>1519</v>
      </c>
      <c r="AR49" s="449">
        <v>0</v>
      </c>
      <c r="AS49" s="449">
        <v>0</v>
      </c>
      <c r="AT49" s="426">
        <v>0</v>
      </c>
      <c r="AU49" s="421"/>
      <c r="AV49" s="449">
        <v>0</v>
      </c>
      <c r="AW49" s="449">
        <v>0</v>
      </c>
      <c r="AX49" s="449">
        <v>0</v>
      </c>
      <c r="AY49" s="449">
        <v>0</v>
      </c>
      <c r="AZ49" s="449">
        <v>0</v>
      </c>
      <c r="BA49" s="449">
        <v>0</v>
      </c>
      <c r="BB49" s="449">
        <v>0</v>
      </c>
      <c r="BC49" s="449">
        <v>0</v>
      </c>
      <c r="BD49" s="449">
        <v>0</v>
      </c>
      <c r="BE49" s="449">
        <v>0</v>
      </c>
      <c r="BF49" s="449">
        <v>0</v>
      </c>
      <c r="BG49" s="449">
        <v>0</v>
      </c>
      <c r="BH49" s="400"/>
      <c r="BI49" s="449">
        <v>0</v>
      </c>
      <c r="BJ49" s="449">
        <v>0</v>
      </c>
      <c r="BK49" s="449">
        <v>0</v>
      </c>
      <c r="BL49" s="771">
        <v>0</v>
      </c>
      <c r="BM49" s="449">
        <v>0</v>
      </c>
      <c r="BN49" s="449">
        <v>0</v>
      </c>
      <c r="BO49" s="449">
        <v>0</v>
      </c>
      <c r="BP49" s="449">
        <v>0</v>
      </c>
      <c r="BQ49" s="449">
        <v>0</v>
      </c>
      <c r="BR49" s="449">
        <v>0</v>
      </c>
      <c r="BS49" s="449">
        <v>0</v>
      </c>
      <c r="BT49" s="449">
        <v>0</v>
      </c>
    </row>
    <row r="50" spans="1:72" x14ac:dyDescent="0.25">
      <c r="A50" s="591"/>
      <c r="B50" s="592" t="s">
        <v>78</v>
      </c>
      <c r="C50" s="400"/>
      <c r="D50" s="503">
        <v>24000</v>
      </c>
      <c r="E50" s="504">
        <v>54000</v>
      </c>
      <c r="F50" s="504">
        <v>-30000</v>
      </c>
      <c r="G50" s="505">
        <v>-0.55555555555555558</v>
      </c>
      <c r="H50" s="504">
        <v>24000</v>
      </c>
      <c r="I50" s="504">
        <v>0</v>
      </c>
      <c r="J50" s="506">
        <v>0</v>
      </c>
      <c r="K50" s="507"/>
      <c r="L50" s="504">
        <v>0</v>
      </c>
      <c r="M50" s="504">
        <v>2755.63</v>
      </c>
      <c r="N50" s="504">
        <v>0</v>
      </c>
      <c r="O50" s="504">
        <v>0</v>
      </c>
      <c r="P50" s="504">
        <v>0</v>
      </c>
      <c r="Q50" s="504">
        <v>0</v>
      </c>
      <c r="R50" s="504">
        <v>3540.728333333333</v>
      </c>
      <c r="S50" s="504">
        <v>3540.7283333333335</v>
      </c>
      <c r="T50" s="504">
        <v>3540.7283333333335</v>
      </c>
      <c r="U50" s="504">
        <v>3540.7283333333339</v>
      </c>
      <c r="V50" s="504">
        <v>3540.7283333333344</v>
      </c>
      <c r="W50" s="504">
        <v>3540.7283333333326</v>
      </c>
      <c r="X50" s="504"/>
      <c r="Y50" s="504">
        <v>24000</v>
      </c>
      <c r="Z50" s="508"/>
      <c r="AA50" s="504">
        <v>2000</v>
      </c>
      <c r="AB50" s="504">
        <v>2000</v>
      </c>
      <c r="AC50" s="504">
        <v>2000</v>
      </c>
      <c r="AD50" s="504">
        <v>2000</v>
      </c>
      <c r="AE50" s="504">
        <v>2000</v>
      </c>
      <c r="AF50" s="504">
        <v>2000</v>
      </c>
      <c r="AG50" s="504">
        <v>2000</v>
      </c>
      <c r="AH50" s="504">
        <v>2000</v>
      </c>
      <c r="AI50" s="504">
        <v>2000</v>
      </c>
      <c r="AJ50" s="504">
        <v>2000</v>
      </c>
      <c r="AK50" s="504">
        <v>2000</v>
      </c>
      <c r="AL50" s="504">
        <v>2000</v>
      </c>
      <c r="AM50" s="400"/>
      <c r="AN50" s="503">
        <v>24000</v>
      </c>
      <c r="AO50" s="504">
        <v>26390.361445783132</v>
      </c>
      <c r="AP50" s="504">
        <v>2390.3614457831318</v>
      </c>
      <c r="AQ50" s="509">
        <v>9.9598393574297159E-2</v>
      </c>
      <c r="AR50" s="504">
        <v>26390.361445783132</v>
      </c>
      <c r="AS50" s="504">
        <v>0</v>
      </c>
      <c r="AT50" s="506">
        <v>0</v>
      </c>
      <c r="AU50" s="507"/>
      <c r="AV50" s="504">
        <v>2199.1967871485945</v>
      </c>
      <c r="AW50" s="504">
        <v>2199.1967871485945</v>
      </c>
      <c r="AX50" s="504">
        <v>2199.1967871485945</v>
      </c>
      <c r="AY50" s="504">
        <v>2199.1967871485945</v>
      </c>
      <c r="AZ50" s="504">
        <v>2199.1967871485945</v>
      </c>
      <c r="BA50" s="504">
        <v>2199.1967871485945</v>
      </c>
      <c r="BB50" s="504">
        <v>2199.1967871485945</v>
      </c>
      <c r="BC50" s="504">
        <v>2199.1967871485945</v>
      </c>
      <c r="BD50" s="504">
        <v>2199.1967871485945</v>
      </c>
      <c r="BE50" s="504">
        <v>2199.1967871485945</v>
      </c>
      <c r="BF50" s="504">
        <v>2199.1967871485945</v>
      </c>
      <c r="BG50" s="504">
        <v>2199.1967871485945</v>
      </c>
      <c r="BH50" s="508"/>
      <c r="BI50" s="504">
        <v>2199.1967871485945</v>
      </c>
      <c r="BJ50" s="504">
        <v>2199.1967871485945</v>
      </c>
      <c r="BK50" s="504">
        <v>2199.1967871485945</v>
      </c>
      <c r="BL50" s="772">
        <v>2199.1967871485945</v>
      </c>
      <c r="BM50" s="504">
        <v>2199.1967871485945</v>
      </c>
      <c r="BN50" s="504">
        <v>2199.1967871485945</v>
      </c>
      <c r="BO50" s="504">
        <v>2199.1967871485945</v>
      </c>
      <c r="BP50" s="504">
        <v>2199.1967871485945</v>
      </c>
      <c r="BQ50" s="504">
        <v>2199.1967871485945</v>
      </c>
      <c r="BR50" s="504">
        <v>2199.1967871485945</v>
      </c>
      <c r="BS50" s="504">
        <v>2199.1967871485945</v>
      </c>
      <c r="BT50" s="504">
        <v>2199.1967871485945</v>
      </c>
    </row>
    <row r="51" spans="1:72" x14ac:dyDescent="0.25">
      <c r="A51" s="587"/>
      <c r="B51" s="502"/>
      <c r="C51" s="400"/>
      <c r="D51" s="512"/>
      <c r="E51" s="418"/>
      <c r="F51" s="513"/>
      <c r="G51" s="514"/>
      <c r="H51" s="418"/>
      <c r="I51" s="513"/>
      <c r="J51" s="515"/>
      <c r="K51" s="514"/>
      <c r="L51" s="513"/>
      <c r="M51" s="513"/>
      <c r="N51" s="513"/>
      <c r="O51" s="513"/>
      <c r="P51" s="513"/>
      <c r="Q51" s="513"/>
      <c r="R51" s="513"/>
      <c r="S51" s="513"/>
      <c r="T51" s="513"/>
      <c r="U51" s="513"/>
      <c r="V51" s="513"/>
      <c r="W51" s="513"/>
      <c r="X51" s="513"/>
      <c r="Y51" s="513"/>
      <c r="Z51" s="516"/>
      <c r="AA51" s="513"/>
      <c r="AB51" s="513"/>
      <c r="AC51" s="513"/>
      <c r="AD51" s="513"/>
      <c r="AE51" s="513"/>
      <c r="AF51" s="513"/>
      <c r="AG51" s="513"/>
      <c r="AH51" s="513"/>
      <c r="AI51" s="513"/>
      <c r="AJ51" s="513"/>
      <c r="AK51" s="513"/>
      <c r="AL51" s="513"/>
      <c r="AM51" s="400"/>
      <c r="AN51" s="512"/>
      <c r="AO51" s="418"/>
      <c r="AP51" s="513"/>
      <c r="AQ51" s="517"/>
      <c r="AR51" s="418"/>
      <c r="AS51" s="513"/>
      <c r="AT51" s="515"/>
      <c r="AU51" s="514"/>
      <c r="AV51" s="513"/>
      <c r="AW51" s="513"/>
      <c r="AX51" s="513"/>
      <c r="AY51" s="513"/>
      <c r="AZ51" s="513"/>
      <c r="BA51" s="513"/>
      <c r="BB51" s="513"/>
      <c r="BC51" s="513"/>
      <c r="BD51" s="513"/>
      <c r="BE51" s="513"/>
      <c r="BF51" s="513"/>
      <c r="BG51" s="513"/>
      <c r="BH51" s="516"/>
      <c r="BI51" s="513"/>
      <c r="BJ51" s="513"/>
      <c r="BK51" s="513"/>
      <c r="BL51" s="774"/>
      <c r="BM51" s="513"/>
      <c r="BN51" s="513"/>
      <c r="BO51" s="513"/>
      <c r="BP51" s="513"/>
      <c r="BQ51" s="513"/>
      <c r="BR51" s="513"/>
      <c r="BS51" s="513"/>
      <c r="BT51" s="513"/>
    </row>
    <row r="52" spans="1:72" x14ac:dyDescent="0.25">
      <c r="A52" s="502" t="s">
        <v>79</v>
      </c>
      <c r="B52" s="502" t="s">
        <v>80</v>
      </c>
      <c r="C52" s="400"/>
      <c r="D52" s="500">
        <v>0</v>
      </c>
      <c r="E52" s="418">
        <v>0</v>
      </c>
      <c r="F52" s="449">
        <v>0</v>
      </c>
      <c r="G52" s="421">
        <v>0</v>
      </c>
      <c r="H52" s="418">
        <v>0</v>
      </c>
      <c r="I52" s="449">
        <v>0</v>
      </c>
      <c r="J52" s="426">
        <v>0</v>
      </c>
      <c r="K52" s="421"/>
      <c r="L52" s="449">
        <v>0</v>
      </c>
      <c r="M52" s="449">
        <v>0</v>
      </c>
      <c r="N52" s="449">
        <v>0</v>
      </c>
      <c r="O52" s="449">
        <v>0</v>
      </c>
      <c r="P52" s="449">
        <v>0</v>
      </c>
      <c r="Q52" s="449">
        <v>0</v>
      </c>
      <c r="R52" s="449">
        <v>0</v>
      </c>
      <c r="S52" s="449">
        <v>0</v>
      </c>
      <c r="T52" s="449">
        <v>0</v>
      </c>
      <c r="U52" s="449">
        <v>0</v>
      </c>
      <c r="V52" s="449">
        <v>0</v>
      </c>
      <c r="W52" s="449">
        <v>0</v>
      </c>
      <c r="X52" s="449"/>
      <c r="Y52" s="418">
        <v>0</v>
      </c>
      <c r="Z52" s="511"/>
      <c r="AA52" s="449">
        <v>0</v>
      </c>
      <c r="AB52" s="449">
        <v>0</v>
      </c>
      <c r="AC52" s="449">
        <v>0</v>
      </c>
      <c r="AD52" s="449">
        <v>0</v>
      </c>
      <c r="AE52" s="449">
        <v>0</v>
      </c>
      <c r="AF52" s="449">
        <v>0</v>
      </c>
      <c r="AG52" s="449">
        <v>0</v>
      </c>
      <c r="AH52" s="449">
        <v>0</v>
      </c>
      <c r="AI52" s="449">
        <v>0</v>
      </c>
      <c r="AJ52" s="449">
        <v>0</v>
      </c>
      <c r="AK52" s="449">
        <v>0</v>
      </c>
      <c r="AL52" s="449">
        <v>0</v>
      </c>
      <c r="AM52" s="400"/>
      <c r="AN52" s="500">
        <v>0</v>
      </c>
      <c r="AO52" s="418">
        <v>0</v>
      </c>
      <c r="AP52" s="449">
        <v>0</v>
      </c>
      <c r="AQ52" s="453" t="s">
        <v>1519</v>
      </c>
      <c r="AR52" s="418">
        <v>0</v>
      </c>
      <c r="AS52" s="449">
        <v>0</v>
      </c>
      <c r="AT52" s="426">
        <v>0</v>
      </c>
      <c r="AU52" s="421"/>
      <c r="AV52" s="449">
        <v>0</v>
      </c>
      <c r="AW52" s="449">
        <v>0</v>
      </c>
      <c r="AX52" s="449">
        <v>0</v>
      </c>
      <c r="AY52" s="449">
        <v>0</v>
      </c>
      <c r="AZ52" s="449">
        <v>0</v>
      </c>
      <c r="BA52" s="449">
        <v>0</v>
      </c>
      <c r="BB52" s="449">
        <v>0</v>
      </c>
      <c r="BC52" s="449">
        <v>0</v>
      </c>
      <c r="BD52" s="449">
        <v>0</v>
      </c>
      <c r="BE52" s="449">
        <v>0</v>
      </c>
      <c r="BF52" s="449">
        <v>0</v>
      </c>
      <c r="BG52" s="449">
        <v>0</v>
      </c>
      <c r="BH52" s="400"/>
      <c r="BI52" s="449">
        <v>0</v>
      </c>
      <c r="BJ52" s="449">
        <v>0</v>
      </c>
      <c r="BK52" s="449">
        <v>0</v>
      </c>
      <c r="BL52" s="771">
        <v>0</v>
      </c>
      <c r="BM52" s="449">
        <v>0</v>
      </c>
      <c r="BN52" s="449">
        <v>0</v>
      </c>
      <c r="BO52" s="449">
        <v>0</v>
      </c>
      <c r="BP52" s="449">
        <v>0</v>
      </c>
      <c r="BQ52" s="449">
        <v>0</v>
      </c>
      <c r="BR52" s="449">
        <v>0</v>
      </c>
      <c r="BS52" s="449">
        <v>0</v>
      </c>
      <c r="BT52" s="449">
        <v>0</v>
      </c>
    </row>
    <row r="53" spans="1:72" x14ac:dyDescent="0.25">
      <c r="A53" s="591"/>
      <c r="B53" s="592" t="s">
        <v>81</v>
      </c>
      <c r="C53" s="400"/>
      <c r="D53" s="503">
        <v>0</v>
      </c>
      <c r="E53" s="504">
        <v>0</v>
      </c>
      <c r="F53" s="504">
        <v>0</v>
      </c>
      <c r="G53" s="505">
        <v>0</v>
      </c>
      <c r="H53" s="504">
        <v>0</v>
      </c>
      <c r="I53" s="504">
        <v>0</v>
      </c>
      <c r="J53" s="506">
        <v>0</v>
      </c>
      <c r="K53" s="507"/>
      <c r="L53" s="504">
        <v>0</v>
      </c>
      <c r="M53" s="504">
        <v>0</v>
      </c>
      <c r="N53" s="504">
        <v>0</v>
      </c>
      <c r="O53" s="504">
        <v>0</v>
      </c>
      <c r="P53" s="504">
        <v>0</v>
      </c>
      <c r="Q53" s="504">
        <v>0</v>
      </c>
      <c r="R53" s="504">
        <v>0</v>
      </c>
      <c r="S53" s="504">
        <v>0</v>
      </c>
      <c r="T53" s="504">
        <v>0</v>
      </c>
      <c r="U53" s="504">
        <v>0</v>
      </c>
      <c r="V53" s="504">
        <v>0</v>
      </c>
      <c r="W53" s="504">
        <v>0</v>
      </c>
      <c r="X53" s="504"/>
      <c r="Y53" s="504">
        <v>0</v>
      </c>
      <c r="Z53" s="508"/>
      <c r="AA53" s="504">
        <v>0</v>
      </c>
      <c r="AB53" s="504">
        <v>0</v>
      </c>
      <c r="AC53" s="504">
        <v>0</v>
      </c>
      <c r="AD53" s="504">
        <v>0</v>
      </c>
      <c r="AE53" s="504">
        <v>0</v>
      </c>
      <c r="AF53" s="504">
        <v>0</v>
      </c>
      <c r="AG53" s="504">
        <v>0</v>
      </c>
      <c r="AH53" s="504">
        <v>0</v>
      </c>
      <c r="AI53" s="504">
        <v>0</v>
      </c>
      <c r="AJ53" s="504">
        <v>0</v>
      </c>
      <c r="AK53" s="504">
        <v>0</v>
      </c>
      <c r="AL53" s="504">
        <v>0</v>
      </c>
      <c r="AM53" s="400"/>
      <c r="AN53" s="503">
        <v>0</v>
      </c>
      <c r="AO53" s="504">
        <v>0</v>
      </c>
      <c r="AP53" s="504">
        <v>0</v>
      </c>
      <c r="AQ53" s="509" t="s">
        <v>1519</v>
      </c>
      <c r="AR53" s="504">
        <v>0</v>
      </c>
      <c r="AS53" s="504">
        <v>0</v>
      </c>
      <c r="AT53" s="506">
        <v>0</v>
      </c>
      <c r="AU53" s="507"/>
      <c r="AV53" s="504">
        <v>0</v>
      </c>
      <c r="AW53" s="504">
        <v>0</v>
      </c>
      <c r="AX53" s="504">
        <v>0</v>
      </c>
      <c r="AY53" s="504">
        <v>0</v>
      </c>
      <c r="AZ53" s="504">
        <v>0</v>
      </c>
      <c r="BA53" s="504">
        <v>0</v>
      </c>
      <c r="BB53" s="504">
        <v>0</v>
      </c>
      <c r="BC53" s="504">
        <v>0</v>
      </c>
      <c r="BD53" s="504">
        <v>0</v>
      </c>
      <c r="BE53" s="504">
        <v>0</v>
      </c>
      <c r="BF53" s="504">
        <v>0</v>
      </c>
      <c r="BG53" s="504">
        <v>0</v>
      </c>
      <c r="BH53" s="508"/>
      <c r="BI53" s="504">
        <v>0</v>
      </c>
      <c r="BJ53" s="504">
        <v>0</v>
      </c>
      <c r="BK53" s="504">
        <v>0</v>
      </c>
      <c r="BL53" s="772">
        <v>0</v>
      </c>
      <c r="BM53" s="504">
        <v>0</v>
      </c>
      <c r="BN53" s="504">
        <v>0</v>
      </c>
      <c r="BO53" s="504">
        <v>0</v>
      </c>
      <c r="BP53" s="504">
        <v>0</v>
      </c>
      <c r="BQ53" s="504">
        <v>0</v>
      </c>
      <c r="BR53" s="504">
        <v>0</v>
      </c>
      <c r="BS53" s="504">
        <v>0</v>
      </c>
      <c r="BT53" s="504">
        <v>0</v>
      </c>
    </row>
    <row r="54" spans="1:72" x14ac:dyDescent="0.25">
      <c r="A54" s="406"/>
      <c r="B54" s="524"/>
      <c r="C54" s="400"/>
      <c r="D54" s="510"/>
      <c r="E54" s="418"/>
      <c r="F54" s="418"/>
      <c r="G54" s="421"/>
      <c r="H54" s="418"/>
      <c r="I54" s="418"/>
      <c r="J54" s="426"/>
      <c r="K54" s="421"/>
      <c r="L54" s="418"/>
      <c r="M54" s="418"/>
      <c r="N54" s="418"/>
      <c r="O54" s="418"/>
      <c r="P54" s="418"/>
      <c r="Q54" s="418"/>
      <c r="R54" s="418"/>
      <c r="S54" s="418"/>
      <c r="T54" s="418"/>
      <c r="U54" s="418"/>
      <c r="V54" s="418"/>
      <c r="W54" s="418"/>
      <c r="X54" s="418"/>
      <c r="Y54" s="418"/>
      <c r="Z54" s="511"/>
      <c r="AA54" s="418"/>
      <c r="AB54" s="418"/>
      <c r="AC54" s="418"/>
      <c r="AD54" s="418"/>
      <c r="AE54" s="418"/>
      <c r="AF54" s="418"/>
      <c r="AG54" s="418"/>
      <c r="AH54" s="418"/>
      <c r="AI54" s="418"/>
      <c r="AJ54" s="418"/>
      <c r="AK54" s="418"/>
      <c r="AL54" s="418"/>
      <c r="AM54" s="400"/>
      <c r="AN54" s="510"/>
      <c r="AO54" s="418"/>
      <c r="AP54" s="418"/>
      <c r="AQ54" s="453"/>
      <c r="AR54" s="418"/>
      <c r="AS54" s="418"/>
      <c r="AT54" s="426"/>
      <c r="AU54" s="421"/>
      <c r="AV54" s="418"/>
      <c r="AW54" s="418"/>
      <c r="AX54" s="418"/>
      <c r="AY54" s="418"/>
      <c r="AZ54" s="418"/>
      <c r="BA54" s="418"/>
      <c r="BB54" s="418"/>
      <c r="BC54" s="418"/>
      <c r="BD54" s="418"/>
      <c r="BE54" s="418"/>
      <c r="BF54" s="418"/>
      <c r="BG54" s="418"/>
      <c r="BH54" s="511"/>
      <c r="BI54" s="418"/>
      <c r="BJ54" s="418"/>
      <c r="BK54" s="418"/>
      <c r="BL54" s="773"/>
      <c r="BM54" s="418"/>
      <c r="BN54" s="418"/>
      <c r="BO54" s="418"/>
      <c r="BP54" s="418"/>
      <c r="BQ54" s="418"/>
      <c r="BR54" s="418"/>
      <c r="BS54" s="418"/>
      <c r="BT54" s="418"/>
    </row>
    <row r="55" spans="1:72" ht="15.75" thickBot="1" x14ac:dyDescent="0.3">
      <c r="A55" s="593"/>
      <c r="B55" s="594" t="s">
        <v>82</v>
      </c>
      <c r="C55" s="400"/>
      <c r="D55" s="518">
        <v>10334814.619999999</v>
      </c>
      <c r="E55" s="519">
        <v>10116177.743999999</v>
      </c>
      <c r="F55" s="519">
        <v>218636.87600000016</v>
      </c>
      <c r="G55" s="520">
        <v>2.1612597320136626E-2</v>
      </c>
      <c r="H55" s="519">
        <v>10267505</v>
      </c>
      <c r="I55" s="519">
        <v>67309.61999999918</v>
      </c>
      <c r="J55" s="521">
        <v>6.555596515414327E-3</v>
      </c>
      <c r="K55" s="507"/>
      <c r="L55" s="519">
        <v>730312.75</v>
      </c>
      <c r="M55" s="519">
        <v>848075.79999999993</v>
      </c>
      <c r="N55" s="519">
        <v>965802.55000000016</v>
      </c>
      <c r="O55" s="519">
        <v>842328.11999999988</v>
      </c>
      <c r="P55" s="519">
        <v>761610.75999999966</v>
      </c>
      <c r="Q55" s="519">
        <v>951866.68000000028</v>
      </c>
      <c r="R55" s="519">
        <v>872469.66000000015</v>
      </c>
      <c r="S55" s="519">
        <v>872469.66000000015</v>
      </c>
      <c r="T55" s="519">
        <v>872469.66000000015</v>
      </c>
      <c r="U55" s="519">
        <v>872469.66000000015</v>
      </c>
      <c r="V55" s="519">
        <v>872469.66000000015</v>
      </c>
      <c r="W55" s="519">
        <v>872469.66000000061</v>
      </c>
      <c r="X55" s="519"/>
      <c r="Y55" s="519">
        <v>10334814.620000001</v>
      </c>
      <c r="Z55" s="522"/>
      <c r="AA55" s="519">
        <v>855625.41666666674</v>
      </c>
      <c r="AB55" s="519">
        <v>855625.41666666674</v>
      </c>
      <c r="AC55" s="519">
        <v>855625.41666666674</v>
      </c>
      <c r="AD55" s="519">
        <v>855625.41666666674</v>
      </c>
      <c r="AE55" s="519">
        <v>855625.41666666674</v>
      </c>
      <c r="AF55" s="519">
        <v>855625.41666666674</v>
      </c>
      <c r="AG55" s="519">
        <v>855625.41666666674</v>
      </c>
      <c r="AH55" s="519">
        <v>855625.41666666674</v>
      </c>
      <c r="AI55" s="519">
        <v>855625.41666666674</v>
      </c>
      <c r="AJ55" s="519">
        <v>855625.41666666674</v>
      </c>
      <c r="AK55" s="519">
        <v>855625.41666666674</v>
      </c>
      <c r="AL55" s="519">
        <v>855625.41666666674</v>
      </c>
      <c r="AM55" s="400"/>
      <c r="AN55" s="518">
        <v>10334814.619999999</v>
      </c>
      <c r="AO55" s="519">
        <v>11291376.092806049</v>
      </c>
      <c r="AP55" s="519">
        <v>956561.47280604951</v>
      </c>
      <c r="AQ55" s="523">
        <v>9.2557197006214856E-2</v>
      </c>
      <c r="AR55" s="519">
        <v>11291376.092806049</v>
      </c>
      <c r="AS55" s="519">
        <v>0</v>
      </c>
      <c r="AT55" s="521">
        <v>0</v>
      </c>
      <c r="AU55" s="507"/>
      <c r="AV55" s="519">
        <v>945502.01805043709</v>
      </c>
      <c r="AW55" s="519">
        <v>1012715.3424023904</v>
      </c>
      <c r="AX55" s="519">
        <v>926015.07323532214</v>
      </c>
      <c r="AY55" s="519">
        <v>946015.07323532214</v>
      </c>
      <c r="AZ55" s="519">
        <v>930019.07323532214</v>
      </c>
      <c r="BA55" s="519">
        <v>926015.07323532214</v>
      </c>
      <c r="BB55" s="519">
        <v>926015.07323532214</v>
      </c>
      <c r="BC55" s="519">
        <v>930019.07323532214</v>
      </c>
      <c r="BD55" s="519">
        <v>971015.07323532214</v>
      </c>
      <c r="BE55" s="519">
        <v>926015.07323532214</v>
      </c>
      <c r="BF55" s="519">
        <v>926015.07323532214</v>
      </c>
      <c r="BG55" s="519">
        <v>926015.07323532214</v>
      </c>
      <c r="BH55" s="522"/>
      <c r="BI55" s="519">
        <v>945502.01805043709</v>
      </c>
      <c r="BJ55" s="519">
        <v>1012715.3424023904</v>
      </c>
      <c r="BK55" s="519">
        <v>926015.07323532214</v>
      </c>
      <c r="BL55" s="775">
        <v>946015.07323532214</v>
      </c>
      <c r="BM55" s="519">
        <v>930019.07323532214</v>
      </c>
      <c r="BN55" s="519">
        <v>926015.07323532214</v>
      </c>
      <c r="BO55" s="519">
        <v>926015.07323532214</v>
      </c>
      <c r="BP55" s="519">
        <v>930019.07323532214</v>
      </c>
      <c r="BQ55" s="519">
        <v>971015.07323532214</v>
      </c>
      <c r="BR55" s="519">
        <v>926015.07323532214</v>
      </c>
      <c r="BS55" s="519">
        <v>926015.07323532214</v>
      </c>
      <c r="BT55" s="519">
        <v>926015.07323532214</v>
      </c>
    </row>
    <row r="56" spans="1:72" ht="15.75" thickTop="1" x14ac:dyDescent="0.25">
      <c r="A56" s="526"/>
      <c r="B56" s="526"/>
      <c r="C56" s="535"/>
      <c r="D56" s="497"/>
      <c r="E56" s="418"/>
      <c r="F56" s="487"/>
      <c r="G56" s="492"/>
      <c r="H56" s="418"/>
      <c r="I56" s="487"/>
      <c r="J56" s="491"/>
      <c r="K56" s="492"/>
      <c r="L56" s="487"/>
      <c r="M56" s="487"/>
      <c r="N56" s="487"/>
      <c r="O56" s="487"/>
      <c r="P56" s="487"/>
      <c r="Q56" s="487"/>
      <c r="R56" s="487"/>
      <c r="S56" s="487"/>
      <c r="T56" s="487"/>
      <c r="U56" s="487"/>
      <c r="V56" s="487"/>
      <c r="W56" s="487"/>
      <c r="X56" s="487"/>
      <c r="Y56" s="487"/>
      <c r="Z56" s="496"/>
      <c r="AA56" s="487"/>
      <c r="AB56" s="487"/>
      <c r="AC56" s="487"/>
      <c r="AD56" s="487"/>
      <c r="AE56" s="487"/>
      <c r="AF56" s="487"/>
      <c r="AG56" s="487"/>
      <c r="AH56" s="487"/>
      <c r="AI56" s="487"/>
      <c r="AJ56" s="487"/>
      <c r="AK56" s="487"/>
      <c r="AL56" s="487"/>
      <c r="AM56" s="400"/>
      <c r="AN56" s="497"/>
      <c r="AO56" s="418"/>
      <c r="AP56" s="487"/>
      <c r="AQ56" s="499"/>
      <c r="AR56" s="418"/>
      <c r="AS56" s="487"/>
      <c r="AT56" s="491"/>
      <c r="AU56" s="492"/>
      <c r="AV56" s="487"/>
      <c r="AW56" s="487"/>
      <c r="AX56" s="487"/>
      <c r="AY56" s="487"/>
      <c r="AZ56" s="487"/>
      <c r="BA56" s="487"/>
      <c r="BB56" s="487"/>
      <c r="BC56" s="487"/>
      <c r="BD56" s="487"/>
      <c r="BE56" s="487"/>
      <c r="BF56" s="487"/>
      <c r="BG56" s="487"/>
      <c r="BH56" s="496"/>
      <c r="BI56" s="487"/>
      <c r="BJ56" s="487"/>
      <c r="BK56" s="487"/>
      <c r="BL56" s="776"/>
      <c r="BM56" s="487"/>
      <c r="BN56" s="487"/>
      <c r="BO56" s="487"/>
      <c r="BP56" s="487"/>
      <c r="BQ56" s="487"/>
      <c r="BR56" s="487"/>
      <c r="BS56" s="487"/>
      <c r="BT56" s="487"/>
    </row>
    <row r="57" spans="1:72" x14ac:dyDescent="0.25">
      <c r="A57" s="524" t="s">
        <v>83</v>
      </c>
      <c r="B57" s="400"/>
      <c r="C57" s="400"/>
      <c r="D57" s="512"/>
      <c r="E57" s="418"/>
      <c r="F57" s="513"/>
      <c r="G57" s="514"/>
      <c r="H57" s="418"/>
      <c r="I57" s="513"/>
      <c r="J57" s="515"/>
      <c r="K57" s="514"/>
      <c r="L57" s="513"/>
      <c r="M57" s="513"/>
      <c r="N57" s="513"/>
      <c r="O57" s="513"/>
      <c r="P57" s="513"/>
      <c r="Q57" s="513"/>
      <c r="R57" s="513"/>
      <c r="S57" s="513"/>
      <c r="T57" s="513"/>
      <c r="U57" s="513"/>
      <c r="V57" s="513"/>
      <c r="W57" s="513"/>
      <c r="X57" s="513"/>
      <c r="Y57" s="513"/>
      <c r="Z57" s="516"/>
      <c r="AA57" s="513"/>
      <c r="AB57" s="513"/>
      <c r="AC57" s="513"/>
      <c r="AD57" s="513"/>
      <c r="AE57" s="513"/>
      <c r="AF57" s="513"/>
      <c r="AG57" s="513"/>
      <c r="AH57" s="513"/>
      <c r="AI57" s="513"/>
      <c r="AJ57" s="513"/>
      <c r="AK57" s="513"/>
      <c r="AL57" s="513"/>
      <c r="AM57" s="400"/>
      <c r="AN57" s="512"/>
      <c r="AO57" s="418"/>
      <c r="AP57" s="513"/>
      <c r="AQ57" s="517"/>
      <c r="AR57" s="418"/>
      <c r="AS57" s="513"/>
      <c r="AT57" s="515"/>
      <c r="AU57" s="514"/>
      <c r="AV57" s="513"/>
      <c r="AW57" s="513"/>
      <c r="AX57" s="513"/>
      <c r="AY57" s="513"/>
      <c r="AZ57" s="513"/>
      <c r="BA57" s="513"/>
      <c r="BB57" s="513"/>
      <c r="BC57" s="513"/>
      <c r="BD57" s="513"/>
      <c r="BE57" s="513"/>
      <c r="BF57" s="513"/>
      <c r="BG57" s="513"/>
      <c r="BH57" s="516"/>
      <c r="BI57" s="513"/>
      <c r="BJ57" s="513"/>
      <c r="BK57" s="513"/>
      <c r="BL57" s="774"/>
      <c r="BM57" s="513"/>
      <c r="BN57" s="513"/>
      <c r="BO57" s="513"/>
      <c r="BP57" s="513"/>
      <c r="BQ57" s="513"/>
      <c r="BR57" s="513"/>
      <c r="BS57" s="513"/>
      <c r="BT57" s="513"/>
    </row>
    <row r="58" spans="1:72" ht="7.5" customHeight="1" x14ac:dyDescent="0.25">
      <c r="A58" s="524"/>
      <c r="B58" s="400"/>
      <c r="C58" s="400"/>
      <c r="D58" s="512"/>
      <c r="E58" s="418"/>
      <c r="F58" s="513"/>
      <c r="G58" s="514"/>
      <c r="H58" s="418"/>
      <c r="I58" s="513"/>
      <c r="J58" s="515"/>
      <c r="K58" s="514"/>
      <c r="L58" s="513"/>
      <c r="M58" s="513"/>
      <c r="N58" s="513"/>
      <c r="O58" s="513"/>
      <c r="P58" s="513"/>
      <c r="Q58" s="513"/>
      <c r="R58" s="513"/>
      <c r="S58" s="513"/>
      <c r="T58" s="513"/>
      <c r="U58" s="513"/>
      <c r="V58" s="513"/>
      <c r="W58" s="513"/>
      <c r="X58" s="513"/>
      <c r="Y58" s="513"/>
      <c r="Z58" s="516"/>
      <c r="AA58" s="513"/>
      <c r="AB58" s="513"/>
      <c r="AC58" s="513"/>
      <c r="AD58" s="513"/>
      <c r="AE58" s="513"/>
      <c r="AF58" s="513"/>
      <c r="AG58" s="513"/>
      <c r="AH58" s="513"/>
      <c r="AI58" s="513"/>
      <c r="AJ58" s="513"/>
      <c r="AK58" s="513"/>
      <c r="AL58" s="513"/>
      <c r="AM58" s="400"/>
      <c r="AN58" s="512"/>
      <c r="AO58" s="418"/>
      <c r="AP58" s="513"/>
      <c r="AQ58" s="517"/>
      <c r="AR58" s="418"/>
      <c r="AS58" s="513"/>
      <c r="AT58" s="515"/>
      <c r="AU58" s="514"/>
      <c r="AV58" s="513"/>
      <c r="AW58" s="513"/>
      <c r="AX58" s="513"/>
      <c r="AY58" s="513"/>
      <c r="AZ58" s="513"/>
      <c r="BA58" s="513"/>
      <c r="BB58" s="513"/>
      <c r="BC58" s="513"/>
      <c r="BD58" s="513"/>
      <c r="BE58" s="513"/>
      <c r="BF58" s="513"/>
      <c r="BG58" s="513"/>
      <c r="BH58" s="516"/>
      <c r="BI58" s="513"/>
      <c r="BJ58" s="513"/>
      <c r="BK58" s="513"/>
      <c r="BL58" s="774"/>
      <c r="BM58" s="513"/>
      <c r="BN58" s="513"/>
      <c r="BO58" s="513"/>
      <c r="BP58" s="513"/>
      <c r="BQ58" s="513"/>
      <c r="BR58" s="513"/>
      <c r="BS58" s="513"/>
      <c r="BT58" s="513"/>
    </row>
    <row r="59" spans="1:72" ht="15.75" x14ac:dyDescent="0.25">
      <c r="A59" s="587"/>
      <c r="B59" s="525" t="s">
        <v>84</v>
      </c>
      <c r="C59" s="400"/>
      <c r="D59" s="512"/>
      <c r="E59" s="418"/>
      <c r="F59" s="513"/>
      <c r="G59" s="514"/>
      <c r="H59" s="418"/>
      <c r="I59" s="513"/>
      <c r="J59" s="515"/>
      <c r="K59" s="514"/>
      <c r="L59" s="513"/>
      <c r="M59" s="513"/>
      <c r="N59" s="513"/>
      <c r="O59" s="513"/>
      <c r="P59" s="513"/>
      <c r="Q59" s="513"/>
      <c r="R59" s="513"/>
      <c r="S59" s="513"/>
      <c r="T59" s="513"/>
      <c r="U59" s="513"/>
      <c r="V59" s="513"/>
      <c r="W59" s="513"/>
      <c r="X59" s="513"/>
      <c r="Y59" s="513"/>
      <c r="Z59" s="516"/>
      <c r="AA59" s="513"/>
      <c r="AB59" s="513"/>
      <c r="AC59" s="513"/>
      <c r="AD59" s="513"/>
      <c r="AE59" s="513"/>
      <c r="AF59" s="513"/>
      <c r="AG59" s="513"/>
      <c r="AH59" s="513"/>
      <c r="AI59" s="513"/>
      <c r="AJ59" s="513"/>
      <c r="AK59" s="513"/>
      <c r="AL59" s="513"/>
      <c r="AM59" s="400"/>
      <c r="AN59" s="512"/>
      <c r="AO59" s="418"/>
      <c r="AP59" s="513"/>
      <c r="AQ59" s="517"/>
      <c r="AR59" s="418"/>
      <c r="AS59" s="513"/>
      <c r="AT59" s="515"/>
      <c r="AU59" s="514"/>
      <c r="AV59" s="513"/>
      <c r="AW59" s="513"/>
      <c r="AX59" s="513"/>
      <c r="AY59" s="513"/>
      <c r="AZ59" s="513"/>
      <c r="BA59" s="513"/>
      <c r="BB59" s="513"/>
      <c r="BC59" s="513"/>
      <c r="BD59" s="513"/>
      <c r="BE59" s="513"/>
      <c r="BF59" s="513"/>
      <c r="BG59" s="513"/>
      <c r="BH59" s="516"/>
      <c r="BI59" s="513"/>
      <c r="BJ59" s="513"/>
      <c r="BK59" s="513"/>
      <c r="BL59" s="774"/>
      <c r="BM59" s="513"/>
      <c r="BN59" s="513"/>
      <c r="BO59" s="513"/>
      <c r="BP59" s="513"/>
      <c r="BQ59" s="513"/>
      <c r="BR59" s="513"/>
      <c r="BS59" s="513"/>
      <c r="BT59" s="513"/>
    </row>
    <row r="60" spans="1:72" ht="7.5" customHeight="1" x14ac:dyDescent="0.25">
      <c r="A60" s="587"/>
      <c r="B60" s="526"/>
      <c r="C60" s="400"/>
      <c r="D60" s="512"/>
      <c r="E60" s="418"/>
      <c r="F60" s="513"/>
      <c r="G60" s="514"/>
      <c r="H60" s="418"/>
      <c r="I60" s="513"/>
      <c r="J60" s="515"/>
      <c r="K60" s="514"/>
      <c r="L60" s="513"/>
      <c r="M60" s="513"/>
      <c r="N60" s="513"/>
      <c r="O60" s="513"/>
      <c r="P60" s="513"/>
      <c r="Q60" s="513"/>
      <c r="R60" s="513"/>
      <c r="S60" s="513"/>
      <c r="T60" s="513"/>
      <c r="U60" s="513"/>
      <c r="V60" s="513"/>
      <c r="W60" s="513"/>
      <c r="X60" s="513"/>
      <c r="Y60" s="513"/>
      <c r="Z60" s="516"/>
      <c r="AA60" s="513"/>
      <c r="AB60" s="513"/>
      <c r="AC60" s="513"/>
      <c r="AD60" s="513"/>
      <c r="AE60" s="513"/>
      <c r="AF60" s="513"/>
      <c r="AG60" s="513"/>
      <c r="AH60" s="513"/>
      <c r="AI60" s="513"/>
      <c r="AJ60" s="513"/>
      <c r="AK60" s="513"/>
      <c r="AL60" s="513"/>
      <c r="AM60" s="400"/>
      <c r="AN60" s="512"/>
      <c r="AO60" s="418"/>
      <c r="AP60" s="513"/>
      <c r="AQ60" s="517"/>
      <c r="AR60" s="418"/>
      <c r="AS60" s="513"/>
      <c r="AT60" s="515"/>
      <c r="AU60" s="514"/>
      <c r="AV60" s="513"/>
      <c r="AW60" s="513"/>
      <c r="AX60" s="513"/>
      <c r="AY60" s="513"/>
      <c r="AZ60" s="513"/>
      <c r="BA60" s="513"/>
      <c r="BB60" s="513"/>
      <c r="BC60" s="513"/>
      <c r="BD60" s="513"/>
      <c r="BE60" s="513"/>
      <c r="BF60" s="513"/>
      <c r="BG60" s="513"/>
      <c r="BH60" s="516"/>
      <c r="BI60" s="513"/>
      <c r="BJ60" s="513"/>
      <c r="BK60" s="513"/>
      <c r="BL60" s="774"/>
      <c r="BM60" s="513"/>
      <c r="BN60" s="513"/>
      <c r="BO60" s="513"/>
      <c r="BP60" s="513"/>
      <c r="BQ60" s="513"/>
      <c r="BR60" s="513"/>
      <c r="BS60" s="513"/>
      <c r="BT60" s="513"/>
    </row>
    <row r="61" spans="1:72" x14ac:dyDescent="0.25">
      <c r="A61" s="502" t="s">
        <v>85</v>
      </c>
      <c r="B61" s="502" t="s">
        <v>86</v>
      </c>
      <c r="C61" s="630"/>
      <c r="D61" s="500">
        <v>1106434</v>
      </c>
      <c r="E61" s="449">
        <v>1117310</v>
      </c>
      <c r="F61" s="449">
        <v>-10876</v>
      </c>
      <c r="G61" s="421">
        <v>-9.734093492405867E-3</v>
      </c>
      <c r="H61" s="449">
        <v>1106434</v>
      </c>
      <c r="I61" s="449">
        <v>0</v>
      </c>
      <c r="J61" s="426">
        <v>0</v>
      </c>
      <c r="K61" s="421"/>
      <c r="L61" s="449">
        <v>2717.08</v>
      </c>
      <c r="M61" s="449">
        <v>99560.459999999992</v>
      </c>
      <c r="N61" s="449">
        <v>98389.10000000002</v>
      </c>
      <c r="O61" s="449">
        <v>91219.549999999988</v>
      </c>
      <c r="P61" s="449">
        <v>85714.359999999986</v>
      </c>
      <c r="Q61" s="449">
        <v>104537.93</v>
      </c>
      <c r="R61" s="449">
        <v>104049.25333333334</v>
      </c>
      <c r="S61" s="449">
        <v>104049.25333333334</v>
      </c>
      <c r="T61" s="449">
        <v>104049.25333333336</v>
      </c>
      <c r="U61" s="449">
        <v>104049.25333333334</v>
      </c>
      <c r="V61" s="449">
        <v>104049.25333333336</v>
      </c>
      <c r="W61" s="449">
        <v>104049.25333333341</v>
      </c>
      <c r="X61" s="449"/>
      <c r="Y61" s="449">
        <v>1106434</v>
      </c>
      <c r="Z61" s="531"/>
      <c r="AA61" s="449">
        <v>92202.833333333328</v>
      </c>
      <c r="AB61" s="449">
        <v>92202.833333333328</v>
      </c>
      <c r="AC61" s="449">
        <v>92202.833333333328</v>
      </c>
      <c r="AD61" s="449">
        <v>92202.833333333328</v>
      </c>
      <c r="AE61" s="449">
        <v>92202.833333333328</v>
      </c>
      <c r="AF61" s="449">
        <v>92202.833333333328</v>
      </c>
      <c r="AG61" s="449">
        <v>92202.833333333328</v>
      </c>
      <c r="AH61" s="449">
        <v>92202.833333333328</v>
      </c>
      <c r="AI61" s="449">
        <v>92202.833333333328</v>
      </c>
      <c r="AJ61" s="449">
        <v>92202.833333333328</v>
      </c>
      <c r="AK61" s="449">
        <v>92202.833333333328</v>
      </c>
      <c r="AL61" s="449">
        <v>92202.833333333328</v>
      </c>
      <c r="AM61" s="400"/>
      <c r="AN61" s="500">
        <v>1106434</v>
      </c>
      <c r="AO61" s="449">
        <v>1105076.0613999998</v>
      </c>
      <c r="AP61" s="449">
        <v>-1357.9386000002269</v>
      </c>
      <c r="AQ61" s="453">
        <v>-1.2273109828514189E-3</v>
      </c>
      <c r="AR61" s="449">
        <v>1105076.0613999998</v>
      </c>
      <c r="AS61" s="449">
        <v>0</v>
      </c>
      <c r="AT61" s="426">
        <v>0</v>
      </c>
      <c r="AU61" s="421"/>
      <c r="AV61" s="449">
        <v>0</v>
      </c>
      <c r="AW61" s="449">
        <v>92089.671783333339</v>
      </c>
      <c r="AX61" s="449">
        <v>92089.671783333339</v>
      </c>
      <c r="AY61" s="449">
        <v>92089.671783333339</v>
      </c>
      <c r="AZ61" s="449">
        <v>92089.671783333339</v>
      </c>
      <c r="BA61" s="449">
        <v>92089.671783333339</v>
      </c>
      <c r="BB61" s="449">
        <v>92089.671783333339</v>
      </c>
      <c r="BC61" s="449">
        <v>92089.671783333339</v>
      </c>
      <c r="BD61" s="449">
        <v>92089.671783333339</v>
      </c>
      <c r="BE61" s="449">
        <v>92089.671783333339</v>
      </c>
      <c r="BF61" s="449">
        <v>92089.671783333339</v>
      </c>
      <c r="BG61" s="449">
        <v>184179.34356666668</v>
      </c>
      <c r="BH61" s="400"/>
      <c r="BI61" s="449">
        <v>0</v>
      </c>
      <c r="BJ61" s="449">
        <v>92089.671783333339</v>
      </c>
      <c r="BK61" s="449">
        <v>92089.671783333339</v>
      </c>
      <c r="BL61" s="771">
        <v>92089.671783333339</v>
      </c>
      <c r="BM61" s="449">
        <v>92089.671783333339</v>
      </c>
      <c r="BN61" s="449">
        <v>92089.671783333339</v>
      </c>
      <c r="BO61" s="449">
        <v>92089.671783333339</v>
      </c>
      <c r="BP61" s="449">
        <v>92089.671783333339</v>
      </c>
      <c r="BQ61" s="449">
        <v>92089.671783333339</v>
      </c>
      <c r="BR61" s="449">
        <v>92089.671783333339</v>
      </c>
      <c r="BS61" s="449">
        <v>92089.671783333339</v>
      </c>
      <c r="BT61" s="449">
        <v>184179.34356666668</v>
      </c>
    </row>
    <row r="62" spans="1:72" x14ac:dyDescent="0.25">
      <c r="A62" s="502" t="s">
        <v>87</v>
      </c>
      <c r="B62" s="502" t="s">
        <v>88</v>
      </c>
      <c r="C62" s="630"/>
      <c r="D62" s="500">
        <v>111560</v>
      </c>
      <c r="E62" s="449">
        <v>111560</v>
      </c>
      <c r="F62" s="449">
        <v>0</v>
      </c>
      <c r="G62" s="421">
        <v>0</v>
      </c>
      <c r="H62" s="449">
        <v>111560</v>
      </c>
      <c r="I62" s="449">
        <v>0</v>
      </c>
      <c r="J62" s="426">
        <v>0</v>
      </c>
      <c r="K62" s="421"/>
      <c r="L62" s="449">
        <v>2263.8000000000002</v>
      </c>
      <c r="M62" s="449">
        <v>12999</v>
      </c>
      <c r="N62" s="449">
        <v>10590.400000000001</v>
      </c>
      <c r="O62" s="449">
        <v>9924.3999999999978</v>
      </c>
      <c r="P62" s="449">
        <v>9524.64</v>
      </c>
      <c r="Q62" s="449">
        <v>12373.510000000002</v>
      </c>
      <c r="R62" s="449">
        <v>8980.7083333333339</v>
      </c>
      <c r="S62" s="449">
        <v>8980.7083333333339</v>
      </c>
      <c r="T62" s="449">
        <v>8980.7083333333358</v>
      </c>
      <c r="U62" s="449">
        <v>8980.7083333333339</v>
      </c>
      <c r="V62" s="449">
        <v>8980.7083333333358</v>
      </c>
      <c r="W62" s="449">
        <v>8980.708333333343</v>
      </c>
      <c r="X62" s="449"/>
      <c r="Y62" s="449">
        <v>111560</v>
      </c>
      <c r="Z62" s="531"/>
      <c r="AA62" s="449">
        <v>9296.6666666666661</v>
      </c>
      <c r="AB62" s="449">
        <v>9296.6666666666661</v>
      </c>
      <c r="AC62" s="449">
        <v>9296.6666666666661</v>
      </c>
      <c r="AD62" s="449">
        <v>9296.6666666666661</v>
      </c>
      <c r="AE62" s="449">
        <v>9296.6666666666661</v>
      </c>
      <c r="AF62" s="449">
        <v>9296.6666666666661</v>
      </c>
      <c r="AG62" s="449">
        <v>9296.6666666666661</v>
      </c>
      <c r="AH62" s="449">
        <v>9296.6666666666661</v>
      </c>
      <c r="AI62" s="449">
        <v>9296.6666666666661</v>
      </c>
      <c r="AJ62" s="449">
        <v>9296.6666666666661</v>
      </c>
      <c r="AK62" s="449">
        <v>9296.6666666666661</v>
      </c>
      <c r="AL62" s="449">
        <v>9296.6666666666661</v>
      </c>
      <c r="AM62" s="400"/>
      <c r="AN62" s="500">
        <v>111560</v>
      </c>
      <c r="AO62" s="449">
        <v>65072.206999999995</v>
      </c>
      <c r="AP62" s="449">
        <v>-46487.793000000005</v>
      </c>
      <c r="AQ62" s="453">
        <v>-0.41670664216565084</v>
      </c>
      <c r="AR62" s="449">
        <v>65072.206999999995</v>
      </c>
      <c r="AS62" s="449">
        <v>0</v>
      </c>
      <c r="AT62" s="426">
        <v>0</v>
      </c>
      <c r="AU62" s="421"/>
      <c r="AV62" s="449">
        <v>0</v>
      </c>
      <c r="AW62" s="449">
        <v>5422.6839166666659</v>
      </c>
      <c r="AX62" s="449">
        <v>5422.6839166666659</v>
      </c>
      <c r="AY62" s="449">
        <v>5422.6839166666659</v>
      </c>
      <c r="AZ62" s="449">
        <v>5422.6839166666659</v>
      </c>
      <c r="BA62" s="449">
        <v>5422.6839166666659</v>
      </c>
      <c r="BB62" s="449">
        <v>5422.6839166666659</v>
      </c>
      <c r="BC62" s="449">
        <v>5422.6839166666659</v>
      </c>
      <c r="BD62" s="449">
        <v>5422.6839166666659</v>
      </c>
      <c r="BE62" s="449">
        <v>5422.6839166666659</v>
      </c>
      <c r="BF62" s="449">
        <v>5422.6839166666659</v>
      </c>
      <c r="BG62" s="449">
        <v>10845.367833333332</v>
      </c>
      <c r="BH62" s="400"/>
      <c r="BI62" s="449">
        <v>0</v>
      </c>
      <c r="BJ62" s="449">
        <v>5422.6839166666659</v>
      </c>
      <c r="BK62" s="449">
        <v>5422.6839166666659</v>
      </c>
      <c r="BL62" s="771">
        <v>5422.6839166666659</v>
      </c>
      <c r="BM62" s="449">
        <v>5422.6839166666659</v>
      </c>
      <c r="BN62" s="449">
        <v>5422.6839166666659</v>
      </c>
      <c r="BO62" s="449">
        <v>5422.6839166666659</v>
      </c>
      <c r="BP62" s="449">
        <v>5422.6839166666659</v>
      </c>
      <c r="BQ62" s="449">
        <v>5422.6839166666659</v>
      </c>
      <c r="BR62" s="449">
        <v>5422.6839166666659</v>
      </c>
      <c r="BS62" s="449">
        <v>5422.6839166666659</v>
      </c>
      <c r="BT62" s="449">
        <v>10845.367833333332</v>
      </c>
    </row>
    <row r="63" spans="1:72" x14ac:dyDescent="0.25">
      <c r="A63" s="502" t="s">
        <v>89</v>
      </c>
      <c r="B63" s="502" t="s">
        <v>90</v>
      </c>
      <c r="C63" s="538"/>
      <c r="D63" s="500">
        <v>71775</v>
      </c>
      <c r="E63" s="449">
        <v>71775</v>
      </c>
      <c r="F63" s="449">
        <v>0</v>
      </c>
      <c r="G63" s="421">
        <v>0</v>
      </c>
      <c r="H63" s="449">
        <v>71775</v>
      </c>
      <c r="I63" s="449">
        <v>0</v>
      </c>
      <c r="J63" s="426">
        <v>0</v>
      </c>
      <c r="K63" s="421"/>
      <c r="L63" s="449">
        <v>0</v>
      </c>
      <c r="M63" s="449">
        <v>2565</v>
      </c>
      <c r="N63" s="449">
        <v>3147.4399999999996</v>
      </c>
      <c r="O63" s="449">
        <v>3007.1500000000005</v>
      </c>
      <c r="P63" s="449">
        <v>4495.8599999999988</v>
      </c>
      <c r="Q63" s="449">
        <v>5177.3099999999995</v>
      </c>
      <c r="R63" s="449">
        <v>8897.0400000000009</v>
      </c>
      <c r="S63" s="449">
        <v>8897.0399999999991</v>
      </c>
      <c r="T63" s="449">
        <v>8897.0400000000009</v>
      </c>
      <c r="U63" s="449">
        <v>8897.0400000000009</v>
      </c>
      <c r="V63" s="449">
        <v>8897.0400000000009</v>
      </c>
      <c r="W63" s="449">
        <v>8897.0400000000009</v>
      </c>
      <c r="X63" s="449"/>
      <c r="Y63" s="449">
        <v>71775</v>
      </c>
      <c r="Z63" s="531"/>
      <c r="AA63" s="449">
        <v>5981.25</v>
      </c>
      <c r="AB63" s="449">
        <v>5981.25</v>
      </c>
      <c r="AC63" s="449">
        <v>5981.25</v>
      </c>
      <c r="AD63" s="449">
        <v>5981.25</v>
      </c>
      <c r="AE63" s="449">
        <v>5981.25</v>
      </c>
      <c r="AF63" s="449">
        <v>5981.25</v>
      </c>
      <c r="AG63" s="449">
        <v>5981.25</v>
      </c>
      <c r="AH63" s="449">
        <v>5981.25</v>
      </c>
      <c r="AI63" s="449">
        <v>5981.25</v>
      </c>
      <c r="AJ63" s="449">
        <v>5981.25</v>
      </c>
      <c r="AK63" s="449">
        <v>5981.25</v>
      </c>
      <c r="AL63" s="449">
        <v>5981.25</v>
      </c>
      <c r="AM63" s="400"/>
      <c r="AN63" s="500">
        <v>71775</v>
      </c>
      <c r="AO63" s="449">
        <v>93291.536879224237</v>
      </c>
      <c r="AP63" s="449">
        <v>21516.536879224237</v>
      </c>
      <c r="AQ63" s="453">
        <v>0.29977759497351775</v>
      </c>
      <c r="AR63" s="449">
        <v>93291.536879224237</v>
      </c>
      <c r="AS63" s="449">
        <v>0</v>
      </c>
      <c r="AT63" s="426">
        <v>0</v>
      </c>
      <c r="AU63" s="421"/>
      <c r="AV63" s="449">
        <v>0</v>
      </c>
      <c r="AW63" s="449">
        <v>0</v>
      </c>
      <c r="AX63" s="449">
        <v>9329.1536879224223</v>
      </c>
      <c r="AY63" s="449">
        <v>9329.1536879224223</v>
      </c>
      <c r="AZ63" s="449">
        <v>9329.1536879224223</v>
      </c>
      <c r="BA63" s="449">
        <v>9329.1536879224223</v>
      </c>
      <c r="BB63" s="449">
        <v>9329.1536879224223</v>
      </c>
      <c r="BC63" s="449">
        <v>9329.1536879224223</v>
      </c>
      <c r="BD63" s="449">
        <v>9329.1536879224223</v>
      </c>
      <c r="BE63" s="449">
        <v>9329.1536879224223</v>
      </c>
      <c r="BF63" s="449">
        <v>9329.1536879224223</v>
      </c>
      <c r="BG63" s="449">
        <v>9329.1536879224223</v>
      </c>
      <c r="BH63" s="400"/>
      <c r="BI63" s="449">
        <v>0</v>
      </c>
      <c r="BJ63" s="449">
        <v>0</v>
      </c>
      <c r="BK63" s="449">
        <v>9329.1536879224223</v>
      </c>
      <c r="BL63" s="771">
        <v>9329.1536879224223</v>
      </c>
      <c r="BM63" s="449">
        <v>9329.1536879224223</v>
      </c>
      <c r="BN63" s="449">
        <v>9329.1536879224223</v>
      </c>
      <c r="BO63" s="449">
        <v>9329.1536879224223</v>
      </c>
      <c r="BP63" s="449">
        <v>9329.1536879224223</v>
      </c>
      <c r="BQ63" s="449">
        <v>9329.1536879224223</v>
      </c>
      <c r="BR63" s="449">
        <v>9329.1536879224223</v>
      </c>
      <c r="BS63" s="449">
        <v>9329.1536879224223</v>
      </c>
      <c r="BT63" s="449">
        <v>9329.1536879224223</v>
      </c>
    </row>
    <row r="64" spans="1:72" x14ac:dyDescent="0.25">
      <c r="A64" s="502" t="s">
        <v>91</v>
      </c>
      <c r="B64" s="502" t="s">
        <v>92</v>
      </c>
      <c r="C64" s="538"/>
      <c r="D64" s="500">
        <v>0</v>
      </c>
      <c r="E64" s="449">
        <v>0</v>
      </c>
      <c r="F64" s="449">
        <v>0</v>
      </c>
      <c r="G64" s="421">
        <v>0</v>
      </c>
      <c r="H64" s="449">
        <v>0</v>
      </c>
      <c r="I64" s="449">
        <v>0</v>
      </c>
      <c r="J64" s="426">
        <v>0</v>
      </c>
      <c r="K64" s="421"/>
      <c r="L64" s="449">
        <v>0</v>
      </c>
      <c r="M64" s="449">
        <v>0</v>
      </c>
      <c r="N64" s="449">
        <v>0</v>
      </c>
      <c r="O64" s="449">
        <v>0</v>
      </c>
      <c r="P64" s="449">
        <v>0</v>
      </c>
      <c r="Q64" s="449">
        <v>0</v>
      </c>
      <c r="R64" s="449">
        <v>0</v>
      </c>
      <c r="S64" s="449">
        <v>0</v>
      </c>
      <c r="T64" s="449">
        <v>0</v>
      </c>
      <c r="U64" s="449">
        <v>0</v>
      </c>
      <c r="V64" s="449">
        <v>0</v>
      </c>
      <c r="W64" s="449">
        <v>0</v>
      </c>
      <c r="X64" s="449"/>
      <c r="Y64" s="449">
        <v>0</v>
      </c>
      <c r="Z64" s="531"/>
      <c r="AA64" s="449">
        <v>0</v>
      </c>
      <c r="AB64" s="449">
        <v>0</v>
      </c>
      <c r="AC64" s="449">
        <v>0</v>
      </c>
      <c r="AD64" s="449">
        <v>0</v>
      </c>
      <c r="AE64" s="449">
        <v>0</v>
      </c>
      <c r="AF64" s="449">
        <v>0</v>
      </c>
      <c r="AG64" s="449">
        <v>0</v>
      </c>
      <c r="AH64" s="449">
        <v>0</v>
      </c>
      <c r="AI64" s="449">
        <v>0</v>
      </c>
      <c r="AJ64" s="449">
        <v>0</v>
      </c>
      <c r="AK64" s="449">
        <v>0</v>
      </c>
      <c r="AL64" s="449">
        <v>0</v>
      </c>
      <c r="AM64" s="400"/>
      <c r="AN64" s="500">
        <v>0</v>
      </c>
      <c r="AO64" s="449">
        <v>0</v>
      </c>
      <c r="AP64" s="449">
        <v>0</v>
      </c>
      <c r="AQ64" s="453" t="s">
        <v>1519</v>
      </c>
      <c r="AR64" s="449">
        <v>0</v>
      </c>
      <c r="AS64" s="449">
        <v>0</v>
      </c>
      <c r="AT64" s="426">
        <v>0</v>
      </c>
      <c r="AU64" s="421"/>
      <c r="AV64" s="449">
        <v>0</v>
      </c>
      <c r="AW64" s="449">
        <v>0</v>
      </c>
      <c r="AX64" s="449">
        <v>0</v>
      </c>
      <c r="AY64" s="449">
        <v>0</v>
      </c>
      <c r="AZ64" s="449">
        <v>0</v>
      </c>
      <c r="BA64" s="449">
        <v>0</v>
      </c>
      <c r="BB64" s="449">
        <v>0</v>
      </c>
      <c r="BC64" s="449">
        <v>0</v>
      </c>
      <c r="BD64" s="449">
        <v>0</v>
      </c>
      <c r="BE64" s="449">
        <v>0</v>
      </c>
      <c r="BF64" s="449">
        <v>0</v>
      </c>
      <c r="BG64" s="449">
        <v>0</v>
      </c>
      <c r="BH64" s="400"/>
      <c r="BI64" s="449">
        <v>0</v>
      </c>
      <c r="BJ64" s="449">
        <v>0</v>
      </c>
      <c r="BK64" s="449">
        <v>0</v>
      </c>
      <c r="BL64" s="771">
        <v>0</v>
      </c>
      <c r="BM64" s="449">
        <v>0</v>
      </c>
      <c r="BN64" s="449">
        <v>0</v>
      </c>
      <c r="BO64" s="449">
        <v>0</v>
      </c>
      <c r="BP64" s="449">
        <v>0</v>
      </c>
      <c r="BQ64" s="449">
        <v>0</v>
      </c>
      <c r="BR64" s="449">
        <v>0</v>
      </c>
      <c r="BS64" s="449">
        <v>0</v>
      </c>
      <c r="BT64" s="449">
        <v>0</v>
      </c>
    </row>
    <row r="65" spans="1:72" x14ac:dyDescent="0.25">
      <c r="A65" s="502" t="s">
        <v>93</v>
      </c>
      <c r="B65" s="502" t="s">
        <v>94</v>
      </c>
      <c r="C65" s="630"/>
      <c r="D65" s="500">
        <v>10000</v>
      </c>
      <c r="E65" s="449">
        <v>10000</v>
      </c>
      <c r="F65" s="449">
        <v>0</v>
      </c>
      <c r="G65" s="421">
        <v>0</v>
      </c>
      <c r="H65" s="449">
        <v>10000</v>
      </c>
      <c r="I65" s="449">
        <v>0</v>
      </c>
      <c r="J65" s="426">
        <v>0</v>
      </c>
      <c r="K65" s="421"/>
      <c r="L65" s="449">
        <v>0</v>
      </c>
      <c r="M65" s="449">
        <v>0</v>
      </c>
      <c r="N65" s="449">
        <v>0</v>
      </c>
      <c r="O65" s="449">
        <v>0</v>
      </c>
      <c r="P65" s="449">
        <v>0</v>
      </c>
      <c r="Q65" s="449">
        <v>0</v>
      </c>
      <c r="R65" s="449">
        <v>1666.6666666666667</v>
      </c>
      <c r="S65" s="449">
        <v>1666.6666666666667</v>
      </c>
      <c r="T65" s="449">
        <v>1666.6666666666665</v>
      </c>
      <c r="U65" s="449">
        <v>1666.6666666666667</v>
      </c>
      <c r="V65" s="449">
        <v>1666.6666666666665</v>
      </c>
      <c r="W65" s="449">
        <v>1666.6666666666661</v>
      </c>
      <c r="X65" s="449"/>
      <c r="Y65" s="449">
        <v>10000</v>
      </c>
      <c r="Z65" s="531"/>
      <c r="AA65" s="449">
        <v>833.33333333333337</v>
      </c>
      <c r="AB65" s="449">
        <v>833.33333333333337</v>
      </c>
      <c r="AC65" s="449">
        <v>833.33333333333337</v>
      </c>
      <c r="AD65" s="449">
        <v>833.33333333333337</v>
      </c>
      <c r="AE65" s="449">
        <v>833.33333333333337</v>
      </c>
      <c r="AF65" s="449">
        <v>833.33333333333337</v>
      </c>
      <c r="AG65" s="449">
        <v>833.33333333333337</v>
      </c>
      <c r="AH65" s="449">
        <v>833.33333333333337</v>
      </c>
      <c r="AI65" s="449">
        <v>833.33333333333337</v>
      </c>
      <c r="AJ65" s="449">
        <v>833.33333333333337</v>
      </c>
      <c r="AK65" s="449">
        <v>833.33333333333337</v>
      </c>
      <c r="AL65" s="449">
        <v>833.33333333333337</v>
      </c>
      <c r="AM65" s="400"/>
      <c r="AN65" s="500">
        <v>10000</v>
      </c>
      <c r="AO65" s="449">
        <v>17808.21</v>
      </c>
      <c r="AP65" s="449">
        <v>7808.2099999999991</v>
      </c>
      <c r="AQ65" s="453">
        <v>0.78082099999999988</v>
      </c>
      <c r="AR65" s="449">
        <v>17808.21</v>
      </c>
      <c r="AS65" s="449">
        <v>0</v>
      </c>
      <c r="AT65" s="426">
        <v>0</v>
      </c>
      <c r="AU65" s="421"/>
      <c r="AV65" s="449">
        <v>0</v>
      </c>
      <c r="AW65" s="449">
        <v>1484.0174999999999</v>
      </c>
      <c r="AX65" s="449">
        <v>1484.0174999999999</v>
      </c>
      <c r="AY65" s="449">
        <v>1484.0174999999999</v>
      </c>
      <c r="AZ65" s="449">
        <v>1484.0174999999999</v>
      </c>
      <c r="BA65" s="449">
        <v>1484.0174999999999</v>
      </c>
      <c r="BB65" s="449">
        <v>1484.0174999999999</v>
      </c>
      <c r="BC65" s="449">
        <v>1484.0174999999999</v>
      </c>
      <c r="BD65" s="449">
        <v>1484.0174999999999</v>
      </c>
      <c r="BE65" s="449">
        <v>1484.0174999999999</v>
      </c>
      <c r="BF65" s="449">
        <v>1484.0174999999999</v>
      </c>
      <c r="BG65" s="449">
        <v>2968.0349999999999</v>
      </c>
      <c r="BH65" s="400"/>
      <c r="BI65" s="449">
        <v>0</v>
      </c>
      <c r="BJ65" s="449">
        <v>1484.0174999999999</v>
      </c>
      <c r="BK65" s="449">
        <v>1484.0174999999999</v>
      </c>
      <c r="BL65" s="771">
        <v>1484.0174999999999</v>
      </c>
      <c r="BM65" s="449">
        <v>1484.0174999999999</v>
      </c>
      <c r="BN65" s="449">
        <v>1484.0174999999999</v>
      </c>
      <c r="BO65" s="449">
        <v>1484.0174999999999</v>
      </c>
      <c r="BP65" s="449">
        <v>1484.0174999999999</v>
      </c>
      <c r="BQ65" s="449">
        <v>1484.0174999999999</v>
      </c>
      <c r="BR65" s="449">
        <v>1484.0174999999999</v>
      </c>
      <c r="BS65" s="449">
        <v>1484.0174999999999</v>
      </c>
      <c r="BT65" s="449">
        <v>2968.0349999999999</v>
      </c>
    </row>
    <row r="66" spans="1:72" x14ac:dyDescent="0.25">
      <c r="A66" s="612" t="s">
        <v>95</v>
      </c>
      <c r="B66" s="502" t="s">
        <v>96</v>
      </c>
      <c r="C66" s="538"/>
      <c r="D66" s="500">
        <v>63000</v>
      </c>
      <c r="E66" s="449">
        <v>63000</v>
      </c>
      <c r="F66" s="449">
        <v>0</v>
      </c>
      <c r="G66" s="421">
        <v>0</v>
      </c>
      <c r="H66" s="449">
        <v>63000</v>
      </c>
      <c r="I66" s="449">
        <v>0</v>
      </c>
      <c r="J66" s="426">
        <v>0</v>
      </c>
      <c r="K66" s="421"/>
      <c r="L66" s="449">
        <v>0</v>
      </c>
      <c r="M66" s="449">
        <v>0</v>
      </c>
      <c r="N66" s="449">
        <v>0</v>
      </c>
      <c r="O66" s="449">
        <v>49500</v>
      </c>
      <c r="P66" s="449">
        <v>0</v>
      </c>
      <c r="Q66" s="449">
        <v>0</v>
      </c>
      <c r="R66" s="449">
        <v>2250</v>
      </c>
      <c r="S66" s="449">
        <v>2250</v>
      </c>
      <c r="T66" s="449">
        <v>2250</v>
      </c>
      <c r="U66" s="449">
        <v>2250</v>
      </c>
      <c r="V66" s="449">
        <v>2250</v>
      </c>
      <c r="W66" s="449">
        <v>2250</v>
      </c>
      <c r="X66" s="449"/>
      <c r="Y66" s="449">
        <v>63000</v>
      </c>
      <c r="Z66" s="531"/>
      <c r="AA66" s="449">
        <v>5250</v>
      </c>
      <c r="AB66" s="449">
        <v>5250</v>
      </c>
      <c r="AC66" s="449">
        <v>5250</v>
      </c>
      <c r="AD66" s="449">
        <v>5250</v>
      </c>
      <c r="AE66" s="449">
        <v>5250</v>
      </c>
      <c r="AF66" s="449">
        <v>5250</v>
      </c>
      <c r="AG66" s="449">
        <v>5250</v>
      </c>
      <c r="AH66" s="449">
        <v>5250</v>
      </c>
      <c r="AI66" s="449">
        <v>5250</v>
      </c>
      <c r="AJ66" s="449">
        <v>5250</v>
      </c>
      <c r="AK66" s="449">
        <v>5250</v>
      </c>
      <c r="AL66" s="449">
        <v>5250</v>
      </c>
      <c r="AM66" s="400"/>
      <c r="AN66" s="500">
        <v>63000</v>
      </c>
      <c r="AO66" s="449">
        <v>78000</v>
      </c>
      <c r="AP66" s="449">
        <v>15000</v>
      </c>
      <c r="AQ66" s="453">
        <v>0.23809523809523808</v>
      </c>
      <c r="AR66" s="449">
        <v>78000</v>
      </c>
      <c r="AS66" s="449">
        <v>0</v>
      </c>
      <c r="AT66" s="426">
        <v>0</v>
      </c>
      <c r="AU66" s="421"/>
      <c r="AV66" s="449">
        <v>0</v>
      </c>
      <c r="AW66" s="449">
        <v>0</v>
      </c>
      <c r="AX66" s="449">
        <v>0</v>
      </c>
      <c r="AY66" s="449">
        <v>78000</v>
      </c>
      <c r="AZ66" s="449">
        <v>0</v>
      </c>
      <c r="BA66" s="449">
        <v>0</v>
      </c>
      <c r="BB66" s="449">
        <v>0</v>
      </c>
      <c r="BC66" s="449">
        <v>0</v>
      </c>
      <c r="BD66" s="449">
        <v>0</v>
      </c>
      <c r="BE66" s="449">
        <v>0</v>
      </c>
      <c r="BF66" s="449">
        <v>0</v>
      </c>
      <c r="BG66" s="449">
        <v>0</v>
      </c>
      <c r="BH66" s="400"/>
      <c r="BI66" s="449">
        <v>0</v>
      </c>
      <c r="BJ66" s="449">
        <v>0</v>
      </c>
      <c r="BK66" s="449">
        <v>0</v>
      </c>
      <c r="BL66" s="771">
        <v>78000</v>
      </c>
      <c r="BM66" s="449">
        <v>0</v>
      </c>
      <c r="BN66" s="449">
        <v>0</v>
      </c>
      <c r="BO66" s="449">
        <v>0</v>
      </c>
      <c r="BP66" s="449">
        <v>0</v>
      </c>
      <c r="BQ66" s="449">
        <v>0</v>
      </c>
      <c r="BR66" s="449">
        <v>0</v>
      </c>
      <c r="BS66" s="449">
        <v>0</v>
      </c>
      <c r="BT66" s="449">
        <v>0</v>
      </c>
    </row>
    <row r="67" spans="1:72" x14ac:dyDescent="0.25">
      <c r="A67" s="612" t="s">
        <v>97</v>
      </c>
      <c r="B67" s="502" t="s">
        <v>98</v>
      </c>
      <c r="C67" s="538"/>
      <c r="D67" s="500">
        <v>3000</v>
      </c>
      <c r="E67" s="449">
        <v>0</v>
      </c>
      <c r="F67" s="449">
        <v>3000</v>
      </c>
      <c r="G67" s="421">
        <v>0</v>
      </c>
      <c r="H67" s="449">
        <v>0</v>
      </c>
      <c r="I67" s="449">
        <v>3000</v>
      </c>
      <c r="J67" s="426">
        <v>0</v>
      </c>
      <c r="K67" s="421"/>
      <c r="L67" s="449">
        <v>0</v>
      </c>
      <c r="M67" s="449">
        <v>0</v>
      </c>
      <c r="N67" s="449">
        <v>0</v>
      </c>
      <c r="O67" s="449">
        <v>3000</v>
      </c>
      <c r="P67" s="449">
        <v>0</v>
      </c>
      <c r="Q67" s="449">
        <v>0</v>
      </c>
      <c r="R67" s="449">
        <v>0</v>
      </c>
      <c r="S67" s="449">
        <v>0</v>
      </c>
      <c r="T67" s="449">
        <v>0</v>
      </c>
      <c r="U67" s="449">
        <v>0</v>
      </c>
      <c r="V67" s="449">
        <v>0</v>
      </c>
      <c r="W67" s="449">
        <v>0</v>
      </c>
      <c r="X67" s="449"/>
      <c r="Y67" s="449">
        <v>3000</v>
      </c>
      <c r="Z67" s="531"/>
      <c r="AA67" s="449">
        <v>0</v>
      </c>
      <c r="AB67" s="449">
        <v>0</v>
      </c>
      <c r="AC67" s="449">
        <v>0</v>
      </c>
      <c r="AD67" s="449">
        <v>0</v>
      </c>
      <c r="AE67" s="449">
        <v>0</v>
      </c>
      <c r="AF67" s="449">
        <v>0</v>
      </c>
      <c r="AG67" s="449">
        <v>0</v>
      </c>
      <c r="AH67" s="449">
        <v>0</v>
      </c>
      <c r="AI67" s="449">
        <v>0</v>
      </c>
      <c r="AJ67" s="449">
        <v>0</v>
      </c>
      <c r="AK67" s="449">
        <v>0</v>
      </c>
      <c r="AL67" s="449">
        <v>0</v>
      </c>
      <c r="AM67" s="400"/>
      <c r="AN67" s="500">
        <v>3000</v>
      </c>
      <c r="AO67" s="449">
        <v>0</v>
      </c>
      <c r="AP67" s="449">
        <v>-3000</v>
      </c>
      <c r="AQ67" s="453">
        <v>-1</v>
      </c>
      <c r="AR67" s="449">
        <v>0</v>
      </c>
      <c r="AS67" s="449">
        <v>0</v>
      </c>
      <c r="AT67" s="426">
        <v>0</v>
      </c>
      <c r="AU67" s="421"/>
      <c r="AV67" s="449">
        <v>0</v>
      </c>
      <c r="AW67" s="449">
        <v>0</v>
      </c>
      <c r="AX67" s="449">
        <v>0</v>
      </c>
      <c r="AY67" s="449">
        <v>0</v>
      </c>
      <c r="AZ67" s="449">
        <v>0</v>
      </c>
      <c r="BA67" s="449">
        <v>0</v>
      </c>
      <c r="BB67" s="449">
        <v>0</v>
      </c>
      <c r="BC67" s="449">
        <v>0</v>
      </c>
      <c r="BD67" s="449">
        <v>0</v>
      </c>
      <c r="BE67" s="449">
        <v>0</v>
      </c>
      <c r="BF67" s="449">
        <v>0</v>
      </c>
      <c r="BG67" s="449">
        <v>0</v>
      </c>
      <c r="BH67" s="400"/>
      <c r="BI67" s="449">
        <v>0</v>
      </c>
      <c r="BJ67" s="449">
        <v>0</v>
      </c>
      <c r="BK67" s="449">
        <v>0</v>
      </c>
      <c r="BL67" s="771">
        <v>0</v>
      </c>
      <c r="BM67" s="449">
        <v>0</v>
      </c>
      <c r="BN67" s="449">
        <v>0</v>
      </c>
      <c r="BO67" s="449">
        <v>0</v>
      </c>
      <c r="BP67" s="449">
        <v>0</v>
      </c>
      <c r="BQ67" s="449">
        <v>0</v>
      </c>
      <c r="BR67" s="449">
        <v>0</v>
      </c>
      <c r="BS67" s="449">
        <v>0</v>
      </c>
      <c r="BT67" s="449">
        <v>0</v>
      </c>
    </row>
    <row r="68" spans="1:72" hidden="1" x14ac:dyDescent="0.25">
      <c r="A68" s="502" t="s">
        <v>99</v>
      </c>
      <c r="B68" s="502" t="s">
        <v>100</v>
      </c>
      <c r="C68" s="541"/>
      <c r="D68" s="500">
        <v>0</v>
      </c>
      <c r="E68" s="449">
        <v>0</v>
      </c>
      <c r="F68" s="449">
        <v>0</v>
      </c>
      <c r="G68" s="421">
        <v>0</v>
      </c>
      <c r="H68" s="449">
        <v>0</v>
      </c>
      <c r="I68" s="449">
        <v>0</v>
      </c>
      <c r="J68" s="426">
        <v>0</v>
      </c>
      <c r="K68" s="421"/>
      <c r="L68" s="449">
        <v>0</v>
      </c>
      <c r="M68" s="449">
        <v>0</v>
      </c>
      <c r="N68" s="449">
        <v>0</v>
      </c>
      <c r="O68" s="449">
        <v>0</v>
      </c>
      <c r="P68" s="449">
        <v>0</v>
      </c>
      <c r="Q68" s="449">
        <v>0</v>
      </c>
      <c r="R68" s="449">
        <v>0</v>
      </c>
      <c r="S68" s="449">
        <v>0</v>
      </c>
      <c r="T68" s="449">
        <v>0</v>
      </c>
      <c r="U68" s="449">
        <v>0</v>
      </c>
      <c r="V68" s="449">
        <v>0</v>
      </c>
      <c r="W68" s="449">
        <v>0</v>
      </c>
      <c r="X68" s="449"/>
      <c r="Y68" s="449">
        <v>0</v>
      </c>
      <c r="Z68" s="531"/>
      <c r="AA68" s="449">
        <v>0</v>
      </c>
      <c r="AB68" s="449">
        <v>0</v>
      </c>
      <c r="AC68" s="449">
        <v>0</v>
      </c>
      <c r="AD68" s="449">
        <v>0</v>
      </c>
      <c r="AE68" s="449">
        <v>0</v>
      </c>
      <c r="AF68" s="449">
        <v>0</v>
      </c>
      <c r="AG68" s="449">
        <v>0</v>
      </c>
      <c r="AH68" s="449">
        <v>0</v>
      </c>
      <c r="AI68" s="449">
        <v>0</v>
      </c>
      <c r="AJ68" s="449">
        <v>0</v>
      </c>
      <c r="AK68" s="449">
        <v>0</v>
      </c>
      <c r="AL68" s="449">
        <v>0</v>
      </c>
      <c r="AM68" s="400"/>
      <c r="AN68" s="500">
        <v>0</v>
      </c>
      <c r="AO68" s="449">
        <v>0</v>
      </c>
      <c r="AP68" s="449">
        <v>0</v>
      </c>
      <c r="AQ68" s="453" t="s">
        <v>1519</v>
      </c>
      <c r="AR68" s="449">
        <v>0</v>
      </c>
      <c r="AS68" s="449">
        <v>0</v>
      </c>
      <c r="AT68" s="426">
        <v>0</v>
      </c>
      <c r="AU68" s="421"/>
      <c r="AV68" s="449">
        <v>0</v>
      </c>
      <c r="AW68" s="449">
        <v>0</v>
      </c>
      <c r="AX68" s="449">
        <v>0</v>
      </c>
      <c r="AY68" s="449">
        <v>0</v>
      </c>
      <c r="AZ68" s="449">
        <v>0</v>
      </c>
      <c r="BA68" s="449">
        <v>0</v>
      </c>
      <c r="BB68" s="449">
        <v>0</v>
      </c>
      <c r="BC68" s="449">
        <v>0</v>
      </c>
      <c r="BD68" s="449">
        <v>0</v>
      </c>
      <c r="BE68" s="449">
        <v>0</v>
      </c>
      <c r="BF68" s="449">
        <v>0</v>
      </c>
      <c r="BG68" s="449">
        <v>0</v>
      </c>
      <c r="BH68" s="400"/>
      <c r="BI68" s="449">
        <v>0</v>
      </c>
      <c r="BJ68" s="449">
        <v>0</v>
      </c>
      <c r="BK68" s="449">
        <v>0</v>
      </c>
      <c r="BL68" s="771">
        <v>0</v>
      </c>
      <c r="BM68" s="449">
        <v>0</v>
      </c>
      <c r="BN68" s="449">
        <v>0</v>
      </c>
      <c r="BO68" s="449">
        <v>0</v>
      </c>
      <c r="BP68" s="449">
        <v>0</v>
      </c>
      <c r="BQ68" s="449">
        <v>0</v>
      </c>
      <c r="BR68" s="449">
        <v>0</v>
      </c>
      <c r="BS68" s="449">
        <v>0</v>
      </c>
      <c r="BT68" s="449">
        <v>0</v>
      </c>
    </row>
    <row r="69" spans="1:72" hidden="1" x14ac:dyDescent="0.25">
      <c r="A69" s="502" t="s">
        <v>101</v>
      </c>
      <c r="B69" s="502" t="s">
        <v>102</v>
      </c>
      <c r="C69" s="541"/>
      <c r="D69" s="500">
        <v>0</v>
      </c>
      <c r="E69" s="449">
        <v>0</v>
      </c>
      <c r="F69" s="449">
        <v>0</v>
      </c>
      <c r="G69" s="421">
        <v>0</v>
      </c>
      <c r="H69" s="449">
        <v>0</v>
      </c>
      <c r="I69" s="449">
        <v>0</v>
      </c>
      <c r="J69" s="426">
        <v>0</v>
      </c>
      <c r="K69" s="421"/>
      <c r="L69" s="449">
        <v>0</v>
      </c>
      <c r="M69" s="449">
        <v>0</v>
      </c>
      <c r="N69" s="449">
        <v>0</v>
      </c>
      <c r="O69" s="449">
        <v>0</v>
      </c>
      <c r="P69" s="449">
        <v>0</v>
      </c>
      <c r="Q69" s="449">
        <v>0</v>
      </c>
      <c r="R69" s="449">
        <v>0</v>
      </c>
      <c r="S69" s="449">
        <v>0</v>
      </c>
      <c r="T69" s="449">
        <v>0</v>
      </c>
      <c r="U69" s="449">
        <v>0</v>
      </c>
      <c r="V69" s="449">
        <v>0</v>
      </c>
      <c r="W69" s="449">
        <v>0</v>
      </c>
      <c r="X69" s="449"/>
      <c r="Y69" s="449">
        <v>0</v>
      </c>
      <c r="Z69" s="531"/>
      <c r="AA69" s="449">
        <v>0</v>
      </c>
      <c r="AB69" s="449">
        <v>0</v>
      </c>
      <c r="AC69" s="449">
        <v>0</v>
      </c>
      <c r="AD69" s="449">
        <v>0</v>
      </c>
      <c r="AE69" s="449">
        <v>0</v>
      </c>
      <c r="AF69" s="449">
        <v>0</v>
      </c>
      <c r="AG69" s="449">
        <v>0</v>
      </c>
      <c r="AH69" s="449">
        <v>0</v>
      </c>
      <c r="AI69" s="449">
        <v>0</v>
      </c>
      <c r="AJ69" s="449">
        <v>0</v>
      </c>
      <c r="AK69" s="449">
        <v>0</v>
      </c>
      <c r="AL69" s="449">
        <v>0</v>
      </c>
      <c r="AM69" s="400"/>
      <c r="AN69" s="500">
        <v>0</v>
      </c>
      <c r="AO69" s="449">
        <v>0</v>
      </c>
      <c r="AP69" s="449">
        <v>0</v>
      </c>
      <c r="AQ69" s="453" t="s">
        <v>1519</v>
      </c>
      <c r="AR69" s="449">
        <v>0</v>
      </c>
      <c r="AS69" s="449">
        <v>0</v>
      </c>
      <c r="AT69" s="426">
        <v>0</v>
      </c>
      <c r="AU69" s="421"/>
      <c r="AV69" s="449">
        <v>0</v>
      </c>
      <c r="AW69" s="449">
        <v>0</v>
      </c>
      <c r="AX69" s="449">
        <v>0</v>
      </c>
      <c r="AY69" s="449">
        <v>0</v>
      </c>
      <c r="AZ69" s="449">
        <v>0</v>
      </c>
      <c r="BA69" s="449">
        <v>0</v>
      </c>
      <c r="BB69" s="449">
        <v>0</v>
      </c>
      <c r="BC69" s="449">
        <v>0</v>
      </c>
      <c r="BD69" s="449">
        <v>0</v>
      </c>
      <c r="BE69" s="449">
        <v>0</v>
      </c>
      <c r="BF69" s="449">
        <v>0</v>
      </c>
      <c r="BG69" s="449">
        <v>0</v>
      </c>
      <c r="BH69" s="400"/>
      <c r="BI69" s="449">
        <v>0</v>
      </c>
      <c r="BJ69" s="449">
        <v>0</v>
      </c>
      <c r="BK69" s="449">
        <v>0</v>
      </c>
      <c r="BL69" s="771">
        <v>0</v>
      </c>
      <c r="BM69" s="449">
        <v>0</v>
      </c>
      <c r="BN69" s="449">
        <v>0</v>
      </c>
      <c r="BO69" s="449">
        <v>0</v>
      </c>
      <c r="BP69" s="449">
        <v>0</v>
      </c>
      <c r="BQ69" s="449">
        <v>0</v>
      </c>
      <c r="BR69" s="449">
        <v>0</v>
      </c>
      <c r="BS69" s="449">
        <v>0</v>
      </c>
      <c r="BT69" s="449">
        <v>0</v>
      </c>
    </row>
    <row r="70" spans="1:72" x14ac:dyDescent="0.25">
      <c r="A70" s="502" t="s">
        <v>103</v>
      </c>
      <c r="B70" s="502" t="s">
        <v>104</v>
      </c>
      <c r="C70" s="541"/>
      <c r="D70" s="500">
        <v>152980</v>
      </c>
      <c r="E70" s="449">
        <v>147530</v>
      </c>
      <c r="F70" s="449">
        <v>5450</v>
      </c>
      <c r="G70" s="421">
        <v>3.6941638988680268E-2</v>
      </c>
      <c r="H70" s="449">
        <v>152980</v>
      </c>
      <c r="I70" s="449">
        <v>0</v>
      </c>
      <c r="J70" s="426">
        <v>0</v>
      </c>
      <c r="K70" s="421"/>
      <c r="L70" s="449">
        <v>55.15</v>
      </c>
      <c r="M70" s="449">
        <v>16511.609999999997</v>
      </c>
      <c r="N70" s="449">
        <v>11936.460000000003</v>
      </c>
      <c r="O70" s="449">
        <v>17700.059999999998</v>
      </c>
      <c r="P70" s="449">
        <v>8983.89</v>
      </c>
      <c r="Q70" s="449">
        <v>9316.4900000000052</v>
      </c>
      <c r="R70" s="449">
        <v>14746.056666666665</v>
      </c>
      <c r="S70" s="449">
        <v>14746.056666666665</v>
      </c>
      <c r="T70" s="449">
        <v>14746.056666666664</v>
      </c>
      <c r="U70" s="449">
        <v>14746.056666666662</v>
      </c>
      <c r="V70" s="449">
        <v>14746.056666666664</v>
      </c>
      <c r="W70" s="449">
        <v>14746.056666666671</v>
      </c>
      <c r="X70" s="449"/>
      <c r="Y70" s="449">
        <v>152980</v>
      </c>
      <c r="Z70" s="531"/>
      <c r="AA70" s="449">
        <v>12748.333333333334</v>
      </c>
      <c r="AB70" s="449">
        <v>12748.333333333334</v>
      </c>
      <c r="AC70" s="449">
        <v>12748.333333333334</v>
      </c>
      <c r="AD70" s="449">
        <v>12748.333333333334</v>
      </c>
      <c r="AE70" s="449">
        <v>12748.333333333334</v>
      </c>
      <c r="AF70" s="449">
        <v>12748.333333333334</v>
      </c>
      <c r="AG70" s="449">
        <v>12748.333333333334</v>
      </c>
      <c r="AH70" s="449">
        <v>12748.333333333334</v>
      </c>
      <c r="AI70" s="449">
        <v>12748.333333333334</v>
      </c>
      <c r="AJ70" s="449">
        <v>12748.333333333334</v>
      </c>
      <c r="AK70" s="449">
        <v>12748.333333333334</v>
      </c>
      <c r="AL70" s="449">
        <v>12748.333333333334</v>
      </c>
      <c r="AM70" s="400"/>
      <c r="AN70" s="500">
        <v>152980</v>
      </c>
      <c r="AO70" s="449">
        <v>140462.87999999995</v>
      </c>
      <c r="AP70" s="449">
        <v>-12517.120000000054</v>
      </c>
      <c r="AQ70" s="453">
        <v>-8.182193750817135E-2</v>
      </c>
      <c r="AR70" s="449">
        <v>140462.87999999995</v>
      </c>
      <c r="AS70" s="449">
        <v>0</v>
      </c>
      <c r="AT70" s="426">
        <v>0</v>
      </c>
      <c r="AU70" s="421"/>
      <c r="AV70" s="449">
        <v>0</v>
      </c>
      <c r="AW70" s="449">
        <v>11705.239999999998</v>
      </c>
      <c r="AX70" s="449">
        <v>11705.239999999998</v>
      </c>
      <c r="AY70" s="449">
        <v>11705.239999999998</v>
      </c>
      <c r="AZ70" s="449">
        <v>11705.239999999998</v>
      </c>
      <c r="BA70" s="449">
        <v>11705.239999999998</v>
      </c>
      <c r="BB70" s="449">
        <v>11705.239999999998</v>
      </c>
      <c r="BC70" s="449">
        <v>11705.239999999998</v>
      </c>
      <c r="BD70" s="449">
        <v>11705.239999999998</v>
      </c>
      <c r="BE70" s="449">
        <v>11705.239999999998</v>
      </c>
      <c r="BF70" s="449">
        <v>11705.239999999998</v>
      </c>
      <c r="BG70" s="449">
        <v>23410.479999999996</v>
      </c>
      <c r="BH70" s="400"/>
      <c r="BI70" s="449">
        <v>0</v>
      </c>
      <c r="BJ70" s="449">
        <v>11705.239999999998</v>
      </c>
      <c r="BK70" s="449">
        <v>11705.239999999998</v>
      </c>
      <c r="BL70" s="771">
        <v>11705.239999999998</v>
      </c>
      <c r="BM70" s="449">
        <v>11705.239999999998</v>
      </c>
      <c r="BN70" s="449">
        <v>11705.239999999998</v>
      </c>
      <c r="BO70" s="449">
        <v>11705.239999999998</v>
      </c>
      <c r="BP70" s="449">
        <v>11705.239999999998</v>
      </c>
      <c r="BQ70" s="449">
        <v>11705.239999999998</v>
      </c>
      <c r="BR70" s="449">
        <v>11705.239999999998</v>
      </c>
      <c r="BS70" s="449">
        <v>11705.239999999998</v>
      </c>
      <c r="BT70" s="449">
        <v>23410.479999999996</v>
      </c>
    </row>
    <row r="71" spans="1:72" x14ac:dyDescent="0.25">
      <c r="A71" s="502" t="s">
        <v>105</v>
      </c>
      <c r="B71" s="502" t="s">
        <v>106</v>
      </c>
      <c r="C71" s="541"/>
      <c r="D71" s="500">
        <v>8283</v>
      </c>
      <c r="E71" s="449">
        <v>8283</v>
      </c>
      <c r="F71" s="449">
        <v>0</v>
      </c>
      <c r="G71" s="421">
        <v>0</v>
      </c>
      <c r="H71" s="449">
        <v>8283</v>
      </c>
      <c r="I71" s="449">
        <v>0</v>
      </c>
      <c r="J71" s="426">
        <v>0</v>
      </c>
      <c r="K71" s="421"/>
      <c r="L71" s="449">
        <v>0</v>
      </c>
      <c r="M71" s="449">
        <v>716.68</v>
      </c>
      <c r="N71" s="449">
        <v>18.82000000000005</v>
      </c>
      <c r="O71" s="449">
        <v>334.08999999999992</v>
      </c>
      <c r="P71" s="449">
        <v>399.47</v>
      </c>
      <c r="Q71" s="449">
        <v>567.51</v>
      </c>
      <c r="R71" s="449">
        <v>1041.0716666666667</v>
      </c>
      <c r="S71" s="449">
        <v>1041.0716666666667</v>
      </c>
      <c r="T71" s="449">
        <v>1041.0716666666667</v>
      </c>
      <c r="U71" s="449">
        <v>1041.0716666666667</v>
      </c>
      <c r="V71" s="449">
        <v>1041.0716666666667</v>
      </c>
      <c r="W71" s="449">
        <v>1041.0716666666667</v>
      </c>
      <c r="X71" s="449"/>
      <c r="Y71" s="449">
        <v>8283</v>
      </c>
      <c r="Z71" s="531"/>
      <c r="AA71" s="449">
        <v>690.25</v>
      </c>
      <c r="AB71" s="449">
        <v>690.25</v>
      </c>
      <c r="AC71" s="449">
        <v>690.25</v>
      </c>
      <c r="AD71" s="449">
        <v>690.25</v>
      </c>
      <c r="AE71" s="449">
        <v>690.25</v>
      </c>
      <c r="AF71" s="449">
        <v>690.25</v>
      </c>
      <c r="AG71" s="449">
        <v>690.25</v>
      </c>
      <c r="AH71" s="449">
        <v>690.25</v>
      </c>
      <c r="AI71" s="449">
        <v>690.25</v>
      </c>
      <c r="AJ71" s="449">
        <v>690.25</v>
      </c>
      <c r="AK71" s="449">
        <v>690.25</v>
      </c>
      <c r="AL71" s="449">
        <v>690.25</v>
      </c>
      <c r="AM71" s="400"/>
      <c r="AN71" s="500">
        <v>8283</v>
      </c>
      <c r="AO71" s="449">
        <v>9426.9973170731701</v>
      </c>
      <c r="AP71" s="449">
        <v>1143.9973170731701</v>
      </c>
      <c r="AQ71" s="453">
        <v>0.13811388591973561</v>
      </c>
      <c r="AR71" s="449">
        <v>9426.9973170731701</v>
      </c>
      <c r="AS71" s="449">
        <v>0</v>
      </c>
      <c r="AT71" s="426">
        <v>0</v>
      </c>
      <c r="AU71" s="421"/>
      <c r="AV71" s="449">
        <v>0</v>
      </c>
      <c r="AW71" s="449">
        <v>0</v>
      </c>
      <c r="AX71" s="449">
        <v>856.99975609756086</v>
      </c>
      <c r="AY71" s="449">
        <v>856.99975609756086</v>
      </c>
      <c r="AZ71" s="449">
        <v>856.99975609756086</v>
      </c>
      <c r="BA71" s="449">
        <v>856.99975609756086</v>
      </c>
      <c r="BB71" s="449">
        <v>856.99975609756086</v>
      </c>
      <c r="BC71" s="449">
        <v>856.99975609756086</v>
      </c>
      <c r="BD71" s="449">
        <v>856.99975609756086</v>
      </c>
      <c r="BE71" s="449">
        <v>856.99975609756086</v>
      </c>
      <c r="BF71" s="449">
        <v>856.99975609756086</v>
      </c>
      <c r="BG71" s="449">
        <v>1713.9995121951217</v>
      </c>
      <c r="BH71" s="400"/>
      <c r="BI71" s="449">
        <v>0</v>
      </c>
      <c r="BJ71" s="449">
        <v>0</v>
      </c>
      <c r="BK71" s="449">
        <v>856.99975609756086</v>
      </c>
      <c r="BL71" s="771">
        <v>856.99975609756086</v>
      </c>
      <c r="BM71" s="449">
        <v>856.99975609756086</v>
      </c>
      <c r="BN71" s="449">
        <v>856.99975609756086</v>
      </c>
      <c r="BO71" s="449">
        <v>856.99975609756086</v>
      </c>
      <c r="BP71" s="449">
        <v>856.99975609756086</v>
      </c>
      <c r="BQ71" s="449">
        <v>856.99975609756086</v>
      </c>
      <c r="BR71" s="449">
        <v>856.99975609756086</v>
      </c>
      <c r="BS71" s="449">
        <v>856.99975609756086</v>
      </c>
      <c r="BT71" s="449">
        <v>1713.9995121951217</v>
      </c>
    </row>
    <row r="72" spans="1:72" x14ac:dyDescent="0.25">
      <c r="A72" s="502" t="s">
        <v>107</v>
      </c>
      <c r="B72" s="502" t="s">
        <v>108</v>
      </c>
      <c r="C72" s="541"/>
      <c r="D72" s="500">
        <v>21772</v>
      </c>
      <c r="E72" s="449">
        <v>21772</v>
      </c>
      <c r="F72" s="449">
        <v>0</v>
      </c>
      <c r="G72" s="421">
        <v>0</v>
      </c>
      <c r="H72" s="449">
        <v>21772</v>
      </c>
      <c r="I72" s="449">
        <v>0</v>
      </c>
      <c r="J72" s="426">
        <v>0</v>
      </c>
      <c r="K72" s="421"/>
      <c r="L72" s="449">
        <v>406.69</v>
      </c>
      <c r="M72" s="449">
        <v>2438.08</v>
      </c>
      <c r="N72" s="449">
        <v>1166.8800000000001</v>
      </c>
      <c r="O72" s="449">
        <v>1703.6200000000003</v>
      </c>
      <c r="P72" s="449">
        <v>1256.0199999999995</v>
      </c>
      <c r="Q72" s="449">
        <v>1565.0899999999992</v>
      </c>
      <c r="R72" s="449">
        <v>2205.936666666667</v>
      </c>
      <c r="S72" s="449">
        <v>2205.936666666667</v>
      </c>
      <c r="T72" s="449">
        <v>2205.936666666667</v>
      </c>
      <c r="U72" s="449">
        <v>2205.936666666667</v>
      </c>
      <c r="V72" s="449">
        <v>2205.9366666666665</v>
      </c>
      <c r="W72" s="449">
        <v>2205.9366666666683</v>
      </c>
      <c r="X72" s="449"/>
      <c r="Y72" s="449">
        <v>21772</v>
      </c>
      <c r="Z72" s="531"/>
      <c r="AA72" s="449">
        <v>1814.3333333333333</v>
      </c>
      <c r="AB72" s="449">
        <v>1814.3333333333333</v>
      </c>
      <c r="AC72" s="449">
        <v>1814.3333333333333</v>
      </c>
      <c r="AD72" s="449">
        <v>1814.3333333333333</v>
      </c>
      <c r="AE72" s="449">
        <v>1814.3333333333333</v>
      </c>
      <c r="AF72" s="449">
        <v>1814.3333333333333</v>
      </c>
      <c r="AG72" s="449">
        <v>1814.3333333333333</v>
      </c>
      <c r="AH72" s="449">
        <v>1814.3333333333333</v>
      </c>
      <c r="AI72" s="449">
        <v>1814.3333333333333</v>
      </c>
      <c r="AJ72" s="449">
        <v>1814.3333333333333</v>
      </c>
      <c r="AK72" s="449">
        <v>1814.3333333333333</v>
      </c>
      <c r="AL72" s="449">
        <v>1814.3333333333333</v>
      </c>
      <c r="AM72" s="400"/>
      <c r="AN72" s="500">
        <v>21772</v>
      </c>
      <c r="AO72" s="449">
        <v>12140.733835500001</v>
      </c>
      <c r="AP72" s="449">
        <v>-9631.2661644999989</v>
      </c>
      <c r="AQ72" s="453">
        <v>-0.44236938106283297</v>
      </c>
      <c r="AR72" s="449">
        <v>12140.733835500001</v>
      </c>
      <c r="AS72" s="449">
        <v>0</v>
      </c>
      <c r="AT72" s="426">
        <v>0</v>
      </c>
      <c r="AU72" s="421"/>
      <c r="AV72" s="449">
        <v>0</v>
      </c>
      <c r="AW72" s="449">
        <v>1011.7278196249999</v>
      </c>
      <c r="AX72" s="449">
        <v>1011.7278196249999</v>
      </c>
      <c r="AY72" s="449">
        <v>1011.7278196249999</v>
      </c>
      <c r="AZ72" s="449">
        <v>1011.7278196249999</v>
      </c>
      <c r="BA72" s="449">
        <v>1011.7278196249999</v>
      </c>
      <c r="BB72" s="449">
        <v>1011.7278196249999</v>
      </c>
      <c r="BC72" s="449">
        <v>1011.7278196249999</v>
      </c>
      <c r="BD72" s="449">
        <v>1011.7278196249999</v>
      </c>
      <c r="BE72" s="449">
        <v>1011.7278196249999</v>
      </c>
      <c r="BF72" s="449">
        <v>1011.7278196249999</v>
      </c>
      <c r="BG72" s="449">
        <v>2023.4556392499999</v>
      </c>
      <c r="BH72" s="400"/>
      <c r="BI72" s="449">
        <v>0</v>
      </c>
      <c r="BJ72" s="449">
        <v>1011.7278196249999</v>
      </c>
      <c r="BK72" s="449">
        <v>1011.7278196249999</v>
      </c>
      <c r="BL72" s="771">
        <v>1011.7278196249999</v>
      </c>
      <c r="BM72" s="449">
        <v>1011.7278196249999</v>
      </c>
      <c r="BN72" s="449">
        <v>1011.7278196249999</v>
      </c>
      <c r="BO72" s="449">
        <v>1011.7278196249999</v>
      </c>
      <c r="BP72" s="449">
        <v>1011.7278196249999</v>
      </c>
      <c r="BQ72" s="449">
        <v>1011.7278196249999</v>
      </c>
      <c r="BR72" s="449">
        <v>1011.7278196249999</v>
      </c>
      <c r="BS72" s="449">
        <v>1011.7278196249999</v>
      </c>
      <c r="BT72" s="449">
        <v>2023.4556392499999</v>
      </c>
    </row>
    <row r="73" spans="1:72" x14ac:dyDescent="0.25">
      <c r="A73" s="502" t="s">
        <v>109</v>
      </c>
      <c r="B73" s="502" t="s">
        <v>110</v>
      </c>
      <c r="C73" s="541"/>
      <c r="D73" s="500">
        <v>113413</v>
      </c>
      <c r="E73" s="449">
        <v>108236</v>
      </c>
      <c r="F73" s="449">
        <v>5177</v>
      </c>
      <c r="G73" s="421">
        <v>4.7830666321741377E-2</v>
      </c>
      <c r="H73" s="449">
        <v>113413</v>
      </c>
      <c r="I73" s="449">
        <v>0</v>
      </c>
      <c r="J73" s="426">
        <v>0</v>
      </c>
      <c r="K73" s="421"/>
      <c r="L73" s="449">
        <v>366.64</v>
      </c>
      <c r="M73" s="449">
        <v>7075.8899999999994</v>
      </c>
      <c r="N73" s="449">
        <v>11585.810000000001</v>
      </c>
      <c r="O73" s="449">
        <v>28565.7</v>
      </c>
      <c r="P73" s="449">
        <v>13473.379999999997</v>
      </c>
      <c r="Q73" s="449">
        <v>12214.220000000001</v>
      </c>
      <c r="R73" s="449">
        <v>6688.56</v>
      </c>
      <c r="S73" s="449">
        <v>6688.56</v>
      </c>
      <c r="T73" s="449">
        <v>6688.5600000000013</v>
      </c>
      <c r="U73" s="449">
        <v>6688.5600000000022</v>
      </c>
      <c r="V73" s="449">
        <v>6688.5600000000049</v>
      </c>
      <c r="W73" s="449">
        <v>6688.5599999999977</v>
      </c>
      <c r="X73" s="449"/>
      <c r="Y73" s="449">
        <v>113413</v>
      </c>
      <c r="Z73" s="531"/>
      <c r="AA73" s="449">
        <v>9451.0833333333339</v>
      </c>
      <c r="AB73" s="449">
        <v>9451.0833333333339</v>
      </c>
      <c r="AC73" s="449">
        <v>9451.0833333333339</v>
      </c>
      <c r="AD73" s="449">
        <v>9451.0833333333339</v>
      </c>
      <c r="AE73" s="449">
        <v>9451.0833333333339</v>
      </c>
      <c r="AF73" s="449">
        <v>9451.0833333333339</v>
      </c>
      <c r="AG73" s="449">
        <v>9451.0833333333339</v>
      </c>
      <c r="AH73" s="449">
        <v>9451.0833333333339</v>
      </c>
      <c r="AI73" s="449">
        <v>9451.0833333333339</v>
      </c>
      <c r="AJ73" s="449">
        <v>9451.0833333333339</v>
      </c>
      <c r="AK73" s="449">
        <v>9451.0833333333339</v>
      </c>
      <c r="AL73" s="449">
        <v>9451.0833333333339</v>
      </c>
      <c r="AM73" s="400"/>
      <c r="AN73" s="500">
        <v>113413</v>
      </c>
      <c r="AO73" s="449">
        <v>168634.6069696401</v>
      </c>
      <c r="AP73" s="449">
        <v>55221.606969640095</v>
      </c>
      <c r="AQ73" s="453">
        <v>0.48690720613721616</v>
      </c>
      <c r="AR73" s="449">
        <v>168634.6069696401</v>
      </c>
      <c r="AS73" s="449">
        <v>0</v>
      </c>
      <c r="AT73" s="426">
        <v>0</v>
      </c>
      <c r="AU73" s="421"/>
      <c r="AV73" s="449">
        <v>0</v>
      </c>
      <c r="AW73" s="449">
        <v>14052.883914136672</v>
      </c>
      <c r="AX73" s="449">
        <v>14052.883914136672</v>
      </c>
      <c r="AY73" s="449">
        <v>14052.883914136672</v>
      </c>
      <c r="AZ73" s="449">
        <v>14052.883914136672</v>
      </c>
      <c r="BA73" s="449">
        <v>14052.883914136672</v>
      </c>
      <c r="BB73" s="449">
        <v>14052.883914136672</v>
      </c>
      <c r="BC73" s="449">
        <v>14052.883914136672</v>
      </c>
      <c r="BD73" s="449">
        <v>14052.883914136672</v>
      </c>
      <c r="BE73" s="449">
        <v>14052.883914136672</v>
      </c>
      <c r="BF73" s="449">
        <v>14052.883914136672</v>
      </c>
      <c r="BG73" s="449">
        <v>28105.767828273343</v>
      </c>
      <c r="BH73" s="400"/>
      <c r="BI73" s="449">
        <v>0</v>
      </c>
      <c r="BJ73" s="449">
        <v>14052.883914136672</v>
      </c>
      <c r="BK73" s="449">
        <v>14052.883914136672</v>
      </c>
      <c r="BL73" s="771">
        <v>14052.883914136672</v>
      </c>
      <c r="BM73" s="449">
        <v>14052.883914136672</v>
      </c>
      <c r="BN73" s="449">
        <v>14052.883914136672</v>
      </c>
      <c r="BO73" s="449">
        <v>14052.883914136672</v>
      </c>
      <c r="BP73" s="449">
        <v>14052.883914136672</v>
      </c>
      <c r="BQ73" s="449">
        <v>14052.883914136672</v>
      </c>
      <c r="BR73" s="449">
        <v>14052.883914136672</v>
      </c>
      <c r="BS73" s="449">
        <v>14052.883914136672</v>
      </c>
      <c r="BT73" s="449">
        <v>28105.767828273343</v>
      </c>
    </row>
    <row r="74" spans="1:72" x14ac:dyDescent="0.25">
      <c r="A74" s="502" t="s">
        <v>111</v>
      </c>
      <c r="B74" s="502" t="s">
        <v>112</v>
      </c>
      <c r="C74" s="541"/>
      <c r="D74" s="500">
        <v>10042.629999999999</v>
      </c>
      <c r="E74" s="449">
        <v>6244</v>
      </c>
      <c r="F74" s="449">
        <v>3798.6299999999992</v>
      </c>
      <c r="G74" s="421">
        <v>0.60836483023702737</v>
      </c>
      <c r="H74" s="449">
        <v>6244</v>
      </c>
      <c r="I74" s="449">
        <v>3798.6299999999992</v>
      </c>
      <c r="J74" s="426">
        <v>0.60836483023702737</v>
      </c>
      <c r="K74" s="421"/>
      <c r="L74" s="449">
        <v>12.55</v>
      </c>
      <c r="M74" s="449">
        <v>12.55</v>
      </c>
      <c r="N74" s="449">
        <v>20.549999999999997</v>
      </c>
      <c r="O74" s="449">
        <v>5754.3600000000006</v>
      </c>
      <c r="P74" s="449">
        <v>3675.0300000000007</v>
      </c>
      <c r="Q74" s="449">
        <v>567.58999999999833</v>
      </c>
      <c r="R74" s="449">
        <v>0</v>
      </c>
      <c r="S74" s="449">
        <v>0</v>
      </c>
      <c r="T74" s="449">
        <v>0</v>
      </c>
      <c r="U74" s="449">
        <v>0</v>
      </c>
      <c r="V74" s="449">
        <v>0</v>
      </c>
      <c r="W74" s="449">
        <v>0</v>
      </c>
      <c r="X74" s="449"/>
      <c r="Y74" s="449">
        <v>10042.629999999999</v>
      </c>
      <c r="Z74" s="531"/>
      <c r="AA74" s="449">
        <v>520.33333333333337</v>
      </c>
      <c r="AB74" s="449">
        <v>520.33333333333337</v>
      </c>
      <c r="AC74" s="449">
        <v>520.33333333333337</v>
      </c>
      <c r="AD74" s="449">
        <v>520.33333333333337</v>
      </c>
      <c r="AE74" s="449">
        <v>520.33333333333337</v>
      </c>
      <c r="AF74" s="449">
        <v>520.33333333333337</v>
      </c>
      <c r="AG74" s="449">
        <v>520.33333333333337</v>
      </c>
      <c r="AH74" s="449">
        <v>520.33333333333337</v>
      </c>
      <c r="AI74" s="449">
        <v>520.33333333333337</v>
      </c>
      <c r="AJ74" s="449">
        <v>520.33333333333337</v>
      </c>
      <c r="AK74" s="449">
        <v>520.33333333333337</v>
      </c>
      <c r="AL74" s="449">
        <v>520.33333333333337</v>
      </c>
      <c r="AM74" s="400"/>
      <c r="AN74" s="500">
        <v>10042.629999999999</v>
      </c>
      <c r="AO74" s="449">
        <v>7032.2348832400021</v>
      </c>
      <c r="AP74" s="449">
        <v>-3010.3951167599971</v>
      </c>
      <c r="AQ74" s="453">
        <v>-0.29976162785644772</v>
      </c>
      <c r="AR74" s="449">
        <v>7032.2348832400021</v>
      </c>
      <c r="AS74" s="449">
        <v>0</v>
      </c>
      <c r="AT74" s="426">
        <v>0</v>
      </c>
      <c r="AU74" s="421"/>
      <c r="AV74" s="449">
        <v>0</v>
      </c>
      <c r="AW74" s="449">
        <v>586.01957360333347</v>
      </c>
      <c r="AX74" s="449">
        <v>586.01957360333347</v>
      </c>
      <c r="AY74" s="449">
        <v>586.01957360333347</v>
      </c>
      <c r="AZ74" s="449">
        <v>586.01957360333347</v>
      </c>
      <c r="BA74" s="449">
        <v>586.01957360333347</v>
      </c>
      <c r="BB74" s="449">
        <v>586.01957360333347</v>
      </c>
      <c r="BC74" s="449">
        <v>586.01957360333347</v>
      </c>
      <c r="BD74" s="449">
        <v>586.01957360333347</v>
      </c>
      <c r="BE74" s="449">
        <v>586.01957360333347</v>
      </c>
      <c r="BF74" s="449">
        <v>586.01957360333347</v>
      </c>
      <c r="BG74" s="449">
        <v>1172.0391472066669</v>
      </c>
      <c r="BH74" s="400"/>
      <c r="BI74" s="449">
        <v>0</v>
      </c>
      <c r="BJ74" s="449">
        <v>586.01957360333347</v>
      </c>
      <c r="BK74" s="449">
        <v>586.01957360333347</v>
      </c>
      <c r="BL74" s="771">
        <v>586.01957360333347</v>
      </c>
      <c r="BM74" s="449">
        <v>586.01957360333347</v>
      </c>
      <c r="BN74" s="449">
        <v>586.01957360333347</v>
      </c>
      <c r="BO74" s="449">
        <v>586.01957360333347</v>
      </c>
      <c r="BP74" s="449">
        <v>586.01957360333347</v>
      </c>
      <c r="BQ74" s="449">
        <v>586.01957360333347</v>
      </c>
      <c r="BR74" s="449">
        <v>586.01957360333347</v>
      </c>
      <c r="BS74" s="449">
        <v>586.01957360333347</v>
      </c>
      <c r="BT74" s="449">
        <v>1172.0391472066669</v>
      </c>
    </row>
    <row r="75" spans="1:72" ht="15.75" hidden="1" customHeight="1" x14ac:dyDescent="0.25">
      <c r="A75" s="502" t="s">
        <v>113</v>
      </c>
      <c r="B75" s="502" t="s">
        <v>114</v>
      </c>
      <c r="C75" s="541"/>
      <c r="D75" s="500">
        <v>0</v>
      </c>
      <c r="E75" s="449">
        <v>0</v>
      </c>
      <c r="F75" s="449">
        <v>0</v>
      </c>
      <c r="G75" s="421">
        <v>0</v>
      </c>
      <c r="H75" s="449">
        <v>0</v>
      </c>
      <c r="I75" s="449">
        <v>0</v>
      </c>
      <c r="J75" s="426">
        <v>0</v>
      </c>
      <c r="K75" s="421"/>
      <c r="L75" s="449">
        <v>0</v>
      </c>
      <c r="M75" s="449">
        <v>0</v>
      </c>
      <c r="N75" s="449">
        <v>0</v>
      </c>
      <c r="O75" s="449">
        <v>0</v>
      </c>
      <c r="P75" s="449">
        <v>0</v>
      </c>
      <c r="Q75" s="449">
        <v>0</v>
      </c>
      <c r="R75" s="449">
        <v>0</v>
      </c>
      <c r="S75" s="449">
        <v>0</v>
      </c>
      <c r="T75" s="449">
        <v>0</v>
      </c>
      <c r="U75" s="449">
        <v>0</v>
      </c>
      <c r="V75" s="449">
        <v>0</v>
      </c>
      <c r="W75" s="449">
        <v>0</v>
      </c>
      <c r="X75" s="449"/>
      <c r="Y75" s="449">
        <v>0</v>
      </c>
      <c r="Z75" s="531"/>
      <c r="AA75" s="449">
        <v>0</v>
      </c>
      <c r="AB75" s="449">
        <v>0</v>
      </c>
      <c r="AC75" s="449">
        <v>0</v>
      </c>
      <c r="AD75" s="449">
        <v>0</v>
      </c>
      <c r="AE75" s="449">
        <v>0</v>
      </c>
      <c r="AF75" s="449">
        <v>0</v>
      </c>
      <c r="AG75" s="449">
        <v>0</v>
      </c>
      <c r="AH75" s="449">
        <v>0</v>
      </c>
      <c r="AI75" s="449">
        <v>0</v>
      </c>
      <c r="AJ75" s="449">
        <v>0</v>
      </c>
      <c r="AK75" s="449">
        <v>0</v>
      </c>
      <c r="AL75" s="449">
        <v>0</v>
      </c>
      <c r="AM75" s="400"/>
      <c r="AN75" s="500">
        <v>0</v>
      </c>
      <c r="AO75" s="449">
        <v>0</v>
      </c>
      <c r="AP75" s="449">
        <v>0</v>
      </c>
      <c r="AQ75" s="453" t="s">
        <v>1519</v>
      </c>
      <c r="AR75" s="449">
        <v>0</v>
      </c>
      <c r="AS75" s="449">
        <v>0</v>
      </c>
      <c r="AT75" s="426">
        <v>0</v>
      </c>
      <c r="AU75" s="421"/>
      <c r="AV75" s="449">
        <v>0</v>
      </c>
      <c r="AW75" s="449">
        <v>0</v>
      </c>
      <c r="AX75" s="449">
        <v>0</v>
      </c>
      <c r="AY75" s="449">
        <v>0</v>
      </c>
      <c r="AZ75" s="449">
        <v>0</v>
      </c>
      <c r="BA75" s="449">
        <v>0</v>
      </c>
      <c r="BB75" s="449">
        <v>0</v>
      </c>
      <c r="BC75" s="449">
        <v>0</v>
      </c>
      <c r="BD75" s="449">
        <v>0</v>
      </c>
      <c r="BE75" s="449">
        <v>0</v>
      </c>
      <c r="BF75" s="449">
        <v>0</v>
      </c>
      <c r="BG75" s="449">
        <v>0</v>
      </c>
      <c r="BH75" s="400"/>
      <c r="BI75" s="449">
        <v>0</v>
      </c>
      <c r="BJ75" s="449">
        <v>0</v>
      </c>
      <c r="BK75" s="449">
        <v>0</v>
      </c>
      <c r="BL75" s="771">
        <v>0</v>
      </c>
      <c r="BM75" s="449">
        <v>0</v>
      </c>
      <c r="BN75" s="449">
        <v>0</v>
      </c>
      <c r="BO75" s="449">
        <v>0</v>
      </c>
      <c r="BP75" s="449">
        <v>0</v>
      </c>
      <c r="BQ75" s="449">
        <v>0</v>
      </c>
      <c r="BR75" s="449">
        <v>0</v>
      </c>
      <c r="BS75" s="449">
        <v>0</v>
      </c>
      <c r="BT75" s="449">
        <v>0</v>
      </c>
    </row>
    <row r="76" spans="1:72" ht="15.75" hidden="1" customHeight="1" x14ac:dyDescent="0.25">
      <c r="A76" s="502" t="s">
        <v>115</v>
      </c>
      <c r="B76" s="502" t="s">
        <v>116</v>
      </c>
      <c r="C76" s="541"/>
      <c r="D76" s="500">
        <v>0</v>
      </c>
      <c r="E76" s="449">
        <v>0</v>
      </c>
      <c r="F76" s="449">
        <v>0</v>
      </c>
      <c r="G76" s="421">
        <v>0</v>
      </c>
      <c r="H76" s="449">
        <v>0</v>
      </c>
      <c r="I76" s="449">
        <v>0</v>
      </c>
      <c r="J76" s="426">
        <v>0</v>
      </c>
      <c r="K76" s="421"/>
      <c r="L76" s="449">
        <v>0</v>
      </c>
      <c r="M76" s="449">
        <v>0</v>
      </c>
      <c r="N76" s="449">
        <v>0</v>
      </c>
      <c r="O76" s="449">
        <v>0</v>
      </c>
      <c r="P76" s="449">
        <v>0</v>
      </c>
      <c r="Q76" s="449">
        <v>0</v>
      </c>
      <c r="R76" s="449">
        <v>0</v>
      </c>
      <c r="S76" s="449">
        <v>0</v>
      </c>
      <c r="T76" s="449">
        <v>0</v>
      </c>
      <c r="U76" s="449">
        <v>0</v>
      </c>
      <c r="V76" s="449">
        <v>0</v>
      </c>
      <c r="W76" s="449">
        <v>0</v>
      </c>
      <c r="X76" s="449"/>
      <c r="Y76" s="449">
        <v>0</v>
      </c>
      <c r="Z76" s="531"/>
      <c r="AA76" s="449">
        <v>0</v>
      </c>
      <c r="AB76" s="449">
        <v>0</v>
      </c>
      <c r="AC76" s="449">
        <v>0</v>
      </c>
      <c r="AD76" s="449">
        <v>0</v>
      </c>
      <c r="AE76" s="449">
        <v>0</v>
      </c>
      <c r="AF76" s="449">
        <v>0</v>
      </c>
      <c r="AG76" s="449">
        <v>0</v>
      </c>
      <c r="AH76" s="449">
        <v>0</v>
      </c>
      <c r="AI76" s="449">
        <v>0</v>
      </c>
      <c r="AJ76" s="449">
        <v>0</v>
      </c>
      <c r="AK76" s="449">
        <v>0</v>
      </c>
      <c r="AL76" s="449">
        <v>0</v>
      </c>
      <c r="AM76" s="400"/>
      <c r="AN76" s="500">
        <v>0</v>
      </c>
      <c r="AO76" s="449">
        <v>0</v>
      </c>
      <c r="AP76" s="449">
        <v>0</v>
      </c>
      <c r="AQ76" s="453" t="s">
        <v>1519</v>
      </c>
      <c r="AR76" s="449">
        <v>0</v>
      </c>
      <c r="AS76" s="449">
        <v>0</v>
      </c>
      <c r="AT76" s="426">
        <v>0</v>
      </c>
      <c r="AU76" s="421"/>
      <c r="AV76" s="449">
        <v>0</v>
      </c>
      <c r="AW76" s="449">
        <v>0</v>
      </c>
      <c r="AX76" s="449">
        <v>0</v>
      </c>
      <c r="AY76" s="449">
        <v>0</v>
      </c>
      <c r="AZ76" s="449">
        <v>0</v>
      </c>
      <c r="BA76" s="449">
        <v>0</v>
      </c>
      <c r="BB76" s="449">
        <v>0</v>
      </c>
      <c r="BC76" s="449">
        <v>0</v>
      </c>
      <c r="BD76" s="449">
        <v>0</v>
      </c>
      <c r="BE76" s="449">
        <v>0</v>
      </c>
      <c r="BF76" s="449">
        <v>0</v>
      </c>
      <c r="BG76" s="449">
        <v>0</v>
      </c>
      <c r="BH76" s="400"/>
      <c r="BI76" s="449">
        <v>0</v>
      </c>
      <c r="BJ76" s="449">
        <v>0</v>
      </c>
      <c r="BK76" s="449">
        <v>0</v>
      </c>
      <c r="BL76" s="771">
        <v>0</v>
      </c>
      <c r="BM76" s="449">
        <v>0</v>
      </c>
      <c r="BN76" s="449">
        <v>0</v>
      </c>
      <c r="BO76" s="449">
        <v>0</v>
      </c>
      <c r="BP76" s="449">
        <v>0</v>
      </c>
      <c r="BQ76" s="449">
        <v>0</v>
      </c>
      <c r="BR76" s="449">
        <v>0</v>
      </c>
      <c r="BS76" s="449">
        <v>0</v>
      </c>
      <c r="BT76" s="449">
        <v>0</v>
      </c>
    </row>
    <row r="77" spans="1:72" ht="15.75" hidden="1" customHeight="1" x14ac:dyDescent="0.25">
      <c r="A77" s="502" t="s">
        <v>117</v>
      </c>
      <c r="B77" s="502" t="s">
        <v>118</v>
      </c>
      <c r="C77" s="541"/>
      <c r="D77" s="500">
        <v>0</v>
      </c>
      <c r="E77" s="449">
        <v>0</v>
      </c>
      <c r="F77" s="449">
        <v>0</v>
      </c>
      <c r="G77" s="421">
        <v>0</v>
      </c>
      <c r="H77" s="449">
        <v>0</v>
      </c>
      <c r="I77" s="449">
        <v>0</v>
      </c>
      <c r="J77" s="426">
        <v>0</v>
      </c>
      <c r="K77" s="421"/>
      <c r="L77" s="449">
        <v>0</v>
      </c>
      <c r="M77" s="449">
        <v>0</v>
      </c>
      <c r="N77" s="449">
        <v>0</v>
      </c>
      <c r="O77" s="449">
        <v>0</v>
      </c>
      <c r="P77" s="449">
        <v>0</v>
      </c>
      <c r="Q77" s="449">
        <v>0</v>
      </c>
      <c r="R77" s="449">
        <v>0</v>
      </c>
      <c r="S77" s="449">
        <v>0</v>
      </c>
      <c r="T77" s="449">
        <v>0</v>
      </c>
      <c r="U77" s="449">
        <v>0</v>
      </c>
      <c r="V77" s="449">
        <v>0</v>
      </c>
      <c r="W77" s="449">
        <v>0</v>
      </c>
      <c r="X77" s="449"/>
      <c r="Y77" s="449">
        <v>0</v>
      </c>
      <c r="Z77" s="531"/>
      <c r="AA77" s="449">
        <v>0</v>
      </c>
      <c r="AB77" s="449">
        <v>0</v>
      </c>
      <c r="AC77" s="449">
        <v>0</v>
      </c>
      <c r="AD77" s="449">
        <v>0</v>
      </c>
      <c r="AE77" s="449">
        <v>0</v>
      </c>
      <c r="AF77" s="449">
        <v>0</v>
      </c>
      <c r="AG77" s="449">
        <v>0</v>
      </c>
      <c r="AH77" s="449">
        <v>0</v>
      </c>
      <c r="AI77" s="449">
        <v>0</v>
      </c>
      <c r="AJ77" s="449">
        <v>0</v>
      </c>
      <c r="AK77" s="449">
        <v>0</v>
      </c>
      <c r="AL77" s="449">
        <v>0</v>
      </c>
      <c r="AM77" s="400"/>
      <c r="AN77" s="500">
        <v>0</v>
      </c>
      <c r="AO77" s="449">
        <v>0</v>
      </c>
      <c r="AP77" s="449">
        <v>0</v>
      </c>
      <c r="AQ77" s="453" t="s">
        <v>1519</v>
      </c>
      <c r="AR77" s="449">
        <v>0</v>
      </c>
      <c r="AS77" s="449">
        <v>0</v>
      </c>
      <c r="AT77" s="426">
        <v>0</v>
      </c>
      <c r="AU77" s="421"/>
      <c r="AV77" s="449">
        <v>0</v>
      </c>
      <c r="AW77" s="449">
        <v>0</v>
      </c>
      <c r="AX77" s="449">
        <v>0</v>
      </c>
      <c r="AY77" s="449">
        <v>0</v>
      </c>
      <c r="AZ77" s="449">
        <v>0</v>
      </c>
      <c r="BA77" s="449">
        <v>0</v>
      </c>
      <c r="BB77" s="449">
        <v>0</v>
      </c>
      <c r="BC77" s="449">
        <v>0</v>
      </c>
      <c r="BD77" s="449">
        <v>0</v>
      </c>
      <c r="BE77" s="449">
        <v>0</v>
      </c>
      <c r="BF77" s="449">
        <v>0</v>
      </c>
      <c r="BG77" s="449">
        <v>0</v>
      </c>
      <c r="BH77" s="400"/>
      <c r="BI77" s="449">
        <v>0</v>
      </c>
      <c r="BJ77" s="449">
        <v>0</v>
      </c>
      <c r="BK77" s="449">
        <v>0</v>
      </c>
      <c r="BL77" s="771">
        <v>0</v>
      </c>
      <c r="BM77" s="449">
        <v>0</v>
      </c>
      <c r="BN77" s="449">
        <v>0</v>
      </c>
      <c r="BO77" s="449">
        <v>0</v>
      </c>
      <c r="BP77" s="449">
        <v>0</v>
      </c>
      <c r="BQ77" s="449">
        <v>0</v>
      </c>
      <c r="BR77" s="449">
        <v>0</v>
      </c>
      <c r="BS77" s="449">
        <v>0</v>
      </c>
      <c r="BT77" s="449">
        <v>0</v>
      </c>
    </row>
    <row r="78" spans="1:72" ht="15.75" hidden="1" customHeight="1" x14ac:dyDescent="0.25">
      <c r="A78" s="502" t="s">
        <v>119</v>
      </c>
      <c r="B78" s="502" t="s">
        <v>120</v>
      </c>
      <c r="C78" s="541"/>
      <c r="D78" s="500">
        <v>0</v>
      </c>
      <c r="E78" s="449">
        <v>0</v>
      </c>
      <c r="F78" s="449">
        <v>0</v>
      </c>
      <c r="G78" s="421">
        <v>0</v>
      </c>
      <c r="H78" s="449">
        <v>0</v>
      </c>
      <c r="I78" s="449">
        <v>0</v>
      </c>
      <c r="J78" s="426">
        <v>0</v>
      </c>
      <c r="K78" s="421"/>
      <c r="L78" s="449">
        <v>0</v>
      </c>
      <c r="M78" s="449">
        <v>0</v>
      </c>
      <c r="N78" s="449">
        <v>0</v>
      </c>
      <c r="O78" s="449">
        <v>0</v>
      </c>
      <c r="P78" s="449">
        <v>0</v>
      </c>
      <c r="Q78" s="449">
        <v>0</v>
      </c>
      <c r="R78" s="449">
        <v>0</v>
      </c>
      <c r="S78" s="449">
        <v>0</v>
      </c>
      <c r="T78" s="449">
        <v>0</v>
      </c>
      <c r="U78" s="449">
        <v>0</v>
      </c>
      <c r="V78" s="449">
        <v>0</v>
      </c>
      <c r="W78" s="449">
        <v>0</v>
      </c>
      <c r="X78" s="449"/>
      <c r="Y78" s="449">
        <v>0</v>
      </c>
      <c r="Z78" s="531"/>
      <c r="AA78" s="449">
        <v>0</v>
      </c>
      <c r="AB78" s="449">
        <v>0</v>
      </c>
      <c r="AC78" s="449">
        <v>0</v>
      </c>
      <c r="AD78" s="449">
        <v>0</v>
      </c>
      <c r="AE78" s="449">
        <v>0</v>
      </c>
      <c r="AF78" s="449">
        <v>0</v>
      </c>
      <c r="AG78" s="449">
        <v>0</v>
      </c>
      <c r="AH78" s="449">
        <v>0</v>
      </c>
      <c r="AI78" s="449">
        <v>0</v>
      </c>
      <c r="AJ78" s="449">
        <v>0</v>
      </c>
      <c r="AK78" s="449">
        <v>0</v>
      </c>
      <c r="AL78" s="449">
        <v>0</v>
      </c>
      <c r="AM78" s="400"/>
      <c r="AN78" s="500">
        <v>0</v>
      </c>
      <c r="AO78" s="449">
        <v>0</v>
      </c>
      <c r="AP78" s="449">
        <v>0</v>
      </c>
      <c r="AQ78" s="453" t="s">
        <v>1519</v>
      </c>
      <c r="AR78" s="449">
        <v>0</v>
      </c>
      <c r="AS78" s="449">
        <v>0</v>
      </c>
      <c r="AT78" s="426">
        <v>0</v>
      </c>
      <c r="AU78" s="421"/>
      <c r="AV78" s="449">
        <v>0</v>
      </c>
      <c r="AW78" s="449">
        <v>0</v>
      </c>
      <c r="AX78" s="449">
        <v>0</v>
      </c>
      <c r="AY78" s="449">
        <v>0</v>
      </c>
      <c r="AZ78" s="449">
        <v>0</v>
      </c>
      <c r="BA78" s="449">
        <v>0</v>
      </c>
      <c r="BB78" s="449">
        <v>0</v>
      </c>
      <c r="BC78" s="449">
        <v>0</v>
      </c>
      <c r="BD78" s="449">
        <v>0</v>
      </c>
      <c r="BE78" s="449">
        <v>0</v>
      </c>
      <c r="BF78" s="449">
        <v>0</v>
      </c>
      <c r="BG78" s="449">
        <v>0</v>
      </c>
      <c r="BH78" s="400"/>
      <c r="BI78" s="449">
        <v>0</v>
      </c>
      <c r="BJ78" s="449">
        <v>0</v>
      </c>
      <c r="BK78" s="449">
        <v>0</v>
      </c>
      <c r="BL78" s="771">
        <v>0</v>
      </c>
      <c r="BM78" s="449">
        <v>0</v>
      </c>
      <c r="BN78" s="449">
        <v>0</v>
      </c>
      <c r="BO78" s="449">
        <v>0</v>
      </c>
      <c r="BP78" s="449">
        <v>0</v>
      </c>
      <c r="BQ78" s="449">
        <v>0</v>
      </c>
      <c r="BR78" s="449">
        <v>0</v>
      </c>
      <c r="BS78" s="449">
        <v>0</v>
      </c>
      <c r="BT78" s="449">
        <v>0</v>
      </c>
    </row>
    <row r="79" spans="1:72" x14ac:dyDescent="0.25">
      <c r="A79" s="502" t="s">
        <v>121</v>
      </c>
      <c r="B79" s="502" t="s">
        <v>122</v>
      </c>
      <c r="C79" s="541"/>
      <c r="D79" s="500">
        <v>46777</v>
      </c>
      <c r="E79" s="449">
        <v>47212</v>
      </c>
      <c r="F79" s="449">
        <v>-435</v>
      </c>
      <c r="G79" s="421">
        <v>-9.2137592137592136E-3</v>
      </c>
      <c r="H79" s="449">
        <v>46777</v>
      </c>
      <c r="I79" s="449">
        <v>0</v>
      </c>
      <c r="J79" s="426">
        <v>0</v>
      </c>
      <c r="K79" s="421"/>
      <c r="L79" s="449">
        <v>108.67</v>
      </c>
      <c r="M79" s="449">
        <v>1767.85</v>
      </c>
      <c r="N79" s="449">
        <v>1874.3600000000001</v>
      </c>
      <c r="O79" s="449">
        <v>2719.84</v>
      </c>
      <c r="P79" s="449">
        <v>1585.75</v>
      </c>
      <c r="Q79" s="449">
        <v>1963.3900000000003</v>
      </c>
      <c r="R79" s="449">
        <v>6126.19</v>
      </c>
      <c r="S79" s="449">
        <v>6126.1900000000005</v>
      </c>
      <c r="T79" s="449">
        <v>6126.1900000000005</v>
      </c>
      <c r="U79" s="449">
        <v>6126.19</v>
      </c>
      <c r="V79" s="449">
        <v>6126.1899999999987</v>
      </c>
      <c r="W79" s="449">
        <v>6126.1900000000023</v>
      </c>
      <c r="X79" s="449"/>
      <c r="Y79" s="449">
        <v>46777</v>
      </c>
      <c r="Z79" s="531"/>
      <c r="AA79" s="449">
        <v>3898.0833333333335</v>
      </c>
      <c r="AB79" s="449">
        <v>3898.0833333333335</v>
      </c>
      <c r="AC79" s="449">
        <v>3898.0833333333335</v>
      </c>
      <c r="AD79" s="449">
        <v>3898.0833333333335</v>
      </c>
      <c r="AE79" s="449">
        <v>3898.0833333333335</v>
      </c>
      <c r="AF79" s="449">
        <v>3898.0833333333335</v>
      </c>
      <c r="AG79" s="449">
        <v>3898.0833333333335</v>
      </c>
      <c r="AH79" s="449">
        <v>3898.0833333333335</v>
      </c>
      <c r="AI79" s="449">
        <v>3898.0833333333335</v>
      </c>
      <c r="AJ79" s="449">
        <v>3898.0833333333335</v>
      </c>
      <c r="AK79" s="449">
        <v>3898.0833333333335</v>
      </c>
      <c r="AL79" s="449">
        <v>3898.0833333333335</v>
      </c>
      <c r="AM79" s="400"/>
      <c r="AN79" s="500">
        <v>46777</v>
      </c>
      <c r="AO79" s="449">
        <v>44203.05000000001</v>
      </c>
      <c r="AP79" s="449">
        <v>-2573.9499999999898</v>
      </c>
      <c r="AQ79" s="453">
        <v>-5.5025974303610531E-2</v>
      </c>
      <c r="AR79" s="449">
        <v>44203.05000000001</v>
      </c>
      <c r="AS79" s="449">
        <v>0</v>
      </c>
      <c r="AT79" s="426">
        <v>0</v>
      </c>
      <c r="AU79" s="421"/>
      <c r="AV79" s="449">
        <v>0</v>
      </c>
      <c r="AW79" s="449">
        <v>3683.5875000000001</v>
      </c>
      <c r="AX79" s="449">
        <v>3683.5875000000001</v>
      </c>
      <c r="AY79" s="449">
        <v>3683.5875000000001</v>
      </c>
      <c r="AZ79" s="449">
        <v>3683.5875000000001</v>
      </c>
      <c r="BA79" s="449">
        <v>3683.5875000000001</v>
      </c>
      <c r="BB79" s="449">
        <v>3683.5875000000001</v>
      </c>
      <c r="BC79" s="449">
        <v>3683.5875000000001</v>
      </c>
      <c r="BD79" s="449">
        <v>3683.5875000000001</v>
      </c>
      <c r="BE79" s="449">
        <v>3683.5875000000001</v>
      </c>
      <c r="BF79" s="449">
        <v>3683.5875000000001</v>
      </c>
      <c r="BG79" s="449">
        <v>7367.1750000000002</v>
      </c>
      <c r="BH79" s="400"/>
      <c r="BI79" s="449">
        <v>0</v>
      </c>
      <c r="BJ79" s="449">
        <v>3683.5875000000001</v>
      </c>
      <c r="BK79" s="449">
        <v>3683.5875000000001</v>
      </c>
      <c r="BL79" s="771">
        <v>3683.5875000000001</v>
      </c>
      <c r="BM79" s="449">
        <v>3683.5875000000001</v>
      </c>
      <c r="BN79" s="449">
        <v>3683.5875000000001</v>
      </c>
      <c r="BO79" s="449">
        <v>3683.5875000000001</v>
      </c>
      <c r="BP79" s="449">
        <v>3683.5875000000001</v>
      </c>
      <c r="BQ79" s="449">
        <v>3683.5875000000001</v>
      </c>
      <c r="BR79" s="449">
        <v>3683.5875000000001</v>
      </c>
      <c r="BS79" s="449">
        <v>3683.5875000000001</v>
      </c>
      <c r="BT79" s="449">
        <v>7367.1750000000002</v>
      </c>
    </row>
    <row r="80" spans="1:72" x14ac:dyDescent="0.25">
      <c r="A80" s="502" t="s">
        <v>123</v>
      </c>
      <c r="B80" s="502" t="s">
        <v>124</v>
      </c>
      <c r="C80" s="541"/>
      <c r="D80" s="500">
        <v>480</v>
      </c>
      <c r="E80" s="449">
        <v>480</v>
      </c>
      <c r="F80" s="449">
        <v>0</v>
      </c>
      <c r="G80" s="421">
        <v>0</v>
      </c>
      <c r="H80" s="449">
        <v>480</v>
      </c>
      <c r="I80" s="449">
        <v>0</v>
      </c>
      <c r="J80" s="426">
        <v>0</v>
      </c>
      <c r="K80" s="421"/>
      <c r="L80" s="449">
        <v>0</v>
      </c>
      <c r="M80" s="449">
        <v>13.68</v>
      </c>
      <c r="N80" s="449">
        <v>10.080000000000002</v>
      </c>
      <c r="O80" s="449">
        <v>7.1999999999999993</v>
      </c>
      <c r="P80" s="449">
        <v>3.6000000000000014</v>
      </c>
      <c r="Q80" s="449">
        <v>3.5999999999999943</v>
      </c>
      <c r="R80" s="449">
        <v>73.64</v>
      </c>
      <c r="S80" s="449">
        <v>73.64</v>
      </c>
      <c r="T80" s="449">
        <v>73.64</v>
      </c>
      <c r="U80" s="449">
        <v>73.64</v>
      </c>
      <c r="V80" s="449">
        <v>73.640000000000015</v>
      </c>
      <c r="W80" s="449">
        <v>73.639999999999986</v>
      </c>
      <c r="X80" s="449"/>
      <c r="Y80" s="449">
        <v>480</v>
      </c>
      <c r="Z80" s="531"/>
      <c r="AA80" s="449">
        <v>40</v>
      </c>
      <c r="AB80" s="449">
        <v>40</v>
      </c>
      <c r="AC80" s="449">
        <v>40</v>
      </c>
      <c r="AD80" s="449">
        <v>40</v>
      </c>
      <c r="AE80" s="449">
        <v>40</v>
      </c>
      <c r="AF80" s="449">
        <v>40</v>
      </c>
      <c r="AG80" s="449">
        <v>40</v>
      </c>
      <c r="AH80" s="449">
        <v>40</v>
      </c>
      <c r="AI80" s="449">
        <v>40</v>
      </c>
      <c r="AJ80" s="449">
        <v>40</v>
      </c>
      <c r="AK80" s="449">
        <v>40</v>
      </c>
      <c r="AL80" s="449">
        <v>40</v>
      </c>
      <c r="AM80" s="400"/>
      <c r="AN80" s="500">
        <v>480</v>
      </c>
      <c r="AO80" s="449">
        <v>0</v>
      </c>
      <c r="AP80" s="449">
        <v>-480</v>
      </c>
      <c r="AQ80" s="453">
        <v>-1</v>
      </c>
      <c r="AR80" s="449">
        <v>0</v>
      </c>
      <c r="AS80" s="449">
        <v>0</v>
      </c>
      <c r="AT80" s="426">
        <v>0</v>
      </c>
      <c r="AU80" s="421"/>
      <c r="AV80" s="449">
        <v>0</v>
      </c>
      <c r="AW80" s="449">
        <v>0</v>
      </c>
      <c r="AX80" s="449">
        <v>0</v>
      </c>
      <c r="AY80" s="449">
        <v>0</v>
      </c>
      <c r="AZ80" s="449">
        <v>0</v>
      </c>
      <c r="BA80" s="449">
        <v>0</v>
      </c>
      <c r="BB80" s="449">
        <v>0</v>
      </c>
      <c r="BC80" s="449">
        <v>0</v>
      </c>
      <c r="BD80" s="449">
        <v>0</v>
      </c>
      <c r="BE80" s="449">
        <v>0</v>
      </c>
      <c r="BF80" s="449">
        <v>0</v>
      </c>
      <c r="BG80" s="449">
        <v>0</v>
      </c>
      <c r="BH80" s="400"/>
      <c r="BI80" s="449">
        <v>0</v>
      </c>
      <c r="BJ80" s="449">
        <v>0</v>
      </c>
      <c r="BK80" s="449">
        <v>0</v>
      </c>
      <c r="BL80" s="771">
        <v>0</v>
      </c>
      <c r="BM80" s="449">
        <v>0</v>
      </c>
      <c r="BN80" s="449">
        <v>0</v>
      </c>
      <c r="BO80" s="449">
        <v>0</v>
      </c>
      <c r="BP80" s="449">
        <v>0</v>
      </c>
      <c r="BQ80" s="449">
        <v>0</v>
      </c>
      <c r="BR80" s="449">
        <v>0</v>
      </c>
      <c r="BS80" s="449">
        <v>0</v>
      </c>
      <c r="BT80" s="449">
        <v>0</v>
      </c>
    </row>
    <row r="81" spans="1:72" x14ac:dyDescent="0.25">
      <c r="A81" s="502" t="s">
        <v>125</v>
      </c>
      <c r="B81" s="502" t="s">
        <v>126</v>
      </c>
      <c r="C81" s="541"/>
      <c r="D81" s="500">
        <v>4462</v>
      </c>
      <c r="E81" s="449">
        <v>4462</v>
      </c>
      <c r="F81" s="449">
        <v>0</v>
      </c>
      <c r="G81" s="421">
        <v>0</v>
      </c>
      <c r="H81" s="449">
        <v>4462</v>
      </c>
      <c r="I81" s="449">
        <v>0</v>
      </c>
      <c r="J81" s="426">
        <v>0</v>
      </c>
      <c r="K81" s="421"/>
      <c r="L81" s="449">
        <v>0</v>
      </c>
      <c r="M81" s="449">
        <v>63.4</v>
      </c>
      <c r="N81" s="449">
        <v>83.07</v>
      </c>
      <c r="O81" s="449">
        <v>93.669999999999987</v>
      </c>
      <c r="P81" s="449">
        <v>87.970000000000027</v>
      </c>
      <c r="Q81" s="449">
        <v>188.30999999999995</v>
      </c>
      <c r="R81" s="449">
        <v>657.59666666666669</v>
      </c>
      <c r="S81" s="449">
        <v>657.59666666666669</v>
      </c>
      <c r="T81" s="449">
        <v>657.59666666666669</v>
      </c>
      <c r="U81" s="449">
        <v>657.59666666666669</v>
      </c>
      <c r="V81" s="449">
        <v>657.59666666666658</v>
      </c>
      <c r="W81" s="449">
        <v>657.59666666666635</v>
      </c>
      <c r="X81" s="449"/>
      <c r="Y81" s="449">
        <v>4462</v>
      </c>
      <c r="Z81" s="531"/>
      <c r="AA81" s="449">
        <v>371.83333333333331</v>
      </c>
      <c r="AB81" s="449">
        <v>371.83333333333331</v>
      </c>
      <c r="AC81" s="449">
        <v>371.83333333333331</v>
      </c>
      <c r="AD81" s="449">
        <v>371.83333333333331</v>
      </c>
      <c r="AE81" s="449">
        <v>371.83333333333331</v>
      </c>
      <c r="AF81" s="449">
        <v>371.83333333333331</v>
      </c>
      <c r="AG81" s="449">
        <v>371.83333333333331</v>
      </c>
      <c r="AH81" s="449">
        <v>371.83333333333331</v>
      </c>
      <c r="AI81" s="449">
        <v>371.83333333333331</v>
      </c>
      <c r="AJ81" s="449">
        <v>371.83333333333331</v>
      </c>
      <c r="AK81" s="449">
        <v>371.83333333333331</v>
      </c>
      <c r="AL81" s="449">
        <v>371.83333333333331</v>
      </c>
      <c r="AM81" s="400"/>
      <c r="AN81" s="500">
        <v>4462</v>
      </c>
      <c r="AO81" s="449">
        <v>2602.8800000000006</v>
      </c>
      <c r="AP81" s="449">
        <v>-1859.1199999999994</v>
      </c>
      <c r="AQ81" s="453">
        <v>-0.41665620797848485</v>
      </c>
      <c r="AR81" s="449">
        <v>2602.8800000000006</v>
      </c>
      <c r="AS81" s="449">
        <v>0</v>
      </c>
      <c r="AT81" s="426">
        <v>0</v>
      </c>
      <c r="AU81" s="421"/>
      <c r="AV81" s="449">
        <v>0</v>
      </c>
      <c r="AW81" s="449">
        <v>216.90666666666667</v>
      </c>
      <c r="AX81" s="449">
        <v>216.90666666666667</v>
      </c>
      <c r="AY81" s="449">
        <v>216.90666666666667</v>
      </c>
      <c r="AZ81" s="449">
        <v>216.90666666666667</v>
      </c>
      <c r="BA81" s="449">
        <v>216.90666666666667</v>
      </c>
      <c r="BB81" s="449">
        <v>216.90666666666667</v>
      </c>
      <c r="BC81" s="449">
        <v>216.90666666666667</v>
      </c>
      <c r="BD81" s="449">
        <v>216.90666666666667</v>
      </c>
      <c r="BE81" s="449">
        <v>216.90666666666667</v>
      </c>
      <c r="BF81" s="449">
        <v>216.90666666666667</v>
      </c>
      <c r="BG81" s="449">
        <v>433.81333333333333</v>
      </c>
      <c r="BH81" s="400"/>
      <c r="BI81" s="449">
        <v>0</v>
      </c>
      <c r="BJ81" s="449">
        <v>216.90666666666667</v>
      </c>
      <c r="BK81" s="449">
        <v>216.90666666666667</v>
      </c>
      <c r="BL81" s="771">
        <v>216.90666666666667</v>
      </c>
      <c r="BM81" s="449">
        <v>216.90666666666667</v>
      </c>
      <c r="BN81" s="449">
        <v>216.90666666666667</v>
      </c>
      <c r="BO81" s="449">
        <v>216.90666666666667</v>
      </c>
      <c r="BP81" s="449">
        <v>216.90666666666667</v>
      </c>
      <c r="BQ81" s="449">
        <v>216.90666666666667</v>
      </c>
      <c r="BR81" s="449">
        <v>216.90666666666667</v>
      </c>
      <c r="BS81" s="449">
        <v>216.90666666666667</v>
      </c>
      <c r="BT81" s="449">
        <v>433.81333333333333</v>
      </c>
    </row>
    <row r="82" spans="1:72" x14ac:dyDescent="0.25">
      <c r="A82" s="502" t="s">
        <v>127</v>
      </c>
      <c r="B82" s="502" t="s">
        <v>128</v>
      </c>
      <c r="C82" s="596"/>
      <c r="D82" s="500">
        <v>96000</v>
      </c>
      <c r="E82" s="449">
        <v>76028</v>
      </c>
      <c r="F82" s="449">
        <v>19972</v>
      </c>
      <c r="G82" s="421">
        <v>0.26269269216604407</v>
      </c>
      <c r="H82" s="449">
        <v>96000</v>
      </c>
      <c r="I82" s="449">
        <v>0</v>
      </c>
      <c r="J82" s="426">
        <v>0</v>
      </c>
      <c r="K82" s="421"/>
      <c r="L82" s="449">
        <v>72274.37</v>
      </c>
      <c r="M82" s="449">
        <v>5954.6399999999994</v>
      </c>
      <c r="N82" s="449">
        <v>2220.8000000000029</v>
      </c>
      <c r="O82" s="449">
        <v>0</v>
      </c>
      <c r="P82" s="449">
        <v>12303.690000000002</v>
      </c>
      <c r="Q82" s="449">
        <v>0</v>
      </c>
      <c r="R82" s="449">
        <v>541.08333333333337</v>
      </c>
      <c r="S82" s="449">
        <v>541.08333333333428</v>
      </c>
      <c r="T82" s="449">
        <v>541.08333333333576</v>
      </c>
      <c r="U82" s="449">
        <v>541.08333333333337</v>
      </c>
      <c r="V82" s="449">
        <v>541.08333333333576</v>
      </c>
      <c r="W82" s="449">
        <v>541.08333333334303</v>
      </c>
      <c r="X82" s="449"/>
      <c r="Y82" s="449">
        <v>96000</v>
      </c>
      <c r="Z82" s="531"/>
      <c r="AA82" s="449">
        <v>8000</v>
      </c>
      <c r="AB82" s="449">
        <v>8000</v>
      </c>
      <c r="AC82" s="449">
        <v>8000</v>
      </c>
      <c r="AD82" s="449">
        <v>8000</v>
      </c>
      <c r="AE82" s="449">
        <v>8000</v>
      </c>
      <c r="AF82" s="449">
        <v>8000</v>
      </c>
      <c r="AG82" s="449">
        <v>8000</v>
      </c>
      <c r="AH82" s="449">
        <v>8000</v>
      </c>
      <c r="AI82" s="449">
        <v>8000</v>
      </c>
      <c r="AJ82" s="449">
        <v>8000</v>
      </c>
      <c r="AK82" s="449">
        <v>8000</v>
      </c>
      <c r="AL82" s="449">
        <v>8000</v>
      </c>
      <c r="AM82" s="400"/>
      <c r="AN82" s="500">
        <v>96000</v>
      </c>
      <c r="AO82" s="449">
        <v>76799.999999999985</v>
      </c>
      <c r="AP82" s="449">
        <v>-19200.000000000015</v>
      </c>
      <c r="AQ82" s="453">
        <v>-0.20000000000000015</v>
      </c>
      <c r="AR82" s="449">
        <v>76799.999999999985</v>
      </c>
      <c r="AS82" s="449">
        <v>0</v>
      </c>
      <c r="AT82" s="426">
        <v>0</v>
      </c>
      <c r="AU82" s="421"/>
      <c r="AV82" s="449">
        <v>15360</v>
      </c>
      <c r="AW82" s="449">
        <v>15360</v>
      </c>
      <c r="AX82" s="449">
        <v>10240</v>
      </c>
      <c r="AY82" s="449">
        <v>10240</v>
      </c>
      <c r="AZ82" s="449">
        <v>10240</v>
      </c>
      <c r="BA82" s="449">
        <v>2194.2857142857142</v>
      </c>
      <c r="BB82" s="449">
        <v>2194.2857142857142</v>
      </c>
      <c r="BC82" s="449">
        <v>2194.2857142857142</v>
      </c>
      <c r="BD82" s="449">
        <v>2194.2857142857142</v>
      </c>
      <c r="BE82" s="449">
        <v>2194.2857142857142</v>
      </c>
      <c r="BF82" s="449">
        <v>2194.2857142857142</v>
      </c>
      <c r="BG82" s="449">
        <v>2194.2857142857142</v>
      </c>
      <c r="BH82" s="400"/>
      <c r="BI82" s="449">
        <v>15360</v>
      </c>
      <c r="BJ82" s="449">
        <v>15360</v>
      </c>
      <c r="BK82" s="449">
        <v>10240</v>
      </c>
      <c r="BL82" s="771">
        <v>10240</v>
      </c>
      <c r="BM82" s="449">
        <v>10240</v>
      </c>
      <c r="BN82" s="449">
        <v>2194.2857142857142</v>
      </c>
      <c r="BO82" s="449">
        <v>2194.2857142857142</v>
      </c>
      <c r="BP82" s="449">
        <v>2194.2857142857142</v>
      </c>
      <c r="BQ82" s="449">
        <v>2194.2857142857142</v>
      </c>
      <c r="BR82" s="449">
        <v>2194.2857142857142</v>
      </c>
      <c r="BS82" s="449">
        <v>2194.2857142857142</v>
      </c>
      <c r="BT82" s="449">
        <v>2194.2857142857142</v>
      </c>
    </row>
    <row r="83" spans="1:72" x14ac:dyDescent="0.25">
      <c r="A83" s="502" t="s">
        <v>129</v>
      </c>
      <c r="B83" s="502" t="s">
        <v>130</v>
      </c>
      <c r="C83" s="596"/>
      <c r="D83" s="500">
        <v>2831</v>
      </c>
      <c r="E83" s="449">
        <v>2411</v>
      </c>
      <c r="F83" s="449">
        <v>420</v>
      </c>
      <c r="G83" s="421">
        <v>0.17420157610949813</v>
      </c>
      <c r="H83" s="449">
        <v>2831</v>
      </c>
      <c r="I83" s="449">
        <v>0</v>
      </c>
      <c r="J83" s="426">
        <v>0</v>
      </c>
      <c r="K83" s="421"/>
      <c r="L83" s="449">
        <v>0</v>
      </c>
      <c r="M83" s="449">
        <v>0</v>
      </c>
      <c r="N83" s="449">
        <v>0</v>
      </c>
      <c r="O83" s="449">
        <v>0</v>
      </c>
      <c r="P83" s="449">
        <v>0</v>
      </c>
      <c r="Q83" s="449">
        <v>0</v>
      </c>
      <c r="R83" s="449">
        <v>471.83333333333331</v>
      </c>
      <c r="S83" s="449">
        <v>471.83333333333331</v>
      </c>
      <c r="T83" s="449">
        <v>471.83333333333337</v>
      </c>
      <c r="U83" s="449">
        <v>471.83333333333331</v>
      </c>
      <c r="V83" s="449">
        <v>471.83333333333337</v>
      </c>
      <c r="W83" s="449">
        <v>471.83333333333348</v>
      </c>
      <c r="X83" s="449"/>
      <c r="Y83" s="449">
        <v>2831</v>
      </c>
      <c r="Z83" s="531"/>
      <c r="AA83" s="449">
        <v>235.91666666666666</v>
      </c>
      <c r="AB83" s="449">
        <v>235.91666666666666</v>
      </c>
      <c r="AC83" s="449">
        <v>235.91666666666666</v>
      </c>
      <c r="AD83" s="449">
        <v>235.91666666666666</v>
      </c>
      <c r="AE83" s="449">
        <v>235.91666666666666</v>
      </c>
      <c r="AF83" s="449">
        <v>235.91666666666666</v>
      </c>
      <c r="AG83" s="449">
        <v>235.91666666666666</v>
      </c>
      <c r="AH83" s="449">
        <v>235.91666666666666</v>
      </c>
      <c r="AI83" s="449">
        <v>235.91666666666666</v>
      </c>
      <c r="AJ83" s="449">
        <v>235.91666666666666</v>
      </c>
      <c r="AK83" s="449">
        <v>235.91666666666666</v>
      </c>
      <c r="AL83" s="449">
        <v>235.91666666666666</v>
      </c>
      <c r="AM83" s="400"/>
      <c r="AN83" s="500">
        <v>2831</v>
      </c>
      <c r="AO83" s="449">
        <v>0</v>
      </c>
      <c r="AP83" s="449">
        <v>-2831</v>
      </c>
      <c r="AQ83" s="453">
        <v>-1</v>
      </c>
      <c r="AR83" s="449">
        <v>0</v>
      </c>
      <c r="AS83" s="449">
        <v>0</v>
      </c>
      <c r="AT83" s="426">
        <v>0</v>
      </c>
      <c r="AU83" s="421"/>
      <c r="AV83" s="449">
        <v>0</v>
      </c>
      <c r="AW83" s="449">
        <v>0</v>
      </c>
      <c r="AX83" s="449">
        <v>0</v>
      </c>
      <c r="AY83" s="449">
        <v>0</v>
      </c>
      <c r="AZ83" s="449">
        <v>0</v>
      </c>
      <c r="BA83" s="449">
        <v>0</v>
      </c>
      <c r="BB83" s="449">
        <v>0</v>
      </c>
      <c r="BC83" s="449">
        <v>0</v>
      </c>
      <c r="BD83" s="449">
        <v>0</v>
      </c>
      <c r="BE83" s="449">
        <v>0</v>
      </c>
      <c r="BF83" s="449">
        <v>0</v>
      </c>
      <c r="BG83" s="449">
        <v>0</v>
      </c>
      <c r="BH83" s="400"/>
      <c r="BI83" s="449">
        <v>0</v>
      </c>
      <c r="BJ83" s="449">
        <v>0</v>
      </c>
      <c r="BK83" s="449">
        <v>0</v>
      </c>
      <c r="BL83" s="771">
        <v>0</v>
      </c>
      <c r="BM83" s="449">
        <v>0</v>
      </c>
      <c r="BN83" s="449">
        <v>0</v>
      </c>
      <c r="BO83" s="449">
        <v>0</v>
      </c>
      <c r="BP83" s="449">
        <v>0</v>
      </c>
      <c r="BQ83" s="449">
        <v>0</v>
      </c>
      <c r="BR83" s="449">
        <v>0</v>
      </c>
      <c r="BS83" s="449">
        <v>0</v>
      </c>
      <c r="BT83" s="449">
        <v>0</v>
      </c>
    </row>
    <row r="84" spans="1:72" x14ac:dyDescent="0.25">
      <c r="A84" s="537" t="s">
        <v>131</v>
      </c>
      <c r="B84" s="537" t="s">
        <v>132</v>
      </c>
      <c r="C84" s="597"/>
      <c r="D84" s="500">
        <v>0</v>
      </c>
      <c r="E84" s="449">
        <v>0</v>
      </c>
      <c r="F84" s="449">
        <v>0</v>
      </c>
      <c r="G84" s="421">
        <v>0</v>
      </c>
      <c r="H84" s="449">
        <v>0</v>
      </c>
      <c r="I84" s="449">
        <v>0</v>
      </c>
      <c r="J84" s="426">
        <v>0</v>
      </c>
      <c r="K84" s="421"/>
      <c r="L84" s="449">
        <v>0</v>
      </c>
      <c r="M84" s="449">
        <v>0</v>
      </c>
      <c r="N84" s="449">
        <v>0</v>
      </c>
      <c r="O84" s="449">
        <v>0</v>
      </c>
      <c r="P84" s="449">
        <v>0</v>
      </c>
      <c r="Q84" s="449">
        <v>0</v>
      </c>
      <c r="R84" s="449">
        <v>0</v>
      </c>
      <c r="S84" s="449">
        <v>0</v>
      </c>
      <c r="T84" s="449">
        <v>0</v>
      </c>
      <c r="U84" s="449">
        <v>0</v>
      </c>
      <c r="V84" s="449">
        <v>0</v>
      </c>
      <c r="W84" s="449">
        <v>0</v>
      </c>
      <c r="X84" s="449"/>
      <c r="Y84" s="449">
        <v>0</v>
      </c>
      <c r="Z84" s="531"/>
      <c r="AA84" s="449">
        <v>0</v>
      </c>
      <c r="AB84" s="449">
        <v>0</v>
      </c>
      <c r="AC84" s="449">
        <v>0</v>
      </c>
      <c r="AD84" s="449">
        <v>0</v>
      </c>
      <c r="AE84" s="449">
        <v>0</v>
      </c>
      <c r="AF84" s="449">
        <v>0</v>
      </c>
      <c r="AG84" s="449">
        <v>0</v>
      </c>
      <c r="AH84" s="449">
        <v>0</v>
      </c>
      <c r="AI84" s="449">
        <v>0</v>
      </c>
      <c r="AJ84" s="449">
        <v>0</v>
      </c>
      <c r="AK84" s="449">
        <v>0</v>
      </c>
      <c r="AL84" s="449">
        <v>0</v>
      </c>
      <c r="AM84" s="400"/>
      <c r="AN84" s="500">
        <v>0</v>
      </c>
      <c r="AO84" s="449">
        <v>15228.915662650606</v>
      </c>
      <c r="AP84" s="449">
        <v>15228.915662650606</v>
      </c>
      <c r="AQ84" s="453" t="s">
        <v>1519</v>
      </c>
      <c r="AR84" s="449">
        <v>15228.915662650606</v>
      </c>
      <c r="AS84" s="449">
        <v>0</v>
      </c>
      <c r="AT84" s="426">
        <v>0</v>
      </c>
      <c r="AU84" s="421"/>
      <c r="AV84" s="449">
        <v>1269.0763052208836</v>
      </c>
      <c r="AW84" s="449">
        <v>1269.0763052208836</v>
      </c>
      <c r="AX84" s="449">
        <v>1269.0763052208836</v>
      </c>
      <c r="AY84" s="449">
        <v>1269.0763052208836</v>
      </c>
      <c r="AZ84" s="449">
        <v>1269.0763052208836</v>
      </c>
      <c r="BA84" s="449">
        <v>1269.0763052208836</v>
      </c>
      <c r="BB84" s="449">
        <v>1269.0763052208836</v>
      </c>
      <c r="BC84" s="449">
        <v>1269.0763052208836</v>
      </c>
      <c r="BD84" s="449">
        <v>1269.0763052208836</v>
      </c>
      <c r="BE84" s="449">
        <v>1269.0763052208836</v>
      </c>
      <c r="BF84" s="449">
        <v>1269.0763052208836</v>
      </c>
      <c r="BG84" s="449">
        <v>1269.0763052208836</v>
      </c>
      <c r="BH84" s="400"/>
      <c r="BI84" s="449">
        <v>1269.0763052208836</v>
      </c>
      <c r="BJ84" s="449">
        <v>1269.0763052208836</v>
      </c>
      <c r="BK84" s="449">
        <v>1269.0763052208836</v>
      </c>
      <c r="BL84" s="771">
        <v>1269.0763052208836</v>
      </c>
      <c r="BM84" s="449">
        <v>1269.0763052208836</v>
      </c>
      <c r="BN84" s="449">
        <v>1269.0763052208836</v>
      </c>
      <c r="BO84" s="449">
        <v>1269.0763052208836</v>
      </c>
      <c r="BP84" s="449">
        <v>1269.0763052208836</v>
      </c>
      <c r="BQ84" s="449">
        <v>1269.0763052208836</v>
      </c>
      <c r="BR84" s="449">
        <v>1269.0763052208836</v>
      </c>
      <c r="BS84" s="449">
        <v>1269.0763052208836</v>
      </c>
      <c r="BT84" s="449">
        <v>1269.0763052208836</v>
      </c>
    </row>
    <row r="85" spans="1:72" x14ac:dyDescent="0.25">
      <c r="A85" s="502" t="s">
        <v>133</v>
      </c>
      <c r="B85" s="502" t="s">
        <v>134</v>
      </c>
      <c r="C85" s="596"/>
      <c r="D85" s="500">
        <v>20000</v>
      </c>
      <c r="E85" s="449">
        <v>0</v>
      </c>
      <c r="F85" s="449">
        <v>20000</v>
      </c>
      <c r="G85" s="421">
        <v>0</v>
      </c>
      <c r="H85" s="449">
        <v>20000</v>
      </c>
      <c r="I85" s="449">
        <v>0</v>
      </c>
      <c r="J85" s="426">
        <v>0</v>
      </c>
      <c r="K85" s="421"/>
      <c r="L85" s="449">
        <v>0</v>
      </c>
      <c r="M85" s="449">
        <v>0</v>
      </c>
      <c r="N85" s="449">
        <v>0</v>
      </c>
      <c r="O85" s="449">
        <v>0</v>
      </c>
      <c r="P85" s="449">
        <v>0</v>
      </c>
      <c r="Q85" s="449">
        <v>0</v>
      </c>
      <c r="R85" s="449">
        <v>3333.3333333333335</v>
      </c>
      <c r="S85" s="449">
        <v>3333.3333333333335</v>
      </c>
      <c r="T85" s="449">
        <v>3333.333333333333</v>
      </c>
      <c r="U85" s="449">
        <v>3333.3333333333335</v>
      </c>
      <c r="V85" s="449">
        <v>3333.333333333333</v>
      </c>
      <c r="W85" s="449">
        <v>3333.3333333333321</v>
      </c>
      <c r="X85" s="449"/>
      <c r="Y85" s="449">
        <v>20000</v>
      </c>
      <c r="Z85" s="531"/>
      <c r="AA85" s="449">
        <v>1666.6666666666667</v>
      </c>
      <c r="AB85" s="449">
        <v>1666.6666666666667</v>
      </c>
      <c r="AC85" s="449">
        <v>1666.6666666666667</v>
      </c>
      <c r="AD85" s="449">
        <v>1666.6666666666667</v>
      </c>
      <c r="AE85" s="449">
        <v>1666.6666666666667</v>
      </c>
      <c r="AF85" s="449">
        <v>1666.6666666666667</v>
      </c>
      <c r="AG85" s="449">
        <v>1666.6666666666667</v>
      </c>
      <c r="AH85" s="449">
        <v>1666.6666666666667</v>
      </c>
      <c r="AI85" s="449">
        <v>1666.6666666666667</v>
      </c>
      <c r="AJ85" s="449">
        <v>1666.6666666666667</v>
      </c>
      <c r="AK85" s="449">
        <v>1666.6666666666667</v>
      </c>
      <c r="AL85" s="449">
        <v>1666.6666666666667</v>
      </c>
      <c r="AM85" s="400"/>
      <c r="AN85" s="500">
        <v>20000</v>
      </c>
      <c r="AO85" s="449">
        <v>16000</v>
      </c>
      <c r="AP85" s="449">
        <v>-4000</v>
      </c>
      <c r="AQ85" s="453">
        <v>-0.2</v>
      </c>
      <c r="AR85" s="449">
        <v>16000</v>
      </c>
      <c r="AS85" s="449">
        <v>0</v>
      </c>
      <c r="AT85" s="426">
        <v>0</v>
      </c>
      <c r="AU85" s="421"/>
      <c r="AV85" s="449">
        <v>3200</v>
      </c>
      <c r="AW85" s="449">
        <v>3200</v>
      </c>
      <c r="AX85" s="449">
        <v>2133.3333333333335</v>
      </c>
      <c r="AY85" s="449">
        <v>2133.3333333333335</v>
      </c>
      <c r="AZ85" s="449">
        <v>2133.3333333333335</v>
      </c>
      <c r="BA85" s="449">
        <v>457.14285714285711</v>
      </c>
      <c r="BB85" s="449">
        <v>457.14285714285711</v>
      </c>
      <c r="BC85" s="449">
        <v>457.14285714285711</v>
      </c>
      <c r="BD85" s="449">
        <v>457.14285714285711</v>
      </c>
      <c r="BE85" s="449">
        <v>457.14285714285711</v>
      </c>
      <c r="BF85" s="449">
        <v>457.14285714285711</v>
      </c>
      <c r="BG85" s="449">
        <v>457.14285714285711</v>
      </c>
      <c r="BH85" s="400"/>
      <c r="BI85" s="449">
        <v>3200</v>
      </c>
      <c r="BJ85" s="449">
        <v>3200</v>
      </c>
      <c r="BK85" s="449">
        <v>2133.3333333333335</v>
      </c>
      <c r="BL85" s="771">
        <v>2133.3333333333335</v>
      </c>
      <c r="BM85" s="449">
        <v>2133.3333333333335</v>
      </c>
      <c r="BN85" s="449">
        <v>457.14285714285711</v>
      </c>
      <c r="BO85" s="449">
        <v>457.14285714285711</v>
      </c>
      <c r="BP85" s="449">
        <v>457.14285714285711</v>
      </c>
      <c r="BQ85" s="449">
        <v>457.14285714285711</v>
      </c>
      <c r="BR85" s="449">
        <v>457.14285714285711</v>
      </c>
      <c r="BS85" s="449">
        <v>457.14285714285711</v>
      </c>
      <c r="BT85" s="449">
        <v>457.14285714285711</v>
      </c>
    </row>
    <row r="86" spans="1:72" x14ac:dyDescent="0.25">
      <c r="A86" s="502" t="s">
        <v>135</v>
      </c>
      <c r="B86" s="502" t="s">
        <v>136</v>
      </c>
      <c r="C86" s="597"/>
      <c r="D86" s="500">
        <v>2860</v>
      </c>
      <c r="E86" s="449">
        <v>12860</v>
      </c>
      <c r="F86" s="449">
        <v>-10000</v>
      </c>
      <c r="G86" s="421">
        <v>-0.77760497667185069</v>
      </c>
      <c r="H86" s="449">
        <v>2860</v>
      </c>
      <c r="I86" s="449">
        <v>0</v>
      </c>
      <c r="J86" s="426">
        <v>0</v>
      </c>
      <c r="K86" s="421"/>
      <c r="L86" s="449">
        <v>0</v>
      </c>
      <c r="M86" s="449">
        <v>0</v>
      </c>
      <c r="N86" s="449">
        <v>0</v>
      </c>
      <c r="O86" s="449">
        <v>0</v>
      </c>
      <c r="P86" s="449">
        <v>0</v>
      </c>
      <c r="Q86" s="449">
        <v>0</v>
      </c>
      <c r="R86" s="449">
        <v>476.66666666666669</v>
      </c>
      <c r="S86" s="449">
        <v>476.66666666666669</v>
      </c>
      <c r="T86" s="449">
        <v>476.66666666666663</v>
      </c>
      <c r="U86" s="449">
        <v>476.66666666666669</v>
      </c>
      <c r="V86" s="449">
        <v>476.66666666666663</v>
      </c>
      <c r="W86" s="449">
        <v>476.66666666666652</v>
      </c>
      <c r="X86" s="449"/>
      <c r="Y86" s="449">
        <v>2860</v>
      </c>
      <c r="Z86" s="531"/>
      <c r="AA86" s="449">
        <v>238.33333333333334</v>
      </c>
      <c r="AB86" s="449">
        <v>238.33333333333334</v>
      </c>
      <c r="AC86" s="449">
        <v>238.33333333333334</v>
      </c>
      <c r="AD86" s="449">
        <v>238.33333333333334</v>
      </c>
      <c r="AE86" s="449">
        <v>238.33333333333334</v>
      </c>
      <c r="AF86" s="449">
        <v>238.33333333333334</v>
      </c>
      <c r="AG86" s="449">
        <v>238.33333333333334</v>
      </c>
      <c r="AH86" s="449">
        <v>238.33333333333334</v>
      </c>
      <c r="AI86" s="449">
        <v>238.33333333333334</v>
      </c>
      <c r="AJ86" s="449">
        <v>238.33333333333334</v>
      </c>
      <c r="AK86" s="449">
        <v>238.33333333333334</v>
      </c>
      <c r="AL86" s="449">
        <v>238.33333333333334</v>
      </c>
      <c r="AM86" s="400"/>
      <c r="AN86" s="500">
        <v>2860</v>
      </c>
      <c r="AO86" s="449">
        <v>0</v>
      </c>
      <c r="AP86" s="449">
        <v>-2860</v>
      </c>
      <c r="AQ86" s="453">
        <v>-1</v>
      </c>
      <c r="AR86" s="449">
        <v>0</v>
      </c>
      <c r="AS86" s="449">
        <v>0</v>
      </c>
      <c r="AT86" s="426">
        <v>0</v>
      </c>
      <c r="AU86" s="421"/>
      <c r="AV86" s="449">
        <v>0</v>
      </c>
      <c r="AW86" s="449">
        <v>0</v>
      </c>
      <c r="AX86" s="449">
        <v>0</v>
      </c>
      <c r="AY86" s="449">
        <v>0</v>
      </c>
      <c r="AZ86" s="449">
        <v>0</v>
      </c>
      <c r="BA86" s="449">
        <v>0</v>
      </c>
      <c r="BB86" s="449">
        <v>0</v>
      </c>
      <c r="BC86" s="449">
        <v>0</v>
      </c>
      <c r="BD86" s="449">
        <v>0</v>
      </c>
      <c r="BE86" s="449">
        <v>0</v>
      </c>
      <c r="BF86" s="449">
        <v>0</v>
      </c>
      <c r="BG86" s="449">
        <v>0</v>
      </c>
      <c r="BH86" s="400"/>
      <c r="BI86" s="449">
        <v>0</v>
      </c>
      <c r="BJ86" s="449">
        <v>0</v>
      </c>
      <c r="BK86" s="449">
        <v>0</v>
      </c>
      <c r="BL86" s="771">
        <v>0</v>
      </c>
      <c r="BM86" s="449">
        <v>0</v>
      </c>
      <c r="BN86" s="449">
        <v>0</v>
      </c>
      <c r="BO86" s="449">
        <v>0</v>
      </c>
      <c r="BP86" s="449">
        <v>0</v>
      </c>
      <c r="BQ86" s="449">
        <v>0</v>
      </c>
      <c r="BR86" s="449">
        <v>0</v>
      </c>
      <c r="BS86" s="449">
        <v>0</v>
      </c>
      <c r="BT86" s="449">
        <v>0</v>
      </c>
    </row>
    <row r="87" spans="1:72" x14ac:dyDescent="0.25">
      <c r="A87" s="502" t="s">
        <v>137</v>
      </c>
      <c r="B87" s="502" t="s">
        <v>138</v>
      </c>
      <c r="C87" s="597"/>
      <c r="D87" s="500">
        <v>0</v>
      </c>
      <c r="E87" s="449">
        <v>0</v>
      </c>
      <c r="F87" s="449">
        <v>0</v>
      </c>
      <c r="G87" s="421">
        <v>0</v>
      </c>
      <c r="H87" s="449">
        <v>0</v>
      </c>
      <c r="I87" s="449">
        <v>0</v>
      </c>
      <c r="J87" s="426">
        <v>0</v>
      </c>
      <c r="K87" s="421"/>
      <c r="L87" s="449">
        <v>0</v>
      </c>
      <c r="M87" s="449">
        <v>0</v>
      </c>
      <c r="N87" s="449">
        <v>0</v>
      </c>
      <c r="O87" s="449">
        <v>0</v>
      </c>
      <c r="P87" s="449">
        <v>0</v>
      </c>
      <c r="Q87" s="449">
        <v>0</v>
      </c>
      <c r="R87" s="449">
        <v>0</v>
      </c>
      <c r="S87" s="449">
        <v>0</v>
      </c>
      <c r="T87" s="449">
        <v>0</v>
      </c>
      <c r="U87" s="449">
        <v>0</v>
      </c>
      <c r="V87" s="449">
        <v>0</v>
      </c>
      <c r="W87" s="449">
        <v>0</v>
      </c>
      <c r="X87" s="449"/>
      <c r="Y87" s="449">
        <v>0</v>
      </c>
      <c r="Z87" s="531"/>
      <c r="AA87" s="449">
        <v>0</v>
      </c>
      <c r="AB87" s="449">
        <v>0</v>
      </c>
      <c r="AC87" s="449">
        <v>0</v>
      </c>
      <c r="AD87" s="449">
        <v>0</v>
      </c>
      <c r="AE87" s="449">
        <v>0</v>
      </c>
      <c r="AF87" s="449">
        <v>0</v>
      </c>
      <c r="AG87" s="449">
        <v>0</v>
      </c>
      <c r="AH87" s="449">
        <v>0</v>
      </c>
      <c r="AI87" s="449">
        <v>0</v>
      </c>
      <c r="AJ87" s="449">
        <v>0</v>
      </c>
      <c r="AK87" s="449">
        <v>0</v>
      </c>
      <c r="AL87" s="449">
        <v>0</v>
      </c>
      <c r="AM87" s="400"/>
      <c r="AN87" s="500">
        <v>0</v>
      </c>
      <c r="AO87" s="449">
        <v>0</v>
      </c>
      <c r="AP87" s="449">
        <v>0</v>
      </c>
      <c r="AQ87" s="453" t="s">
        <v>1519</v>
      </c>
      <c r="AR87" s="449">
        <v>0</v>
      </c>
      <c r="AS87" s="449">
        <v>0</v>
      </c>
      <c r="AT87" s="426">
        <v>0</v>
      </c>
      <c r="AU87" s="421"/>
      <c r="AV87" s="449">
        <v>0</v>
      </c>
      <c r="AW87" s="449">
        <v>0</v>
      </c>
      <c r="AX87" s="449">
        <v>0</v>
      </c>
      <c r="AY87" s="449">
        <v>0</v>
      </c>
      <c r="AZ87" s="449">
        <v>0</v>
      </c>
      <c r="BA87" s="449">
        <v>0</v>
      </c>
      <c r="BB87" s="449">
        <v>0</v>
      </c>
      <c r="BC87" s="449">
        <v>0</v>
      </c>
      <c r="BD87" s="449">
        <v>0</v>
      </c>
      <c r="BE87" s="449">
        <v>0</v>
      </c>
      <c r="BF87" s="449">
        <v>0</v>
      </c>
      <c r="BG87" s="449">
        <v>0</v>
      </c>
      <c r="BH87" s="400"/>
      <c r="BI87" s="449">
        <v>0</v>
      </c>
      <c r="BJ87" s="449">
        <v>0</v>
      </c>
      <c r="BK87" s="449">
        <v>0</v>
      </c>
      <c r="BL87" s="771">
        <v>0</v>
      </c>
      <c r="BM87" s="449">
        <v>0</v>
      </c>
      <c r="BN87" s="449">
        <v>0</v>
      </c>
      <c r="BO87" s="449">
        <v>0</v>
      </c>
      <c r="BP87" s="449">
        <v>0</v>
      </c>
      <c r="BQ87" s="449">
        <v>0</v>
      </c>
      <c r="BR87" s="449">
        <v>0</v>
      </c>
      <c r="BS87" s="449">
        <v>0</v>
      </c>
      <c r="BT87" s="449">
        <v>0</v>
      </c>
    </row>
    <row r="88" spans="1:72" ht="14.25" customHeight="1" x14ac:dyDescent="0.25">
      <c r="A88" s="502" t="s">
        <v>139</v>
      </c>
      <c r="B88" s="502" t="s">
        <v>140</v>
      </c>
      <c r="C88" s="596"/>
      <c r="D88" s="500">
        <v>38006.120000000003</v>
      </c>
      <c r="E88" s="449">
        <v>0</v>
      </c>
      <c r="F88" s="449">
        <v>38006.120000000003</v>
      </c>
      <c r="G88" s="421">
        <v>0</v>
      </c>
      <c r="H88" s="449">
        <v>0</v>
      </c>
      <c r="I88" s="449">
        <v>38006.120000000003</v>
      </c>
      <c r="J88" s="426">
        <v>0</v>
      </c>
      <c r="K88" s="421"/>
      <c r="L88" s="449">
        <v>0</v>
      </c>
      <c r="M88" s="449">
        <v>38006.120000000003</v>
      </c>
      <c r="N88" s="449">
        <v>0</v>
      </c>
      <c r="O88" s="449">
        <v>0</v>
      </c>
      <c r="P88" s="449">
        <v>0</v>
      </c>
      <c r="Q88" s="449">
        <v>0</v>
      </c>
      <c r="R88" s="449">
        <v>0</v>
      </c>
      <c r="S88" s="449">
        <v>0</v>
      </c>
      <c r="T88" s="449">
        <v>0</v>
      </c>
      <c r="U88" s="449">
        <v>0</v>
      </c>
      <c r="V88" s="449">
        <v>0</v>
      </c>
      <c r="W88" s="449">
        <v>0</v>
      </c>
      <c r="X88" s="449"/>
      <c r="Y88" s="449">
        <v>38006.120000000003</v>
      </c>
      <c r="Z88" s="531"/>
      <c r="AA88" s="449">
        <v>0</v>
      </c>
      <c r="AB88" s="449">
        <v>0</v>
      </c>
      <c r="AC88" s="449">
        <v>0</v>
      </c>
      <c r="AD88" s="449">
        <v>0</v>
      </c>
      <c r="AE88" s="449">
        <v>0</v>
      </c>
      <c r="AF88" s="449">
        <v>0</v>
      </c>
      <c r="AG88" s="449">
        <v>0</v>
      </c>
      <c r="AH88" s="449">
        <v>0</v>
      </c>
      <c r="AI88" s="449">
        <v>0</v>
      </c>
      <c r="AJ88" s="449">
        <v>0</v>
      </c>
      <c r="AK88" s="449">
        <v>0</v>
      </c>
      <c r="AL88" s="449">
        <v>0</v>
      </c>
      <c r="AM88" s="400"/>
      <c r="AN88" s="500">
        <v>38006.120000000003</v>
      </c>
      <c r="AO88" s="449">
        <v>0</v>
      </c>
      <c r="AP88" s="449">
        <v>-38006.120000000003</v>
      </c>
      <c r="AQ88" s="453">
        <v>-1</v>
      </c>
      <c r="AR88" s="449">
        <v>0</v>
      </c>
      <c r="AS88" s="449">
        <v>0</v>
      </c>
      <c r="AT88" s="426">
        <v>0</v>
      </c>
      <c r="AU88" s="421"/>
      <c r="AV88" s="449">
        <v>0</v>
      </c>
      <c r="AW88" s="449">
        <v>0</v>
      </c>
      <c r="AX88" s="449">
        <v>0</v>
      </c>
      <c r="AY88" s="449">
        <v>0</v>
      </c>
      <c r="AZ88" s="449">
        <v>0</v>
      </c>
      <c r="BA88" s="449">
        <v>0</v>
      </c>
      <c r="BB88" s="449">
        <v>0</v>
      </c>
      <c r="BC88" s="449">
        <v>0</v>
      </c>
      <c r="BD88" s="449">
        <v>0</v>
      </c>
      <c r="BE88" s="449">
        <v>0</v>
      </c>
      <c r="BF88" s="449">
        <v>0</v>
      </c>
      <c r="BG88" s="449">
        <v>0</v>
      </c>
      <c r="BH88" s="400"/>
      <c r="BI88" s="449">
        <v>0</v>
      </c>
      <c r="BJ88" s="449">
        <v>0</v>
      </c>
      <c r="BK88" s="449">
        <v>0</v>
      </c>
      <c r="BL88" s="771">
        <v>0</v>
      </c>
      <c r="BM88" s="449">
        <v>0</v>
      </c>
      <c r="BN88" s="449">
        <v>0</v>
      </c>
      <c r="BO88" s="449">
        <v>0</v>
      </c>
      <c r="BP88" s="449">
        <v>0</v>
      </c>
      <c r="BQ88" s="449">
        <v>0</v>
      </c>
      <c r="BR88" s="449">
        <v>0</v>
      </c>
      <c r="BS88" s="449">
        <v>0</v>
      </c>
      <c r="BT88" s="449">
        <v>0</v>
      </c>
    </row>
    <row r="89" spans="1:72" ht="14.25" customHeight="1" x14ac:dyDescent="0.25">
      <c r="A89" s="587"/>
      <c r="B89" s="502"/>
      <c r="C89" s="596"/>
      <c r="D89" s="500"/>
      <c r="E89" s="449"/>
      <c r="F89" s="449"/>
      <c r="G89" s="421"/>
      <c r="H89" s="449"/>
      <c r="I89" s="449"/>
      <c r="J89" s="426"/>
      <c r="K89" s="421"/>
      <c r="L89" s="449"/>
      <c r="M89" s="449"/>
      <c r="N89" s="449"/>
      <c r="O89" s="449"/>
      <c r="P89" s="449"/>
      <c r="Q89" s="449"/>
      <c r="R89" s="449"/>
      <c r="S89" s="449"/>
      <c r="T89" s="449"/>
      <c r="U89" s="449"/>
      <c r="V89" s="449"/>
      <c r="W89" s="449"/>
      <c r="X89" s="449"/>
      <c r="Y89" s="449"/>
      <c r="Z89" s="531"/>
      <c r="AA89" s="449"/>
      <c r="AB89" s="449"/>
      <c r="AC89" s="449"/>
      <c r="AD89" s="449"/>
      <c r="AE89" s="449"/>
      <c r="AF89" s="449"/>
      <c r="AG89" s="449"/>
      <c r="AH89" s="449"/>
      <c r="AI89" s="449"/>
      <c r="AJ89" s="449"/>
      <c r="AK89" s="449"/>
      <c r="AL89" s="449"/>
      <c r="AM89" s="400"/>
      <c r="AN89" s="500"/>
      <c r="AO89" s="449"/>
      <c r="AP89" s="449"/>
      <c r="AQ89" s="453"/>
      <c r="AR89" s="449"/>
      <c r="AS89" s="449"/>
      <c r="AT89" s="426"/>
      <c r="AU89" s="421"/>
      <c r="AV89" s="449"/>
      <c r="AW89" s="449"/>
      <c r="AX89" s="449"/>
      <c r="AY89" s="449"/>
      <c r="AZ89" s="449"/>
      <c r="BA89" s="449"/>
      <c r="BB89" s="449"/>
      <c r="BC89" s="449"/>
      <c r="BD89" s="449"/>
      <c r="BE89" s="449"/>
      <c r="BF89" s="449"/>
      <c r="BG89" s="449"/>
      <c r="BH89" s="531"/>
      <c r="BI89" s="449"/>
      <c r="BJ89" s="449"/>
      <c r="BK89" s="449"/>
      <c r="BL89" s="771"/>
      <c r="BM89" s="449"/>
      <c r="BN89" s="449"/>
      <c r="BO89" s="449"/>
      <c r="BP89" s="449"/>
      <c r="BQ89" s="449"/>
      <c r="BR89" s="449"/>
      <c r="BS89" s="449"/>
      <c r="BT89" s="449"/>
    </row>
    <row r="90" spans="1:72" s="536" customFormat="1" ht="14.25" customHeight="1" thickBot="1" x14ac:dyDescent="0.3">
      <c r="A90" s="526"/>
      <c r="B90" s="524" t="s">
        <v>141</v>
      </c>
      <c r="C90" s="598"/>
      <c r="D90" s="532">
        <v>1883675.75</v>
      </c>
      <c r="E90" s="533">
        <v>1809163</v>
      </c>
      <c r="F90" s="533">
        <v>74512.75</v>
      </c>
      <c r="G90" s="520">
        <v>4.1186311017857427E-2</v>
      </c>
      <c r="H90" s="533">
        <v>1838871</v>
      </c>
      <c r="I90" s="533">
        <v>44804.75</v>
      </c>
      <c r="J90" s="521">
        <v>2.4365357874478417E-2</v>
      </c>
      <c r="K90" s="507"/>
      <c r="L90" s="533">
        <v>78204.95</v>
      </c>
      <c r="M90" s="533">
        <v>187684.95999999996</v>
      </c>
      <c r="N90" s="533">
        <v>141043.77000000002</v>
      </c>
      <c r="O90" s="533">
        <v>213529.64</v>
      </c>
      <c r="P90" s="533">
        <v>141503.66</v>
      </c>
      <c r="Q90" s="533">
        <v>148474.95000000001</v>
      </c>
      <c r="R90" s="533">
        <v>162205.63666666672</v>
      </c>
      <c r="S90" s="533">
        <v>162205.63666666672</v>
      </c>
      <c r="T90" s="533">
        <v>162205.63666666675</v>
      </c>
      <c r="U90" s="533">
        <v>162205.63666666672</v>
      </c>
      <c r="V90" s="533">
        <v>162205.63666666675</v>
      </c>
      <c r="W90" s="533">
        <v>162205.6366666668</v>
      </c>
      <c r="X90" s="533"/>
      <c r="Y90" s="533">
        <v>1883675.7500000005</v>
      </c>
      <c r="Z90" s="508"/>
      <c r="AA90" s="533">
        <v>153239.25</v>
      </c>
      <c r="AB90" s="533">
        <v>153239.25</v>
      </c>
      <c r="AC90" s="533">
        <v>153239.25</v>
      </c>
      <c r="AD90" s="533">
        <v>153239.25</v>
      </c>
      <c r="AE90" s="533">
        <v>153239.25</v>
      </c>
      <c r="AF90" s="533">
        <v>153239.25</v>
      </c>
      <c r="AG90" s="533">
        <v>153239.25</v>
      </c>
      <c r="AH90" s="533">
        <v>153239.25</v>
      </c>
      <c r="AI90" s="533">
        <v>153239.25</v>
      </c>
      <c r="AJ90" s="533">
        <v>153239.25</v>
      </c>
      <c r="AK90" s="533">
        <v>153239.25</v>
      </c>
      <c r="AL90" s="533">
        <v>153239.25</v>
      </c>
      <c r="AN90" s="532">
        <v>1883675.75</v>
      </c>
      <c r="AO90" s="533">
        <v>1851780.3139473277</v>
      </c>
      <c r="AP90" s="533">
        <v>-31895.436052672332</v>
      </c>
      <c r="AQ90" s="523">
        <v>-1.6932551184922529E-2</v>
      </c>
      <c r="AR90" s="533">
        <v>1851780.3139473277</v>
      </c>
      <c r="AS90" s="533">
        <v>0</v>
      </c>
      <c r="AT90" s="521">
        <v>0</v>
      </c>
      <c r="AU90" s="507"/>
      <c r="AV90" s="533">
        <v>19829.076305220882</v>
      </c>
      <c r="AW90" s="533">
        <v>150081.81497925255</v>
      </c>
      <c r="AX90" s="533">
        <v>154081.30175660588</v>
      </c>
      <c r="AY90" s="533">
        <v>232081.30175660588</v>
      </c>
      <c r="AZ90" s="533">
        <v>154081.30175660588</v>
      </c>
      <c r="BA90" s="533">
        <v>144359.39699470112</v>
      </c>
      <c r="BB90" s="533">
        <v>144359.39699470112</v>
      </c>
      <c r="BC90" s="533">
        <v>144359.39699470112</v>
      </c>
      <c r="BD90" s="533">
        <v>144359.39699470112</v>
      </c>
      <c r="BE90" s="533">
        <v>144359.39699470112</v>
      </c>
      <c r="BF90" s="533">
        <v>144359.39699470112</v>
      </c>
      <c r="BG90" s="533">
        <v>275469.13542483037</v>
      </c>
      <c r="BH90" s="508"/>
      <c r="BI90" s="533">
        <v>19829.076305220882</v>
      </c>
      <c r="BJ90" s="533">
        <v>150081.81497925255</v>
      </c>
      <c r="BK90" s="533">
        <v>154081.30175660588</v>
      </c>
      <c r="BL90" s="777">
        <v>232081.30175660588</v>
      </c>
      <c r="BM90" s="533">
        <v>154081.30175660588</v>
      </c>
      <c r="BN90" s="533">
        <v>144359.39699470112</v>
      </c>
      <c r="BO90" s="533">
        <v>144359.39699470112</v>
      </c>
      <c r="BP90" s="533">
        <v>144359.39699470112</v>
      </c>
      <c r="BQ90" s="533">
        <v>144359.39699470112</v>
      </c>
      <c r="BR90" s="533">
        <v>144359.39699470112</v>
      </c>
      <c r="BS90" s="533">
        <v>144359.39699470112</v>
      </c>
      <c r="BT90" s="533">
        <v>275469.13542483037</v>
      </c>
    </row>
    <row r="91" spans="1:72" ht="14.25" customHeight="1" thickTop="1" x14ac:dyDescent="0.25">
      <c r="A91" s="587"/>
      <c r="B91" s="502"/>
      <c r="C91" s="596"/>
      <c r="D91" s="500"/>
      <c r="E91" s="449"/>
      <c r="F91" s="449"/>
      <c r="G91" s="421"/>
      <c r="H91" s="449"/>
      <c r="I91" s="449"/>
      <c r="J91" s="426"/>
      <c r="K91" s="421"/>
      <c r="L91" s="449"/>
      <c r="M91" s="449"/>
      <c r="N91" s="449"/>
      <c r="O91" s="449"/>
      <c r="P91" s="449"/>
      <c r="Q91" s="449"/>
      <c r="R91" s="449"/>
      <c r="S91" s="449"/>
      <c r="T91" s="449"/>
      <c r="U91" s="449"/>
      <c r="V91" s="449"/>
      <c r="W91" s="449"/>
      <c r="X91" s="449"/>
      <c r="Y91" s="449"/>
      <c r="Z91" s="531"/>
      <c r="AA91" s="449"/>
      <c r="AB91" s="449"/>
      <c r="AC91" s="449"/>
      <c r="AD91" s="449"/>
      <c r="AE91" s="449"/>
      <c r="AF91" s="449"/>
      <c r="AG91" s="449"/>
      <c r="AH91" s="449"/>
      <c r="AI91" s="449"/>
      <c r="AJ91" s="449"/>
      <c r="AK91" s="449"/>
      <c r="AL91" s="449"/>
      <c r="AM91" s="400"/>
      <c r="AN91" s="500"/>
      <c r="AO91" s="449"/>
      <c r="AP91" s="449"/>
      <c r="AQ91" s="453"/>
      <c r="AR91" s="449"/>
      <c r="AS91" s="449"/>
      <c r="AT91" s="426"/>
      <c r="AU91" s="421"/>
      <c r="AV91" s="449"/>
      <c r="AW91" s="449"/>
      <c r="AX91" s="449"/>
      <c r="AY91" s="449"/>
      <c r="AZ91" s="449"/>
      <c r="BA91" s="449"/>
      <c r="BB91" s="449"/>
      <c r="BC91" s="449"/>
      <c r="BD91" s="449"/>
      <c r="BE91" s="449"/>
      <c r="BF91" s="449"/>
      <c r="BG91" s="449"/>
      <c r="BH91" s="531"/>
      <c r="BI91" s="449"/>
      <c r="BJ91" s="449"/>
      <c r="BK91" s="449"/>
      <c r="BL91" s="771"/>
      <c r="BM91" s="449"/>
      <c r="BN91" s="449"/>
      <c r="BO91" s="449"/>
      <c r="BP91" s="449"/>
      <c r="BQ91" s="449"/>
      <c r="BR91" s="449"/>
      <c r="BS91" s="449"/>
      <c r="BT91" s="449"/>
    </row>
    <row r="92" spans="1:72" ht="14.25" customHeight="1" x14ac:dyDescent="0.25">
      <c r="A92" s="587"/>
      <c r="B92" s="525" t="s">
        <v>142</v>
      </c>
      <c r="C92" s="596"/>
      <c r="D92" s="500"/>
      <c r="E92" s="449"/>
      <c r="F92" s="449"/>
      <c r="G92" s="421"/>
      <c r="H92" s="449"/>
      <c r="I92" s="449"/>
      <c r="J92" s="426"/>
      <c r="K92" s="421"/>
      <c r="L92" s="449"/>
      <c r="M92" s="449"/>
      <c r="N92" s="449"/>
      <c r="O92" s="449"/>
      <c r="P92" s="449"/>
      <c r="Q92" s="449"/>
      <c r="R92" s="449"/>
      <c r="S92" s="449"/>
      <c r="T92" s="449"/>
      <c r="U92" s="449"/>
      <c r="V92" s="449"/>
      <c r="W92" s="449"/>
      <c r="X92" s="449"/>
      <c r="Y92" s="449"/>
      <c r="Z92" s="531"/>
      <c r="AA92" s="449"/>
      <c r="AB92" s="449"/>
      <c r="AC92" s="449"/>
      <c r="AD92" s="449"/>
      <c r="AE92" s="449"/>
      <c r="AF92" s="449"/>
      <c r="AG92" s="449"/>
      <c r="AH92" s="449"/>
      <c r="AI92" s="449"/>
      <c r="AJ92" s="449"/>
      <c r="AK92" s="449"/>
      <c r="AL92" s="449"/>
      <c r="AM92" s="400"/>
      <c r="AN92" s="500"/>
      <c r="AO92" s="449"/>
      <c r="AP92" s="449"/>
      <c r="AQ92" s="453"/>
      <c r="AR92" s="449"/>
      <c r="AS92" s="449"/>
      <c r="AT92" s="426"/>
      <c r="AU92" s="421"/>
      <c r="AV92" s="449"/>
      <c r="AW92" s="449"/>
      <c r="AX92" s="449"/>
      <c r="AY92" s="449"/>
      <c r="AZ92" s="449"/>
      <c r="BA92" s="449"/>
      <c r="BB92" s="449"/>
      <c r="BC92" s="449"/>
      <c r="BD92" s="449"/>
      <c r="BE92" s="449"/>
      <c r="BF92" s="449"/>
      <c r="BG92" s="449"/>
      <c r="BH92" s="531"/>
      <c r="BI92" s="449"/>
      <c r="BJ92" s="449"/>
      <c r="BK92" s="449"/>
      <c r="BL92" s="771"/>
      <c r="BM92" s="449"/>
      <c r="BN92" s="449"/>
      <c r="BO92" s="449"/>
      <c r="BP92" s="449"/>
      <c r="BQ92" s="449"/>
      <c r="BR92" s="449"/>
      <c r="BS92" s="449"/>
      <c r="BT92" s="449"/>
    </row>
    <row r="93" spans="1:72" ht="6" customHeight="1" x14ac:dyDescent="0.25">
      <c r="A93" s="587"/>
      <c r="B93" s="502"/>
      <c r="C93" s="596"/>
      <c r="D93" s="500"/>
      <c r="E93" s="449"/>
      <c r="F93" s="449"/>
      <c r="G93" s="421"/>
      <c r="H93" s="449"/>
      <c r="I93" s="449"/>
      <c r="J93" s="426"/>
      <c r="K93" s="421"/>
      <c r="L93" s="449"/>
      <c r="M93" s="449"/>
      <c r="N93" s="449"/>
      <c r="O93" s="449"/>
      <c r="P93" s="449"/>
      <c r="Q93" s="449"/>
      <c r="R93" s="449"/>
      <c r="S93" s="449"/>
      <c r="T93" s="449"/>
      <c r="U93" s="449"/>
      <c r="V93" s="449"/>
      <c r="W93" s="449"/>
      <c r="X93" s="449"/>
      <c r="Y93" s="449"/>
      <c r="Z93" s="531"/>
      <c r="AA93" s="449"/>
      <c r="AB93" s="449"/>
      <c r="AC93" s="449"/>
      <c r="AD93" s="449"/>
      <c r="AE93" s="449"/>
      <c r="AF93" s="449"/>
      <c r="AG93" s="449"/>
      <c r="AH93" s="449"/>
      <c r="AI93" s="449"/>
      <c r="AJ93" s="449"/>
      <c r="AK93" s="449"/>
      <c r="AL93" s="449"/>
      <c r="AM93" s="400"/>
      <c r="AN93" s="500"/>
      <c r="AO93" s="449"/>
      <c r="AP93" s="449"/>
      <c r="AQ93" s="453"/>
      <c r="AR93" s="449"/>
      <c r="AS93" s="449"/>
      <c r="AT93" s="426"/>
      <c r="AU93" s="421"/>
      <c r="AV93" s="449"/>
      <c r="AW93" s="449"/>
      <c r="AX93" s="449"/>
      <c r="AY93" s="449"/>
      <c r="AZ93" s="449"/>
      <c r="BA93" s="449"/>
      <c r="BB93" s="449"/>
      <c r="BC93" s="449"/>
      <c r="BD93" s="449"/>
      <c r="BE93" s="449"/>
      <c r="BF93" s="449"/>
      <c r="BG93" s="449"/>
      <c r="BH93" s="531"/>
      <c r="BI93" s="449"/>
      <c r="BJ93" s="449"/>
      <c r="BK93" s="449"/>
      <c r="BL93" s="771"/>
      <c r="BM93" s="449"/>
      <c r="BN93" s="449"/>
      <c r="BO93" s="449"/>
      <c r="BP93" s="449"/>
      <c r="BQ93" s="449"/>
      <c r="BR93" s="449"/>
      <c r="BS93" s="449"/>
      <c r="BT93" s="449"/>
    </row>
    <row r="94" spans="1:72" ht="14.25" customHeight="1" x14ac:dyDescent="0.25">
      <c r="A94" s="502" t="s">
        <v>143</v>
      </c>
      <c r="B94" s="502" t="s">
        <v>144</v>
      </c>
      <c r="C94" s="630"/>
      <c r="D94" s="500">
        <v>488838</v>
      </c>
      <c r="E94" s="449">
        <v>465348</v>
      </c>
      <c r="F94" s="449">
        <v>23490</v>
      </c>
      <c r="G94" s="421">
        <v>5.0478351685190437E-2</v>
      </c>
      <c r="H94" s="449">
        <v>488838</v>
      </c>
      <c r="I94" s="449">
        <v>0</v>
      </c>
      <c r="J94" s="426">
        <v>0</v>
      </c>
      <c r="K94" s="421"/>
      <c r="L94" s="449">
        <v>0.03</v>
      </c>
      <c r="M94" s="449">
        <v>59502.64</v>
      </c>
      <c r="N94" s="449">
        <v>52168.350000000006</v>
      </c>
      <c r="O94" s="449">
        <v>49754.400000000009</v>
      </c>
      <c r="P94" s="449">
        <v>50099.689999999973</v>
      </c>
      <c r="Q94" s="449">
        <v>64993.170000000042</v>
      </c>
      <c r="R94" s="449">
        <v>35386.619999999995</v>
      </c>
      <c r="S94" s="449">
        <v>35386.619999999995</v>
      </c>
      <c r="T94" s="449">
        <v>35386.619999999995</v>
      </c>
      <c r="U94" s="449">
        <v>35386.619999999995</v>
      </c>
      <c r="V94" s="449">
        <v>35386.619999999995</v>
      </c>
      <c r="W94" s="449">
        <v>35386.619999999995</v>
      </c>
      <c r="X94" s="449"/>
      <c r="Y94" s="449">
        <v>488838</v>
      </c>
      <c r="Z94" s="531"/>
      <c r="AA94" s="449">
        <v>40736.5</v>
      </c>
      <c r="AB94" s="449">
        <v>40736.5</v>
      </c>
      <c r="AC94" s="449">
        <v>40736.5</v>
      </c>
      <c r="AD94" s="449">
        <v>40736.5</v>
      </c>
      <c r="AE94" s="449">
        <v>40736.5</v>
      </c>
      <c r="AF94" s="449">
        <v>40736.5</v>
      </c>
      <c r="AG94" s="449">
        <v>40736.5</v>
      </c>
      <c r="AH94" s="449">
        <v>40736.5</v>
      </c>
      <c r="AI94" s="449">
        <v>40736.5</v>
      </c>
      <c r="AJ94" s="449">
        <v>40736.5</v>
      </c>
      <c r="AK94" s="449">
        <v>40736.5</v>
      </c>
      <c r="AL94" s="449">
        <v>40736.5</v>
      </c>
      <c r="AM94" s="400"/>
      <c r="AN94" s="500">
        <v>488838</v>
      </c>
      <c r="AO94" s="449">
        <v>482902.78980000009</v>
      </c>
      <c r="AP94" s="449">
        <v>-5935.210199999914</v>
      </c>
      <c r="AQ94" s="453">
        <v>-1.2141466498103491E-2</v>
      </c>
      <c r="AR94" s="449">
        <v>482902.78980000009</v>
      </c>
      <c r="AS94" s="449">
        <v>0</v>
      </c>
      <c r="AT94" s="426">
        <v>0</v>
      </c>
      <c r="AU94" s="421"/>
      <c r="AV94" s="449">
        <v>0</v>
      </c>
      <c r="AW94" s="449">
        <v>40241.899150000005</v>
      </c>
      <c r="AX94" s="449">
        <v>40241.899150000005</v>
      </c>
      <c r="AY94" s="449">
        <v>40241.899150000005</v>
      </c>
      <c r="AZ94" s="449">
        <v>40241.899150000005</v>
      </c>
      <c r="BA94" s="449">
        <v>40241.899150000005</v>
      </c>
      <c r="BB94" s="449">
        <v>40241.899150000005</v>
      </c>
      <c r="BC94" s="449">
        <v>40241.899150000005</v>
      </c>
      <c r="BD94" s="449">
        <v>40241.899150000005</v>
      </c>
      <c r="BE94" s="449">
        <v>40241.899150000005</v>
      </c>
      <c r="BF94" s="449">
        <v>40241.899150000005</v>
      </c>
      <c r="BG94" s="449">
        <v>80483.798300000009</v>
      </c>
      <c r="BH94" s="400"/>
      <c r="BI94" s="449">
        <v>0</v>
      </c>
      <c r="BJ94" s="449">
        <v>40241.899150000005</v>
      </c>
      <c r="BK94" s="449">
        <v>40241.899150000005</v>
      </c>
      <c r="BL94" s="771">
        <v>40241.899150000005</v>
      </c>
      <c r="BM94" s="449">
        <v>40241.899150000005</v>
      </c>
      <c r="BN94" s="449">
        <v>40241.899150000005</v>
      </c>
      <c r="BO94" s="449">
        <v>40241.899150000005</v>
      </c>
      <c r="BP94" s="449">
        <v>40241.899150000005</v>
      </c>
      <c r="BQ94" s="449">
        <v>40241.899150000005</v>
      </c>
      <c r="BR94" s="449">
        <v>40241.899150000005</v>
      </c>
      <c r="BS94" s="449">
        <v>40241.899150000005</v>
      </c>
      <c r="BT94" s="449">
        <v>80483.798300000009</v>
      </c>
    </row>
    <row r="95" spans="1:72" x14ac:dyDescent="0.25">
      <c r="A95" s="537" t="s">
        <v>145</v>
      </c>
      <c r="B95" s="537" t="s">
        <v>90</v>
      </c>
      <c r="C95" s="541"/>
      <c r="D95" s="500">
        <v>0</v>
      </c>
      <c r="E95" s="449">
        <v>0</v>
      </c>
      <c r="F95" s="449">
        <v>0</v>
      </c>
      <c r="G95" s="421">
        <v>0</v>
      </c>
      <c r="H95" s="449">
        <v>0</v>
      </c>
      <c r="I95" s="449">
        <v>0</v>
      </c>
      <c r="J95" s="426">
        <v>0</v>
      </c>
      <c r="K95" s="421"/>
      <c r="L95" s="449">
        <v>0</v>
      </c>
      <c r="M95" s="449">
        <v>0</v>
      </c>
      <c r="N95" s="449">
        <v>0</v>
      </c>
      <c r="O95" s="449">
        <v>0</v>
      </c>
      <c r="P95" s="449">
        <v>0</v>
      </c>
      <c r="Q95" s="449">
        <v>0</v>
      </c>
      <c r="R95" s="449">
        <v>0</v>
      </c>
      <c r="S95" s="449">
        <v>0</v>
      </c>
      <c r="T95" s="449">
        <v>0</v>
      </c>
      <c r="U95" s="449">
        <v>0</v>
      </c>
      <c r="V95" s="449">
        <v>0</v>
      </c>
      <c r="W95" s="449">
        <v>0</v>
      </c>
      <c r="X95" s="449"/>
      <c r="Y95" s="449">
        <v>0</v>
      </c>
      <c r="Z95" s="531"/>
      <c r="AA95" s="449">
        <v>0</v>
      </c>
      <c r="AB95" s="449">
        <v>0</v>
      </c>
      <c r="AC95" s="449">
        <v>0</v>
      </c>
      <c r="AD95" s="449">
        <v>0</v>
      </c>
      <c r="AE95" s="449">
        <v>0</v>
      </c>
      <c r="AF95" s="449">
        <v>0</v>
      </c>
      <c r="AG95" s="449">
        <v>0</v>
      </c>
      <c r="AH95" s="449">
        <v>0</v>
      </c>
      <c r="AI95" s="449">
        <v>0</v>
      </c>
      <c r="AJ95" s="449">
        <v>0</v>
      </c>
      <c r="AK95" s="449">
        <v>0</v>
      </c>
      <c r="AL95" s="449">
        <v>0</v>
      </c>
      <c r="AM95" s="400"/>
      <c r="AN95" s="500">
        <v>0</v>
      </c>
      <c r="AO95" s="449">
        <v>44468.96591243022</v>
      </c>
      <c r="AP95" s="449">
        <v>44468.96591243022</v>
      </c>
      <c r="AQ95" s="453" t="s">
        <v>1519</v>
      </c>
      <c r="AR95" s="449">
        <v>44468.96591243022</v>
      </c>
      <c r="AS95" s="449">
        <v>0</v>
      </c>
      <c r="AT95" s="426">
        <v>0</v>
      </c>
      <c r="AU95" s="421"/>
      <c r="AV95" s="449">
        <v>0</v>
      </c>
      <c r="AW95" s="449">
        <v>0</v>
      </c>
      <c r="AX95" s="449">
        <v>4042.633264766383</v>
      </c>
      <c r="AY95" s="449">
        <v>4042.633264766383</v>
      </c>
      <c r="AZ95" s="449">
        <v>4042.633264766383</v>
      </c>
      <c r="BA95" s="449">
        <v>4042.633264766383</v>
      </c>
      <c r="BB95" s="449">
        <v>4042.633264766383</v>
      </c>
      <c r="BC95" s="449">
        <v>4042.633264766383</v>
      </c>
      <c r="BD95" s="449">
        <v>4042.633264766383</v>
      </c>
      <c r="BE95" s="449">
        <v>4042.633264766383</v>
      </c>
      <c r="BF95" s="449">
        <v>4042.633264766383</v>
      </c>
      <c r="BG95" s="449">
        <v>8085.2665295327661</v>
      </c>
      <c r="BH95" s="400"/>
      <c r="BI95" s="449">
        <v>0</v>
      </c>
      <c r="BJ95" s="449">
        <v>0</v>
      </c>
      <c r="BK95" s="449">
        <v>4042.633264766383</v>
      </c>
      <c r="BL95" s="771">
        <v>4042.633264766383</v>
      </c>
      <c r="BM95" s="449">
        <v>4042.633264766383</v>
      </c>
      <c r="BN95" s="449">
        <v>4042.633264766383</v>
      </c>
      <c r="BO95" s="449">
        <v>4042.633264766383</v>
      </c>
      <c r="BP95" s="449">
        <v>4042.633264766383</v>
      </c>
      <c r="BQ95" s="449">
        <v>4042.633264766383</v>
      </c>
      <c r="BR95" s="449">
        <v>4042.633264766383</v>
      </c>
      <c r="BS95" s="449">
        <v>4042.633264766383</v>
      </c>
      <c r="BT95" s="449">
        <v>8085.2665295327661</v>
      </c>
    </row>
    <row r="96" spans="1:72" x14ac:dyDescent="0.25">
      <c r="A96" s="502" t="s">
        <v>146</v>
      </c>
      <c r="B96" s="502" t="s">
        <v>147</v>
      </c>
      <c r="C96" s="630"/>
      <c r="D96" s="500">
        <v>18585</v>
      </c>
      <c r="E96" s="449">
        <v>0</v>
      </c>
      <c r="F96" s="449">
        <v>18585</v>
      </c>
      <c r="G96" s="421">
        <v>0</v>
      </c>
      <c r="H96" s="449">
        <v>18585</v>
      </c>
      <c r="I96" s="449">
        <v>0</v>
      </c>
      <c r="J96" s="426">
        <v>0</v>
      </c>
      <c r="K96" s="421"/>
      <c r="L96" s="449">
        <v>0</v>
      </c>
      <c r="M96" s="449">
        <v>0</v>
      </c>
      <c r="N96" s="449">
        <v>0</v>
      </c>
      <c r="O96" s="449">
        <v>0</v>
      </c>
      <c r="P96" s="449">
        <v>0</v>
      </c>
      <c r="Q96" s="449">
        <v>0</v>
      </c>
      <c r="R96" s="449">
        <v>3097.5</v>
      </c>
      <c r="S96" s="449">
        <v>3097.5</v>
      </c>
      <c r="T96" s="449">
        <v>3097.5</v>
      </c>
      <c r="U96" s="449">
        <v>3097.5</v>
      </c>
      <c r="V96" s="449">
        <v>3097.5</v>
      </c>
      <c r="W96" s="449">
        <v>3097.5</v>
      </c>
      <c r="X96" s="449"/>
      <c r="Y96" s="449">
        <v>18585</v>
      </c>
      <c r="Z96" s="531"/>
      <c r="AA96" s="449">
        <v>1548.75</v>
      </c>
      <c r="AB96" s="449">
        <v>1548.75</v>
      </c>
      <c r="AC96" s="449">
        <v>1548.75</v>
      </c>
      <c r="AD96" s="449">
        <v>1548.75</v>
      </c>
      <c r="AE96" s="449">
        <v>1548.75</v>
      </c>
      <c r="AF96" s="449">
        <v>1548.75</v>
      </c>
      <c r="AG96" s="449">
        <v>1548.75</v>
      </c>
      <c r="AH96" s="449">
        <v>1548.75</v>
      </c>
      <c r="AI96" s="449">
        <v>1548.75</v>
      </c>
      <c r="AJ96" s="449">
        <v>1548.75</v>
      </c>
      <c r="AK96" s="449">
        <v>1548.75</v>
      </c>
      <c r="AL96" s="449">
        <v>1548.75</v>
      </c>
      <c r="AM96" s="400"/>
      <c r="AN96" s="500">
        <v>18585</v>
      </c>
      <c r="AO96" s="449">
        <v>21687.680000000004</v>
      </c>
      <c r="AP96" s="449">
        <v>3102.6800000000039</v>
      </c>
      <c r="AQ96" s="453">
        <v>0.16694538606403034</v>
      </c>
      <c r="AR96" s="449">
        <v>21687.680000000004</v>
      </c>
      <c r="AS96" s="449">
        <v>0</v>
      </c>
      <c r="AT96" s="426">
        <v>0</v>
      </c>
      <c r="AU96" s="421"/>
      <c r="AV96" s="449">
        <v>0</v>
      </c>
      <c r="AW96" s="449">
        <v>1807.3066666666666</v>
      </c>
      <c r="AX96" s="449">
        <v>1807.3066666666666</v>
      </c>
      <c r="AY96" s="449">
        <v>1807.3066666666666</v>
      </c>
      <c r="AZ96" s="449">
        <v>1807.3066666666666</v>
      </c>
      <c r="BA96" s="449">
        <v>1807.3066666666666</v>
      </c>
      <c r="BB96" s="449">
        <v>1807.3066666666666</v>
      </c>
      <c r="BC96" s="449">
        <v>1807.3066666666666</v>
      </c>
      <c r="BD96" s="449">
        <v>1807.3066666666666</v>
      </c>
      <c r="BE96" s="449">
        <v>1807.3066666666666</v>
      </c>
      <c r="BF96" s="449">
        <v>1807.3066666666666</v>
      </c>
      <c r="BG96" s="449">
        <v>3614.6133333333332</v>
      </c>
      <c r="BH96" s="400"/>
      <c r="BI96" s="449">
        <v>0</v>
      </c>
      <c r="BJ96" s="449">
        <v>1807.3066666666666</v>
      </c>
      <c r="BK96" s="449">
        <v>1807.3066666666666</v>
      </c>
      <c r="BL96" s="771">
        <v>1807.3066666666666</v>
      </c>
      <c r="BM96" s="449">
        <v>1807.3066666666666</v>
      </c>
      <c r="BN96" s="449">
        <v>1807.3066666666666</v>
      </c>
      <c r="BO96" s="449">
        <v>1807.3066666666666</v>
      </c>
      <c r="BP96" s="449">
        <v>1807.3066666666666</v>
      </c>
      <c r="BQ96" s="449">
        <v>1807.3066666666666</v>
      </c>
      <c r="BR96" s="449">
        <v>1807.3066666666666</v>
      </c>
      <c r="BS96" s="449">
        <v>1807.3066666666666</v>
      </c>
      <c r="BT96" s="449">
        <v>3614.6133333333332</v>
      </c>
    </row>
    <row r="97" spans="1:72" x14ac:dyDescent="0.25">
      <c r="A97" s="502" t="s">
        <v>148</v>
      </c>
      <c r="B97" s="502" t="s">
        <v>149</v>
      </c>
      <c r="C97" s="630"/>
      <c r="D97" s="500">
        <v>10000</v>
      </c>
      <c r="E97" s="449">
        <v>10000</v>
      </c>
      <c r="F97" s="449">
        <v>0</v>
      </c>
      <c r="G97" s="421">
        <v>0</v>
      </c>
      <c r="H97" s="449">
        <v>10000</v>
      </c>
      <c r="I97" s="449">
        <v>0</v>
      </c>
      <c r="J97" s="426">
        <v>0</v>
      </c>
      <c r="K97" s="421"/>
      <c r="L97" s="449">
        <v>0</v>
      </c>
      <c r="M97" s="449">
        <v>0</v>
      </c>
      <c r="N97" s="449">
        <v>0</v>
      </c>
      <c r="O97" s="449">
        <v>0</v>
      </c>
      <c r="P97" s="449">
        <v>0</v>
      </c>
      <c r="Q97" s="449">
        <v>0</v>
      </c>
      <c r="R97" s="449">
        <v>1666.6666666666667</v>
      </c>
      <c r="S97" s="449">
        <v>1666.6666666666667</v>
      </c>
      <c r="T97" s="449">
        <v>1666.6666666666665</v>
      </c>
      <c r="U97" s="449">
        <v>1666.6666666666667</v>
      </c>
      <c r="V97" s="449">
        <v>1666.6666666666665</v>
      </c>
      <c r="W97" s="449">
        <v>1666.6666666666661</v>
      </c>
      <c r="X97" s="449"/>
      <c r="Y97" s="449">
        <v>10000</v>
      </c>
      <c r="Z97" s="531"/>
      <c r="AA97" s="449">
        <v>833.33333333333337</v>
      </c>
      <c r="AB97" s="449">
        <v>833.33333333333337</v>
      </c>
      <c r="AC97" s="449">
        <v>833.33333333333337</v>
      </c>
      <c r="AD97" s="449">
        <v>833.33333333333337</v>
      </c>
      <c r="AE97" s="449">
        <v>833.33333333333337</v>
      </c>
      <c r="AF97" s="449">
        <v>833.33333333333337</v>
      </c>
      <c r="AG97" s="449">
        <v>833.33333333333337</v>
      </c>
      <c r="AH97" s="449">
        <v>833.33333333333337</v>
      </c>
      <c r="AI97" s="449">
        <v>833.33333333333337</v>
      </c>
      <c r="AJ97" s="449">
        <v>833.33333333333337</v>
      </c>
      <c r="AK97" s="449">
        <v>833.33333333333337</v>
      </c>
      <c r="AL97" s="449">
        <v>833.33333333333337</v>
      </c>
      <c r="AM97" s="400"/>
      <c r="AN97" s="500">
        <v>10000</v>
      </c>
      <c r="AO97" s="449">
        <v>10684.925999999999</v>
      </c>
      <c r="AP97" s="449">
        <v>684.92599999999948</v>
      </c>
      <c r="AQ97" s="453">
        <v>6.8492599999999945E-2</v>
      </c>
      <c r="AR97" s="449">
        <v>10684.925999999999</v>
      </c>
      <c r="AS97" s="449">
        <v>0</v>
      </c>
      <c r="AT97" s="426">
        <v>0</v>
      </c>
      <c r="AU97" s="421"/>
      <c r="AV97" s="449">
        <v>0</v>
      </c>
      <c r="AW97" s="449">
        <v>890.41049999999996</v>
      </c>
      <c r="AX97" s="449">
        <v>890.41049999999996</v>
      </c>
      <c r="AY97" s="449">
        <v>890.41049999999996</v>
      </c>
      <c r="AZ97" s="449">
        <v>890.41049999999996</v>
      </c>
      <c r="BA97" s="449">
        <v>890.41049999999996</v>
      </c>
      <c r="BB97" s="449">
        <v>890.41049999999996</v>
      </c>
      <c r="BC97" s="449">
        <v>890.41049999999996</v>
      </c>
      <c r="BD97" s="449">
        <v>890.41049999999996</v>
      </c>
      <c r="BE97" s="449">
        <v>890.41049999999996</v>
      </c>
      <c r="BF97" s="449">
        <v>890.41049999999996</v>
      </c>
      <c r="BG97" s="449">
        <v>1780.8209999999999</v>
      </c>
      <c r="BH97" s="400"/>
      <c r="BI97" s="449">
        <v>0</v>
      </c>
      <c r="BJ97" s="449">
        <v>890.41049999999996</v>
      </c>
      <c r="BK97" s="449">
        <v>890.41049999999996</v>
      </c>
      <c r="BL97" s="771">
        <v>890.41049999999996</v>
      </c>
      <c r="BM97" s="449">
        <v>890.41049999999996</v>
      </c>
      <c r="BN97" s="449">
        <v>890.41049999999996</v>
      </c>
      <c r="BO97" s="449">
        <v>890.41049999999996</v>
      </c>
      <c r="BP97" s="449">
        <v>890.41049999999996</v>
      </c>
      <c r="BQ97" s="449">
        <v>890.41049999999996</v>
      </c>
      <c r="BR97" s="449">
        <v>890.41049999999996</v>
      </c>
      <c r="BS97" s="449">
        <v>890.41049999999996</v>
      </c>
      <c r="BT97" s="449">
        <v>1780.8209999999999</v>
      </c>
    </row>
    <row r="98" spans="1:72" x14ac:dyDescent="0.25">
      <c r="A98" s="502" t="s">
        <v>150</v>
      </c>
      <c r="B98" s="502" t="s">
        <v>151</v>
      </c>
      <c r="C98" s="630"/>
      <c r="D98" s="500">
        <v>33000</v>
      </c>
      <c r="E98" s="449">
        <v>33000</v>
      </c>
      <c r="F98" s="449">
        <v>0</v>
      </c>
      <c r="G98" s="421">
        <v>0</v>
      </c>
      <c r="H98" s="449">
        <v>33000</v>
      </c>
      <c r="I98" s="449">
        <v>0</v>
      </c>
      <c r="J98" s="426">
        <v>0</v>
      </c>
      <c r="K98" s="421"/>
      <c r="L98" s="449">
        <v>0</v>
      </c>
      <c r="M98" s="449">
        <v>0</v>
      </c>
      <c r="N98" s="449">
        <v>0</v>
      </c>
      <c r="O98" s="449">
        <v>24000</v>
      </c>
      <c r="P98" s="449">
        <v>0</v>
      </c>
      <c r="Q98" s="449">
        <v>0</v>
      </c>
      <c r="R98" s="449">
        <v>1500</v>
      </c>
      <c r="S98" s="449">
        <v>1500</v>
      </c>
      <c r="T98" s="449">
        <v>1500</v>
      </c>
      <c r="U98" s="449">
        <v>1500</v>
      </c>
      <c r="V98" s="449">
        <v>1500</v>
      </c>
      <c r="W98" s="449">
        <v>1500</v>
      </c>
      <c r="X98" s="449"/>
      <c r="Y98" s="449">
        <v>33000</v>
      </c>
      <c r="Z98" s="531"/>
      <c r="AA98" s="449">
        <v>2750</v>
      </c>
      <c r="AB98" s="449">
        <v>2750</v>
      </c>
      <c r="AC98" s="449">
        <v>2750</v>
      </c>
      <c r="AD98" s="449">
        <v>2750</v>
      </c>
      <c r="AE98" s="449">
        <v>2750</v>
      </c>
      <c r="AF98" s="449">
        <v>2750</v>
      </c>
      <c r="AG98" s="449">
        <v>2750</v>
      </c>
      <c r="AH98" s="449">
        <v>2750</v>
      </c>
      <c r="AI98" s="449">
        <v>2750</v>
      </c>
      <c r="AJ98" s="449">
        <v>2750</v>
      </c>
      <c r="AK98" s="449">
        <v>2750</v>
      </c>
      <c r="AL98" s="449">
        <v>2750</v>
      </c>
      <c r="AM98" s="400"/>
      <c r="AN98" s="500">
        <v>33000</v>
      </c>
      <c r="AO98" s="449">
        <v>39000</v>
      </c>
      <c r="AP98" s="449">
        <v>6000</v>
      </c>
      <c r="AQ98" s="453">
        <v>0.18181818181818182</v>
      </c>
      <c r="AR98" s="449">
        <v>39000</v>
      </c>
      <c r="AS98" s="449">
        <v>0</v>
      </c>
      <c r="AT98" s="426">
        <v>0</v>
      </c>
      <c r="AU98" s="421"/>
      <c r="AV98" s="449">
        <v>0</v>
      </c>
      <c r="AW98" s="449">
        <v>0</v>
      </c>
      <c r="AX98" s="449">
        <v>0</v>
      </c>
      <c r="AY98" s="449">
        <v>39000</v>
      </c>
      <c r="AZ98" s="449">
        <v>0</v>
      </c>
      <c r="BA98" s="449">
        <v>0</v>
      </c>
      <c r="BB98" s="449">
        <v>0</v>
      </c>
      <c r="BC98" s="449">
        <v>0</v>
      </c>
      <c r="BD98" s="449">
        <v>0</v>
      </c>
      <c r="BE98" s="449">
        <v>0</v>
      </c>
      <c r="BF98" s="449">
        <v>0</v>
      </c>
      <c r="BG98" s="449">
        <v>0</v>
      </c>
      <c r="BH98" s="400"/>
      <c r="BI98" s="449">
        <v>0</v>
      </c>
      <c r="BJ98" s="449">
        <v>0</v>
      </c>
      <c r="BK98" s="449">
        <v>0</v>
      </c>
      <c r="BL98" s="771">
        <v>39000</v>
      </c>
      <c r="BM98" s="449">
        <v>0</v>
      </c>
      <c r="BN98" s="449">
        <v>0</v>
      </c>
      <c r="BO98" s="449">
        <v>0</v>
      </c>
      <c r="BP98" s="449">
        <v>0</v>
      </c>
      <c r="BQ98" s="449">
        <v>0</v>
      </c>
      <c r="BR98" s="449">
        <v>0</v>
      </c>
      <c r="BS98" s="449">
        <v>0</v>
      </c>
      <c r="BT98" s="449">
        <v>0</v>
      </c>
    </row>
    <row r="99" spans="1:72" x14ac:dyDescent="0.25">
      <c r="A99" s="502" t="s">
        <v>152</v>
      </c>
      <c r="B99" s="502" t="s">
        <v>153</v>
      </c>
      <c r="C99" s="630"/>
      <c r="D99" s="500">
        <v>0</v>
      </c>
      <c r="E99" s="449">
        <v>0</v>
      </c>
      <c r="F99" s="449">
        <v>0</v>
      </c>
      <c r="G99" s="421">
        <v>0</v>
      </c>
      <c r="H99" s="449">
        <v>0</v>
      </c>
      <c r="I99" s="449">
        <v>0</v>
      </c>
      <c r="J99" s="426">
        <v>0</v>
      </c>
      <c r="K99" s="421"/>
      <c r="L99" s="449">
        <v>0</v>
      </c>
      <c r="M99" s="449">
        <v>0</v>
      </c>
      <c r="N99" s="449">
        <v>0</v>
      </c>
      <c r="O99" s="449">
        <v>0</v>
      </c>
      <c r="P99" s="449">
        <v>0</v>
      </c>
      <c r="Q99" s="449">
        <v>0</v>
      </c>
      <c r="R99" s="449">
        <v>0</v>
      </c>
      <c r="S99" s="449">
        <v>0</v>
      </c>
      <c r="T99" s="449">
        <v>0</v>
      </c>
      <c r="U99" s="449">
        <v>0</v>
      </c>
      <c r="V99" s="449">
        <v>0</v>
      </c>
      <c r="W99" s="449">
        <v>0</v>
      </c>
      <c r="X99" s="449"/>
      <c r="Y99" s="449">
        <v>0</v>
      </c>
      <c r="Z99" s="531"/>
      <c r="AA99" s="449">
        <v>0</v>
      </c>
      <c r="AB99" s="449">
        <v>0</v>
      </c>
      <c r="AC99" s="449">
        <v>0</v>
      </c>
      <c r="AD99" s="449">
        <v>0</v>
      </c>
      <c r="AE99" s="449">
        <v>0</v>
      </c>
      <c r="AF99" s="449">
        <v>0</v>
      </c>
      <c r="AG99" s="449">
        <v>0</v>
      </c>
      <c r="AH99" s="449">
        <v>0</v>
      </c>
      <c r="AI99" s="449">
        <v>0</v>
      </c>
      <c r="AJ99" s="449">
        <v>0</v>
      </c>
      <c r="AK99" s="449">
        <v>0</v>
      </c>
      <c r="AL99" s="449">
        <v>0</v>
      </c>
      <c r="AM99" s="400"/>
      <c r="AN99" s="500">
        <v>0</v>
      </c>
      <c r="AO99" s="449">
        <v>0</v>
      </c>
      <c r="AP99" s="449">
        <v>0</v>
      </c>
      <c r="AQ99" s="453" t="s">
        <v>1519</v>
      </c>
      <c r="AR99" s="449">
        <v>0</v>
      </c>
      <c r="AS99" s="449">
        <v>0</v>
      </c>
      <c r="AT99" s="426">
        <v>0</v>
      </c>
      <c r="AU99" s="421"/>
      <c r="AV99" s="449">
        <v>0</v>
      </c>
      <c r="AW99" s="449">
        <v>0</v>
      </c>
      <c r="AX99" s="449">
        <v>0</v>
      </c>
      <c r="AY99" s="449">
        <v>0</v>
      </c>
      <c r="AZ99" s="449">
        <v>0</v>
      </c>
      <c r="BA99" s="449">
        <v>0</v>
      </c>
      <c r="BB99" s="449">
        <v>0</v>
      </c>
      <c r="BC99" s="449">
        <v>0</v>
      </c>
      <c r="BD99" s="449">
        <v>0</v>
      </c>
      <c r="BE99" s="449">
        <v>0</v>
      </c>
      <c r="BF99" s="449">
        <v>0</v>
      </c>
      <c r="BG99" s="449">
        <v>0</v>
      </c>
      <c r="BH99" s="400"/>
      <c r="BI99" s="449">
        <v>0</v>
      </c>
      <c r="BJ99" s="449">
        <v>0</v>
      </c>
      <c r="BK99" s="449">
        <v>0</v>
      </c>
      <c r="BL99" s="771">
        <v>0</v>
      </c>
      <c r="BM99" s="449">
        <v>0</v>
      </c>
      <c r="BN99" s="449">
        <v>0</v>
      </c>
      <c r="BO99" s="449">
        <v>0</v>
      </c>
      <c r="BP99" s="449">
        <v>0</v>
      </c>
      <c r="BQ99" s="449">
        <v>0</v>
      </c>
      <c r="BR99" s="449">
        <v>0</v>
      </c>
      <c r="BS99" s="449">
        <v>0</v>
      </c>
      <c r="BT99" s="449">
        <v>0</v>
      </c>
    </row>
    <row r="100" spans="1:72" hidden="1" x14ac:dyDescent="0.25">
      <c r="A100" s="502" t="s">
        <v>154</v>
      </c>
      <c r="B100" s="502" t="s">
        <v>155</v>
      </c>
      <c r="C100" s="541"/>
      <c r="D100" s="500">
        <v>0</v>
      </c>
      <c r="E100" s="449">
        <v>0</v>
      </c>
      <c r="F100" s="449">
        <v>0</v>
      </c>
      <c r="G100" s="421">
        <v>0</v>
      </c>
      <c r="H100" s="449">
        <v>0</v>
      </c>
      <c r="I100" s="449">
        <v>0</v>
      </c>
      <c r="J100" s="426">
        <v>0</v>
      </c>
      <c r="K100" s="421"/>
      <c r="L100" s="449">
        <v>0</v>
      </c>
      <c r="M100" s="449">
        <v>0</v>
      </c>
      <c r="N100" s="449">
        <v>0</v>
      </c>
      <c r="O100" s="449">
        <v>0</v>
      </c>
      <c r="P100" s="449">
        <v>0</v>
      </c>
      <c r="Q100" s="449">
        <v>0</v>
      </c>
      <c r="R100" s="449">
        <v>0</v>
      </c>
      <c r="S100" s="449">
        <v>0</v>
      </c>
      <c r="T100" s="449">
        <v>0</v>
      </c>
      <c r="U100" s="449">
        <v>0</v>
      </c>
      <c r="V100" s="449">
        <v>0</v>
      </c>
      <c r="W100" s="449">
        <v>0</v>
      </c>
      <c r="X100" s="449"/>
      <c r="Y100" s="449">
        <v>0</v>
      </c>
      <c r="Z100" s="531"/>
      <c r="AA100" s="449">
        <v>0</v>
      </c>
      <c r="AB100" s="449">
        <v>0</v>
      </c>
      <c r="AC100" s="449">
        <v>0</v>
      </c>
      <c r="AD100" s="449">
        <v>0</v>
      </c>
      <c r="AE100" s="449">
        <v>0</v>
      </c>
      <c r="AF100" s="449">
        <v>0</v>
      </c>
      <c r="AG100" s="449">
        <v>0</v>
      </c>
      <c r="AH100" s="449">
        <v>0</v>
      </c>
      <c r="AI100" s="449">
        <v>0</v>
      </c>
      <c r="AJ100" s="449">
        <v>0</v>
      </c>
      <c r="AK100" s="449">
        <v>0</v>
      </c>
      <c r="AL100" s="449">
        <v>0</v>
      </c>
      <c r="AM100" s="400"/>
      <c r="AN100" s="500">
        <v>0</v>
      </c>
      <c r="AO100" s="449">
        <v>0</v>
      </c>
      <c r="AP100" s="449">
        <v>0</v>
      </c>
      <c r="AQ100" s="453" t="s">
        <v>1519</v>
      </c>
      <c r="AR100" s="449">
        <v>0</v>
      </c>
      <c r="AS100" s="449">
        <v>0</v>
      </c>
      <c r="AT100" s="426">
        <v>0</v>
      </c>
      <c r="AU100" s="421"/>
      <c r="AV100" s="449">
        <v>0</v>
      </c>
      <c r="AW100" s="449">
        <v>0</v>
      </c>
      <c r="AX100" s="449">
        <v>0</v>
      </c>
      <c r="AY100" s="449">
        <v>0</v>
      </c>
      <c r="AZ100" s="449">
        <v>0</v>
      </c>
      <c r="BA100" s="449">
        <v>0</v>
      </c>
      <c r="BB100" s="449">
        <v>0</v>
      </c>
      <c r="BC100" s="449">
        <v>0</v>
      </c>
      <c r="BD100" s="449">
        <v>0</v>
      </c>
      <c r="BE100" s="449">
        <v>0</v>
      </c>
      <c r="BF100" s="449">
        <v>0</v>
      </c>
      <c r="BG100" s="449">
        <v>0</v>
      </c>
      <c r="BH100" s="400"/>
      <c r="BI100" s="449">
        <v>0</v>
      </c>
      <c r="BJ100" s="449">
        <v>0</v>
      </c>
      <c r="BK100" s="449">
        <v>0</v>
      </c>
      <c r="BL100" s="771">
        <v>0</v>
      </c>
      <c r="BM100" s="449">
        <v>0</v>
      </c>
      <c r="BN100" s="449">
        <v>0</v>
      </c>
      <c r="BO100" s="449">
        <v>0</v>
      </c>
      <c r="BP100" s="449">
        <v>0</v>
      </c>
      <c r="BQ100" s="449">
        <v>0</v>
      </c>
      <c r="BR100" s="449">
        <v>0</v>
      </c>
      <c r="BS100" s="449">
        <v>0</v>
      </c>
      <c r="BT100" s="449">
        <v>0</v>
      </c>
    </row>
    <row r="101" spans="1:72" x14ac:dyDescent="0.25">
      <c r="A101" s="502" t="s">
        <v>156</v>
      </c>
      <c r="B101" s="502" t="s">
        <v>157</v>
      </c>
      <c r="C101" s="541"/>
      <c r="D101" s="500">
        <v>65747</v>
      </c>
      <c r="E101" s="449">
        <v>57668</v>
      </c>
      <c r="F101" s="449">
        <v>8079</v>
      </c>
      <c r="G101" s="421">
        <v>0.14009502670458487</v>
      </c>
      <c r="H101" s="449">
        <v>65747</v>
      </c>
      <c r="I101" s="449">
        <v>0</v>
      </c>
      <c r="J101" s="426">
        <v>0</v>
      </c>
      <c r="K101" s="421"/>
      <c r="L101" s="449">
        <v>58.35</v>
      </c>
      <c r="M101" s="449">
        <v>9540.49</v>
      </c>
      <c r="N101" s="449">
        <v>6394.1399999999994</v>
      </c>
      <c r="O101" s="449">
        <v>9281.0499999999993</v>
      </c>
      <c r="P101" s="449">
        <v>5238.3000000000029</v>
      </c>
      <c r="Q101" s="449">
        <v>5441.2699999999968</v>
      </c>
      <c r="R101" s="449">
        <v>4965.5666666666666</v>
      </c>
      <c r="S101" s="449">
        <v>4965.5666666666675</v>
      </c>
      <c r="T101" s="449">
        <v>4965.5666666666675</v>
      </c>
      <c r="U101" s="449">
        <v>4965.5666666666684</v>
      </c>
      <c r="V101" s="449">
        <v>4965.5666666666693</v>
      </c>
      <c r="W101" s="449">
        <v>4965.5666666666657</v>
      </c>
      <c r="X101" s="449"/>
      <c r="Y101" s="449">
        <v>65747</v>
      </c>
      <c r="Z101" s="531"/>
      <c r="AA101" s="449">
        <v>5478.916666666667</v>
      </c>
      <c r="AB101" s="449">
        <v>5478.916666666667</v>
      </c>
      <c r="AC101" s="449">
        <v>5478.916666666667</v>
      </c>
      <c r="AD101" s="449">
        <v>5478.916666666667</v>
      </c>
      <c r="AE101" s="449">
        <v>5478.916666666667</v>
      </c>
      <c r="AF101" s="449">
        <v>5478.916666666667</v>
      </c>
      <c r="AG101" s="449">
        <v>5478.916666666667</v>
      </c>
      <c r="AH101" s="449">
        <v>5478.916666666667</v>
      </c>
      <c r="AI101" s="449">
        <v>5478.916666666667</v>
      </c>
      <c r="AJ101" s="449">
        <v>5478.916666666667</v>
      </c>
      <c r="AK101" s="449">
        <v>5478.916666666667</v>
      </c>
      <c r="AL101" s="449">
        <v>5478.916666666667</v>
      </c>
      <c r="AM101" s="400"/>
      <c r="AN101" s="500">
        <v>65747</v>
      </c>
      <c r="AO101" s="449">
        <v>56394.049999999996</v>
      </c>
      <c r="AP101" s="449">
        <v>-9352.9500000000044</v>
      </c>
      <c r="AQ101" s="453">
        <v>-0.14225668091319763</v>
      </c>
      <c r="AR101" s="449">
        <v>56394.049999999996</v>
      </c>
      <c r="AS101" s="449">
        <v>0</v>
      </c>
      <c r="AT101" s="426">
        <v>0</v>
      </c>
      <c r="AU101" s="421"/>
      <c r="AV101" s="449">
        <v>0</v>
      </c>
      <c r="AW101" s="449">
        <v>4699.5041666666666</v>
      </c>
      <c r="AX101" s="449">
        <v>4699.5041666666666</v>
      </c>
      <c r="AY101" s="449">
        <v>4699.5041666666666</v>
      </c>
      <c r="AZ101" s="449">
        <v>4699.5041666666666</v>
      </c>
      <c r="BA101" s="449">
        <v>4699.5041666666666</v>
      </c>
      <c r="BB101" s="449">
        <v>4699.5041666666666</v>
      </c>
      <c r="BC101" s="449">
        <v>4699.5041666666666</v>
      </c>
      <c r="BD101" s="449">
        <v>4699.5041666666666</v>
      </c>
      <c r="BE101" s="449">
        <v>4699.5041666666666</v>
      </c>
      <c r="BF101" s="449">
        <v>4699.5041666666666</v>
      </c>
      <c r="BG101" s="449">
        <v>9399.0083333333332</v>
      </c>
      <c r="BH101" s="400"/>
      <c r="BI101" s="449">
        <v>0</v>
      </c>
      <c r="BJ101" s="449">
        <v>4699.5041666666666</v>
      </c>
      <c r="BK101" s="449">
        <v>4699.5041666666666</v>
      </c>
      <c r="BL101" s="771">
        <v>4699.5041666666666</v>
      </c>
      <c r="BM101" s="449">
        <v>4699.5041666666666</v>
      </c>
      <c r="BN101" s="449">
        <v>4699.5041666666666</v>
      </c>
      <c r="BO101" s="449">
        <v>4699.5041666666666</v>
      </c>
      <c r="BP101" s="449">
        <v>4699.5041666666666</v>
      </c>
      <c r="BQ101" s="449">
        <v>4699.5041666666666</v>
      </c>
      <c r="BR101" s="449">
        <v>4699.5041666666666</v>
      </c>
      <c r="BS101" s="449">
        <v>4699.5041666666666</v>
      </c>
      <c r="BT101" s="449">
        <v>9399.0083333333332</v>
      </c>
    </row>
    <row r="102" spans="1:72" x14ac:dyDescent="0.25">
      <c r="A102" s="537" t="s">
        <v>158</v>
      </c>
      <c r="B102" s="537" t="s">
        <v>106</v>
      </c>
      <c r="C102" s="541"/>
      <c r="D102" s="500">
        <v>0</v>
      </c>
      <c r="E102" s="449">
        <v>0</v>
      </c>
      <c r="F102" s="449">
        <v>0</v>
      </c>
      <c r="G102" s="421">
        <v>0</v>
      </c>
      <c r="H102" s="449">
        <v>0</v>
      </c>
      <c r="I102" s="449">
        <v>0</v>
      </c>
      <c r="J102" s="426">
        <v>0</v>
      </c>
      <c r="K102" s="421"/>
      <c r="L102" s="449">
        <v>0</v>
      </c>
      <c r="M102" s="449">
        <v>0</v>
      </c>
      <c r="N102" s="449">
        <v>0</v>
      </c>
      <c r="O102" s="449">
        <v>0</v>
      </c>
      <c r="P102" s="449">
        <v>0</v>
      </c>
      <c r="Q102" s="449">
        <v>0</v>
      </c>
      <c r="R102" s="449">
        <v>0</v>
      </c>
      <c r="S102" s="449">
        <v>0</v>
      </c>
      <c r="T102" s="449">
        <v>0</v>
      </c>
      <c r="U102" s="449">
        <v>0</v>
      </c>
      <c r="V102" s="449">
        <v>0</v>
      </c>
      <c r="W102" s="449">
        <v>0</v>
      </c>
      <c r="X102" s="449"/>
      <c r="Y102" s="449">
        <v>0</v>
      </c>
      <c r="Z102" s="531"/>
      <c r="AA102" s="449">
        <v>0</v>
      </c>
      <c r="AB102" s="449">
        <v>0</v>
      </c>
      <c r="AC102" s="449">
        <v>0</v>
      </c>
      <c r="AD102" s="449">
        <v>0</v>
      </c>
      <c r="AE102" s="449">
        <v>0</v>
      </c>
      <c r="AF102" s="449">
        <v>0</v>
      </c>
      <c r="AG102" s="449">
        <v>0</v>
      </c>
      <c r="AH102" s="449">
        <v>0</v>
      </c>
      <c r="AI102" s="449">
        <v>0</v>
      </c>
      <c r="AJ102" s="449">
        <v>0</v>
      </c>
      <c r="AK102" s="449">
        <v>0</v>
      </c>
      <c r="AL102" s="449">
        <v>0</v>
      </c>
      <c r="AM102" s="400"/>
      <c r="AN102" s="500">
        <v>0</v>
      </c>
      <c r="AO102" s="449">
        <v>4085.0321707317075</v>
      </c>
      <c r="AP102" s="449">
        <v>4085.0321707317075</v>
      </c>
      <c r="AQ102" s="453" t="s">
        <v>1519</v>
      </c>
      <c r="AR102" s="449">
        <v>4085.0321707317075</v>
      </c>
      <c r="AS102" s="449">
        <v>0</v>
      </c>
      <c r="AT102" s="426">
        <v>0</v>
      </c>
      <c r="AU102" s="421"/>
      <c r="AV102" s="449">
        <v>0</v>
      </c>
      <c r="AW102" s="449">
        <v>0</v>
      </c>
      <c r="AX102" s="449">
        <v>371.36656097560973</v>
      </c>
      <c r="AY102" s="449">
        <v>371.36656097560973</v>
      </c>
      <c r="AZ102" s="449">
        <v>371.36656097560973</v>
      </c>
      <c r="BA102" s="449">
        <v>371.36656097560973</v>
      </c>
      <c r="BB102" s="449">
        <v>371.36656097560973</v>
      </c>
      <c r="BC102" s="449">
        <v>371.36656097560973</v>
      </c>
      <c r="BD102" s="449">
        <v>371.36656097560973</v>
      </c>
      <c r="BE102" s="449">
        <v>371.36656097560973</v>
      </c>
      <c r="BF102" s="449">
        <v>371.36656097560973</v>
      </c>
      <c r="BG102" s="449">
        <v>742.73312195121946</v>
      </c>
      <c r="BH102" s="400"/>
      <c r="BI102" s="449">
        <v>0</v>
      </c>
      <c r="BJ102" s="449">
        <v>0</v>
      </c>
      <c r="BK102" s="449">
        <v>371.36656097560973</v>
      </c>
      <c r="BL102" s="771">
        <v>371.36656097560973</v>
      </c>
      <c r="BM102" s="449">
        <v>371.36656097560973</v>
      </c>
      <c r="BN102" s="449">
        <v>371.36656097560973</v>
      </c>
      <c r="BO102" s="449">
        <v>371.36656097560973</v>
      </c>
      <c r="BP102" s="449">
        <v>371.36656097560973</v>
      </c>
      <c r="BQ102" s="449">
        <v>371.36656097560973</v>
      </c>
      <c r="BR102" s="449">
        <v>371.36656097560973</v>
      </c>
      <c r="BS102" s="449">
        <v>371.36656097560973</v>
      </c>
      <c r="BT102" s="449">
        <v>742.73312195121946</v>
      </c>
    </row>
    <row r="103" spans="1:72" x14ac:dyDescent="0.25">
      <c r="A103" s="502" t="s">
        <v>159</v>
      </c>
      <c r="B103" s="502" t="s">
        <v>160</v>
      </c>
      <c r="C103" s="541"/>
      <c r="D103" s="500">
        <v>1422</v>
      </c>
      <c r="E103" s="449">
        <v>0</v>
      </c>
      <c r="F103" s="449">
        <v>1422</v>
      </c>
      <c r="G103" s="421">
        <v>0</v>
      </c>
      <c r="H103" s="449">
        <v>1422</v>
      </c>
      <c r="I103" s="449">
        <v>0</v>
      </c>
      <c r="J103" s="426">
        <v>0</v>
      </c>
      <c r="K103" s="421"/>
      <c r="L103" s="449">
        <v>0</v>
      </c>
      <c r="M103" s="449">
        <v>0</v>
      </c>
      <c r="N103" s="449">
        <v>0</v>
      </c>
      <c r="O103" s="449">
        <v>0</v>
      </c>
      <c r="P103" s="449">
        <v>0</v>
      </c>
      <c r="Q103" s="449">
        <v>0</v>
      </c>
      <c r="R103" s="449">
        <v>237</v>
      </c>
      <c r="S103" s="449">
        <v>237</v>
      </c>
      <c r="T103" s="449">
        <v>237</v>
      </c>
      <c r="U103" s="449">
        <v>237</v>
      </c>
      <c r="V103" s="449">
        <v>237</v>
      </c>
      <c r="W103" s="449">
        <v>237</v>
      </c>
      <c r="X103" s="449"/>
      <c r="Y103" s="449">
        <v>1422</v>
      </c>
      <c r="Z103" s="531"/>
      <c r="AA103" s="449">
        <v>118.5</v>
      </c>
      <c r="AB103" s="449">
        <v>118.5</v>
      </c>
      <c r="AC103" s="449">
        <v>118.5</v>
      </c>
      <c r="AD103" s="449">
        <v>118.5</v>
      </c>
      <c r="AE103" s="449">
        <v>118.5</v>
      </c>
      <c r="AF103" s="449">
        <v>118.5</v>
      </c>
      <c r="AG103" s="449">
        <v>118.5</v>
      </c>
      <c r="AH103" s="449">
        <v>118.5</v>
      </c>
      <c r="AI103" s="449">
        <v>118.5</v>
      </c>
      <c r="AJ103" s="449">
        <v>118.5</v>
      </c>
      <c r="AK103" s="449">
        <v>118.5</v>
      </c>
      <c r="AL103" s="449">
        <v>118.5</v>
      </c>
      <c r="AM103" s="400"/>
      <c r="AN103" s="500">
        <v>1422</v>
      </c>
      <c r="AO103" s="449">
        <v>3280.1075199999996</v>
      </c>
      <c r="AP103" s="449">
        <v>1858.1075199999996</v>
      </c>
      <c r="AQ103" s="453">
        <v>1.3066860196905763</v>
      </c>
      <c r="AR103" s="449">
        <v>3280.1075199999996</v>
      </c>
      <c r="AS103" s="449">
        <v>0</v>
      </c>
      <c r="AT103" s="426">
        <v>0</v>
      </c>
      <c r="AU103" s="421"/>
      <c r="AV103" s="449">
        <v>0</v>
      </c>
      <c r="AW103" s="449">
        <v>273.34229333333332</v>
      </c>
      <c r="AX103" s="449">
        <v>273.34229333333332</v>
      </c>
      <c r="AY103" s="449">
        <v>273.34229333333332</v>
      </c>
      <c r="AZ103" s="449">
        <v>273.34229333333332</v>
      </c>
      <c r="BA103" s="449">
        <v>273.34229333333332</v>
      </c>
      <c r="BB103" s="449">
        <v>273.34229333333332</v>
      </c>
      <c r="BC103" s="449">
        <v>273.34229333333332</v>
      </c>
      <c r="BD103" s="449">
        <v>273.34229333333332</v>
      </c>
      <c r="BE103" s="449">
        <v>273.34229333333332</v>
      </c>
      <c r="BF103" s="449">
        <v>273.34229333333332</v>
      </c>
      <c r="BG103" s="449">
        <v>546.68458666666663</v>
      </c>
      <c r="BH103" s="400"/>
      <c r="BI103" s="449">
        <v>0</v>
      </c>
      <c r="BJ103" s="449">
        <v>273.34229333333332</v>
      </c>
      <c r="BK103" s="449">
        <v>273.34229333333332</v>
      </c>
      <c r="BL103" s="771">
        <v>273.34229333333332</v>
      </c>
      <c r="BM103" s="449">
        <v>273.34229333333332</v>
      </c>
      <c r="BN103" s="449">
        <v>273.34229333333332</v>
      </c>
      <c r="BO103" s="449">
        <v>273.34229333333332</v>
      </c>
      <c r="BP103" s="449">
        <v>273.34229333333332</v>
      </c>
      <c r="BQ103" s="449">
        <v>273.34229333333332</v>
      </c>
      <c r="BR103" s="449">
        <v>273.34229333333332</v>
      </c>
      <c r="BS103" s="449">
        <v>273.34229333333332</v>
      </c>
      <c r="BT103" s="449">
        <v>546.68458666666663</v>
      </c>
    </row>
    <row r="104" spans="1:72" x14ac:dyDescent="0.25">
      <c r="A104" s="502" t="s">
        <v>161</v>
      </c>
      <c r="B104" s="502" t="s">
        <v>162</v>
      </c>
      <c r="C104" s="541"/>
      <c r="D104" s="500">
        <v>55923</v>
      </c>
      <c r="E104" s="449">
        <v>61835</v>
      </c>
      <c r="F104" s="449">
        <v>-5912</v>
      </c>
      <c r="G104" s="421">
        <v>-9.5609282768658529E-2</v>
      </c>
      <c r="H104" s="449">
        <v>55923</v>
      </c>
      <c r="I104" s="449">
        <v>0</v>
      </c>
      <c r="J104" s="426">
        <v>0</v>
      </c>
      <c r="K104" s="421"/>
      <c r="L104" s="449">
        <v>255.74</v>
      </c>
      <c r="M104" s="449">
        <v>4886.29</v>
      </c>
      <c r="N104" s="449">
        <v>8000.6500000000005</v>
      </c>
      <c r="O104" s="449">
        <v>13542.14</v>
      </c>
      <c r="P104" s="449">
        <v>7103.5500000000029</v>
      </c>
      <c r="Q104" s="449">
        <v>6330.4099999999962</v>
      </c>
      <c r="R104" s="449">
        <v>2634.0366666666669</v>
      </c>
      <c r="S104" s="449">
        <v>2634.0366666666669</v>
      </c>
      <c r="T104" s="449">
        <v>2634.0366666666669</v>
      </c>
      <c r="U104" s="449">
        <v>2634.0366666666669</v>
      </c>
      <c r="V104" s="449">
        <v>2634.0366666666669</v>
      </c>
      <c r="W104" s="449">
        <v>2634.0366666666669</v>
      </c>
      <c r="X104" s="449"/>
      <c r="Y104" s="449">
        <v>55923</v>
      </c>
      <c r="Z104" s="531"/>
      <c r="AA104" s="449">
        <v>4660.25</v>
      </c>
      <c r="AB104" s="449">
        <v>4660.25</v>
      </c>
      <c r="AC104" s="449">
        <v>4660.25</v>
      </c>
      <c r="AD104" s="449">
        <v>4660.25</v>
      </c>
      <c r="AE104" s="449">
        <v>4660.25</v>
      </c>
      <c r="AF104" s="449">
        <v>4660.25</v>
      </c>
      <c r="AG104" s="449">
        <v>4660.25</v>
      </c>
      <c r="AH104" s="449">
        <v>4660.25</v>
      </c>
      <c r="AI104" s="449">
        <v>4660.25</v>
      </c>
      <c r="AJ104" s="449">
        <v>4660.25</v>
      </c>
      <c r="AK104" s="449">
        <v>4660.25</v>
      </c>
      <c r="AL104" s="449">
        <v>4660.25</v>
      </c>
      <c r="AM104" s="400"/>
      <c r="AN104" s="500">
        <v>55923</v>
      </c>
      <c r="AO104" s="449">
        <v>73690.965723480025</v>
      </c>
      <c r="AP104" s="449">
        <v>17767.965723480025</v>
      </c>
      <c r="AQ104" s="453">
        <v>0.31772196991363172</v>
      </c>
      <c r="AR104" s="449">
        <v>73690.965723480025</v>
      </c>
      <c r="AS104" s="449">
        <v>0</v>
      </c>
      <c r="AT104" s="426">
        <v>0</v>
      </c>
      <c r="AU104" s="421"/>
      <c r="AV104" s="449">
        <v>0</v>
      </c>
      <c r="AW104" s="449">
        <v>6140.9138102900006</v>
      </c>
      <c r="AX104" s="449">
        <v>6140.9138102900006</v>
      </c>
      <c r="AY104" s="449">
        <v>6140.9138102900006</v>
      </c>
      <c r="AZ104" s="449">
        <v>6140.9138102900006</v>
      </c>
      <c r="BA104" s="449">
        <v>6140.9138102900006</v>
      </c>
      <c r="BB104" s="449">
        <v>6140.9138102900006</v>
      </c>
      <c r="BC104" s="449">
        <v>6140.9138102900006</v>
      </c>
      <c r="BD104" s="449">
        <v>6140.9138102900006</v>
      </c>
      <c r="BE104" s="449">
        <v>6140.9138102900006</v>
      </c>
      <c r="BF104" s="449">
        <v>6140.9138102900006</v>
      </c>
      <c r="BG104" s="449">
        <v>12281.827620580001</v>
      </c>
      <c r="BH104" s="400"/>
      <c r="BI104" s="449">
        <v>0</v>
      </c>
      <c r="BJ104" s="449">
        <v>6140.9138102900006</v>
      </c>
      <c r="BK104" s="449">
        <v>6140.9138102900006</v>
      </c>
      <c r="BL104" s="771">
        <v>6140.9138102900006</v>
      </c>
      <c r="BM104" s="449">
        <v>6140.9138102900006</v>
      </c>
      <c r="BN104" s="449">
        <v>6140.9138102900006</v>
      </c>
      <c r="BO104" s="449">
        <v>6140.9138102900006</v>
      </c>
      <c r="BP104" s="449">
        <v>6140.9138102900006</v>
      </c>
      <c r="BQ104" s="449">
        <v>6140.9138102900006</v>
      </c>
      <c r="BR104" s="449">
        <v>6140.9138102900006</v>
      </c>
      <c r="BS104" s="449">
        <v>6140.9138102900006</v>
      </c>
      <c r="BT104" s="449">
        <v>12281.827620580001</v>
      </c>
    </row>
    <row r="105" spans="1:72" x14ac:dyDescent="0.25">
      <c r="A105" s="502" t="s">
        <v>163</v>
      </c>
      <c r="B105" s="502" t="s">
        <v>164</v>
      </c>
      <c r="C105" s="541"/>
      <c r="D105" s="500">
        <v>0</v>
      </c>
      <c r="E105" s="449">
        <v>0</v>
      </c>
      <c r="F105" s="449">
        <v>0</v>
      </c>
      <c r="G105" s="421">
        <v>0</v>
      </c>
      <c r="H105" s="449">
        <v>0</v>
      </c>
      <c r="I105" s="449">
        <v>0</v>
      </c>
      <c r="J105" s="426">
        <v>0</v>
      </c>
      <c r="K105" s="421"/>
      <c r="L105" s="449">
        <v>0</v>
      </c>
      <c r="M105" s="449">
        <v>0</v>
      </c>
      <c r="N105" s="449">
        <v>0</v>
      </c>
      <c r="O105" s="449">
        <v>0</v>
      </c>
      <c r="P105" s="449">
        <v>0</v>
      </c>
      <c r="Q105" s="449">
        <v>0</v>
      </c>
      <c r="R105" s="449">
        <v>0</v>
      </c>
      <c r="S105" s="449">
        <v>0</v>
      </c>
      <c r="T105" s="449">
        <v>0</v>
      </c>
      <c r="U105" s="449">
        <v>0</v>
      </c>
      <c r="V105" s="449">
        <v>0</v>
      </c>
      <c r="W105" s="449">
        <v>0</v>
      </c>
      <c r="X105" s="449"/>
      <c r="Y105" s="449">
        <v>0</v>
      </c>
      <c r="Z105" s="531"/>
      <c r="AA105" s="449">
        <v>0</v>
      </c>
      <c r="AB105" s="449">
        <v>0</v>
      </c>
      <c r="AC105" s="449">
        <v>0</v>
      </c>
      <c r="AD105" s="449">
        <v>0</v>
      </c>
      <c r="AE105" s="449">
        <v>0</v>
      </c>
      <c r="AF105" s="449">
        <v>0</v>
      </c>
      <c r="AG105" s="449">
        <v>0</v>
      </c>
      <c r="AH105" s="449">
        <v>0</v>
      </c>
      <c r="AI105" s="449">
        <v>0</v>
      </c>
      <c r="AJ105" s="449">
        <v>0</v>
      </c>
      <c r="AK105" s="449">
        <v>0</v>
      </c>
      <c r="AL105" s="449">
        <v>0</v>
      </c>
      <c r="AM105" s="400"/>
      <c r="AN105" s="500">
        <v>0</v>
      </c>
      <c r="AO105" s="449">
        <v>3309.5399680000005</v>
      </c>
      <c r="AP105" s="449">
        <v>3309.5399680000005</v>
      </c>
      <c r="AQ105" s="453" t="s">
        <v>1519</v>
      </c>
      <c r="AR105" s="449">
        <v>3309.5399680000005</v>
      </c>
      <c r="AS105" s="449">
        <v>0</v>
      </c>
      <c r="AT105" s="426">
        <v>0</v>
      </c>
      <c r="AU105" s="421"/>
      <c r="AV105" s="449">
        <v>0</v>
      </c>
      <c r="AW105" s="449">
        <v>275.79499733333336</v>
      </c>
      <c r="AX105" s="449">
        <v>275.79499733333336</v>
      </c>
      <c r="AY105" s="449">
        <v>275.79499733333336</v>
      </c>
      <c r="AZ105" s="449">
        <v>275.79499733333336</v>
      </c>
      <c r="BA105" s="449">
        <v>275.79499733333336</v>
      </c>
      <c r="BB105" s="449">
        <v>275.79499733333336</v>
      </c>
      <c r="BC105" s="449">
        <v>275.79499733333336</v>
      </c>
      <c r="BD105" s="449">
        <v>275.79499733333336</v>
      </c>
      <c r="BE105" s="449">
        <v>275.79499733333336</v>
      </c>
      <c r="BF105" s="449">
        <v>275.79499733333336</v>
      </c>
      <c r="BG105" s="449">
        <v>551.58999466666671</v>
      </c>
      <c r="BH105" s="400"/>
      <c r="BI105" s="449">
        <v>0</v>
      </c>
      <c r="BJ105" s="449">
        <v>275.79499733333336</v>
      </c>
      <c r="BK105" s="449">
        <v>275.79499733333336</v>
      </c>
      <c r="BL105" s="771">
        <v>275.79499733333336</v>
      </c>
      <c r="BM105" s="449">
        <v>275.79499733333336</v>
      </c>
      <c r="BN105" s="449">
        <v>275.79499733333336</v>
      </c>
      <c r="BO105" s="449">
        <v>275.79499733333336</v>
      </c>
      <c r="BP105" s="449">
        <v>275.79499733333336</v>
      </c>
      <c r="BQ105" s="449">
        <v>275.79499733333336</v>
      </c>
      <c r="BR105" s="449">
        <v>275.79499733333336</v>
      </c>
      <c r="BS105" s="449">
        <v>275.79499733333336</v>
      </c>
      <c r="BT105" s="449">
        <v>551.58999466666671</v>
      </c>
    </row>
    <row r="106" spans="1:72" hidden="1" x14ac:dyDescent="0.25">
      <c r="A106" s="502" t="s">
        <v>165</v>
      </c>
      <c r="B106" s="502" t="s">
        <v>166</v>
      </c>
      <c r="C106" s="541"/>
      <c r="D106" s="500">
        <v>0</v>
      </c>
      <c r="E106" s="449">
        <v>0</v>
      </c>
      <c r="F106" s="449">
        <v>0</v>
      </c>
      <c r="G106" s="421">
        <v>0</v>
      </c>
      <c r="H106" s="449">
        <v>0</v>
      </c>
      <c r="I106" s="449">
        <v>0</v>
      </c>
      <c r="J106" s="426">
        <v>0</v>
      </c>
      <c r="K106" s="421"/>
      <c r="L106" s="449">
        <v>0</v>
      </c>
      <c r="M106" s="449">
        <v>0</v>
      </c>
      <c r="N106" s="449">
        <v>0</v>
      </c>
      <c r="O106" s="449">
        <v>0</v>
      </c>
      <c r="P106" s="449">
        <v>0</v>
      </c>
      <c r="Q106" s="449">
        <v>0</v>
      </c>
      <c r="R106" s="449">
        <v>0</v>
      </c>
      <c r="S106" s="449">
        <v>0</v>
      </c>
      <c r="T106" s="449">
        <v>0</v>
      </c>
      <c r="U106" s="449">
        <v>0</v>
      </c>
      <c r="V106" s="449">
        <v>0</v>
      </c>
      <c r="W106" s="449">
        <v>0</v>
      </c>
      <c r="X106" s="449"/>
      <c r="Y106" s="449">
        <v>0</v>
      </c>
      <c r="Z106" s="531"/>
      <c r="AA106" s="449">
        <v>0</v>
      </c>
      <c r="AB106" s="449">
        <v>0</v>
      </c>
      <c r="AC106" s="449">
        <v>0</v>
      </c>
      <c r="AD106" s="449">
        <v>0</v>
      </c>
      <c r="AE106" s="449">
        <v>0</v>
      </c>
      <c r="AF106" s="449">
        <v>0</v>
      </c>
      <c r="AG106" s="449">
        <v>0</v>
      </c>
      <c r="AH106" s="449">
        <v>0</v>
      </c>
      <c r="AI106" s="449">
        <v>0</v>
      </c>
      <c r="AJ106" s="449">
        <v>0</v>
      </c>
      <c r="AK106" s="449">
        <v>0</v>
      </c>
      <c r="AL106" s="449">
        <v>0</v>
      </c>
      <c r="AM106" s="400"/>
      <c r="AN106" s="500">
        <v>0</v>
      </c>
      <c r="AO106" s="449">
        <v>0</v>
      </c>
      <c r="AP106" s="449">
        <v>0</v>
      </c>
      <c r="AQ106" s="453" t="s">
        <v>1519</v>
      </c>
      <c r="AR106" s="449">
        <v>0</v>
      </c>
      <c r="AS106" s="449">
        <v>0</v>
      </c>
      <c r="AT106" s="426">
        <v>0</v>
      </c>
      <c r="AU106" s="421"/>
      <c r="AV106" s="449">
        <v>0</v>
      </c>
      <c r="AW106" s="449">
        <v>0</v>
      </c>
      <c r="AX106" s="449">
        <v>0</v>
      </c>
      <c r="AY106" s="449">
        <v>0</v>
      </c>
      <c r="AZ106" s="449">
        <v>0</v>
      </c>
      <c r="BA106" s="449">
        <v>0</v>
      </c>
      <c r="BB106" s="449">
        <v>0</v>
      </c>
      <c r="BC106" s="449">
        <v>0</v>
      </c>
      <c r="BD106" s="449">
        <v>0</v>
      </c>
      <c r="BE106" s="449">
        <v>0</v>
      </c>
      <c r="BF106" s="449">
        <v>0</v>
      </c>
      <c r="BG106" s="449">
        <v>0</v>
      </c>
      <c r="BH106" s="400"/>
      <c r="BI106" s="449">
        <v>0</v>
      </c>
      <c r="BJ106" s="449">
        <v>0</v>
      </c>
      <c r="BK106" s="449">
        <v>0</v>
      </c>
      <c r="BL106" s="771">
        <v>0</v>
      </c>
      <c r="BM106" s="449">
        <v>0</v>
      </c>
      <c r="BN106" s="449">
        <v>0</v>
      </c>
      <c r="BO106" s="449">
        <v>0</v>
      </c>
      <c r="BP106" s="449">
        <v>0</v>
      </c>
      <c r="BQ106" s="449">
        <v>0</v>
      </c>
      <c r="BR106" s="449">
        <v>0</v>
      </c>
      <c r="BS106" s="449">
        <v>0</v>
      </c>
      <c r="BT106" s="449">
        <v>0</v>
      </c>
    </row>
    <row r="107" spans="1:72" hidden="1" x14ac:dyDescent="0.25">
      <c r="A107" s="502" t="s">
        <v>167</v>
      </c>
      <c r="B107" s="502" t="s">
        <v>168</v>
      </c>
      <c r="C107" s="541"/>
      <c r="D107" s="500">
        <v>0</v>
      </c>
      <c r="E107" s="449">
        <v>0</v>
      </c>
      <c r="F107" s="449">
        <v>0</v>
      </c>
      <c r="G107" s="421">
        <v>0</v>
      </c>
      <c r="H107" s="449">
        <v>0</v>
      </c>
      <c r="I107" s="449">
        <v>0</v>
      </c>
      <c r="J107" s="426">
        <v>0</v>
      </c>
      <c r="K107" s="421"/>
      <c r="L107" s="449">
        <v>0</v>
      </c>
      <c r="M107" s="449">
        <v>0</v>
      </c>
      <c r="N107" s="449">
        <v>0</v>
      </c>
      <c r="O107" s="449">
        <v>0</v>
      </c>
      <c r="P107" s="449">
        <v>0</v>
      </c>
      <c r="Q107" s="449">
        <v>0</v>
      </c>
      <c r="R107" s="449">
        <v>0</v>
      </c>
      <c r="S107" s="449">
        <v>0</v>
      </c>
      <c r="T107" s="449">
        <v>0</v>
      </c>
      <c r="U107" s="449">
        <v>0</v>
      </c>
      <c r="V107" s="449">
        <v>0</v>
      </c>
      <c r="W107" s="449">
        <v>0</v>
      </c>
      <c r="X107" s="449"/>
      <c r="Y107" s="449">
        <v>0</v>
      </c>
      <c r="Z107" s="531"/>
      <c r="AA107" s="449">
        <v>0</v>
      </c>
      <c r="AB107" s="449">
        <v>0</v>
      </c>
      <c r="AC107" s="449">
        <v>0</v>
      </c>
      <c r="AD107" s="449">
        <v>0</v>
      </c>
      <c r="AE107" s="449">
        <v>0</v>
      </c>
      <c r="AF107" s="449">
        <v>0</v>
      </c>
      <c r="AG107" s="449">
        <v>0</v>
      </c>
      <c r="AH107" s="449">
        <v>0</v>
      </c>
      <c r="AI107" s="449">
        <v>0</v>
      </c>
      <c r="AJ107" s="449">
        <v>0</v>
      </c>
      <c r="AK107" s="449">
        <v>0</v>
      </c>
      <c r="AL107" s="449">
        <v>0</v>
      </c>
      <c r="AM107" s="400"/>
      <c r="AN107" s="500">
        <v>0</v>
      </c>
      <c r="AO107" s="449">
        <v>0</v>
      </c>
      <c r="AP107" s="449">
        <v>0</v>
      </c>
      <c r="AQ107" s="453" t="s">
        <v>1519</v>
      </c>
      <c r="AR107" s="449">
        <v>0</v>
      </c>
      <c r="AS107" s="449">
        <v>0</v>
      </c>
      <c r="AT107" s="426">
        <v>0</v>
      </c>
      <c r="AU107" s="421"/>
      <c r="AV107" s="449">
        <v>0</v>
      </c>
      <c r="AW107" s="449">
        <v>0</v>
      </c>
      <c r="AX107" s="449">
        <v>0</v>
      </c>
      <c r="AY107" s="449">
        <v>0</v>
      </c>
      <c r="AZ107" s="449">
        <v>0</v>
      </c>
      <c r="BA107" s="449">
        <v>0</v>
      </c>
      <c r="BB107" s="449">
        <v>0</v>
      </c>
      <c r="BC107" s="449">
        <v>0</v>
      </c>
      <c r="BD107" s="449">
        <v>0</v>
      </c>
      <c r="BE107" s="449">
        <v>0</v>
      </c>
      <c r="BF107" s="449">
        <v>0</v>
      </c>
      <c r="BG107" s="449">
        <v>0</v>
      </c>
      <c r="BH107" s="400"/>
      <c r="BI107" s="449">
        <v>0</v>
      </c>
      <c r="BJ107" s="449">
        <v>0</v>
      </c>
      <c r="BK107" s="449">
        <v>0</v>
      </c>
      <c r="BL107" s="771">
        <v>0</v>
      </c>
      <c r="BM107" s="449">
        <v>0</v>
      </c>
      <c r="BN107" s="449">
        <v>0</v>
      </c>
      <c r="BO107" s="449">
        <v>0</v>
      </c>
      <c r="BP107" s="449">
        <v>0</v>
      </c>
      <c r="BQ107" s="449">
        <v>0</v>
      </c>
      <c r="BR107" s="449">
        <v>0</v>
      </c>
      <c r="BS107" s="449">
        <v>0</v>
      </c>
      <c r="BT107" s="449">
        <v>0</v>
      </c>
    </row>
    <row r="108" spans="1:72" hidden="1" x14ac:dyDescent="0.25">
      <c r="A108" s="502" t="s">
        <v>169</v>
      </c>
      <c r="B108" s="502" t="s">
        <v>170</v>
      </c>
      <c r="C108" s="541"/>
      <c r="D108" s="500">
        <v>0</v>
      </c>
      <c r="E108" s="449">
        <v>0</v>
      </c>
      <c r="F108" s="449">
        <v>0</v>
      </c>
      <c r="G108" s="421">
        <v>0</v>
      </c>
      <c r="H108" s="449">
        <v>0</v>
      </c>
      <c r="I108" s="449">
        <v>0</v>
      </c>
      <c r="J108" s="426">
        <v>0</v>
      </c>
      <c r="K108" s="421"/>
      <c r="L108" s="449">
        <v>0</v>
      </c>
      <c r="M108" s="449">
        <v>0</v>
      </c>
      <c r="N108" s="449">
        <v>0</v>
      </c>
      <c r="O108" s="449">
        <v>0</v>
      </c>
      <c r="P108" s="449">
        <v>0</v>
      </c>
      <c r="Q108" s="449">
        <v>0</v>
      </c>
      <c r="R108" s="449">
        <v>0</v>
      </c>
      <c r="S108" s="449">
        <v>0</v>
      </c>
      <c r="T108" s="449">
        <v>0</v>
      </c>
      <c r="U108" s="449">
        <v>0</v>
      </c>
      <c r="V108" s="449">
        <v>0</v>
      </c>
      <c r="W108" s="449">
        <v>0</v>
      </c>
      <c r="X108" s="449"/>
      <c r="Y108" s="449">
        <v>0</v>
      </c>
      <c r="Z108" s="531"/>
      <c r="AA108" s="449">
        <v>0</v>
      </c>
      <c r="AB108" s="449">
        <v>0</v>
      </c>
      <c r="AC108" s="449">
        <v>0</v>
      </c>
      <c r="AD108" s="449">
        <v>0</v>
      </c>
      <c r="AE108" s="449">
        <v>0</v>
      </c>
      <c r="AF108" s="449">
        <v>0</v>
      </c>
      <c r="AG108" s="449">
        <v>0</v>
      </c>
      <c r="AH108" s="449">
        <v>0</v>
      </c>
      <c r="AI108" s="449">
        <v>0</v>
      </c>
      <c r="AJ108" s="449">
        <v>0</v>
      </c>
      <c r="AK108" s="449">
        <v>0</v>
      </c>
      <c r="AL108" s="449">
        <v>0</v>
      </c>
      <c r="AM108" s="400"/>
      <c r="AN108" s="500">
        <v>0</v>
      </c>
      <c r="AO108" s="449">
        <v>0</v>
      </c>
      <c r="AP108" s="449">
        <v>0</v>
      </c>
      <c r="AQ108" s="453" t="s">
        <v>1519</v>
      </c>
      <c r="AR108" s="449">
        <v>0</v>
      </c>
      <c r="AS108" s="449">
        <v>0</v>
      </c>
      <c r="AT108" s="426">
        <v>0</v>
      </c>
      <c r="AU108" s="421"/>
      <c r="AV108" s="449">
        <v>0</v>
      </c>
      <c r="AW108" s="449">
        <v>0</v>
      </c>
      <c r="AX108" s="449">
        <v>0</v>
      </c>
      <c r="AY108" s="449">
        <v>0</v>
      </c>
      <c r="AZ108" s="449">
        <v>0</v>
      </c>
      <c r="BA108" s="449">
        <v>0</v>
      </c>
      <c r="BB108" s="449">
        <v>0</v>
      </c>
      <c r="BC108" s="449">
        <v>0</v>
      </c>
      <c r="BD108" s="449">
        <v>0</v>
      </c>
      <c r="BE108" s="449">
        <v>0</v>
      </c>
      <c r="BF108" s="449">
        <v>0</v>
      </c>
      <c r="BG108" s="449">
        <v>0</v>
      </c>
      <c r="BH108" s="400"/>
      <c r="BI108" s="449">
        <v>0</v>
      </c>
      <c r="BJ108" s="449">
        <v>0</v>
      </c>
      <c r="BK108" s="449">
        <v>0</v>
      </c>
      <c r="BL108" s="771">
        <v>0</v>
      </c>
      <c r="BM108" s="449">
        <v>0</v>
      </c>
      <c r="BN108" s="449">
        <v>0</v>
      </c>
      <c r="BO108" s="449">
        <v>0</v>
      </c>
      <c r="BP108" s="449">
        <v>0</v>
      </c>
      <c r="BQ108" s="449">
        <v>0</v>
      </c>
      <c r="BR108" s="449">
        <v>0</v>
      </c>
      <c r="BS108" s="449">
        <v>0</v>
      </c>
      <c r="BT108" s="449">
        <v>0</v>
      </c>
    </row>
    <row r="109" spans="1:72" hidden="1" x14ac:dyDescent="0.25">
      <c r="A109" s="502" t="s">
        <v>171</v>
      </c>
      <c r="B109" s="502" t="s">
        <v>172</v>
      </c>
      <c r="C109" s="541"/>
      <c r="D109" s="500">
        <v>0</v>
      </c>
      <c r="E109" s="449">
        <v>0</v>
      </c>
      <c r="F109" s="449">
        <v>0</v>
      </c>
      <c r="G109" s="421">
        <v>0</v>
      </c>
      <c r="H109" s="449">
        <v>0</v>
      </c>
      <c r="I109" s="449">
        <v>0</v>
      </c>
      <c r="J109" s="426">
        <v>0</v>
      </c>
      <c r="K109" s="421"/>
      <c r="L109" s="449">
        <v>0</v>
      </c>
      <c r="M109" s="449">
        <v>0</v>
      </c>
      <c r="N109" s="449">
        <v>0</v>
      </c>
      <c r="O109" s="449">
        <v>0</v>
      </c>
      <c r="P109" s="449">
        <v>0</v>
      </c>
      <c r="Q109" s="449">
        <v>0</v>
      </c>
      <c r="R109" s="449">
        <v>0</v>
      </c>
      <c r="S109" s="449">
        <v>0</v>
      </c>
      <c r="T109" s="449">
        <v>0</v>
      </c>
      <c r="U109" s="449">
        <v>0</v>
      </c>
      <c r="V109" s="449">
        <v>0</v>
      </c>
      <c r="W109" s="449">
        <v>0</v>
      </c>
      <c r="X109" s="449"/>
      <c r="Y109" s="449">
        <v>0</v>
      </c>
      <c r="Z109" s="531"/>
      <c r="AA109" s="449">
        <v>0</v>
      </c>
      <c r="AB109" s="449">
        <v>0</v>
      </c>
      <c r="AC109" s="449">
        <v>0</v>
      </c>
      <c r="AD109" s="449">
        <v>0</v>
      </c>
      <c r="AE109" s="449">
        <v>0</v>
      </c>
      <c r="AF109" s="449">
        <v>0</v>
      </c>
      <c r="AG109" s="449">
        <v>0</v>
      </c>
      <c r="AH109" s="449">
        <v>0</v>
      </c>
      <c r="AI109" s="449">
        <v>0</v>
      </c>
      <c r="AJ109" s="449">
        <v>0</v>
      </c>
      <c r="AK109" s="449">
        <v>0</v>
      </c>
      <c r="AL109" s="449">
        <v>0</v>
      </c>
      <c r="AM109" s="400"/>
      <c r="AN109" s="500">
        <v>0</v>
      </c>
      <c r="AO109" s="449">
        <v>0</v>
      </c>
      <c r="AP109" s="449">
        <v>0</v>
      </c>
      <c r="AQ109" s="453" t="s">
        <v>1519</v>
      </c>
      <c r="AR109" s="449">
        <v>0</v>
      </c>
      <c r="AS109" s="449">
        <v>0</v>
      </c>
      <c r="AT109" s="426">
        <v>0</v>
      </c>
      <c r="AU109" s="421"/>
      <c r="AV109" s="449">
        <v>0</v>
      </c>
      <c r="AW109" s="449">
        <v>0</v>
      </c>
      <c r="AX109" s="449">
        <v>0</v>
      </c>
      <c r="AY109" s="449">
        <v>0</v>
      </c>
      <c r="AZ109" s="449">
        <v>0</v>
      </c>
      <c r="BA109" s="449">
        <v>0</v>
      </c>
      <c r="BB109" s="449">
        <v>0</v>
      </c>
      <c r="BC109" s="449">
        <v>0</v>
      </c>
      <c r="BD109" s="449">
        <v>0</v>
      </c>
      <c r="BE109" s="449">
        <v>0</v>
      </c>
      <c r="BF109" s="449">
        <v>0</v>
      </c>
      <c r="BG109" s="449">
        <v>0</v>
      </c>
      <c r="BH109" s="400"/>
      <c r="BI109" s="449">
        <v>0</v>
      </c>
      <c r="BJ109" s="449">
        <v>0</v>
      </c>
      <c r="BK109" s="449">
        <v>0</v>
      </c>
      <c r="BL109" s="771">
        <v>0</v>
      </c>
      <c r="BM109" s="449">
        <v>0</v>
      </c>
      <c r="BN109" s="449">
        <v>0</v>
      </c>
      <c r="BO109" s="449">
        <v>0</v>
      </c>
      <c r="BP109" s="449">
        <v>0</v>
      </c>
      <c r="BQ109" s="449">
        <v>0</v>
      </c>
      <c r="BR109" s="449">
        <v>0</v>
      </c>
      <c r="BS109" s="449">
        <v>0</v>
      </c>
      <c r="BT109" s="449">
        <v>0</v>
      </c>
    </row>
    <row r="110" spans="1:72" x14ac:dyDescent="0.25">
      <c r="A110" s="502" t="s">
        <v>173</v>
      </c>
      <c r="B110" s="502" t="s">
        <v>174</v>
      </c>
      <c r="C110" s="541"/>
      <c r="D110" s="500">
        <v>20874</v>
      </c>
      <c r="E110" s="449">
        <v>19934</v>
      </c>
      <c r="F110" s="449">
        <v>940</v>
      </c>
      <c r="G110" s="421">
        <v>4.7155613524631282E-2</v>
      </c>
      <c r="H110" s="449">
        <v>20874</v>
      </c>
      <c r="I110" s="449">
        <v>0</v>
      </c>
      <c r="J110" s="426">
        <v>0</v>
      </c>
      <c r="K110" s="421"/>
      <c r="L110" s="449">
        <v>-0.01</v>
      </c>
      <c r="M110" s="449">
        <v>621.39</v>
      </c>
      <c r="N110" s="449">
        <v>776.68999999999994</v>
      </c>
      <c r="O110" s="449">
        <v>1185.5600000000002</v>
      </c>
      <c r="P110" s="449">
        <v>705.56</v>
      </c>
      <c r="Q110" s="449">
        <v>881.95000000000027</v>
      </c>
      <c r="R110" s="449">
        <v>2783.81</v>
      </c>
      <c r="S110" s="449">
        <v>2783.81</v>
      </c>
      <c r="T110" s="449">
        <v>2783.81</v>
      </c>
      <c r="U110" s="449">
        <v>2783.81</v>
      </c>
      <c r="V110" s="449">
        <v>2783.8100000000004</v>
      </c>
      <c r="W110" s="449">
        <v>2783.8100000000013</v>
      </c>
      <c r="X110" s="449"/>
      <c r="Y110" s="449">
        <v>20874</v>
      </c>
      <c r="Z110" s="531"/>
      <c r="AA110" s="449">
        <v>1739.5</v>
      </c>
      <c r="AB110" s="449">
        <v>1739.5</v>
      </c>
      <c r="AC110" s="449">
        <v>1739.5</v>
      </c>
      <c r="AD110" s="449">
        <v>1739.5</v>
      </c>
      <c r="AE110" s="449">
        <v>1739.5</v>
      </c>
      <c r="AF110" s="449">
        <v>1739.5</v>
      </c>
      <c r="AG110" s="449">
        <v>1739.5</v>
      </c>
      <c r="AH110" s="449">
        <v>1739.5</v>
      </c>
      <c r="AI110" s="449">
        <v>1739.5</v>
      </c>
      <c r="AJ110" s="449">
        <v>1739.5</v>
      </c>
      <c r="AK110" s="449">
        <v>1739.5</v>
      </c>
      <c r="AL110" s="449">
        <v>1739.5</v>
      </c>
      <c r="AM110" s="400"/>
      <c r="AN110" s="500">
        <v>20874</v>
      </c>
      <c r="AO110" s="449">
        <v>19316.12</v>
      </c>
      <c r="AP110" s="449">
        <v>-1557.880000000001</v>
      </c>
      <c r="AQ110" s="453">
        <v>-7.4632557248251463E-2</v>
      </c>
      <c r="AR110" s="449">
        <v>19316.12</v>
      </c>
      <c r="AS110" s="449">
        <v>0</v>
      </c>
      <c r="AT110" s="426">
        <v>0</v>
      </c>
      <c r="AU110" s="421"/>
      <c r="AV110" s="449">
        <v>0</v>
      </c>
      <c r="AW110" s="449">
        <v>1609.6766666666665</v>
      </c>
      <c r="AX110" s="449">
        <v>1609.6766666666665</v>
      </c>
      <c r="AY110" s="449">
        <v>1609.6766666666665</v>
      </c>
      <c r="AZ110" s="449">
        <v>1609.6766666666665</v>
      </c>
      <c r="BA110" s="449">
        <v>1609.6766666666665</v>
      </c>
      <c r="BB110" s="449">
        <v>1609.6766666666665</v>
      </c>
      <c r="BC110" s="449">
        <v>1609.6766666666665</v>
      </c>
      <c r="BD110" s="449">
        <v>1609.6766666666665</v>
      </c>
      <c r="BE110" s="449">
        <v>1609.6766666666665</v>
      </c>
      <c r="BF110" s="449">
        <v>1609.6766666666665</v>
      </c>
      <c r="BG110" s="449">
        <v>3219.353333333333</v>
      </c>
      <c r="BH110" s="400"/>
      <c r="BI110" s="449">
        <v>0</v>
      </c>
      <c r="BJ110" s="449">
        <v>1609.6766666666665</v>
      </c>
      <c r="BK110" s="449">
        <v>1609.6766666666665</v>
      </c>
      <c r="BL110" s="771">
        <v>1609.6766666666665</v>
      </c>
      <c r="BM110" s="449">
        <v>1609.6766666666665</v>
      </c>
      <c r="BN110" s="449">
        <v>1609.6766666666665</v>
      </c>
      <c r="BO110" s="449">
        <v>1609.6766666666665</v>
      </c>
      <c r="BP110" s="449">
        <v>1609.6766666666665</v>
      </c>
      <c r="BQ110" s="449">
        <v>1609.6766666666665</v>
      </c>
      <c r="BR110" s="449">
        <v>1609.6766666666665</v>
      </c>
      <c r="BS110" s="449">
        <v>1609.6766666666665</v>
      </c>
      <c r="BT110" s="449">
        <v>3219.353333333333</v>
      </c>
    </row>
    <row r="111" spans="1:72" x14ac:dyDescent="0.25">
      <c r="A111" s="502" t="s">
        <v>175</v>
      </c>
      <c r="B111" s="502" t="s">
        <v>176</v>
      </c>
      <c r="C111" s="541"/>
      <c r="D111" s="500">
        <v>743</v>
      </c>
      <c r="E111" s="449">
        <v>0</v>
      </c>
      <c r="F111" s="449">
        <v>743</v>
      </c>
      <c r="G111" s="421">
        <v>0</v>
      </c>
      <c r="H111" s="449">
        <v>743</v>
      </c>
      <c r="I111" s="449">
        <v>0</v>
      </c>
      <c r="J111" s="426">
        <v>0</v>
      </c>
      <c r="K111" s="421"/>
      <c r="L111" s="449">
        <v>0</v>
      </c>
      <c r="M111" s="449">
        <v>0</v>
      </c>
      <c r="N111" s="449">
        <v>0</v>
      </c>
      <c r="O111" s="449">
        <v>0</v>
      </c>
      <c r="P111" s="449">
        <v>0</v>
      </c>
      <c r="Q111" s="449">
        <v>0</v>
      </c>
      <c r="R111" s="449">
        <v>123.83333333333333</v>
      </c>
      <c r="S111" s="449">
        <v>123.83333333333333</v>
      </c>
      <c r="T111" s="449">
        <v>123.83333333333334</v>
      </c>
      <c r="U111" s="449">
        <v>123.83333333333333</v>
      </c>
      <c r="V111" s="449">
        <v>123.83333333333334</v>
      </c>
      <c r="W111" s="449">
        <v>123.83333333333337</v>
      </c>
      <c r="X111" s="449"/>
      <c r="Y111" s="449">
        <v>743</v>
      </c>
      <c r="Z111" s="531"/>
      <c r="AA111" s="449">
        <v>61.916666666666664</v>
      </c>
      <c r="AB111" s="449">
        <v>61.916666666666664</v>
      </c>
      <c r="AC111" s="449">
        <v>61.916666666666664</v>
      </c>
      <c r="AD111" s="449">
        <v>61.916666666666664</v>
      </c>
      <c r="AE111" s="449">
        <v>61.916666666666664</v>
      </c>
      <c r="AF111" s="449">
        <v>61.916666666666664</v>
      </c>
      <c r="AG111" s="449">
        <v>61.916666666666664</v>
      </c>
      <c r="AH111" s="449">
        <v>61.916666666666664</v>
      </c>
      <c r="AI111" s="449">
        <v>61.916666666666664</v>
      </c>
      <c r="AJ111" s="449">
        <v>61.916666666666664</v>
      </c>
      <c r="AK111" s="449">
        <v>61.916666666666664</v>
      </c>
      <c r="AL111" s="449">
        <v>61.916666666666664</v>
      </c>
      <c r="AM111" s="400"/>
      <c r="AN111" s="500">
        <v>743</v>
      </c>
      <c r="AO111" s="449">
        <v>867.5100000000001</v>
      </c>
      <c r="AP111" s="449">
        <v>124.5100000000001</v>
      </c>
      <c r="AQ111" s="453">
        <v>0.16757738896366098</v>
      </c>
      <c r="AR111" s="449">
        <v>867.5100000000001</v>
      </c>
      <c r="AS111" s="449">
        <v>0</v>
      </c>
      <c r="AT111" s="426">
        <v>0</v>
      </c>
      <c r="AU111" s="421"/>
      <c r="AV111" s="449">
        <v>0</v>
      </c>
      <c r="AW111" s="449">
        <v>72.292500000000004</v>
      </c>
      <c r="AX111" s="449">
        <v>72.292500000000004</v>
      </c>
      <c r="AY111" s="449">
        <v>72.292500000000004</v>
      </c>
      <c r="AZ111" s="449">
        <v>72.292500000000004</v>
      </c>
      <c r="BA111" s="449">
        <v>72.292500000000004</v>
      </c>
      <c r="BB111" s="449">
        <v>72.292500000000004</v>
      </c>
      <c r="BC111" s="449">
        <v>72.292500000000004</v>
      </c>
      <c r="BD111" s="449">
        <v>72.292500000000004</v>
      </c>
      <c r="BE111" s="449">
        <v>72.292500000000004</v>
      </c>
      <c r="BF111" s="449">
        <v>72.292500000000004</v>
      </c>
      <c r="BG111" s="449">
        <v>144.58500000000001</v>
      </c>
      <c r="BH111" s="400"/>
      <c r="BI111" s="449">
        <v>0</v>
      </c>
      <c r="BJ111" s="449">
        <v>72.292500000000004</v>
      </c>
      <c r="BK111" s="449">
        <v>72.292500000000004</v>
      </c>
      <c r="BL111" s="771">
        <v>72.292500000000004</v>
      </c>
      <c r="BM111" s="449">
        <v>72.292500000000004</v>
      </c>
      <c r="BN111" s="449">
        <v>72.292500000000004</v>
      </c>
      <c r="BO111" s="449">
        <v>72.292500000000004</v>
      </c>
      <c r="BP111" s="449">
        <v>72.292500000000004</v>
      </c>
      <c r="BQ111" s="449">
        <v>72.292500000000004</v>
      </c>
      <c r="BR111" s="449">
        <v>72.292500000000004</v>
      </c>
      <c r="BS111" s="449">
        <v>72.292500000000004</v>
      </c>
      <c r="BT111" s="449">
        <v>144.58500000000001</v>
      </c>
    </row>
    <row r="112" spans="1:72" x14ac:dyDescent="0.25">
      <c r="A112" s="502" t="s">
        <v>177</v>
      </c>
      <c r="B112" s="502" t="s">
        <v>178</v>
      </c>
      <c r="C112" s="596"/>
      <c r="D112" s="500">
        <v>55285.68</v>
      </c>
      <c r="E112" s="449">
        <v>32150</v>
      </c>
      <c r="F112" s="449">
        <v>23135.68</v>
      </c>
      <c r="G112" s="421">
        <v>0.71961679626749608</v>
      </c>
      <c r="H112" s="449">
        <v>52000</v>
      </c>
      <c r="I112" s="449">
        <v>3285.6800000000003</v>
      </c>
      <c r="J112" s="426">
        <v>6.318615384615385E-2</v>
      </c>
      <c r="K112" s="421"/>
      <c r="L112" s="449">
        <v>50133.1</v>
      </c>
      <c r="M112" s="449">
        <v>1215.989999999998</v>
      </c>
      <c r="N112" s="449">
        <v>689.01000000000204</v>
      </c>
      <c r="O112" s="449">
        <v>2355.4800000000032</v>
      </c>
      <c r="P112" s="449">
        <v>892.09999999999854</v>
      </c>
      <c r="Q112" s="449">
        <v>0</v>
      </c>
      <c r="R112" s="449">
        <v>0</v>
      </c>
      <c r="S112" s="449">
        <v>0</v>
      </c>
      <c r="T112" s="449">
        <v>0</v>
      </c>
      <c r="U112" s="449">
        <v>0</v>
      </c>
      <c r="V112" s="449">
        <v>0</v>
      </c>
      <c r="W112" s="449">
        <v>0</v>
      </c>
      <c r="X112" s="449"/>
      <c r="Y112" s="449">
        <v>55285.68</v>
      </c>
      <c r="Z112" s="531"/>
      <c r="AA112" s="449">
        <v>4333.333333333333</v>
      </c>
      <c r="AB112" s="449">
        <v>4333.333333333333</v>
      </c>
      <c r="AC112" s="449">
        <v>4333.333333333333</v>
      </c>
      <c r="AD112" s="449">
        <v>4333.333333333333</v>
      </c>
      <c r="AE112" s="449">
        <v>4333.333333333333</v>
      </c>
      <c r="AF112" s="449">
        <v>4333.333333333333</v>
      </c>
      <c r="AG112" s="449">
        <v>4333.333333333333</v>
      </c>
      <c r="AH112" s="449">
        <v>4333.333333333333</v>
      </c>
      <c r="AI112" s="449">
        <v>4333.333333333333</v>
      </c>
      <c r="AJ112" s="449">
        <v>4333.333333333333</v>
      </c>
      <c r="AK112" s="449">
        <v>4333.333333333333</v>
      </c>
      <c r="AL112" s="449">
        <v>4333.333333333333</v>
      </c>
      <c r="AM112" s="400"/>
      <c r="AN112" s="500">
        <v>55285.68</v>
      </c>
      <c r="AO112" s="449">
        <v>44228.544000000002</v>
      </c>
      <c r="AP112" s="449">
        <v>-11057.135999999999</v>
      </c>
      <c r="AQ112" s="453">
        <v>-0.19999999999999998</v>
      </c>
      <c r="AR112" s="449">
        <v>44228.544000000002</v>
      </c>
      <c r="AS112" s="449">
        <v>0</v>
      </c>
      <c r="AT112" s="426">
        <v>0</v>
      </c>
      <c r="AU112" s="421"/>
      <c r="AV112" s="449">
        <v>8845.7088000000003</v>
      </c>
      <c r="AW112" s="449">
        <v>8845.7088000000003</v>
      </c>
      <c r="AX112" s="449">
        <v>5897.1392000000005</v>
      </c>
      <c r="AY112" s="449">
        <v>5897.1392000000005</v>
      </c>
      <c r="AZ112" s="449">
        <v>5897.1392000000005</v>
      </c>
      <c r="BA112" s="449">
        <v>1263.6726857142858</v>
      </c>
      <c r="BB112" s="449">
        <v>1263.6726857142858</v>
      </c>
      <c r="BC112" s="449">
        <v>1263.6726857142858</v>
      </c>
      <c r="BD112" s="449">
        <v>1263.6726857142858</v>
      </c>
      <c r="BE112" s="449">
        <v>1263.6726857142858</v>
      </c>
      <c r="BF112" s="449">
        <v>1263.6726857142858</v>
      </c>
      <c r="BG112" s="449">
        <v>1263.6726857142858</v>
      </c>
      <c r="BH112" s="400"/>
      <c r="BI112" s="449">
        <v>8845.7088000000003</v>
      </c>
      <c r="BJ112" s="449">
        <v>8845.7088000000003</v>
      </c>
      <c r="BK112" s="449">
        <v>5897.1392000000005</v>
      </c>
      <c r="BL112" s="771">
        <v>5897.1392000000005</v>
      </c>
      <c r="BM112" s="449">
        <v>5897.1392000000005</v>
      </c>
      <c r="BN112" s="449">
        <v>1263.6726857142858</v>
      </c>
      <c r="BO112" s="449">
        <v>1263.6726857142858</v>
      </c>
      <c r="BP112" s="449">
        <v>1263.6726857142858</v>
      </c>
      <c r="BQ112" s="449">
        <v>1263.6726857142858</v>
      </c>
      <c r="BR112" s="449">
        <v>1263.6726857142858</v>
      </c>
      <c r="BS112" s="449">
        <v>1263.6726857142858</v>
      </c>
      <c r="BT112" s="449">
        <v>1263.6726857142858</v>
      </c>
    </row>
    <row r="113" spans="1:74" x14ac:dyDescent="0.25">
      <c r="A113" s="502" t="s">
        <v>179</v>
      </c>
      <c r="B113" s="502" t="s">
        <v>180</v>
      </c>
      <c r="C113" s="596"/>
      <c r="D113" s="500">
        <v>0</v>
      </c>
      <c r="E113" s="449">
        <v>0</v>
      </c>
      <c r="F113" s="449">
        <v>0</v>
      </c>
      <c r="G113" s="421">
        <v>0</v>
      </c>
      <c r="H113" s="449">
        <v>0</v>
      </c>
      <c r="I113" s="449">
        <v>0</v>
      </c>
      <c r="J113" s="426">
        <v>0</v>
      </c>
      <c r="K113" s="421"/>
      <c r="L113" s="449">
        <v>1183.2</v>
      </c>
      <c r="M113" s="449">
        <v>-1183.2</v>
      </c>
      <c r="N113" s="449">
        <v>0</v>
      </c>
      <c r="O113" s="449">
        <v>0</v>
      </c>
      <c r="P113" s="449">
        <v>0</v>
      </c>
      <c r="Q113" s="449">
        <v>0</v>
      </c>
      <c r="R113" s="449">
        <v>0</v>
      </c>
      <c r="S113" s="449">
        <v>0</v>
      </c>
      <c r="T113" s="449">
        <v>0</v>
      </c>
      <c r="U113" s="449">
        <v>0</v>
      </c>
      <c r="V113" s="449">
        <v>0</v>
      </c>
      <c r="W113" s="449">
        <v>0</v>
      </c>
      <c r="X113" s="449"/>
      <c r="Y113" s="449">
        <v>0</v>
      </c>
      <c r="Z113" s="531"/>
      <c r="AA113" s="449">
        <v>0</v>
      </c>
      <c r="AB113" s="449">
        <v>0</v>
      </c>
      <c r="AC113" s="449">
        <v>0</v>
      </c>
      <c r="AD113" s="449">
        <v>0</v>
      </c>
      <c r="AE113" s="449">
        <v>0</v>
      </c>
      <c r="AF113" s="449">
        <v>0</v>
      </c>
      <c r="AG113" s="449">
        <v>0</v>
      </c>
      <c r="AH113" s="449">
        <v>0</v>
      </c>
      <c r="AI113" s="449">
        <v>0</v>
      </c>
      <c r="AJ113" s="449">
        <v>0</v>
      </c>
      <c r="AK113" s="449">
        <v>0</v>
      </c>
      <c r="AL113" s="449">
        <v>0</v>
      </c>
      <c r="AM113" s="400"/>
      <c r="AN113" s="500">
        <v>0</v>
      </c>
      <c r="AO113" s="449">
        <v>0</v>
      </c>
      <c r="AP113" s="449">
        <v>0</v>
      </c>
      <c r="AQ113" s="453" t="s">
        <v>1519</v>
      </c>
      <c r="AR113" s="449">
        <v>0</v>
      </c>
      <c r="AS113" s="449">
        <v>0</v>
      </c>
      <c r="AT113" s="426">
        <v>0</v>
      </c>
      <c r="AU113" s="421"/>
      <c r="AV113" s="449">
        <v>0</v>
      </c>
      <c r="AW113" s="449">
        <v>0</v>
      </c>
      <c r="AX113" s="449">
        <v>0</v>
      </c>
      <c r="AY113" s="449">
        <v>0</v>
      </c>
      <c r="AZ113" s="449">
        <v>0</v>
      </c>
      <c r="BA113" s="449">
        <v>0</v>
      </c>
      <c r="BB113" s="449">
        <v>0</v>
      </c>
      <c r="BC113" s="449">
        <v>0</v>
      </c>
      <c r="BD113" s="449">
        <v>0</v>
      </c>
      <c r="BE113" s="449">
        <v>0</v>
      </c>
      <c r="BF113" s="449">
        <v>0</v>
      </c>
      <c r="BG113" s="449">
        <v>0</v>
      </c>
      <c r="BH113" s="400"/>
      <c r="BI113" s="449">
        <v>0</v>
      </c>
      <c r="BJ113" s="449">
        <v>0</v>
      </c>
      <c r="BK113" s="449">
        <v>0</v>
      </c>
      <c r="BL113" s="771">
        <v>0</v>
      </c>
      <c r="BM113" s="449">
        <v>0</v>
      </c>
      <c r="BN113" s="449">
        <v>0</v>
      </c>
      <c r="BO113" s="449">
        <v>0</v>
      </c>
      <c r="BP113" s="449">
        <v>0</v>
      </c>
      <c r="BQ113" s="449">
        <v>0</v>
      </c>
      <c r="BR113" s="449">
        <v>0</v>
      </c>
      <c r="BS113" s="449">
        <v>0</v>
      </c>
      <c r="BT113" s="449">
        <v>0</v>
      </c>
      <c r="BU113" s="400"/>
      <c r="BV113" s="400"/>
    </row>
    <row r="114" spans="1:74" x14ac:dyDescent="0.25">
      <c r="A114" s="502" t="s">
        <v>181</v>
      </c>
      <c r="B114" s="502" t="s">
        <v>182</v>
      </c>
      <c r="C114" s="596"/>
      <c r="D114" s="500">
        <v>24000</v>
      </c>
      <c r="E114" s="449">
        <v>54000</v>
      </c>
      <c r="F114" s="449">
        <v>-30000</v>
      </c>
      <c r="G114" s="421">
        <v>-0.55555555555555558</v>
      </c>
      <c r="H114" s="449">
        <v>24000</v>
      </c>
      <c r="I114" s="449">
        <v>0</v>
      </c>
      <c r="J114" s="426">
        <v>0</v>
      </c>
      <c r="K114" s="421"/>
      <c r="L114" s="449">
        <v>0</v>
      </c>
      <c r="M114" s="449">
        <v>0</v>
      </c>
      <c r="N114" s="449">
        <v>0</v>
      </c>
      <c r="O114" s="449">
        <v>0</v>
      </c>
      <c r="P114" s="449">
        <v>0</v>
      </c>
      <c r="Q114" s="449">
        <v>0</v>
      </c>
      <c r="R114" s="449">
        <v>4000</v>
      </c>
      <c r="S114" s="449">
        <v>4000</v>
      </c>
      <c r="T114" s="449">
        <v>4000</v>
      </c>
      <c r="U114" s="449">
        <v>4000</v>
      </c>
      <c r="V114" s="449">
        <v>4000</v>
      </c>
      <c r="W114" s="449">
        <v>4000</v>
      </c>
      <c r="X114" s="449"/>
      <c r="Y114" s="449">
        <v>24000</v>
      </c>
      <c r="Z114" s="531"/>
      <c r="AA114" s="449">
        <v>2000</v>
      </c>
      <c r="AB114" s="449">
        <v>2000</v>
      </c>
      <c r="AC114" s="449">
        <v>2000</v>
      </c>
      <c r="AD114" s="449">
        <v>2000</v>
      </c>
      <c r="AE114" s="449">
        <v>2000</v>
      </c>
      <c r="AF114" s="449">
        <v>2000</v>
      </c>
      <c r="AG114" s="449">
        <v>2000</v>
      </c>
      <c r="AH114" s="449">
        <v>2000</v>
      </c>
      <c r="AI114" s="449">
        <v>2000</v>
      </c>
      <c r="AJ114" s="449">
        <v>2000</v>
      </c>
      <c r="AK114" s="449">
        <v>2000</v>
      </c>
      <c r="AL114" s="449">
        <v>2000</v>
      </c>
      <c r="AM114" s="400"/>
      <c r="AN114" s="500">
        <v>24000</v>
      </c>
      <c r="AO114" s="449">
        <v>15228.915662650606</v>
      </c>
      <c r="AP114" s="449">
        <v>-8771.0843373493935</v>
      </c>
      <c r="AQ114" s="453">
        <v>-0.36546184738955806</v>
      </c>
      <c r="AR114" s="449">
        <v>15228.915662650606</v>
      </c>
      <c r="AS114" s="449">
        <v>0</v>
      </c>
      <c r="AT114" s="426">
        <v>0</v>
      </c>
      <c r="AU114" s="421"/>
      <c r="AV114" s="449">
        <v>1269.0763052208836</v>
      </c>
      <c r="AW114" s="449">
        <v>1269.0763052208836</v>
      </c>
      <c r="AX114" s="449">
        <v>1269.0763052208836</v>
      </c>
      <c r="AY114" s="449">
        <v>1269.0763052208836</v>
      </c>
      <c r="AZ114" s="449">
        <v>1269.0763052208836</v>
      </c>
      <c r="BA114" s="449">
        <v>1269.0763052208836</v>
      </c>
      <c r="BB114" s="449">
        <v>1269.0763052208836</v>
      </c>
      <c r="BC114" s="449">
        <v>1269.0763052208836</v>
      </c>
      <c r="BD114" s="449">
        <v>1269.0763052208836</v>
      </c>
      <c r="BE114" s="449">
        <v>1269.0763052208836</v>
      </c>
      <c r="BF114" s="449">
        <v>1269.0763052208836</v>
      </c>
      <c r="BG114" s="449">
        <v>1269.0763052208836</v>
      </c>
      <c r="BH114" s="400"/>
      <c r="BI114" s="449">
        <v>1269.0763052208836</v>
      </c>
      <c r="BJ114" s="449">
        <v>1269.0763052208836</v>
      </c>
      <c r="BK114" s="449">
        <v>1269.0763052208836</v>
      </c>
      <c r="BL114" s="771">
        <v>1269.0763052208836</v>
      </c>
      <c r="BM114" s="449">
        <v>1269.0763052208836</v>
      </c>
      <c r="BN114" s="449">
        <v>1269.0763052208836</v>
      </c>
      <c r="BO114" s="449">
        <v>1269.0763052208836</v>
      </c>
      <c r="BP114" s="449">
        <v>1269.0763052208836</v>
      </c>
      <c r="BQ114" s="449">
        <v>1269.0763052208836</v>
      </c>
      <c r="BR114" s="449">
        <v>1269.0763052208836</v>
      </c>
      <c r="BS114" s="449">
        <v>1269.0763052208836</v>
      </c>
      <c r="BT114" s="449">
        <v>1269.0763052208836</v>
      </c>
      <c r="BU114" s="400"/>
      <c r="BV114" s="400"/>
    </row>
    <row r="115" spans="1:74" x14ac:dyDescent="0.25">
      <c r="A115" s="502" t="s">
        <v>183</v>
      </c>
      <c r="B115" s="502" t="s">
        <v>134</v>
      </c>
      <c r="C115" s="596"/>
      <c r="D115" s="500">
        <v>15000</v>
      </c>
      <c r="E115" s="449">
        <v>5000</v>
      </c>
      <c r="F115" s="449">
        <v>10000</v>
      </c>
      <c r="G115" s="421">
        <v>2</v>
      </c>
      <c r="H115" s="449">
        <v>15000</v>
      </c>
      <c r="I115" s="449">
        <v>0</v>
      </c>
      <c r="J115" s="426">
        <v>0</v>
      </c>
      <c r="K115" s="421"/>
      <c r="L115" s="449">
        <v>0</v>
      </c>
      <c r="M115" s="449">
        <v>0</v>
      </c>
      <c r="N115" s="449">
        <v>0</v>
      </c>
      <c r="O115" s="449">
        <v>0</v>
      </c>
      <c r="P115" s="449">
        <v>0</v>
      </c>
      <c r="Q115" s="449">
        <v>0</v>
      </c>
      <c r="R115" s="449">
        <v>2500</v>
      </c>
      <c r="S115" s="449">
        <v>2500</v>
      </c>
      <c r="T115" s="449">
        <v>2500</v>
      </c>
      <c r="U115" s="449">
        <v>2500</v>
      </c>
      <c r="V115" s="449">
        <v>2500</v>
      </c>
      <c r="W115" s="449">
        <v>2500</v>
      </c>
      <c r="X115" s="449"/>
      <c r="Y115" s="449">
        <v>15000</v>
      </c>
      <c r="Z115" s="531"/>
      <c r="AA115" s="449">
        <v>1250</v>
      </c>
      <c r="AB115" s="449">
        <v>1250</v>
      </c>
      <c r="AC115" s="449">
        <v>1250</v>
      </c>
      <c r="AD115" s="449">
        <v>1250</v>
      </c>
      <c r="AE115" s="449">
        <v>1250</v>
      </c>
      <c r="AF115" s="449">
        <v>1250</v>
      </c>
      <c r="AG115" s="449">
        <v>1250</v>
      </c>
      <c r="AH115" s="449">
        <v>1250</v>
      </c>
      <c r="AI115" s="449">
        <v>1250</v>
      </c>
      <c r="AJ115" s="449">
        <v>1250</v>
      </c>
      <c r="AK115" s="449">
        <v>1250</v>
      </c>
      <c r="AL115" s="449">
        <v>1250</v>
      </c>
      <c r="AM115" s="400"/>
      <c r="AN115" s="500">
        <v>15000</v>
      </c>
      <c r="AO115" s="449">
        <v>12000.000000000002</v>
      </c>
      <c r="AP115" s="449">
        <v>-2999.9999999999982</v>
      </c>
      <c r="AQ115" s="453">
        <v>-0.19999999999999987</v>
      </c>
      <c r="AR115" s="449">
        <v>12000.000000000002</v>
      </c>
      <c r="AS115" s="449">
        <v>0</v>
      </c>
      <c r="AT115" s="426">
        <v>0</v>
      </c>
      <c r="AU115" s="421"/>
      <c r="AV115" s="449">
        <v>2400</v>
      </c>
      <c r="AW115" s="449">
        <v>2400</v>
      </c>
      <c r="AX115" s="449">
        <v>1600</v>
      </c>
      <c r="AY115" s="449">
        <v>1600</v>
      </c>
      <c r="AZ115" s="449">
        <v>1600</v>
      </c>
      <c r="BA115" s="449">
        <v>342.85714285714283</v>
      </c>
      <c r="BB115" s="449">
        <v>342.85714285714283</v>
      </c>
      <c r="BC115" s="449">
        <v>342.85714285714283</v>
      </c>
      <c r="BD115" s="449">
        <v>342.85714285714283</v>
      </c>
      <c r="BE115" s="449">
        <v>342.85714285714283</v>
      </c>
      <c r="BF115" s="449">
        <v>342.85714285714283</v>
      </c>
      <c r="BG115" s="449">
        <v>342.85714285714283</v>
      </c>
      <c r="BH115" s="400"/>
      <c r="BI115" s="449">
        <v>2400</v>
      </c>
      <c r="BJ115" s="449">
        <v>2400</v>
      </c>
      <c r="BK115" s="449">
        <v>1600</v>
      </c>
      <c r="BL115" s="771">
        <v>1600</v>
      </c>
      <c r="BM115" s="449">
        <v>1600</v>
      </c>
      <c r="BN115" s="449">
        <v>342.85714285714283</v>
      </c>
      <c r="BO115" s="449">
        <v>342.85714285714283</v>
      </c>
      <c r="BP115" s="449">
        <v>342.85714285714283</v>
      </c>
      <c r="BQ115" s="449">
        <v>342.85714285714283</v>
      </c>
      <c r="BR115" s="449">
        <v>342.85714285714283</v>
      </c>
      <c r="BS115" s="449">
        <v>342.85714285714283</v>
      </c>
      <c r="BT115" s="449">
        <v>342.85714285714283</v>
      </c>
      <c r="BU115" s="400"/>
      <c r="BV115" s="400"/>
    </row>
    <row r="116" spans="1:74" x14ac:dyDescent="0.25">
      <c r="A116" s="537" t="s">
        <v>184</v>
      </c>
      <c r="B116" s="537" t="s">
        <v>136</v>
      </c>
      <c r="C116" s="541"/>
      <c r="D116" s="500">
        <v>0</v>
      </c>
      <c r="E116" s="449">
        <v>0</v>
      </c>
      <c r="F116" s="449">
        <v>0</v>
      </c>
      <c r="G116" s="421">
        <v>0</v>
      </c>
      <c r="H116" s="449">
        <v>0</v>
      </c>
      <c r="I116" s="449">
        <v>0</v>
      </c>
      <c r="J116" s="426">
        <v>0</v>
      </c>
      <c r="K116" s="421"/>
      <c r="L116" s="449">
        <v>0</v>
      </c>
      <c r="M116" s="449">
        <v>0</v>
      </c>
      <c r="N116" s="449">
        <v>0</v>
      </c>
      <c r="O116" s="449">
        <v>0</v>
      </c>
      <c r="P116" s="449">
        <v>0</v>
      </c>
      <c r="Q116" s="449">
        <v>0</v>
      </c>
      <c r="R116" s="449">
        <v>0</v>
      </c>
      <c r="S116" s="449">
        <v>0</v>
      </c>
      <c r="T116" s="449">
        <v>0</v>
      </c>
      <c r="U116" s="449">
        <v>0</v>
      </c>
      <c r="V116" s="449">
        <v>0</v>
      </c>
      <c r="W116" s="449">
        <v>0</v>
      </c>
      <c r="X116" s="449"/>
      <c r="Y116" s="449">
        <v>0</v>
      </c>
      <c r="Z116" s="531"/>
      <c r="AA116" s="449">
        <v>0</v>
      </c>
      <c r="AB116" s="449">
        <v>0</v>
      </c>
      <c r="AC116" s="449">
        <v>0</v>
      </c>
      <c r="AD116" s="449">
        <v>0</v>
      </c>
      <c r="AE116" s="449">
        <v>0</v>
      </c>
      <c r="AF116" s="449">
        <v>0</v>
      </c>
      <c r="AG116" s="449">
        <v>0</v>
      </c>
      <c r="AH116" s="449">
        <v>0</v>
      </c>
      <c r="AI116" s="449">
        <v>0</v>
      </c>
      <c r="AJ116" s="449">
        <v>0</v>
      </c>
      <c r="AK116" s="449">
        <v>0</v>
      </c>
      <c r="AL116" s="449">
        <v>0</v>
      </c>
      <c r="AM116" s="400"/>
      <c r="AN116" s="500">
        <v>0</v>
      </c>
      <c r="AO116" s="449">
        <v>0</v>
      </c>
      <c r="AP116" s="449">
        <v>0</v>
      </c>
      <c r="AQ116" s="453" t="s">
        <v>1519</v>
      </c>
      <c r="AR116" s="449">
        <v>0</v>
      </c>
      <c r="AS116" s="449">
        <v>0</v>
      </c>
      <c r="AT116" s="426">
        <v>0</v>
      </c>
      <c r="AU116" s="421"/>
      <c r="AV116" s="449">
        <v>0</v>
      </c>
      <c r="AW116" s="449">
        <v>0</v>
      </c>
      <c r="AX116" s="449">
        <v>0</v>
      </c>
      <c r="AY116" s="449">
        <v>0</v>
      </c>
      <c r="AZ116" s="449">
        <v>0</v>
      </c>
      <c r="BA116" s="449">
        <v>0</v>
      </c>
      <c r="BB116" s="449">
        <v>0</v>
      </c>
      <c r="BC116" s="449">
        <v>0</v>
      </c>
      <c r="BD116" s="449">
        <v>0</v>
      </c>
      <c r="BE116" s="449">
        <v>0</v>
      </c>
      <c r="BF116" s="449">
        <v>0</v>
      </c>
      <c r="BG116" s="449">
        <v>0</v>
      </c>
      <c r="BH116" s="400"/>
      <c r="BI116" s="449">
        <v>0</v>
      </c>
      <c r="BJ116" s="449">
        <v>0</v>
      </c>
      <c r="BK116" s="449">
        <v>0</v>
      </c>
      <c r="BL116" s="771">
        <v>0</v>
      </c>
      <c r="BM116" s="449">
        <v>0</v>
      </c>
      <c r="BN116" s="449">
        <v>0</v>
      </c>
      <c r="BO116" s="449">
        <v>0</v>
      </c>
      <c r="BP116" s="449">
        <v>0</v>
      </c>
      <c r="BQ116" s="449">
        <v>0</v>
      </c>
      <c r="BR116" s="449">
        <v>0</v>
      </c>
      <c r="BS116" s="449">
        <v>0</v>
      </c>
      <c r="BT116" s="449">
        <v>0</v>
      </c>
      <c r="BU116" s="400"/>
      <c r="BV116" s="400"/>
    </row>
    <row r="117" spans="1:74" x14ac:dyDescent="0.25">
      <c r="A117" s="537" t="s">
        <v>185</v>
      </c>
      <c r="B117" s="537" t="s">
        <v>138</v>
      </c>
      <c r="C117" s="541"/>
      <c r="D117" s="500">
        <v>0</v>
      </c>
      <c r="E117" s="449">
        <v>0</v>
      </c>
      <c r="F117" s="449">
        <v>0</v>
      </c>
      <c r="G117" s="421">
        <v>0</v>
      </c>
      <c r="H117" s="449">
        <v>0</v>
      </c>
      <c r="I117" s="449">
        <v>0</v>
      </c>
      <c r="J117" s="426">
        <v>0</v>
      </c>
      <c r="K117" s="421"/>
      <c r="L117" s="449">
        <v>0</v>
      </c>
      <c r="M117" s="449">
        <v>525</v>
      </c>
      <c r="N117" s="449">
        <v>0</v>
      </c>
      <c r="O117" s="449">
        <v>0</v>
      </c>
      <c r="P117" s="449">
        <v>0</v>
      </c>
      <c r="Q117" s="449">
        <v>4548.7700000000004</v>
      </c>
      <c r="R117" s="449">
        <v>-845.62833333333344</v>
      </c>
      <c r="S117" s="449">
        <v>-845.62833333333344</v>
      </c>
      <c r="T117" s="449">
        <v>-845.62833333333344</v>
      </c>
      <c r="U117" s="449">
        <v>-845.62833333333344</v>
      </c>
      <c r="V117" s="449">
        <v>-845.62833333333333</v>
      </c>
      <c r="W117" s="449">
        <v>-845.62833333333333</v>
      </c>
      <c r="X117" s="449"/>
      <c r="Y117" s="449">
        <v>0</v>
      </c>
      <c r="Z117" s="531"/>
      <c r="AA117" s="449">
        <v>0</v>
      </c>
      <c r="AB117" s="449">
        <v>0</v>
      </c>
      <c r="AC117" s="449">
        <v>0</v>
      </c>
      <c r="AD117" s="449">
        <v>0</v>
      </c>
      <c r="AE117" s="449">
        <v>0</v>
      </c>
      <c r="AF117" s="449">
        <v>0</v>
      </c>
      <c r="AG117" s="449">
        <v>0</v>
      </c>
      <c r="AH117" s="449">
        <v>0</v>
      </c>
      <c r="AI117" s="449">
        <v>0</v>
      </c>
      <c r="AJ117" s="449">
        <v>0</v>
      </c>
      <c r="AK117" s="449">
        <v>0</v>
      </c>
      <c r="AL117" s="449">
        <v>0</v>
      </c>
      <c r="AM117" s="400"/>
      <c r="AN117" s="500">
        <v>0</v>
      </c>
      <c r="AO117" s="449">
        <v>0</v>
      </c>
      <c r="AP117" s="449">
        <v>0</v>
      </c>
      <c r="AQ117" s="453" t="s">
        <v>1519</v>
      </c>
      <c r="AR117" s="449">
        <v>0</v>
      </c>
      <c r="AS117" s="449">
        <v>0</v>
      </c>
      <c r="AT117" s="426">
        <v>0</v>
      </c>
      <c r="AU117" s="421"/>
      <c r="AV117" s="449">
        <v>0</v>
      </c>
      <c r="AW117" s="449">
        <v>0</v>
      </c>
      <c r="AX117" s="449">
        <v>0</v>
      </c>
      <c r="AY117" s="449">
        <v>0</v>
      </c>
      <c r="AZ117" s="449">
        <v>0</v>
      </c>
      <c r="BA117" s="449">
        <v>0</v>
      </c>
      <c r="BB117" s="449">
        <v>0</v>
      </c>
      <c r="BC117" s="449">
        <v>0</v>
      </c>
      <c r="BD117" s="449">
        <v>0</v>
      </c>
      <c r="BE117" s="449">
        <v>0</v>
      </c>
      <c r="BF117" s="449">
        <v>0</v>
      </c>
      <c r="BG117" s="449">
        <v>0</v>
      </c>
      <c r="BH117" s="400"/>
      <c r="BI117" s="449">
        <v>0</v>
      </c>
      <c r="BJ117" s="449">
        <v>0</v>
      </c>
      <c r="BK117" s="449">
        <v>0</v>
      </c>
      <c r="BL117" s="771">
        <v>0</v>
      </c>
      <c r="BM117" s="449">
        <v>0</v>
      </c>
      <c r="BN117" s="449">
        <v>0</v>
      </c>
      <c r="BO117" s="449">
        <v>0</v>
      </c>
      <c r="BP117" s="449">
        <v>0</v>
      </c>
      <c r="BQ117" s="449">
        <v>0</v>
      </c>
      <c r="BR117" s="449">
        <v>0</v>
      </c>
      <c r="BS117" s="449">
        <v>0</v>
      </c>
      <c r="BT117" s="449">
        <v>0</v>
      </c>
      <c r="BU117" s="400"/>
      <c r="BV117" s="400"/>
    </row>
    <row r="118" spans="1:74" x14ac:dyDescent="0.25">
      <c r="A118" s="502" t="s">
        <v>185</v>
      </c>
      <c r="B118" s="502" t="s">
        <v>186</v>
      </c>
      <c r="C118" s="596"/>
      <c r="D118" s="500">
        <v>5073.7700000000004</v>
      </c>
      <c r="E118" s="449">
        <v>0</v>
      </c>
      <c r="F118" s="449">
        <v>5073.7700000000004</v>
      </c>
      <c r="G118" s="421">
        <v>0</v>
      </c>
      <c r="H118" s="449">
        <v>0</v>
      </c>
      <c r="I118" s="449">
        <v>5073.7700000000004</v>
      </c>
      <c r="J118" s="426">
        <v>0</v>
      </c>
      <c r="K118" s="421"/>
      <c r="L118" s="449">
        <v>0</v>
      </c>
      <c r="M118" s="449">
        <v>525</v>
      </c>
      <c r="N118" s="449">
        <v>0</v>
      </c>
      <c r="O118" s="449">
        <v>0</v>
      </c>
      <c r="P118" s="449">
        <v>0</v>
      </c>
      <c r="Q118" s="449">
        <v>4548.7700000000004</v>
      </c>
      <c r="R118" s="449">
        <v>0</v>
      </c>
      <c r="S118" s="449">
        <v>0</v>
      </c>
      <c r="T118" s="449">
        <v>0</v>
      </c>
      <c r="U118" s="449">
        <v>0</v>
      </c>
      <c r="V118" s="449">
        <v>0</v>
      </c>
      <c r="W118" s="449">
        <v>0</v>
      </c>
      <c r="X118" s="449"/>
      <c r="Y118" s="449">
        <v>5073.7700000000004</v>
      </c>
      <c r="Z118" s="531"/>
      <c r="AA118" s="449">
        <v>0</v>
      </c>
      <c r="AB118" s="449">
        <v>0</v>
      </c>
      <c r="AC118" s="449">
        <v>0</v>
      </c>
      <c r="AD118" s="449">
        <v>0</v>
      </c>
      <c r="AE118" s="449">
        <v>0</v>
      </c>
      <c r="AF118" s="449">
        <v>0</v>
      </c>
      <c r="AG118" s="449">
        <v>0</v>
      </c>
      <c r="AH118" s="449">
        <v>0</v>
      </c>
      <c r="AI118" s="449">
        <v>0</v>
      </c>
      <c r="AJ118" s="449">
        <v>0</v>
      </c>
      <c r="AK118" s="449">
        <v>0</v>
      </c>
      <c r="AL118" s="449">
        <v>0</v>
      </c>
      <c r="AM118" s="400"/>
      <c r="AN118" s="500">
        <v>5073.7700000000004</v>
      </c>
      <c r="AO118" s="449">
        <v>5579.1093413654626</v>
      </c>
      <c r="AP118" s="449">
        <v>505.33934136546213</v>
      </c>
      <c r="AQ118" s="453">
        <v>9.9598393574297242E-2</v>
      </c>
      <c r="AR118" s="449">
        <v>5579.1093413654626</v>
      </c>
      <c r="AS118" s="449">
        <v>0</v>
      </c>
      <c r="AT118" s="426">
        <v>0</v>
      </c>
      <c r="AU118" s="421"/>
      <c r="AV118" s="449">
        <v>464.92577844712179</v>
      </c>
      <c r="AW118" s="449">
        <v>464.92577844712179</v>
      </c>
      <c r="AX118" s="449">
        <v>464.92577844712179</v>
      </c>
      <c r="AY118" s="449">
        <v>464.92577844712179</v>
      </c>
      <c r="AZ118" s="449">
        <v>464.92577844712179</v>
      </c>
      <c r="BA118" s="449">
        <v>464.92577844712179</v>
      </c>
      <c r="BB118" s="449">
        <v>464.92577844712179</v>
      </c>
      <c r="BC118" s="449">
        <v>464.92577844712179</v>
      </c>
      <c r="BD118" s="449">
        <v>464.92577844712179</v>
      </c>
      <c r="BE118" s="449">
        <v>464.92577844712179</v>
      </c>
      <c r="BF118" s="449">
        <v>464.92577844712179</v>
      </c>
      <c r="BG118" s="449">
        <v>464.92577844712179</v>
      </c>
      <c r="BH118" s="400"/>
      <c r="BI118" s="449">
        <v>464.92577844712179</v>
      </c>
      <c r="BJ118" s="449">
        <v>464.92577844712179</v>
      </c>
      <c r="BK118" s="449">
        <v>464.92577844712179</v>
      </c>
      <c r="BL118" s="771">
        <v>464.92577844712179</v>
      </c>
      <c r="BM118" s="449">
        <v>464.92577844712179</v>
      </c>
      <c r="BN118" s="449">
        <v>464.92577844712179</v>
      </c>
      <c r="BO118" s="449">
        <v>464.92577844712179</v>
      </c>
      <c r="BP118" s="449">
        <v>464.92577844712179</v>
      </c>
      <c r="BQ118" s="449">
        <v>464.92577844712179</v>
      </c>
      <c r="BR118" s="449">
        <v>464.92577844712179</v>
      </c>
      <c r="BS118" s="449">
        <v>464.92577844712179</v>
      </c>
      <c r="BT118" s="449">
        <v>464.92577844712179</v>
      </c>
      <c r="BU118" s="400"/>
      <c r="BV118" s="400"/>
    </row>
    <row r="119" spans="1:74" x14ac:dyDescent="0.25">
      <c r="A119" s="587"/>
      <c r="B119" s="502"/>
      <c r="C119" s="596"/>
      <c r="D119" s="500"/>
      <c r="E119" s="449"/>
      <c r="F119" s="449"/>
      <c r="G119" s="421"/>
      <c r="H119" s="449"/>
      <c r="I119" s="449"/>
      <c r="J119" s="426"/>
      <c r="K119" s="421"/>
      <c r="L119" s="449"/>
      <c r="M119" s="449"/>
      <c r="N119" s="449"/>
      <c r="O119" s="449"/>
      <c r="P119" s="449"/>
      <c r="Q119" s="449"/>
      <c r="R119" s="449"/>
      <c r="S119" s="449"/>
      <c r="T119" s="449"/>
      <c r="U119" s="449"/>
      <c r="V119" s="449"/>
      <c r="W119" s="449"/>
      <c r="X119" s="449"/>
      <c r="Y119" s="449"/>
      <c r="Z119" s="531"/>
      <c r="AA119" s="449"/>
      <c r="AB119" s="449"/>
      <c r="AC119" s="449"/>
      <c r="AD119" s="449"/>
      <c r="AE119" s="449"/>
      <c r="AF119" s="449"/>
      <c r="AG119" s="449"/>
      <c r="AH119" s="449"/>
      <c r="AI119" s="449"/>
      <c r="AJ119" s="449"/>
      <c r="AK119" s="449"/>
      <c r="AL119" s="449"/>
      <c r="AM119" s="400"/>
      <c r="AN119" s="500"/>
      <c r="AO119" s="449"/>
      <c r="AP119" s="449"/>
      <c r="AQ119" s="453"/>
      <c r="AR119" s="449"/>
      <c r="AS119" s="449"/>
      <c r="AT119" s="426"/>
      <c r="AU119" s="421"/>
      <c r="AV119" s="449"/>
      <c r="AW119" s="449"/>
      <c r="AX119" s="449"/>
      <c r="AY119" s="449"/>
      <c r="AZ119" s="449"/>
      <c r="BA119" s="449"/>
      <c r="BB119" s="449"/>
      <c r="BC119" s="449"/>
      <c r="BD119" s="449"/>
      <c r="BE119" s="449"/>
      <c r="BF119" s="449"/>
      <c r="BG119" s="449"/>
      <c r="BH119" s="531"/>
      <c r="BI119" s="449"/>
      <c r="BJ119" s="449"/>
      <c r="BK119" s="449"/>
      <c r="BL119" s="771"/>
      <c r="BM119" s="449"/>
      <c r="BN119" s="449"/>
      <c r="BO119" s="449"/>
      <c r="BP119" s="449"/>
      <c r="BQ119" s="449"/>
      <c r="BR119" s="449"/>
      <c r="BS119" s="449"/>
      <c r="BT119" s="449"/>
      <c r="BU119" s="400"/>
      <c r="BV119" s="400"/>
    </row>
    <row r="120" spans="1:74" s="536" customFormat="1" ht="15.75" thickBot="1" x14ac:dyDescent="0.3">
      <c r="A120" s="526"/>
      <c r="B120" s="524" t="s">
        <v>187</v>
      </c>
      <c r="C120" s="598"/>
      <c r="D120" s="532">
        <v>794491.45000000007</v>
      </c>
      <c r="E120" s="533">
        <v>738935</v>
      </c>
      <c r="F120" s="533">
        <v>55556.45000000007</v>
      </c>
      <c r="G120" s="520">
        <v>7.5184488486808809E-2</v>
      </c>
      <c r="H120" s="533">
        <v>786132</v>
      </c>
      <c r="I120" s="533">
        <v>8359.4500000000698</v>
      </c>
      <c r="J120" s="521">
        <v>1.0633646766700847E-2</v>
      </c>
      <c r="K120" s="507"/>
      <c r="L120" s="533">
        <v>51630.409999999996</v>
      </c>
      <c r="M120" s="533">
        <v>75633.599999999991</v>
      </c>
      <c r="N120" s="533">
        <v>68028.84</v>
      </c>
      <c r="O120" s="533">
        <v>100118.63</v>
      </c>
      <c r="P120" s="533">
        <v>64039.199999999975</v>
      </c>
      <c r="Q120" s="533">
        <v>86744.34000000004</v>
      </c>
      <c r="R120" s="533">
        <v>58049.404999999992</v>
      </c>
      <c r="S120" s="533">
        <v>58049.404999999992</v>
      </c>
      <c r="T120" s="533">
        <v>58049.404999999992</v>
      </c>
      <c r="U120" s="533">
        <v>58049.404999999992</v>
      </c>
      <c r="V120" s="533">
        <v>58049.404999999999</v>
      </c>
      <c r="W120" s="533">
        <v>58049.404999999999</v>
      </c>
      <c r="X120" s="533"/>
      <c r="Y120" s="533">
        <v>794491.45000000007</v>
      </c>
      <c r="Z120" s="508"/>
      <c r="AA120" s="533">
        <v>65511</v>
      </c>
      <c r="AB120" s="533">
        <v>65511</v>
      </c>
      <c r="AC120" s="533">
        <v>65511</v>
      </c>
      <c r="AD120" s="533">
        <v>65511</v>
      </c>
      <c r="AE120" s="533">
        <v>65511</v>
      </c>
      <c r="AF120" s="533">
        <v>65511</v>
      </c>
      <c r="AG120" s="533">
        <v>65511</v>
      </c>
      <c r="AH120" s="533">
        <v>65511</v>
      </c>
      <c r="AI120" s="533">
        <v>65511</v>
      </c>
      <c r="AJ120" s="533">
        <v>65511</v>
      </c>
      <c r="AK120" s="533">
        <v>65511</v>
      </c>
      <c r="AL120" s="533">
        <v>65511</v>
      </c>
      <c r="AN120" s="532">
        <v>794491.45000000007</v>
      </c>
      <c r="AO120" s="533">
        <v>836724.2560986582</v>
      </c>
      <c r="AP120" s="533">
        <v>42232.806098658126</v>
      </c>
      <c r="AQ120" s="523">
        <v>5.3157030322551771E-2</v>
      </c>
      <c r="AR120" s="533">
        <v>836724.2560986582</v>
      </c>
      <c r="AS120" s="533">
        <v>0</v>
      </c>
      <c r="AT120" s="521">
        <v>0</v>
      </c>
      <c r="AU120" s="507"/>
      <c r="AV120" s="533">
        <v>12979.710883668005</v>
      </c>
      <c r="AW120" s="533">
        <v>68990.851634624676</v>
      </c>
      <c r="AX120" s="533">
        <v>69656.281860366667</v>
      </c>
      <c r="AY120" s="533">
        <v>108656.28186036667</v>
      </c>
      <c r="AZ120" s="533">
        <v>69656.281860366667</v>
      </c>
      <c r="BA120" s="533">
        <v>63765.672488938093</v>
      </c>
      <c r="BB120" s="533">
        <v>63765.672488938093</v>
      </c>
      <c r="BC120" s="533">
        <v>63765.672488938093</v>
      </c>
      <c r="BD120" s="533">
        <v>63765.672488938093</v>
      </c>
      <c r="BE120" s="533">
        <v>63765.672488938093</v>
      </c>
      <c r="BF120" s="533">
        <v>63765.672488938093</v>
      </c>
      <c r="BG120" s="533">
        <v>124190.81306563676</v>
      </c>
      <c r="BH120" s="508"/>
      <c r="BI120" s="533">
        <v>12979.710883668005</v>
      </c>
      <c r="BJ120" s="533">
        <v>68990.851634624676</v>
      </c>
      <c r="BK120" s="533">
        <v>69656.281860366667</v>
      </c>
      <c r="BL120" s="777">
        <v>108656.28186036667</v>
      </c>
      <c r="BM120" s="533">
        <v>69656.281860366667</v>
      </c>
      <c r="BN120" s="533">
        <v>63765.672488938093</v>
      </c>
      <c r="BO120" s="533">
        <v>63765.672488938093</v>
      </c>
      <c r="BP120" s="533">
        <v>63765.672488938093</v>
      </c>
      <c r="BQ120" s="533">
        <v>63765.672488938093</v>
      </c>
      <c r="BR120" s="533">
        <v>63765.672488938093</v>
      </c>
      <c r="BS120" s="533">
        <v>63765.672488938093</v>
      </c>
      <c r="BT120" s="533">
        <v>124190.81306563676</v>
      </c>
      <c r="BV120" s="400"/>
    </row>
    <row r="121" spans="1:74" ht="15.75" thickTop="1" x14ac:dyDescent="0.25">
      <c r="A121" s="587"/>
      <c r="B121" s="502"/>
      <c r="C121" s="596"/>
      <c r="D121" s="500"/>
      <c r="E121" s="449"/>
      <c r="F121" s="449"/>
      <c r="G121" s="421"/>
      <c r="H121" s="449"/>
      <c r="I121" s="449"/>
      <c r="J121" s="426"/>
      <c r="K121" s="421"/>
      <c r="L121" s="449"/>
      <c r="M121" s="449"/>
      <c r="N121" s="449"/>
      <c r="O121" s="449"/>
      <c r="P121" s="449"/>
      <c r="Q121" s="449"/>
      <c r="R121" s="449"/>
      <c r="S121" s="449"/>
      <c r="T121" s="449"/>
      <c r="U121" s="449"/>
      <c r="V121" s="449"/>
      <c r="W121" s="449"/>
      <c r="X121" s="449"/>
      <c r="Y121" s="449"/>
      <c r="Z121" s="531"/>
      <c r="AA121" s="449"/>
      <c r="AB121" s="449"/>
      <c r="AC121" s="449"/>
      <c r="AD121" s="449"/>
      <c r="AE121" s="449"/>
      <c r="AF121" s="449"/>
      <c r="AG121" s="449"/>
      <c r="AH121" s="449"/>
      <c r="AI121" s="449"/>
      <c r="AJ121" s="449"/>
      <c r="AK121" s="449"/>
      <c r="AL121" s="449"/>
      <c r="AM121" s="400"/>
      <c r="AN121" s="500"/>
      <c r="AO121" s="449"/>
      <c r="AP121" s="449"/>
      <c r="AQ121" s="453"/>
      <c r="AR121" s="449"/>
      <c r="AS121" s="449"/>
      <c r="AT121" s="426"/>
      <c r="AU121" s="421"/>
      <c r="AV121" s="449"/>
      <c r="AW121" s="449"/>
      <c r="AX121" s="449"/>
      <c r="AY121" s="449"/>
      <c r="AZ121" s="449"/>
      <c r="BA121" s="449"/>
      <c r="BB121" s="449"/>
      <c r="BC121" s="449"/>
      <c r="BD121" s="449"/>
      <c r="BE121" s="449"/>
      <c r="BF121" s="449"/>
      <c r="BG121" s="449"/>
      <c r="BH121" s="531"/>
      <c r="BI121" s="449"/>
      <c r="BJ121" s="449"/>
      <c r="BK121" s="449"/>
      <c r="BL121" s="771"/>
      <c r="BM121" s="449"/>
      <c r="BN121" s="449"/>
      <c r="BO121" s="449"/>
      <c r="BP121" s="449"/>
      <c r="BQ121" s="449"/>
      <c r="BR121" s="449"/>
      <c r="BS121" s="449"/>
      <c r="BT121" s="449"/>
      <c r="BU121" s="400"/>
      <c r="BV121" s="400"/>
    </row>
    <row r="122" spans="1:74" ht="15.75" x14ac:dyDescent="0.25">
      <c r="A122" s="587"/>
      <c r="B122" s="525" t="s">
        <v>188</v>
      </c>
      <c r="C122" s="596"/>
      <c r="D122" s="500"/>
      <c r="E122" s="449"/>
      <c r="F122" s="449"/>
      <c r="G122" s="421"/>
      <c r="H122" s="449"/>
      <c r="I122" s="449"/>
      <c r="J122" s="426"/>
      <c r="K122" s="421"/>
      <c r="L122" s="449"/>
      <c r="M122" s="449"/>
      <c r="N122" s="449"/>
      <c r="O122" s="449"/>
      <c r="P122" s="449"/>
      <c r="Q122" s="449"/>
      <c r="R122" s="449"/>
      <c r="S122" s="449"/>
      <c r="T122" s="449"/>
      <c r="U122" s="449"/>
      <c r="V122" s="449"/>
      <c r="W122" s="449"/>
      <c r="X122" s="449"/>
      <c r="Y122" s="449"/>
      <c r="Z122" s="531"/>
      <c r="AA122" s="449"/>
      <c r="AB122" s="449"/>
      <c r="AC122" s="449"/>
      <c r="AD122" s="449"/>
      <c r="AE122" s="449"/>
      <c r="AF122" s="449"/>
      <c r="AG122" s="449"/>
      <c r="AH122" s="449"/>
      <c r="AI122" s="449"/>
      <c r="AJ122" s="449"/>
      <c r="AK122" s="449"/>
      <c r="AL122" s="449"/>
      <c r="AM122" s="400"/>
      <c r="AN122" s="500"/>
      <c r="AO122" s="449"/>
      <c r="AP122" s="449"/>
      <c r="AQ122" s="453"/>
      <c r="AR122" s="449"/>
      <c r="AS122" s="449"/>
      <c r="AT122" s="426"/>
      <c r="AU122" s="421"/>
      <c r="AV122" s="449"/>
      <c r="AW122" s="449"/>
      <c r="AX122" s="449"/>
      <c r="AY122" s="449"/>
      <c r="AZ122" s="449"/>
      <c r="BA122" s="449"/>
      <c r="BB122" s="449"/>
      <c r="BC122" s="449"/>
      <c r="BD122" s="449"/>
      <c r="BE122" s="449"/>
      <c r="BF122" s="449"/>
      <c r="BG122" s="449"/>
      <c r="BH122" s="531"/>
      <c r="BI122" s="449"/>
      <c r="BJ122" s="449"/>
      <c r="BK122" s="449"/>
      <c r="BL122" s="771"/>
      <c r="BM122" s="449"/>
      <c r="BN122" s="449"/>
      <c r="BO122" s="449"/>
      <c r="BP122" s="449"/>
      <c r="BQ122" s="449"/>
      <c r="BR122" s="449"/>
      <c r="BS122" s="449"/>
      <c r="BT122" s="449"/>
      <c r="BU122" s="400"/>
      <c r="BV122" s="400"/>
    </row>
    <row r="123" spans="1:74" x14ac:dyDescent="0.25">
      <c r="A123" s="587"/>
      <c r="B123" s="502"/>
      <c r="C123" s="596"/>
      <c r="D123" s="500"/>
      <c r="E123" s="449"/>
      <c r="F123" s="449"/>
      <c r="G123" s="421"/>
      <c r="H123" s="449"/>
      <c r="I123" s="449"/>
      <c r="J123" s="426"/>
      <c r="K123" s="421"/>
      <c r="L123" s="449"/>
      <c r="M123" s="449"/>
      <c r="N123" s="449"/>
      <c r="O123" s="449"/>
      <c r="P123" s="449"/>
      <c r="Q123" s="449"/>
      <c r="R123" s="449"/>
      <c r="S123" s="449"/>
      <c r="T123" s="449"/>
      <c r="U123" s="449"/>
      <c r="V123" s="449"/>
      <c r="W123" s="449"/>
      <c r="X123" s="449"/>
      <c r="Y123" s="449"/>
      <c r="Z123" s="531"/>
      <c r="AA123" s="449"/>
      <c r="AB123" s="449"/>
      <c r="AC123" s="449"/>
      <c r="AD123" s="449"/>
      <c r="AE123" s="449"/>
      <c r="AF123" s="449"/>
      <c r="AG123" s="449"/>
      <c r="AH123" s="449"/>
      <c r="AI123" s="449"/>
      <c r="AJ123" s="449"/>
      <c r="AK123" s="449"/>
      <c r="AL123" s="449"/>
      <c r="AM123" s="400"/>
      <c r="AN123" s="500"/>
      <c r="AO123" s="449"/>
      <c r="AP123" s="449"/>
      <c r="AQ123" s="453"/>
      <c r="AR123" s="449"/>
      <c r="AS123" s="449"/>
      <c r="AT123" s="426"/>
      <c r="AU123" s="421"/>
      <c r="AV123" s="449"/>
      <c r="AW123" s="449"/>
      <c r="AX123" s="449"/>
      <c r="AY123" s="449"/>
      <c r="AZ123" s="449"/>
      <c r="BA123" s="449"/>
      <c r="BB123" s="449"/>
      <c r="BC123" s="449"/>
      <c r="BD123" s="449"/>
      <c r="BE123" s="449"/>
      <c r="BF123" s="449"/>
      <c r="BG123" s="449"/>
      <c r="BH123" s="531"/>
      <c r="BI123" s="449"/>
      <c r="BJ123" s="449"/>
      <c r="BK123" s="449"/>
      <c r="BL123" s="771"/>
      <c r="BM123" s="449"/>
      <c r="BN123" s="449"/>
      <c r="BO123" s="449"/>
      <c r="BP123" s="449"/>
      <c r="BQ123" s="449"/>
      <c r="BR123" s="449"/>
      <c r="BS123" s="449"/>
      <c r="BT123" s="449"/>
      <c r="BU123" s="400"/>
      <c r="BV123" s="400"/>
    </row>
    <row r="124" spans="1:74" x14ac:dyDescent="0.25">
      <c r="A124" s="502" t="s">
        <v>189</v>
      </c>
      <c r="B124" s="502" t="s">
        <v>190</v>
      </c>
      <c r="C124" s="596"/>
      <c r="D124" s="500">
        <v>151552</v>
      </c>
      <c r="E124" s="449">
        <v>159000</v>
      </c>
      <c r="F124" s="449">
        <v>-7448</v>
      </c>
      <c r="G124" s="421">
        <v>-4.6842767295597484E-2</v>
      </c>
      <c r="H124" s="449">
        <v>151552</v>
      </c>
      <c r="I124" s="449">
        <v>0</v>
      </c>
      <c r="J124" s="426">
        <v>0</v>
      </c>
      <c r="K124" s="421"/>
      <c r="L124" s="449">
        <v>0</v>
      </c>
      <c r="M124" s="449">
        <v>16180.72</v>
      </c>
      <c r="N124" s="449">
        <v>12889.860000000002</v>
      </c>
      <c r="O124" s="449">
        <v>12730.739999999998</v>
      </c>
      <c r="P124" s="449">
        <v>12412.669999999998</v>
      </c>
      <c r="Q124" s="449">
        <v>18963.080000000009</v>
      </c>
      <c r="R124" s="449">
        <v>13062.488333333333</v>
      </c>
      <c r="S124" s="449">
        <v>13062.488333333333</v>
      </c>
      <c r="T124" s="449">
        <v>13062.488333333335</v>
      </c>
      <c r="U124" s="449">
        <v>13062.488333333333</v>
      </c>
      <c r="V124" s="449">
        <v>13062.488333333335</v>
      </c>
      <c r="W124" s="449">
        <v>13062.488333333342</v>
      </c>
      <c r="X124" s="449"/>
      <c r="Y124" s="449">
        <v>151552</v>
      </c>
      <c r="Z124" s="531"/>
      <c r="AA124" s="449">
        <v>12629.333333333334</v>
      </c>
      <c r="AB124" s="449">
        <v>12629.333333333334</v>
      </c>
      <c r="AC124" s="449">
        <v>12629.333333333334</v>
      </c>
      <c r="AD124" s="449">
        <v>12629.333333333334</v>
      </c>
      <c r="AE124" s="449">
        <v>12629.333333333334</v>
      </c>
      <c r="AF124" s="449">
        <v>12629.333333333334</v>
      </c>
      <c r="AG124" s="449">
        <v>12629.333333333334</v>
      </c>
      <c r="AH124" s="449">
        <v>12629.333333333334</v>
      </c>
      <c r="AI124" s="449">
        <v>12629.333333333334</v>
      </c>
      <c r="AJ124" s="449">
        <v>12629.333333333334</v>
      </c>
      <c r="AK124" s="449">
        <v>12629.333333333334</v>
      </c>
      <c r="AL124" s="449">
        <v>12629.333333333334</v>
      </c>
      <c r="AM124" s="400"/>
      <c r="AN124" s="500">
        <v>151552</v>
      </c>
      <c r="AO124" s="449">
        <v>312197.90279999998</v>
      </c>
      <c r="AP124" s="449">
        <v>160645.90279999998</v>
      </c>
      <c r="AQ124" s="453">
        <v>1.0600051652238174</v>
      </c>
      <c r="AR124" s="449">
        <v>312197.90279999998</v>
      </c>
      <c r="AS124" s="449">
        <v>0</v>
      </c>
      <c r="AT124" s="426">
        <v>0</v>
      </c>
      <c r="AU124" s="421"/>
      <c r="AV124" s="449">
        <v>0</v>
      </c>
      <c r="AW124" s="449">
        <v>26016.491899999997</v>
      </c>
      <c r="AX124" s="449">
        <v>26016.491899999997</v>
      </c>
      <c r="AY124" s="449">
        <v>26016.491899999997</v>
      </c>
      <c r="AZ124" s="449">
        <v>26016.491899999997</v>
      </c>
      <c r="BA124" s="449">
        <v>26016.491899999997</v>
      </c>
      <c r="BB124" s="449">
        <v>26016.491899999997</v>
      </c>
      <c r="BC124" s="449">
        <v>26016.491899999997</v>
      </c>
      <c r="BD124" s="449">
        <v>26016.491899999997</v>
      </c>
      <c r="BE124" s="449">
        <v>26016.491899999997</v>
      </c>
      <c r="BF124" s="449">
        <v>26016.491899999997</v>
      </c>
      <c r="BG124" s="449">
        <v>52032.983799999995</v>
      </c>
      <c r="BH124" s="400"/>
      <c r="BI124" s="449">
        <v>0</v>
      </c>
      <c r="BJ124" s="449">
        <v>26016.491899999997</v>
      </c>
      <c r="BK124" s="449">
        <v>26016.491899999997</v>
      </c>
      <c r="BL124" s="771">
        <v>26016.491899999997</v>
      </c>
      <c r="BM124" s="449">
        <v>26016.491899999997</v>
      </c>
      <c r="BN124" s="449">
        <v>26016.491899999997</v>
      </c>
      <c r="BO124" s="449">
        <v>26016.491899999997</v>
      </c>
      <c r="BP124" s="449">
        <v>26016.491899999997</v>
      </c>
      <c r="BQ124" s="449">
        <v>26016.491899999997</v>
      </c>
      <c r="BR124" s="449">
        <v>26016.491899999997</v>
      </c>
      <c r="BS124" s="449">
        <v>26016.491899999997</v>
      </c>
      <c r="BT124" s="449">
        <v>52032.983799999995</v>
      </c>
      <c r="BU124" s="400"/>
      <c r="BV124" s="400"/>
    </row>
    <row r="125" spans="1:74" x14ac:dyDescent="0.25">
      <c r="A125" s="537" t="s">
        <v>191</v>
      </c>
      <c r="B125" s="537" t="s">
        <v>90</v>
      </c>
      <c r="C125" s="596"/>
      <c r="D125" s="500">
        <v>0</v>
      </c>
      <c r="E125" s="449">
        <v>0</v>
      </c>
      <c r="F125" s="449">
        <v>0</v>
      </c>
      <c r="G125" s="421">
        <v>0</v>
      </c>
      <c r="H125" s="449">
        <v>0</v>
      </c>
      <c r="I125" s="449">
        <v>0</v>
      </c>
      <c r="J125" s="426">
        <v>0</v>
      </c>
      <c r="K125" s="421"/>
      <c r="L125" s="449">
        <v>0</v>
      </c>
      <c r="M125" s="449">
        <v>0</v>
      </c>
      <c r="N125" s="449">
        <v>0</v>
      </c>
      <c r="O125" s="449">
        <v>0</v>
      </c>
      <c r="P125" s="449">
        <v>0</v>
      </c>
      <c r="Q125" s="449">
        <v>0</v>
      </c>
      <c r="R125" s="449">
        <v>0</v>
      </c>
      <c r="S125" s="449">
        <v>0</v>
      </c>
      <c r="T125" s="449">
        <v>0</v>
      </c>
      <c r="U125" s="449">
        <v>0</v>
      </c>
      <c r="V125" s="449">
        <v>0</v>
      </c>
      <c r="W125" s="449">
        <v>0</v>
      </c>
      <c r="X125" s="449"/>
      <c r="Y125" s="449">
        <v>0</v>
      </c>
      <c r="Z125" s="531"/>
      <c r="AA125" s="449">
        <v>0</v>
      </c>
      <c r="AB125" s="449">
        <v>0</v>
      </c>
      <c r="AC125" s="449">
        <v>0</v>
      </c>
      <c r="AD125" s="449">
        <v>0</v>
      </c>
      <c r="AE125" s="449">
        <v>0</v>
      </c>
      <c r="AF125" s="449">
        <v>0</v>
      </c>
      <c r="AG125" s="449">
        <v>0</v>
      </c>
      <c r="AH125" s="449">
        <v>0</v>
      </c>
      <c r="AI125" s="449">
        <v>0</v>
      </c>
      <c r="AJ125" s="449">
        <v>0</v>
      </c>
      <c r="AK125" s="449">
        <v>0</v>
      </c>
      <c r="AL125" s="449">
        <v>0</v>
      </c>
      <c r="AM125" s="400"/>
      <c r="AN125" s="500">
        <v>0</v>
      </c>
      <c r="AO125" s="449">
        <v>24877.743167793127</v>
      </c>
      <c r="AP125" s="449">
        <v>24877.743167793127</v>
      </c>
      <c r="AQ125" s="453" t="s">
        <v>1519</v>
      </c>
      <c r="AR125" s="449">
        <v>24877.743167793127</v>
      </c>
      <c r="AS125" s="449">
        <v>0</v>
      </c>
      <c r="AT125" s="426">
        <v>0</v>
      </c>
      <c r="AU125" s="421"/>
      <c r="AV125" s="449">
        <v>0</v>
      </c>
      <c r="AW125" s="449">
        <v>0</v>
      </c>
      <c r="AX125" s="449">
        <v>2487.7743167793128</v>
      </c>
      <c r="AY125" s="449">
        <v>2487.7743167793128</v>
      </c>
      <c r="AZ125" s="449">
        <v>2487.7743167793128</v>
      </c>
      <c r="BA125" s="449">
        <v>2487.7743167793128</v>
      </c>
      <c r="BB125" s="449">
        <v>2487.7743167793128</v>
      </c>
      <c r="BC125" s="449">
        <v>2487.7743167793128</v>
      </c>
      <c r="BD125" s="449">
        <v>2487.7743167793128</v>
      </c>
      <c r="BE125" s="449">
        <v>2487.7743167793128</v>
      </c>
      <c r="BF125" s="449">
        <v>2487.7743167793128</v>
      </c>
      <c r="BG125" s="449">
        <v>2487.7743167793128</v>
      </c>
      <c r="BH125" s="400"/>
      <c r="BI125" s="449">
        <v>0</v>
      </c>
      <c r="BJ125" s="449">
        <v>0</v>
      </c>
      <c r="BK125" s="449">
        <v>2487.7743167793128</v>
      </c>
      <c r="BL125" s="771">
        <v>2487.7743167793128</v>
      </c>
      <c r="BM125" s="449">
        <v>2487.7743167793128</v>
      </c>
      <c r="BN125" s="449">
        <v>2487.7743167793128</v>
      </c>
      <c r="BO125" s="449">
        <v>2487.7743167793128</v>
      </c>
      <c r="BP125" s="449">
        <v>2487.7743167793128</v>
      </c>
      <c r="BQ125" s="449">
        <v>2487.7743167793128</v>
      </c>
      <c r="BR125" s="449">
        <v>2487.7743167793128</v>
      </c>
      <c r="BS125" s="449">
        <v>2487.7743167793128</v>
      </c>
      <c r="BT125" s="449">
        <v>2487.7743167793128</v>
      </c>
      <c r="BU125" s="400"/>
      <c r="BV125" s="400"/>
    </row>
    <row r="126" spans="1:74" x14ac:dyDescent="0.25">
      <c r="A126" s="537" t="s">
        <v>192</v>
      </c>
      <c r="B126" s="537" t="s">
        <v>149</v>
      </c>
      <c r="C126" s="596"/>
      <c r="D126" s="500">
        <v>0</v>
      </c>
      <c r="E126" s="449">
        <v>0</v>
      </c>
      <c r="F126" s="449">
        <v>0</v>
      </c>
      <c r="G126" s="421">
        <v>0</v>
      </c>
      <c r="H126" s="449">
        <v>0</v>
      </c>
      <c r="I126" s="449">
        <v>0</v>
      </c>
      <c r="J126" s="426">
        <v>0</v>
      </c>
      <c r="K126" s="421"/>
      <c r="L126" s="449">
        <v>0</v>
      </c>
      <c r="M126" s="449">
        <v>0</v>
      </c>
      <c r="N126" s="449">
        <v>0</v>
      </c>
      <c r="O126" s="449">
        <v>0</v>
      </c>
      <c r="P126" s="449">
        <v>0</v>
      </c>
      <c r="Q126" s="449">
        <v>0</v>
      </c>
      <c r="R126" s="449">
        <v>0</v>
      </c>
      <c r="S126" s="449">
        <v>0</v>
      </c>
      <c r="T126" s="449">
        <v>0</v>
      </c>
      <c r="U126" s="449">
        <v>0</v>
      </c>
      <c r="V126" s="449">
        <v>0</v>
      </c>
      <c r="W126" s="449">
        <v>0</v>
      </c>
      <c r="X126" s="449"/>
      <c r="Y126" s="449">
        <v>0</v>
      </c>
      <c r="Z126" s="531"/>
      <c r="AA126" s="449">
        <v>0</v>
      </c>
      <c r="AB126" s="449">
        <v>0</v>
      </c>
      <c r="AC126" s="449">
        <v>0</v>
      </c>
      <c r="AD126" s="449">
        <v>0</v>
      </c>
      <c r="AE126" s="449">
        <v>0</v>
      </c>
      <c r="AF126" s="449">
        <v>0</v>
      </c>
      <c r="AG126" s="449">
        <v>0</v>
      </c>
      <c r="AH126" s="449">
        <v>0</v>
      </c>
      <c r="AI126" s="449">
        <v>0</v>
      </c>
      <c r="AJ126" s="449">
        <v>0</v>
      </c>
      <c r="AK126" s="449">
        <v>0</v>
      </c>
      <c r="AL126" s="449">
        <v>0</v>
      </c>
      <c r="AM126" s="400"/>
      <c r="AN126" s="500">
        <v>0</v>
      </c>
      <c r="AO126" s="449">
        <v>7123.2839999999997</v>
      </c>
      <c r="AP126" s="449">
        <v>7123.2839999999997</v>
      </c>
      <c r="AQ126" s="453" t="s">
        <v>1519</v>
      </c>
      <c r="AR126" s="449">
        <v>7123.2839999999997</v>
      </c>
      <c r="AS126" s="449">
        <v>0</v>
      </c>
      <c r="AT126" s="426">
        <v>0</v>
      </c>
      <c r="AU126" s="421"/>
      <c r="AV126" s="449">
        <v>0</v>
      </c>
      <c r="AW126" s="449">
        <v>593.60699999999997</v>
      </c>
      <c r="AX126" s="449">
        <v>593.60699999999997</v>
      </c>
      <c r="AY126" s="449">
        <v>593.60699999999997</v>
      </c>
      <c r="AZ126" s="449">
        <v>593.60699999999997</v>
      </c>
      <c r="BA126" s="449">
        <v>593.60699999999997</v>
      </c>
      <c r="BB126" s="449">
        <v>593.60699999999997</v>
      </c>
      <c r="BC126" s="449">
        <v>593.60699999999997</v>
      </c>
      <c r="BD126" s="449">
        <v>593.60699999999997</v>
      </c>
      <c r="BE126" s="449">
        <v>593.60699999999997</v>
      </c>
      <c r="BF126" s="449">
        <v>593.60699999999997</v>
      </c>
      <c r="BG126" s="449">
        <v>1187.2139999999999</v>
      </c>
      <c r="BH126" s="400"/>
      <c r="BI126" s="449">
        <v>0</v>
      </c>
      <c r="BJ126" s="449">
        <v>593.60699999999997</v>
      </c>
      <c r="BK126" s="449">
        <v>593.60699999999997</v>
      </c>
      <c r="BL126" s="771">
        <v>593.60699999999997</v>
      </c>
      <c r="BM126" s="449">
        <v>593.60699999999997</v>
      </c>
      <c r="BN126" s="449">
        <v>593.60699999999997</v>
      </c>
      <c r="BO126" s="449">
        <v>593.60699999999997</v>
      </c>
      <c r="BP126" s="449">
        <v>593.60699999999997</v>
      </c>
      <c r="BQ126" s="449">
        <v>593.60699999999997</v>
      </c>
      <c r="BR126" s="449">
        <v>593.60699999999997</v>
      </c>
      <c r="BS126" s="449">
        <v>593.60699999999997</v>
      </c>
      <c r="BT126" s="449">
        <v>1187.2139999999999</v>
      </c>
      <c r="BU126" s="400"/>
      <c r="BV126" s="400"/>
    </row>
    <row r="127" spans="1:74" x14ac:dyDescent="0.25">
      <c r="A127" s="537" t="s">
        <v>193</v>
      </c>
      <c r="B127" s="537" t="s">
        <v>194</v>
      </c>
      <c r="C127" s="596"/>
      <c r="D127" s="500">
        <v>0</v>
      </c>
      <c r="E127" s="449">
        <v>0</v>
      </c>
      <c r="F127" s="449">
        <v>0</v>
      </c>
      <c r="G127" s="421">
        <v>0</v>
      </c>
      <c r="H127" s="449">
        <v>0</v>
      </c>
      <c r="I127" s="449">
        <v>0</v>
      </c>
      <c r="J127" s="426">
        <v>0</v>
      </c>
      <c r="K127" s="421"/>
      <c r="L127" s="449">
        <v>0</v>
      </c>
      <c r="M127" s="449">
        <v>0</v>
      </c>
      <c r="N127" s="449">
        <v>0</v>
      </c>
      <c r="O127" s="449">
        <v>0</v>
      </c>
      <c r="P127" s="449">
        <v>0</v>
      </c>
      <c r="Q127" s="449">
        <v>0</v>
      </c>
      <c r="R127" s="449">
        <v>0</v>
      </c>
      <c r="S127" s="449">
        <v>0</v>
      </c>
      <c r="T127" s="449">
        <v>0</v>
      </c>
      <c r="U127" s="449">
        <v>0</v>
      </c>
      <c r="V127" s="449">
        <v>0</v>
      </c>
      <c r="W127" s="449">
        <v>0</v>
      </c>
      <c r="X127" s="449"/>
      <c r="Y127" s="449">
        <v>0</v>
      </c>
      <c r="Z127" s="531"/>
      <c r="AA127" s="449">
        <v>0</v>
      </c>
      <c r="AB127" s="449">
        <v>0</v>
      </c>
      <c r="AC127" s="449">
        <v>0</v>
      </c>
      <c r="AD127" s="449">
        <v>0</v>
      </c>
      <c r="AE127" s="449">
        <v>0</v>
      </c>
      <c r="AF127" s="449">
        <v>0</v>
      </c>
      <c r="AG127" s="449">
        <v>0</v>
      </c>
      <c r="AH127" s="449">
        <v>0</v>
      </c>
      <c r="AI127" s="449">
        <v>0</v>
      </c>
      <c r="AJ127" s="449">
        <v>0</v>
      </c>
      <c r="AK127" s="449">
        <v>0</v>
      </c>
      <c r="AL127" s="449">
        <v>0</v>
      </c>
      <c r="AM127" s="400"/>
      <c r="AN127" s="500">
        <v>0</v>
      </c>
      <c r="AO127" s="449">
        <v>6000</v>
      </c>
      <c r="AP127" s="449">
        <v>6000</v>
      </c>
      <c r="AQ127" s="453" t="s">
        <v>1519</v>
      </c>
      <c r="AR127" s="449">
        <v>6000</v>
      </c>
      <c r="AS127" s="449">
        <v>0</v>
      </c>
      <c r="AT127" s="426">
        <v>0</v>
      </c>
      <c r="AU127" s="421"/>
      <c r="AV127" s="449">
        <v>0</v>
      </c>
      <c r="AW127" s="449">
        <v>0</v>
      </c>
      <c r="AX127" s="449">
        <v>0</v>
      </c>
      <c r="AY127" s="449">
        <v>6000</v>
      </c>
      <c r="AZ127" s="449">
        <v>0</v>
      </c>
      <c r="BA127" s="449">
        <v>0</v>
      </c>
      <c r="BB127" s="449">
        <v>0</v>
      </c>
      <c r="BC127" s="449">
        <v>0</v>
      </c>
      <c r="BD127" s="449">
        <v>0</v>
      </c>
      <c r="BE127" s="449">
        <v>0</v>
      </c>
      <c r="BF127" s="449">
        <v>0</v>
      </c>
      <c r="BG127" s="449">
        <v>0</v>
      </c>
      <c r="BH127" s="400"/>
      <c r="BI127" s="449">
        <v>0</v>
      </c>
      <c r="BJ127" s="449">
        <v>0</v>
      </c>
      <c r="BK127" s="449">
        <v>0</v>
      </c>
      <c r="BL127" s="771">
        <v>6000</v>
      </c>
      <c r="BM127" s="449">
        <v>0</v>
      </c>
      <c r="BN127" s="449">
        <v>0</v>
      </c>
      <c r="BO127" s="449">
        <v>0</v>
      </c>
      <c r="BP127" s="449">
        <v>0</v>
      </c>
      <c r="BQ127" s="449">
        <v>0</v>
      </c>
      <c r="BR127" s="449">
        <v>0</v>
      </c>
      <c r="BS127" s="449">
        <v>0</v>
      </c>
      <c r="BT127" s="449">
        <v>0</v>
      </c>
      <c r="BU127" s="400"/>
      <c r="BV127" s="400"/>
    </row>
    <row r="128" spans="1:74" x14ac:dyDescent="0.25">
      <c r="A128" s="537" t="s">
        <v>195</v>
      </c>
      <c r="B128" s="537" t="s">
        <v>196</v>
      </c>
      <c r="C128" s="596"/>
      <c r="D128" s="500">
        <v>0</v>
      </c>
      <c r="E128" s="449">
        <v>0</v>
      </c>
      <c r="F128" s="449">
        <v>0</v>
      </c>
      <c r="G128" s="421">
        <v>0</v>
      </c>
      <c r="H128" s="449">
        <v>0</v>
      </c>
      <c r="I128" s="449">
        <v>0</v>
      </c>
      <c r="J128" s="426">
        <v>0</v>
      </c>
      <c r="K128" s="421"/>
      <c r="L128" s="449">
        <v>0</v>
      </c>
      <c r="M128" s="449">
        <v>0</v>
      </c>
      <c r="N128" s="449">
        <v>0</v>
      </c>
      <c r="O128" s="449">
        <v>0</v>
      </c>
      <c r="P128" s="449">
        <v>0</v>
      </c>
      <c r="Q128" s="449">
        <v>0</v>
      </c>
      <c r="R128" s="449">
        <v>0</v>
      </c>
      <c r="S128" s="449">
        <v>0</v>
      </c>
      <c r="T128" s="449">
        <v>0</v>
      </c>
      <c r="U128" s="449">
        <v>0</v>
      </c>
      <c r="V128" s="449">
        <v>0</v>
      </c>
      <c r="W128" s="449">
        <v>0</v>
      </c>
      <c r="X128" s="449"/>
      <c r="Y128" s="449">
        <v>0</v>
      </c>
      <c r="Z128" s="531"/>
      <c r="AA128" s="449">
        <v>0</v>
      </c>
      <c r="AB128" s="449">
        <v>0</v>
      </c>
      <c r="AC128" s="449">
        <v>0</v>
      </c>
      <c r="AD128" s="449">
        <v>0</v>
      </c>
      <c r="AE128" s="449">
        <v>0</v>
      </c>
      <c r="AF128" s="449">
        <v>0</v>
      </c>
      <c r="AG128" s="449">
        <v>0</v>
      </c>
      <c r="AH128" s="449">
        <v>0</v>
      </c>
      <c r="AI128" s="449">
        <v>0</v>
      </c>
      <c r="AJ128" s="449">
        <v>0</v>
      </c>
      <c r="AK128" s="449">
        <v>0</v>
      </c>
      <c r="AL128" s="449">
        <v>0</v>
      </c>
      <c r="AM128" s="400"/>
      <c r="AN128" s="500">
        <v>0</v>
      </c>
      <c r="AO128" s="449">
        <v>0</v>
      </c>
      <c r="AP128" s="449">
        <v>0</v>
      </c>
      <c r="AQ128" s="453" t="s">
        <v>1519</v>
      </c>
      <c r="AR128" s="449">
        <v>0</v>
      </c>
      <c r="AS128" s="449">
        <v>0</v>
      </c>
      <c r="AT128" s="426">
        <v>0</v>
      </c>
      <c r="AU128" s="421"/>
      <c r="AV128" s="449">
        <v>0</v>
      </c>
      <c r="AW128" s="449">
        <v>0</v>
      </c>
      <c r="AX128" s="449">
        <v>0</v>
      </c>
      <c r="AY128" s="449">
        <v>0</v>
      </c>
      <c r="AZ128" s="449">
        <v>0</v>
      </c>
      <c r="BA128" s="449">
        <v>0</v>
      </c>
      <c r="BB128" s="449">
        <v>0</v>
      </c>
      <c r="BC128" s="449">
        <v>0</v>
      </c>
      <c r="BD128" s="449">
        <v>0</v>
      </c>
      <c r="BE128" s="449">
        <v>0</v>
      </c>
      <c r="BF128" s="449">
        <v>0</v>
      </c>
      <c r="BG128" s="449">
        <v>0</v>
      </c>
      <c r="BH128" s="400"/>
      <c r="BI128" s="449">
        <v>0</v>
      </c>
      <c r="BJ128" s="449">
        <v>0</v>
      </c>
      <c r="BK128" s="449">
        <v>0</v>
      </c>
      <c r="BL128" s="771">
        <v>0</v>
      </c>
      <c r="BM128" s="449">
        <v>0</v>
      </c>
      <c r="BN128" s="449">
        <v>0</v>
      </c>
      <c r="BO128" s="449">
        <v>0</v>
      </c>
      <c r="BP128" s="449">
        <v>0</v>
      </c>
      <c r="BQ128" s="449">
        <v>0</v>
      </c>
      <c r="BR128" s="449">
        <v>0</v>
      </c>
      <c r="BS128" s="449">
        <v>0</v>
      </c>
      <c r="BT128" s="449">
        <v>0</v>
      </c>
      <c r="BU128" s="400"/>
      <c r="BV128" s="400"/>
    </row>
    <row r="129" spans="1:72" x14ac:dyDescent="0.25">
      <c r="A129" s="502" t="s">
        <v>197</v>
      </c>
      <c r="B129" s="502" t="s">
        <v>198</v>
      </c>
      <c r="C129" s="596"/>
      <c r="D129" s="500">
        <v>22762</v>
      </c>
      <c r="E129" s="449">
        <v>23332</v>
      </c>
      <c r="F129" s="449">
        <v>-570</v>
      </c>
      <c r="G129" s="421">
        <v>-2.4429967426710098E-2</v>
      </c>
      <c r="H129" s="449">
        <v>22762</v>
      </c>
      <c r="I129" s="449">
        <v>0</v>
      </c>
      <c r="J129" s="426">
        <v>0</v>
      </c>
      <c r="K129" s="421"/>
      <c r="L129" s="449">
        <v>0</v>
      </c>
      <c r="M129" s="449">
        <v>2623.03</v>
      </c>
      <c r="N129" s="449">
        <v>1545.9599999999996</v>
      </c>
      <c r="O129" s="449">
        <v>1652.75</v>
      </c>
      <c r="P129" s="449">
        <v>1366.37</v>
      </c>
      <c r="Q129" s="449">
        <v>1541.7400000000007</v>
      </c>
      <c r="R129" s="449">
        <v>2338.6916666666666</v>
      </c>
      <c r="S129" s="449">
        <v>2338.6916666666666</v>
      </c>
      <c r="T129" s="449">
        <v>2338.6916666666666</v>
      </c>
      <c r="U129" s="449">
        <v>2338.6916666666671</v>
      </c>
      <c r="V129" s="449">
        <v>2338.6916666666675</v>
      </c>
      <c r="W129" s="449">
        <v>2338.6916666666657</v>
      </c>
      <c r="X129" s="449"/>
      <c r="Y129" s="449">
        <v>22762</v>
      </c>
      <c r="Z129" s="531"/>
      <c r="AA129" s="449">
        <v>1896.8333333333333</v>
      </c>
      <c r="AB129" s="449">
        <v>1896.8333333333333</v>
      </c>
      <c r="AC129" s="449">
        <v>1896.8333333333333</v>
      </c>
      <c r="AD129" s="449">
        <v>1896.8333333333333</v>
      </c>
      <c r="AE129" s="449">
        <v>1896.8333333333333</v>
      </c>
      <c r="AF129" s="449">
        <v>1896.8333333333333</v>
      </c>
      <c r="AG129" s="449">
        <v>1896.8333333333333</v>
      </c>
      <c r="AH129" s="449">
        <v>1896.8333333333333</v>
      </c>
      <c r="AI129" s="449">
        <v>1896.8333333333333</v>
      </c>
      <c r="AJ129" s="449">
        <v>1896.8333333333333</v>
      </c>
      <c r="AK129" s="449">
        <v>1896.8333333333333</v>
      </c>
      <c r="AL129" s="449">
        <v>1896.8333333333333</v>
      </c>
      <c r="AM129" s="400"/>
      <c r="AN129" s="500">
        <v>22762</v>
      </c>
      <c r="AO129" s="449">
        <v>44956.130000000005</v>
      </c>
      <c r="AP129" s="449">
        <v>22194.130000000005</v>
      </c>
      <c r="AQ129" s="453">
        <v>0.97505184078727725</v>
      </c>
      <c r="AR129" s="449">
        <v>44956.130000000005</v>
      </c>
      <c r="AS129" s="449">
        <v>0</v>
      </c>
      <c r="AT129" s="426">
        <v>0</v>
      </c>
      <c r="AU129" s="421"/>
      <c r="AV129" s="449">
        <v>0</v>
      </c>
      <c r="AW129" s="449">
        <v>3746.3441666666672</v>
      </c>
      <c r="AX129" s="449">
        <v>3746.3441666666672</v>
      </c>
      <c r="AY129" s="449">
        <v>3746.3441666666672</v>
      </c>
      <c r="AZ129" s="449">
        <v>3746.3441666666672</v>
      </c>
      <c r="BA129" s="449">
        <v>3746.3441666666672</v>
      </c>
      <c r="BB129" s="449">
        <v>3746.3441666666672</v>
      </c>
      <c r="BC129" s="449">
        <v>3746.3441666666672</v>
      </c>
      <c r="BD129" s="449">
        <v>3746.3441666666672</v>
      </c>
      <c r="BE129" s="449">
        <v>3746.3441666666672</v>
      </c>
      <c r="BF129" s="449">
        <v>3746.3441666666672</v>
      </c>
      <c r="BG129" s="449">
        <v>7492.6883333333344</v>
      </c>
      <c r="BH129" s="400"/>
      <c r="BI129" s="449">
        <v>0</v>
      </c>
      <c r="BJ129" s="449">
        <v>3746.3441666666672</v>
      </c>
      <c r="BK129" s="449">
        <v>3746.3441666666672</v>
      </c>
      <c r="BL129" s="771">
        <v>3746.3441666666672</v>
      </c>
      <c r="BM129" s="449">
        <v>3746.3441666666672</v>
      </c>
      <c r="BN129" s="449">
        <v>3746.3441666666672</v>
      </c>
      <c r="BO129" s="449">
        <v>3746.3441666666672</v>
      </c>
      <c r="BP129" s="449">
        <v>3746.3441666666672</v>
      </c>
      <c r="BQ129" s="449">
        <v>3746.3441666666672</v>
      </c>
      <c r="BR129" s="449">
        <v>3746.3441666666672</v>
      </c>
      <c r="BS129" s="449">
        <v>3746.3441666666672</v>
      </c>
      <c r="BT129" s="449">
        <v>7492.6883333333344</v>
      </c>
    </row>
    <row r="130" spans="1:72" x14ac:dyDescent="0.25">
      <c r="A130" s="537" t="s">
        <v>199</v>
      </c>
      <c r="B130" s="537" t="s">
        <v>106</v>
      </c>
      <c r="C130" s="596"/>
      <c r="D130" s="500">
        <v>0</v>
      </c>
      <c r="E130" s="449">
        <v>0</v>
      </c>
      <c r="F130" s="449">
        <v>0</v>
      </c>
      <c r="G130" s="421">
        <v>0</v>
      </c>
      <c r="H130" s="449">
        <v>0</v>
      </c>
      <c r="I130" s="449">
        <v>0</v>
      </c>
      <c r="J130" s="426">
        <v>0</v>
      </c>
      <c r="K130" s="421"/>
      <c r="L130" s="449">
        <v>0</v>
      </c>
      <c r="M130" s="449">
        <v>0</v>
      </c>
      <c r="N130" s="449">
        <v>0</v>
      </c>
      <c r="O130" s="449">
        <v>0</v>
      </c>
      <c r="P130" s="449">
        <v>0</v>
      </c>
      <c r="Q130" s="449">
        <v>0</v>
      </c>
      <c r="R130" s="449">
        <v>0</v>
      </c>
      <c r="S130" s="449">
        <v>0</v>
      </c>
      <c r="T130" s="449">
        <v>0</v>
      </c>
      <c r="U130" s="449">
        <v>0</v>
      </c>
      <c r="V130" s="449">
        <v>0</v>
      </c>
      <c r="W130" s="449">
        <v>0</v>
      </c>
      <c r="X130" s="449"/>
      <c r="Y130" s="449">
        <v>0</v>
      </c>
      <c r="Z130" s="531"/>
      <c r="AA130" s="449">
        <v>0</v>
      </c>
      <c r="AB130" s="449">
        <v>0</v>
      </c>
      <c r="AC130" s="449">
        <v>0</v>
      </c>
      <c r="AD130" s="449">
        <v>0</v>
      </c>
      <c r="AE130" s="449">
        <v>0</v>
      </c>
      <c r="AF130" s="449">
        <v>0</v>
      </c>
      <c r="AG130" s="449">
        <v>0</v>
      </c>
      <c r="AH130" s="449">
        <v>0</v>
      </c>
      <c r="AI130" s="449">
        <v>0</v>
      </c>
      <c r="AJ130" s="449">
        <v>0</v>
      </c>
      <c r="AK130" s="449">
        <v>0</v>
      </c>
      <c r="AL130" s="449">
        <v>0</v>
      </c>
      <c r="AM130" s="400"/>
      <c r="AN130" s="500">
        <v>0</v>
      </c>
      <c r="AO130" s="449">
        <v>2513.8659512195118</v>
      </c>
      <c r="AP130" s="449">
        <v>2513.8659512195118</v>
      </c>
      <c r="AQ130" s="453" t="s">
        <v>1519</v>
      </c>
      <c r="AR130" s="449">
        <v>2513.8659512195118</v>
      </c>
      <c r="AS130" s="449">
        <v>0</v>
      </c>
      <c r="AT130" s="426">
        <v>0</v>
      </c>
      <c r="AU130" s="421"/>
      <c r="AV130" s="449">
        <v>0</v>
      </c>
      <c r="AW130" s="449">
        <v>0</v>
      </c>
      <c r="AX130" s="449">
        <v>228.53326829268292</v>
      </c>
      <c r="AY130" s="449">
        <v>228.53326829268292</v>
      </c>
      <c r="AZ130" s="449">
        <v>228.53326829268292</v>
      </c>
      <c r="BA130" s="449">
        <v>228.53326829268292</v>
      </c>
      <c r="BB130" s="449">
        <v>228.53326829268292</v>
      </c>
      <c r="BC130" s="449">
        <v>228.53326829268292</v>
      </c>
      <c r="BD130" s="449">
        <v>228.53326829268292</v>
      </c>
      <c r="BE130" s="449">
        <v>228.53326829268292</v>
      </c>
      <c r="BF130" s="449">
        <v>228.53326829268292</v>
      </c>
      <c r="BG130" s="449">
        <v>457.06653658536584</v>
      </c>
      <c r="BH130" s="400"/>
      <c r="BI130" s="449">
        <v>0</v>
      </c>
      <c r="BJ130" s="449">
        <v>0</v>
      </c>
      <c r="BK130" s="449">
        <v>228.53326829268292</v>
      </c>
      <c r="BL130" s="771">
        <v>228.53326829268292</v>
      </c>
      <c r="BM130" s="449">
        <v>228.53326829268292</v>
      </c>
      <c r="BN130" s="449">
        <v>228.53326829268292</v>
      </c>
      <c r="BO130" s="449">
        <v>228.53326829268292</v>
      </c>
      <c r="BP130" s="449">
        <v>228.53326829268292</v>
      </c>
      <c r="BQ130" s="449">
        <v>228.53326829268292</v>
      </c>
      <c r="BR130" s="449">
        <v>228.53326829268292</v>
      </c>
      <c r="BS130" s="449">
        <v>228.53326829268292</v>
      </c>
      <c r="BT130" s="449">
        <v>457.06653658536584</v>
      </c>
    </row>
    <row r="131" spans="1:72" x14ac:dyDescent="0.25">
      <c r="A131" s="502" t="s">
        <v>200</v>
      </c>
      <c r="B131" s="502" t="s">
        <v>201</v>
      </c>
      <c r="C131" s="596"/>
      <c r="D131" s="500">
        <v>25720</v>
      </c>
      <c r="E131" s="449">
        <v>26819</v>
      </c>
      <c r="F131" s="449">
        <v>-1099</v>
      </c>
      <c r="G131" s="421">
        <v>-4.0978410828144227E-2</v>
      </c>
      <c r="H131" s="449">
        <v>25720</v>
      </c>
      <c r="I131" s="449">
        <v>0</v>
      </c>
      <c r="J131" s="426">
        <v>0</v>
      </c>
      <c r="K131" s="421"/>
      <c r="L131" s="449">
        <v>0</v>
      </c>
      <c r="M131" s="449">
        <v>0</v>
      </c>
      <c r="N131" s="449">
        <v>0</v>
      </c>
      <c r="O131" s="449">
        <v>6262.99</v>
      </c>
      <c r="P131" s="449">
        <v>3128.8500000000004</v>
      </c>
      <c r="Q131" s="449">
        <v>2098.2600000000002</v>
      </c>
      <c r="R131" s="449">
        <v>2371.65</v>
      </c>
      <c r="S131" s="449">
        <v>2371.65</v>
      </c>
      <c r="T131" s="449">
        <v>2371.65</v>
      </c>
      <c r="U131" s="449">
        <v>2371.65</v>
      </c>
      <c r="V131" s="449">
        <v>2371.6499999999996</v>
      </c>
      <c r="W131" s="449">
        <v>2371.6500000000015</v>
      </c>
      <c r="X131" s="449"/>
      <c r="Y131" s="449">
        <v>25720</v>
      </c>
      <c r="Z131" s="531"/>
      <c r="AA131" s="449">
        <v>2143.3333333333335</v>
      </c>
      <c r="AB131" s="449">
        <v>2143.3333333333335</v>
      </c>
      <c r="AC131" s="449">
        <v>2143.3333333333335</v>
      </c>
      <c r="AD131" s="449">
        <v>2143.3333333333335</v>
      </c>
      <c r="AE131" s="449">
        <v>2143.3333333333335</v>
      </c>
      <c r="AF131" s="449">
        <v>2143.3333333333335</v>
      </c>
      <c r="AG131" s="449">
        <v>2143.3333333333335</v>
      </c>
      <c r="AH131" s="449">
        <v>2143.3333333333335</v>
      </c>
      <c r="AI131" s="449">
        <v>2143.3333333333335</v>
      </c>
      <c r="AJ131" s="449">
        <v>2143.3333333333335</v>
      </c>
      <c r="AK131" s="449">
        <v>2143.3333333333335</v>
      </c>
      <c r="AL131" s="449">
        <v>2143.3333333333335</v>
      </c>
      <c r="AM131" s="400"/>
      <c r="AN131" s="500">
        <v>25720</v>
      </c>
      <c r="AO131" s="449">
        <v>47641.399967279991</v>
      </c>
      <c r="AP131" s="449">
        <v>21921.399967279991</v>
      </c>
      <c r="AQ131" s="453">
        <v>0.85230948550855334</v>
      </c>
      <c r="AR131" s="449">
        <v>47641.399967279991</v>
      </c>
      <c r="AS131" s="449">
        <v>0</v>
      </c>
      <c r="AT131" s="426">
        <v>0</v>
      </c>
      <c r="AU131" s="421"/>
      <c r="AV131" s="449">
        <v>0</v>
      </c>
      <c r="AW131" s="449">
        <v>3970.1166639399994</v>
      </c>
      <c r="AX131" s="449">
        <v>3970.1166639399994</v>
      </c>
      <c r="AY131" s="449">
        <v>3970.1166639399994</v>
      </c>
      <c r="AZ131" s="449">
        <v>3970.1166639399994</v>
      </c>
      <c r="BA131" s="449">
        <v>3970.1166639399994</v>
      </c>
      <c r="BB131" s="449">
        <v>3970.1166639399994</v>
      </c>
      <c r="BC131" s="449">
        <v>3970.1166639399994</v>
      </c>
      <c r="BD131" s="449">
        <v>3970.1166639399994</v>
      </c>
      <c r="BE131" s="449">
        <v>3970.1166639399994</v>
      </c>
      <c r="BF131" s="449">
        <v>3970.1166639399994</v>
      </c>
      <c r="BG131" s="449">
        <v>7940.2333278799988</v>
      </c>
      <c r="BH131" s="400"/>
      <c r="BI131" s="449">
        <v>0</v>
      </c>
      <c r="BJ131" s="449">
        <v>3970.1166639399994</v>
      </c>
      <c r="BK131" s="449">
        <v>3970.1166639399994</v>
      </c>
      <c r="BL131" s="771">
        <v>3970.1166639399994</v>
      </c>
      <c r="BM131" s="449">
        <v>3970.1166639399994</v>
      </c>
      <c r="BN131" s="449">
        <v>3970.1166639399994</v>
      </c>
      <c r="BO131" s="449">
        <v>3970.1166639399994</v>
      </c>
      <c r="BP131" s="449">
        <v>3970.1166639399994</v>
      </c>
      <c r="BQ131" s="449">
        <v>3970.1166639399994</v>
      </c>
      <c r="BR131" s="449">
        <v>3970.1166639399994</v>
      </c>
      <c r="BS131" s="449">
        <v>3970.1166639399994</v>
      </c>
      <c r="BT131" s="449">
        <v>7940.2333278799988</v>
      </c>
    </row>
    <row r="132" spans="1:72" hidden="1" x14ac:dyDescent="0.25">
      <c r="A132" s="502" t="s">
        <v>202</v>
      </c>
      <c r="B132" s="502" t="s">
        <v>203</v>
      </c>
      <c r="C132" s="596"/>
      <c r="D132" s="500">
        <v>0</v>
      </c>
      <c r="E132" s="449">
        <v>0</v>
      </c>
      <c r="F132" s="449">
        <v>0</v>
      </c>
      <c r="G132" s="421">
        <v>0</v>
      </c>
      <c r="H132" s="449">
        <v>0</v>
      </c>
      <c r="I132" s="449">
        <v>0</v>
      </c>
      <c r="J132" s="426">
        <v>0</v>
      </c>
      <c r="K132" s="421"/>
      <c r="L132" s="449">
        <v>0</v>
      </c>
      <c r="M132" s="449">
        <v>0</v>
      </c>
      <c r="N132" s="449">
        <v>0</v>
      </c>
      <c r="O132" s="449">
        <v>0</v>
      </c>
      <c r="P132" s="449">
        <v>0</v>
      </c>
      <c r="Q132" s="449">
        <v>0</v>
      </c>
      <c r="R132" s="449">
        <v>0</v>
      </c>
      <c r="S132" s="449">
        <v>0</v>
      </c>
      <c r="T132" s="449">
        <v>0</v>
      </c>
      <c r="U132" s="449">
        <v>0</v>
      </c>
      <c r="V132" s="449">
        <v>0</v>
      </c>
      <c r="W132" s="449">
        <v>0</v>
      </c>
      <c r="X132" s="449"/>
      <c r="Y132" s="449">
        <v>0</v>
      </c>
      <c r="Z132" s="531"/>
      <c r="AA132" s="449">
        <v>0</v>
      </c>
      <c r="AB132" s="449">
        <v>0</v>
      </c>
      <c r="AC132" s="449">
        <v>0</v>
      </c>
      <c r="AD132" s="449">
        <v>0</v>
      </c>
      <c r="AE132" s="449">
        <v>0</v>
      </c>
      <c r="AF132" s="449">
        <v>0</v>
      </c>
      <c r="AG132" s="449">
        <v>0</v>
      </c>
      <c r="AH132" s="449">
        <v>0</v>
      </c>
      <c r="AI132" s="449">
        <v>0</v>
      </c>
      <c r="AJ132" s="449">
        <v>0</v>
      </c>
      <c r="AK132" s="449">
        <v>0</v>
      </c>
      <c r="AL132" s="449">
        <v>0</v>
      </c>
      <c r="AM132" s="400"/>
      <c r="AN132" s="500">
        <v>0</v>
      </c>
      <c r="AO132" s="449">
        <v>0</v>
      </c>
      <c r="AP132" s="449">
        <v>0</v>
      </c>
      <c r="AQ132" s="453" t="s">
        <v>1519</v>
      </c>
      <c r="AR132" s="449">
        <v>0</v>
      </c>
      <c r="AS132" s="449">
        <v>0</v>
      </c>
      <c r="AT132" s="426">
        <v>0</v>
      </c>
      <c r="AU132" s="421"/>
      <c r="AV132" s="449">
        <v>0</v>
      </c>
      <c r="AW132" s="449">
        <v>0</v>
      </c>
      <c r="AX132" s="449">
        <v>0</v>
      </c>
      <c r="AY132" s="449">
        <v>0</v>
      </c>
      <c r="AZ132" s="449">
        <v>0</v>
      </c>
      <c r="BA132" s="449">
        <v>0</v>
      </c>
      <c r="BB132" s="449">
        <v>0</v>
      </c>
      <c r="BC132" s="449">
        <v>0</v>
      </c>
      <c r="BD132" s="449">
        <v>0</v>
      </c>
      <c r="BE132" s="449">
        <v>0</v>
      </c>
      <c r="BF132" s="449">
        <v>0</v>
      </c>
      <c r="BG132" s="449">
        <v>0</v>
      </c>
      <c r="BH132" s="400"/>
      <c r="BI132" s="449">
        <v>0</v>
      </c>
      <c r="BJ132" s="449">
        <v>0</v>
      </c>
      <c r="BK132" s="449">
        <v>0</v>
      </c>
      <c r="BL132" s="771">
        <v>0</v>
      </c>
      <c r="BM132" s="449">
        <v>0</v>
      </c>
      <c r="BN132" s="449">
        <v>0</v>
      </c>
      <c r="BO132" s="449">
        <v>0</v>
      </c>
      <c r="BP132" s="449">
        <v>0</v>
      </c>
      <c r="BQ132" s="449">
        <v>0</v>
      </c>
      <c r="BR132" s="449">
        <v>0</v>
      </c>
      <c r="BS132" s="449">
        <v>0</v>
      </c>
      <c r="BT132" s="449">
        <v>0</v>
      </c>
    </row>
    <row r="133" spans="1:72" hidden="1" x14ac:dyDescent="0.25">
      <c r="A133" s="502" t="s">
        <v>204</v>
      </c>
      <c r="B133" s="502" t="s">
        <v>205</v>
      </c>
      <c r="C133" s="596"/>
      <c r="D133" s="500">
        <v>0</v>
      </c>
      <c r="E133" s="449">
        <v>0</v>
      </c>
      <c r="F133" s="449">
        <v>0</v>
      </c>
      <c r="G133" s="421">
        <v>0</v>
      </c>
      <c r="H133" s="449">
        <v>0</v>
      </c>
      <c r="I133" s="449">
        <v>0</v>
      </c>
      <c r="J133" s="426">
        <v>0</v>
      </c>
      <c r="K133" s="421"/>
      <c r="L133" s="449">
        <v>0</v>
      </c>
      <c r="M133" s="449">
        <v>0</v>
      </c>
      <c r="N133" s="449">
        <v>0</v>
      </c>
      <c r="O133" s="449">
        <v>0</v>
      </c>
      <c r="P133" s="449">
        <v>0</v>
      </c>
      <c r="Q133" s="449">
        <v>0</v>
      </c>
      <c r="R133" s="449">
        <v>0</v>
      </c>
      <c r="S133" s="449">
        <v>0</v>
      </c>
      <c r="T133" s="449">
        <v>0</v>
      </c>
      <c r="U133" s="449">
        <v>0</v>
      </c>
      <c r="V133" s="449">
        <v>0</v>
      </c>
      <c r="W133" s="449">
        <v>0</v>
      </c>
      <c r="X133" s="449"/>
      <c r="Y133" s="449">
        <v>0</v>
      </c>
      <c r="Z133" s="531"/>
      <c r="AA133" s="449">
        <v>0</v>
      </c>
      <c r="AB133" s="449">
        <v>0</v>
      </c>
      <c r="AC133" s="449">
        <v>0</v>
      </c>
      <c r="AD133" s="449">
        <v>0</v>
      </c>
      <c r="AE133" s="449">
        <v>0</v>
      </c>
      <c r="AF133" s="449">
        <v>0</v>
      </c>
      <c r="AG133" s="449">
        <v>0</v>
      </c>
      <c r="AH133" s="449">
        <v>0</v>
      </c>
      <c r="AI133" s="449">
        <v>0</v>
      </c>
      <c r="AJ133" s="449">
        <v>0</v>
      </c>
      <c r="AK133" s="449">
        <v>0</v>
      </c>
      <c r="AL133" s="449">
        <v>0</v>
      </c>
      <c r="AM133" s="400"/>
      <c r="AN133" s="500">
        <v>0</v>
      </c>
      <c r="AO133" s="449">
        <v>0</v>
      </c>
      <c r="AP133" s="449">
        <v>0</v>
      </c>
      <c r="AQ133" s="453" t="s">
        <v>1519</v>
      </c>
      <c r="AR133" s="449">
        <v>0</v>
      </c>
      <c r="AS133" s="449">
        <v>0</v>
      </c>
      <c r="AT133" s="426">
        <v>0</v>
      </c>
      <c r="AU133" s="421"/>
      <c r="AV133" s="449">
        <v>0</v>
      </c>
      <c r="AW133" s="449">
        <v>0</v>
      </c>
      <c r="AX133" s="449">
        <v>0</v>
      </c>
      <c r="AY133" s="449">
        <v>0</v>
      </c>
      <c r="AZ133" s="449">
        <v>0</v>
      </c>
      <c r="BA133" s="449">
        <v>0</v>
      </c>
      <c r="BB133" s="449">
        <v>0</v>
      </c>
      <c r="BC133" s="449">
        <v>0</v>
      </c>
      <c r="BD133" s="449">
        <v>0</v>
      </c>
      <c r="BE133" s="449">
        <v>0</v>
      </c>
      <c r="BF133" s="449">
        <v>0</v>
      </c>
      <c r="BG133" s="449">
        <v>0</v>
      </c>
      <c r="BH133" s="400"/>
      <c r="BI133" s="449">
        <v>0</v>
      </c>
      <c r="BJ133" s="449">
        <v>0</v>
      </c>
      <c r="BK133" s="449">
        <v>0</v>
      </c>
      <c r="BL133" s="771">
        <v>0</v>
      </c>
      <c r="BM133" s="449">
        <v>0</v>
      </c>
      <c r="BN133" s="449">
        <v>0</v>
      </c>
      <c r="BO133" s="449">
        <v>0</v>
      </c>
      <c r="BP133" s="449">
        <v>0</v>
      </c>
      <c r="BQ133" s="449">
        <v>0</v>
      </c>
      <c r="BR133" s="449">
        <v>0</v>
      </c>
      <c r="BS133" s="449">
        <v>0</v>
      </c>
      <c r="BT133" s="449">
        <v>0</v>
      </c>
    </row>
    <row r="134" spans="1:72" hidden="1" x14ac:dyDescent="0.25">
      <c r="A134" s="502" t="s">
        <v>206</v>
      </c>
      <c r="B134" s="502" t="s">
        <v>207</v>
      </c>
      <c r="C134" s="596"/>
      <c r="D134" s="500">
        <v>0</v>
      </c>
      <c r="E134" s="449">
        <v>0</v>
      </c>
      <c r="F134" s="449">
        <v>0</v>
      </c>
      <c r="G134" s="421">
        <v>0</v>
      </c>
      <c r="H134" s="449">
        <v>0</v>
      </c>
      <c r="I134" s="449">
        <v>0</v>
      </c>
      <c r="J134" s="426">
        <v>0</v>
      </c>
      <c r="K134" s="421"/>
      <c r="L134" s="449">
        <v>0</v>
      </c>
      <c r="M134" s="449">
        <v>0</v>
      </c>
      <c r="N134" s="449">
        <v>0</v>
      </c>
      <c r="O134" s="449">
        <v>0</v>
      </c>
      <c r="P134" s="449">
        <v>0</v>
      </c>
      <c r="Q134" s="449">
        <v>0</v>
      </c>
      <c r="R134" s="449">
        <v>0</v>
      </c>
      <c r="S134" s="449">
        <v>0</v>
      </c>
      <c r="T134" s="449">
        <v>0</v>
      </c>
      <c r="U134" s="449">
        <v>0</v>
      </c>
      <c r="V134" s="449">
        <v>0</v>
      </c>
      <c r="W134" s="449">
        <v>0</v>
      </c>
      <c r="X134" s="449"/>
      <c r="Y134" s="449">
        <v>0</v>
      </c>
      <c r="Z134" s="531"/>
      <c r="AA134" s="449">
        <v>0</v>
      </c>
      <c r="AB134" s="449">
        <v>0</v>
      </c>
      <c r="AC134" s="449">
        <v>0</v>
      </c>
      <c r="AD134" s="449">
        <v>0</v>
      </c>
      <c r="AE134" s="449">
        <v>0</v>
      </c>
      <c r="AF134" s="449">
        <v>0</v>
      </c>
      <c r="AG134" s="449">
        <v>0</v>
      </c>
      <c r="AH134" s="449">
        <v>0</v>
      </c>
      <c r="AI134" s="449">
        <v>0</v>
      </c>
      <c r="AJ134" s="449">
        <v>0</v>
      </c>
      <c r="AK134" s="449">
        <v>0</v>
      </c>
      <c r="AL134" s="449">
        <v>0</v>
      </c>
      <c r="AM134" s="400"/>
      <c r="AN134" s="500">
        <v>0</v>
      </c>
      <c r="AO134" s="449">
        <v>0</v>
      </c>
      <c r="AP134" s="449">
        <v>0</v>
      </c>
      <c r="AQ134" s="453" t="s">
        <v>1519</v>
      </c>
      <c r="AR134" s="449">
        <v>0</v>
      </c>
      <c r="AS134" s="449">
        <v>0</v>
      </c>
      <c r="AT134" s="426">
        <v>0</v>
      </c>
      <c r="AU134" s="421"/>
      <c r="AV134" s="449">
        <v>0</v>
      </c>
      <c r="AW134" s="449">
        <v>0</v>
      </c>
      <c r="AX134" s="449">
        <v>0</v>
      </c>
      <c r="AY134" s="449">
        <v>0</v>
      </c>
      <c r="AZ134" s="449">
        <v>0</v>
      </c>
      <c r="BA134" s="449">
        <v>0</v>
      </c>
      <c r="BB134" s="449">
        <v>0</v>
      </c>
      <c r="BC134" s="449">
        <v>0</v>
      </c>
      <c r="BD134" s="449">
        <v>0</v>
      </c>
      <c r="BE134" s="449">
        <v>0</v>
      </c>
      <c r="BF134" s="449">
        <v>0</v>
      </c>
      <c r="BG134" s="449">
        <v>0</v>
      </c>
      <c r="BH134" s="400"/>
      <c r="BI134" s="449">
        <v>0</v>
      </c>
      <c r="BJ134" s="449">
        <v>0</v>
      </c>
      <c r="BK134" s="449">
        <v>0</v>
      </c>
      <c r="BL134" s="771">
        <v>0</v>
      </c>
      <c r="BM134" s="449">
        <v>0</v>
      </c>
      <c r="BN134" s="449">
        <v>0</v>
      </c>
      <c r="BO134" s="449">
        <v>0</v>
      </c>
      <c r="BP134" s="449">
        <v>0</v>
      </c>
      <c r="BQ134" s="449">
        <v>0</v>
      </c>
      <c r="BR134" s="449">
        <v>0</v>
      </c>
      <c r="BS134" s="449">
        <v>0</v>
      </c>
      <c r="BT134" s="449">
        <v>0</v>
      </c>
    </row>
    <row r="135" spans="1:72" hidden="1" x14ac:dyDescent="0.25">
      <c r="A135" s="502" t="s">
        <v>208</v>
      </c>
      <c r="B135" s="502" t="s">
        <v>209</v>
      </c>
      <c r="C135" s="596"/>
      <c r="D135" s="500">
        <v>0</v>
      </c>
      <c r="E135" s="449">
        <v>0</v>
      </c>
      <c r="F135" s="449">
        <v>0</v>
      </c>
      <c r="G135" s="421">
        <v>0</v>
      </c>
      <c r="H135" s="449">
        <v>0</v>
      </c>
      <c r="I135" s="449">
        <v>0</v>
      </c>
      <c r="J135" s="426">
        <v>0</v>
      </c>
      <c r="K135" s="421"/>
      <c r="L135" s="449">
        <v>0</v>
      </c>
      <c r="M135" s="449">
        <v>0</v>
      </c>
      <c r="N135" s="449">
        <v>0</v>
      </c>
      <c r="O135" s="449">
        <v>0</v>
      </c>
      <c r="P135" s="449">
        <v>0</v>
      </c>
      <c r="Q135" s="449">
        <v>0</v>
      </c>
      <c r="R135" s="449">
        <v>0</v>
      </c>
      <c r="S135" s="449">
        <v>0</v>
      </c>
      <c r="T135" s="449">
        <v>0</v>
      </c>
      <c r="U135" s="449">
        <v>0</v>
      </c>
      <c r="V135" s="449">
        <v>0</v>
      </c>
      <c r="W135" s="449">
        <v>0</v>
      </c>
      <c r="X135" s="449"/>
      <c r="Y135" s="449">
        <v>0</v>
      </c>
      <c r="Z135" s="531"/>
      <c r="AA135" s="449">
        <v>0</v>
      </c>
      <c r="AB135" s="449">
        <v>0</v>
      </c>
      <c r="AC135" s="449">
        <v>0</v>
      </c>
      <c r="AD135" s="449">
        <v>0</v>
      </c>
      <c r="AE135" s="449">
        <v>0</v>
      </c>
      <c r="AF135" s="449">
        <v>0</v>
      </c>
      <c r="AG135" s="449">
        <v>0</v>
      </c>
      <c r="AH135" s="449">
        <v>0</v>
      </c>
      <c r="AI135" s="449">
        <v>0</v>
      </c>
      <c r="AJ135" s="449">
        <v>0</v>
      </c>
      <c r="AK135" s="449">
        <v>0</v>
      </c>
      <c r="AL135" s="449">
        <v>0</v>
      </c>
      <c r="AM135" s="400"/>
      <c r="AN135" s="500">
        <v>0</v>
      </c>
      <c r="AO135" s="449">
        <v>0</v>
      </c>
      <c r="AP135" s="449">
        <v>0</v>
      </c>
      <c r="AQ135" s="453" t="s">
        <v>1519</v>
      </c>
      <c r="AR135" s="449">
        <v>0</v>
      </c>
      <c r="AS135" s="449">
        <v>0</v>
      </c>
      <c r="AT135" s="426">
        <v>0</v>
      </c>
      <c r="AU135" s="421"/>
      <c r="AV135" s="449">
        <v>0</v>
      </c>
      <c r="AW135" s="449">
        <v>0</v>
      </c>
      <c r="AX135" s="449">
        <v>0</v>
      </c>
      <c r="AY135" s="449">
        <v>0</v>
      </c>
      <c r="AZ135" s="449">
        <v>0</v>
      </c>
      <c r="BA135" s="449">
        <v>0</v>
      </c>
      <c r="BB135" s="449">
        <v>0</v>
      </c>
      <c r="BC135" s="449">
        <v>0</v>
      </c>
      <c r="BD135" s="449">
        <v>0</v>
      </c>
      <c r="BE135" s="449">
        <v>0</v>
      </c>
      <c r="BF135" s="449">
        <v>0</v>
      </c>
      <c r="BG135" s="449">
        <v>0</v>
      </c>
      <c r="BH135" s="400"/>
      <c r="BI135" s="449">
        <v>0</v>
      </c>
      <c r="BJ135" s="449">
        <v>0</v>
      </c>
      <c r="BK135" s="449">
        <v>0</v>
      </c>
      <c r="BL135" s="771">
        <v>0</v>
      </c>
      <c r="BM135" s="449">
        <v>0</v>
      </c>
      <c r="BN135" s="449">
        <v>0</v>
      </c>
      <c r="BO135" s="449">
        <v>0</v>
      </c>
      <c r="BP135" s="449">
        <v>0</v>
      </c>
      <c r="BQ135" s="449">
        <v>0</v>
      </c>
      <c r="BR135" s="449">
        <v>0</v>
      </c>
      <c r="BS135" s="449">
        <v>0</v>
      </c>
      <c r="BT135" s="449">
        <v>0</v>
      </c>
    </row>
    <row r="136" spans="1:72" x14ac:dyDescent="0.25">
      <c r="A136" s="502" t="s">
        <v>210</v>
      </c>
      <c r="B136" s="502" t="s">
        <v>211</v>
      </c>
      <c r="C136" s="596"/>
      <c r="D136" s="500">
        <v>6062</v>
      </c>
      <c r="E136" s="449">
        <v>6360</v>
      </c>
      <c r="F136" s="449">
        <v>-298</v>
      </c>
      <c r="G136" s="421">
        <v>-4.6855345911949682E-2</v>
      </c>
      <c r="H136" s="449">
        <v>6062</v>
      </c>
      <c r="I136" s="449">
        <v>0</v>
      </c>
      <c r="J136" s="426">
        <v>0</v>
      </c>
      <c r="K136" s="421"/>
      <c r="L136" s="449">
        <v>0</v>
      </c>
      <c r="M136" s="449">
        <v>278.98</v>
      </c>
      <c r="N136" s="449">
        <v>244.10000000000002</v>
      </c>
      <c r="O136" s="449">
        <v>232.4799999999999</v>
      </c>
      <c r="P136" s="449">
        <v>232.48000000000002</v>
      </c>
      <c r="Q136" s="449">
        <v>290.60000000000014</v>
      </c>
      <c r="R136" s="449">
        <v>797.22666666666657</v>
      </c>
      <c r="S136" s="449">
        <v>797.22666666666669</v>
      </c>
      <c r="T136" s="449">
        <v>797.22666666666669</v>
      </c>
      <c r="U136" s="449">
        <v>797.2266666666668</v>
      </c>
      <c r="V136" s="449">
        <v>797.22666666666692</v>
      </c>
      <c r="W136" s="449">
        <v>797.22666666666737</v>
      </c>
      <c r="X136" s="449"/>
      <c r="Y136" s="449">
        <v>6062</v>
      </c>
      <c r="Z136" s="531"/>
      <c r="AA136" s="449">
        <v>505.16666666666669</v>
      </c>
      <c r="AB136" s="449">
        <v>505.16666666666669</v>
      </c>
      <c r="AC136" s="449">
        <v>505.16666666666669</v>
      </c>
      <c r="AD136" s="449">
        <v>505.16666666666669</v>
      </c>
      <c r="AE136" s="449">
        <v>505.16666666666669</v>
      </c>
      <c r="AF136" s="449">
        <v>505.16666666666669</v>
      </c>
      <c r="AG136" s="449">
        <v>505.16666666666669</v>
      </c>
      <c r="AH136" s="449">
        <v>505.16666666666669</v>
      </c>
      <c r="AI136" s="449">
        <v>505.16666666666669</v>
      </c>
      <c r="AJ136" s="449">
        <v>505.16666666666669</v>
      </c>
      <c r="AK136" s="449">
        <v>505.16666666666669</v>
      </c>
      <c r="AL136" s="449">
        <v>505.16666666666669</v>
      </c>
      <c r="AM136" s="400"/>
      <c r="AN136" s="500">
        <v>6062</v>
      </c>
      <c r="AO136" s="449">
        <v>12487.919999999998</v>
      </c>
      <c r="AP136" s="449">
        <v>6425.9199999999983</v>
      </c>
      <c r="AQ136" s="453">
        <v>1.0600329924117451</v>
      </c>
      <c r="AR136" s="449">
        <v>12487.919999999998</v>
      </c>
      <c r="AS136" s="449">
        <v>0</v>
      </c>
      <c r="AT136" s="426">
        <v>0</v>
      </c>
      <c r="AU136" s="421"/>
      <c r="AV136" s="449">
        <v>0</v>
      </c>
      <c r="AW136" s="449">
        <v>1040.6599999999999</v>
      </c>
      <c r="AX136" s="449">
        <v>1040.6599999999999</v>
      </c>
      <c r="AY136" s="449">
        <v>1040.6599999999999</v>
      </c>
      <c r="AZ136" s="449">
        <v>1040.6599999999999</v>
      </c>
      <c r="BA136" s="449">
        <v>1040.6599999999999</v>
      </c>
      <c r="BB136" s="449">
        <v>1040.6599999999999</v>
      </c>
      <c r="BC136" s="449">
        <v>1040.6599999999999</v>
      </c>
      <c r="BD136" s="449">
        <v>1040.6599999999999</v>
      </c>
      <c r="BE136" s="449">
        <v>1040.6599999999999</v>
      </c>
      <c r="BF136" s="449">
        <v>1040.6599999999999</v>
      </c>
      <c r="BG136" s="449">
        <v>2081.3199999999997</v>
      </c>
      <c r="BH136" s="400"/>
      <c r="BI136" s="449">
        <v>0</v>
      </c>
      <c r="BJ136" s="449">
        <v>1040.6599999999999</v>
      </c>
      <c r="BK136" s="449">
        <v>1040.6599999999999</v>
      </c>
      <c r="BL136" s="771">
        <v>1040.6599999999999</v>
      </c>
      <c r="BM136" s="449">
        <v>1040.6599999999999</v>
      </c>
      <c r="BN136" s="449">
        <v>1040.6599999999999</v>
      </c>
      <c r="BO136" s="449">
        <v>1040.6599999999999</v>
      </c>
      <c r="BP136" s="449">
        <v>1040.6599999999999</v>
      </c>
      <c r="BQ136" s="449">
        <v>1040.6599999999999</v>
      </c>
      <c r="BR136" s="449">
        <v>1040.6599999999999</v>
      </c>
      <c r="BS136" s="449">
        <v>1040.6599999999999</v>
      </c>
      <c r="BT136" s="449">
        <v>2081.3199999999997</v>
      </c>
    </row>
    <row r="137" spans="1:72" x14ac:dyDescent="0.25">
      <c r="A137" s="502" t="s">
        <v>212</v>
      </c>
      <c r="B137" s="502" t="s">
        <v>213</v>
      </c>
      <c r="C137" s="596"/>
      <c r="D137" s="500">
        <v>77000</v>
      </c>
      <c r="E137" s="449">
        <v>32150</v>
      </c>
      <c r="F137" s="449">
        <v>44850</v>
      </c>
      <c r="G137" s="421">
        <v>1.3950233281493001</v>
      </c>
      <c r="H137" s="449">
        <v>77000</v>
      </c>
      <c r="I137" s="449">
        <v>0</v>
      </c>
      <c r="J137" s="426">
        <v>0</v>
      </c>
      <c r="K137" s="421"/>
      <c r="L137" s="449">
        <v>21976.44</v>
      </c>
      <c r="M137" s="449">
        <v>214.9800000000032</v>
      </c>
      <c r="N137" s="449">
        <v>0</v>
      </c>
      <c r="O137" s="449">
        <v>0</v>
      </c>
      <c r="P137" s="449">
        <v>615</v>
      </c>
      <c r="Q137" s="449">
        <v>1516.25</v>
      </c>
      <c r="R137" s="449">
        <v>8779.5550000000003</v>
      </c>
      <c r="S137" s="449">
        <v>8779.5549999999985</v>
      </c>
      <c r="T137" s="449">
        <v>8779.5549999999985</v>
      </c>
      <c r="U137" s="449">
        <v>8779.5549999999985</v>
      </c>
      <c r="V137" s="449">
        <v>8779.5549999999967</v>
      </c>
      <c r="W137" s="449">
        <v>8779.554999999993</v>
      </c>
      <c r="X137" s="449"/>
      <c r="Y137" s="449">
        <v>77000</v>
      </c>
      <c r="Z137" s="531"/>
      <c r="AA137" s="449">
        <v>6416.666666666667</v>
      </c>
      <c r="AB137" s="449">
        <v>6416.666666666667</v>
      </c>
      <c r="AC137" s="449">
        <v>6416.666666666667</v>
      </c>
      <c r="AD137" s="449">
        <v>6416.666666666667</v>
      </c>
      <c r="AE137" s="449">
        <v>6416.666666666667</v>
      </c>
      <c r="AF137" s="449">
        <v>6416.666666666667</v>
      </c>
      <c r="AG137" s="449">
        <v>6416.666666666667</v>
      </c>
      <c r="AH137" s="449">
        <v>6416.666666666667</v>
      </c>
      <c r="AI137" s="449">
        <v>6416.666666666667</v>
      </c>
      <c r="AJ137" s="449">
        <v>6416.666666666667</v>
      </c>
      <c r="AK137" s="449">
        <v>6416.666666666667</v>
      </c>
      <c r="AL137" s="449">
        <v>6416.666666666667</v>
      </c>
      <c r="AM137" s="400"/>
      <c r="AN137" s="500">
        <v>77000</v>
      </c>
      <c r="AO137" s="449">
        <v>46240</v>
      </c>
      <c r="AP137" s="449">
        <v>-30760</v>
      </c>
      <c r="AQ137" s="453">
        <v>-0.39948051948051949</v>
      </c>
      <c r="AR137" s="449">
        <v>46240</v>
      </c>
      <c r="AS137" s="449">
        <v>0</v>
      </c>
      <c r="AT137" s="426">
        <v>0</v>
      </c>
      <c r="AU137" s="421"/>
      <c r="AV137" s="449">
        <v>9248.0000000000036</v>
      </c>
      <c r="AW137" s="449">
        <v>9248.0000000000036</v>
      </c>
      <c r="AX137" s="449">
        <v>6165.3333333333348</v>
      </c>
      <c r="AY137" s="449">
        <v>6165.3333333333348</v>
      </c>
      <c r="AZ137" s="449">
        <v>6165.3333333333348</v>
      </c>
      <c r="BA137" s="449">
        <v>1321.1428571428576</v>
      </c>
      <c r="BB137" s="449">
        <v>1321.1428571428576</v>
      </c>
      <c r="BC137" s="449">
        <v>1321.1428571428576</v>
      </c>
      <c r="BD137" s="449">
        <v>1321.1428571428576</v>
      </c>
      <c r="BE137" s="449">
        <v>1321.1428571428576</v>
      </c>
      <c r="BF137" s="449">
        <v>1321.1428571428576</v>
      </c>
      <c r="BG137" s="449">
        <v>1321.1428571428576</v>
      </c>
      <c r="BH137" s="400"/>
      <c r="BI137" s="449">
        <v>9248.0000000000036</v>
      </c>
      <c r="BJ137" s="449">
        <v>9248.0000000000036</v>
      </c>
      <c r="BK137" s="449">
        <v>6165.3333333333348</v>
      </c>
      <c r="BL137" s="771">
        <v>6165.3333333333348</v>
      </c>
      <c r="BM137" s="449">
        <v>6165.3333333333348</v>
      </c>
      <c r="BN137" s="449">
        <v>1321.1428571428576</v>
      </c>
      <c r="BO137" s="449">
        <v>1321.1428571428576</v>
      </c>
      <c r="BP137" s="449">
        <v>1321.1428571428576</v>
      </c>
      <c r="BQ137" s="449">
        <v>1321.1428571428576</v>
      </c>
      <c r="BR137" s="449">
        <v>1321.1428571428576</v>
      </c>
      <c r="BS137" s="449">
        <v>1321.1428571428576</v>
      </c>
      <c r="BT137" s="449">
        <v>1321.1428571428576</v>
      </c>
    </row>
    <row r="138" spans="1:72" x14ac:dyDescent="0.25">
      <c r="A138" s="537" t="s">
        <v>214</v>
      </c>
      <c r="B138" s="537" t="s">
        <v>215</v>
      </c>
      <c r="C138" s="596"/>
      <c r="D138" s="500">
        <v>0</v>
      </c>
      <c r="E138" s="449">
        <v>0</v>
      </c>
      <c r="F138" s="449">
        <v>0</v>
      </c>
      <c r="G138" s="421">
        <v>0</v>
      </c>
      <c r="H138" s="449">
        <v>0</v>
      </c>
      <c r="I138" s="449">
        <v>0</v>
      </c>
      <c r="J138" s="426">
        <v>0</v>
      </c>
      <c r="K138" s="421"/>
      <c r="L138" s="449">
        <v>0</v>
      </c>
      <c r="M138" s="449">
        <v>0</v>
      </c>
      <c r="N138" s="449">
        <v>0</v>
      </c>
      <c r="O138" s="449">
        <v>0</v>
      </c>
      <c r="P138" s="449">
        <v>0</v>
      </c>
      <c r="Q138" s="449">
        <v>0</v>
      </c>
      <c r="R138" s="449">
        <v>0</v>
      </c>
      <c r="S138" s="449">
        <v>0</v>
      </c>
      <c r="T138" s="449">
        <v>0</v>
      </c>
      <c r="U138" s="449">
        <v>0</v>
      </c>
      <c r="V138" s="449">
        <v>0</v>
      </c>
      <c r="W138" s="449">
        <v>0</v>
      </c>
      <c r="X138" s="449"/>
      <c r="Y138" s="449">
        <v>0</v>
      </c>
      <c r="Z138" s="531"/>
      <c r="AA138" s="449">
        <v>0</v>
      </c>
      <c r="AB138" s="449">
        <v>0</v>
      </c>
      <c r="AC138" s="449">
        <v>0</v>
      </c>
      <c r="AD138" s="449">
        <v>0</v>
      </c>
      <c r="AE138" s="449">
        <v>0</v>
      </c>
      <c r="AF138" s="449">
        <v>0</v>
      </c>
      <c r="AG138" s="449">
        <v>0</v>
      </c>
      <c r="AH138" s="449">
        <v>0</v>
      </c>
      <c r="AI138" s="449">
        <v>0</v>
      </c>
      <c r="AJ138" s="449">
        <v>0</v>
      </c>
      <c r="AK138" s="449">
        <v>0</v>
      </c>
      <c r="AL138" s="449">
        <v>0</v>
      </c>
      <c r="AM138" s="400"/>
      <c r="AN138" s="500">
        <v>0</v>
      </c>
      <c r="AO138" s="449">
        <v>0</v>
      </c>
      <c r="AP138" s="449">
        <v>0</v>
      </c>
      <c r="AQ138" s="453" t="s">
        <v>1519</v>
      </c>
      <c r="AR138" s="449">
        <v>0</v>
      </c>
      <c r="AS138" s="449">
        <v>0</v>
      </c>
      <c r="AT138" s="426">
        <v>0</v>
      </c>
      <c r="AU138" s="421"/>
      <c r="AV138" s="449">
        <v>0</v>
      </c>
      <c r="AW138" s="449">
        <v>0</v>
      </c>
      <c r="AX138" s="449">
        <v>0</v>
      </c>
      <c r="AY138" s="449">
        <v>0</v>
      </c>
      <c r="AZ138" s="449">
        <v>0</v>
      </c>
      <c r="BA138" s="449">
        <v>0</v>
      </c>
      <c r="BB138" s="449">
        <v>0</v>
      </c>
      <c r="BC138" s="449">
        <v>0</v>
      </c>
      <c r="BD138" s="449">
        <v>0</v>
      </c>
      <c r="BE138" s="449">
        <v>0</v>
      </c>
      <c r="BF138" s="449">
        <v>0</v>
      </c>
      <c r="BG138" s="449">
        <v>0</v>
      </c>
      <c r="BH138" s="400"/>
      <c r="BI138" s="449">
        <v>0</v>
      </c>
      <c r="BJ138" s="449">
        <v>0</v>
      </c>
      <c r="BK138" s="449">
        <v>0</v>
      </c>
      <c r="BL138" s="771">
        <v>0</v>
      </c>
      <c r="BM138" s="449">
        <v>0</v>
      </c>
      <c r="BN138" s="449">
        <v>0</v>
      </c>
      <c r="BO138" s="449">
        <v>0</v>
      </c>
      <c r="BP138" s="449">
        <v>0</v>
      </c>
      <c r="BQ138" s="449">
        <v>0</v>
      </c>
      <c r="BR138" s="449">
        <v>0</v>
      </c>
      <c r="BS138" s="449">
        <v>0</v>
      </c>
      <c r="BT138" s="449">
        <v>0</v>
      </c>
    </row>
    <row r="139" spans="1:72" x14ac:dyDescent="0.25">
      <c r="A139" s="537" t="s">
        <v>216</v>
      </c>
      <c r="B139" s="537" t="s">
        <v>217</v>
      </c>
      <c r="C139" s="596"/>
      <c r="D139" s="500">
        <v>0</v>
      </c>
      <c r="E139" s="449">
        <v>0</v>
      </c>
      <c r="F139" s="449">
        <v>0</v>
      </c>
      <c r="G139" s="421">
        <v>0</v>
      </c>
      <c r="H139" s="449">
        <v>0</v>
      </c>
      <c r="I139" s="449">
        <v>0</v>
      </c>
      <c r="J139" s="426">
        <v>0</v>
      </c>
      <c r="K139" s="421"/>
      <c r="L139" s="449">
        <v>0</v>
      </c>
      <c r="M139" s="449">
        <v>0</v>
      </c>
      <c r="N139" s="449">
        <v>0</v>
      </c>
      <c r="O139" s="449">
        <v>0</v>
      </c>
      <c r="P139" s="449">
        <v>0</v>
      </c>
      <c r="Q139" s="449">
        <v>0</v>
      </c>
      <c r="R139" s="449">
        <v>0</v>
      </c>
      <c r="S139" s="449">
        <v>0</v>
      </c>
      <c r="T139" s="449">
        <v>0</v>
      </c>
      <c r="U139" s="449">
        <v>0</v>
      </c>
      <c r="V139" s="449">
        <v>0</v>
      </c>
      <c r="W139" s="449">
        <v>0</v>
      </c>
      <c r="X139" s="449"/>
      <c r="Y139" s="449">
        <v>0</v>
      </c>
      <c r="Z139" s="531"/>
      <c r="AA139" s="449">
        <v>0</v>
      </c>
      <c r="AB139" s="449">
        <v>0</v>
      </c>
      <c r="AC139" s="449">
        <v>0</v>
      </c>
      <c r="AD139" s="449">
        <v>0</v>
      </c>
      <c r="AE139" s="449">
        <v>0</v>
      </c>
      <c r="AF139" s="449">
        <v>0</v>
      </c>
      <c r="AG139" s="449">
        <v>0</v>
      </c>
      <c r="AH139" s="449">
        <v>0</v>
      </c>
      <c r="AI139" s="449">
        <v>0</v>
      </c>
      <c r="AJ139" s="449">
        <v>0</v>
      </c>
      <c r="AK139" s="449">
        <v>0</v>
      </c>
      <c r="AL139" s="449">
        <v>0</v>
      </c>
      <c r="AM139" s="400"/>
      <c r="AN139" s="500">
        <v>0</v>
      </c>
      <c r="AO139" s="449">
        <v>15228.915662650606</v>
      </c>
      <c r="AP139" s="449">
        <v>15228.915662650606</v>
      </c>
      <c r="AQ139" s="453" t="s">
        <v>1519</v>
      </c>
      <c r="AR139" s="449">
        <v>15228.915662650606</v>
      </c>
      <c r="AS139" s="449">
        <v>0</v>
      </c>
      <c r="AT139" s="426">
        <v>0</v>
      </c>
      <c r="AU139" s="421"/>
      <c r="AV139" s="449">
        <v>1269.0763052208836</v>
      </c>
      <c r="AW139" s="449">
        <v>1269.0763052208836</v>
      </c>
      <c r="AX139" s="449">
        <v>1269.0763052208836</v>
      </c>
      <c r="AY139" s="449">
        <v>1269.0763052208836</v>
      </c>
      <c r="AZ139" s="449">
        <v>1269.0763052208836</v>
      </c>
      <c r="BA139" s="449">
        <v>1269.0763052208836</v>
      </c>
      <c r="BB139" s="449">
        <v>1269.0763052208836</v>
      </c>
      <c r="BC139" s="449">
        <v>1269.0763052208836</v>
      </c>
      <c r="BD139" s="449">
        <v>1269.0763052208836</v>
      </c>
      <c r="BE139" s="449">
        <v>1269.0763052208836</v>
      </c>
      <c r="BF139" s="449">
        <v>1269.0763052208836</v>
      </c>
      <c r="BG139" s="449">
        <v>1269.0763052208836</v>
      </c>
      <c r="BH139" s="400"/>
      <c r="BI139" s="449">
        <v>1269.0763052208836</v>
      </c>
      <c r="BJ139" s="449">
        <v>1269.0763052208836</v>
      </c>
      <c r="BK139" s="449">
        <v>1269.0763052208836</v>
      </c>
      <c r="BL139" s="771">
        <v>1269.0763052208836</v>
      </c>
      <c r="BM139" s="449">
        <v>1269.0763052208836</v>
      </c>
      <c r="BN139" s="449">
        <v>1269.0763052208836</v>
      </c>
      <c r="BO139" s="449">
        <v>1269.0763052208836</v>
      </c>
      <c r="BP139" s="449">
        <v>1269.0763052208836</v>
      </c>
      <c r="BQ139" s="449">
        <v>1269.0763052208836</v>
      </c>
      <c r="BR139" s="449">
        <v>1269.0763052208836</v>
      </c>
      <c r="BS139" s="449">
        <v>1269.0763052208836</v>
      </c>
      <c r="BT139" s="449">
        <v>1269.0763052208836</v>
      </c>
    </row>
    <row r="140" spans="1:72" x14ac:dyDescent="0.25">
      <c r="A140" s="537" t="s">
        <v>218</v>
      </c>
      <c r="B140" s="537" t="s">
        <v>134</v>
      </c>
      <c r="C140" s="596"/>
      <c r="D140" s="500">
        <v>0</v>
      </c>
      <c r="E140" s="449">
        <v>0</v>
      </c>
      <c r="F140" s="449">
        <v>0</v>
      </c>
      <c r="G140" s="421">
        <v>0</v>
      </c>
      <c r="H140" s="449">
        <v>0</v>
      </c>
      <c r="I140" s="449">
        <v>0</v>
      </c>
      <c r="J140" s="426">
        <v>0</v>
      </c>
      <c r="K140" s="421"/>
      <c r="L140" s="449">
        <v>0</v>
      </c>
      <c r="M140" s="449">
        <v>0</v>
      </c>
      <c r="N140" s="449">
        <v>0</v>
      </c>
      <c r="O140" s="449">
        <v>0</v>
      </c>
      <c r="P140" s="449">
        <v>0</v>
      </c>
      <c r="Q140" s="449">
        <v>0</v>
      </c>
      <c r="R140" s="449">
        <v>0</v>
      </c>
      <c r="S140" s="449">
        <v>0</v>
      </c>
      <c r="T140" s="449">
        <v>0</v>
      </c>
      <c r="U140" s="449">
        <v>0</v>
      </c>
      <c r="V140" s="449">
        <v>0</v>
      </c>
      <c r="W140" s="449">
        <v>0</v>
      </c>
      <c r="X140" s="449"/>
      <c r="Y140" s="449">
        <v>0</v>
      </c>
      <c r="Z140" s="531"/>
      <c r="AA140" s="449">
        <v>0</v>
      </c>
      <c r="AB140" s="449">
        <v>0</v>
      </c>
      <c r="AC140" s="449">
        <v>0</v>
      </c>
      <c r="AD140" s="449">
        <v>0</v>
      </c>
      <c r="AE140" s="449">
        <v>0</v>
      </c>
      <c r="AF140" s="449">
        <v>0</v>
      </c>
      <c r="AG140" s="449">
        <v>0</v>
      </c>
      <c r="AH140" s="449">
        <v>0</v>
      </c>
      <c r="AI140" s="449">
        <v>0</v>
      </c>
      <c r="AJ140" s="449">
        <v>0</v>
      </c>
      <c r="AK140" s="449">
        <v>0</v>
      </c>
      <c r="AL140" s="449">
        <v>0</v>
      </c>
      <c r="AM140" s="400"/>
      <c r="AN140" s="500">
        <v>0</v>
      </c>
      <c r="AO140" s="449">
        <v>40000.000000000007</v>
      </c>
      <c r="AP140" s="449">
        <v>40000.000000000007</v>
      </c>
      <c r="AQ140" s="453" t="s">
        <v>1519</v>
      </c>
      <c r="AR140" s="449">
        <v>40000.000000000007</v>
      </c>
      <c r="AS140" s="449">
        <v>0</v>
      </c>
      <c r="AT140" s="426">
        <v>0</v>
      </c>
      <c r="AU140" s="421"/>
      <c r="AV140" s="449">
        <v>8000</v>
      </c>
      <c r="AW140" s="449">
        <v>8000</v>
      </c>
      <c r="AX140" s="449">
        <v>5333.333333333333</v>
      </c>
      <c r="AY140" s="449">
        <v>5333.333333333333</v>
      </c>
      <c r="AZ140" s="449">
        <v>5333.333333333333</v>
      </c>
      <c r="BA140" s="449">
        <v>1142.8571428571429</v>
      </c>
      <c r="BB140" s="449">
        <v>1142.8571428571429</v>
      </c>
      <c r="BC140" s="449">
        <v>1142.8571428571429</v>
      </c>
      <c r="BD140" s="449">
        <v>1142.8571428571429</v>
      </c>
      <c r="BE140" s="449">
        <v>1142.8571428571429</v>
      </c>
      <c r="BF140" s="449">
        <v>1142.8571428571429</v>
      </c>
      <c r="BG140" s="449">
        <v>1142.8571428571429</v>
      </c>
      <c r="BH140" s="400"/>
      <c r="BI140" s="449">
        <v>8000</v>
      </c>
      <c r="BJ140" s="449">
        <v>8000</v>
      </c>
      <c r="BK140" s="449">
        <v>5333.333333333333</v>
      </c>
      <c r="BL140" s="771">
        <v>5333.333333333333</v>
      </c>
      <c r="BM140" s="449">
        <v>5333.333333333333</v>
      </c>
      <c r="BN140" s="449">
        <v>1142.8571428571429</v>
      </c>
      <c r="BO140" s="449">
        <v>1142.8571428571429</v>
      </c>
      <c r="BP140" s="449">
        <v>1142.8571428571429</v>
      </c>
      <c r="BQ140" s="449">
        <v>1142.8571428571429</v>
      </c>
      <c r="BR140" s="449">
        <v>1142.8571428571429</v>
      </c>
      <c r="BS140" s="449">
        <v>1142.8571428571429</v>
      </c>
      <c r="BT140" s="449">
        <v>1142.8571428571429</v>
      </c>
    </row>
    <row r="141" spans="1:72" x14ac:dyDescent="0.25">
      <c r="A141" s="537" t="s">
        <v>219</v>
      </c>
      <c r="B141" s="537" t="s">
        <v>136</v>
      </c>
      <c r="C141" s="596"/>
      <c r="D141" s="500">
        <v>0</v>
      </c>
      <c r="E141" s="449">
        <v>0</v>
      </c>
      <c r="F141" s="449">
        <v>0</v>
      </c>
      <c r="G141" s="421">
        <v>0</v>
      </c>
      <c r="H141" s="449">
        <v>0</v>
      </c>
      <c r="I141" s="449">
        <v>0</v>
      </c>
      <c r="J141" s="426">
        <v>0</v>
      </c>
      <c r="K141" s="421"/>
      <c r="L141" s="449">
        <v>0</v>
      </c>
      <c r="M141" s="449">
        <v>0</v>
      </c>
      <c r="N141" s="449">
        <v>0</v>
      </c>
      <c r="O141" s="449">
        <v>0</v>
      </c>
      <c r="P141" s="449">
        <v>0</v>
      </c>
      <c r="Q141" s="449">
        <v>0</v>
      </c>
      <c r="R141" s="449">
        <v>0</v>
      </c>
      <c r="S141" s="449">
        <v>0</v>
      </c>
      <c r="T141" s="449">
        <v>0</v>
      </c>
      <c r="U141" s="449">
        <v>0</v>
      </c>
      <c r="V141" s="449">
        <v>0</v>
      </c>
      <c r="W141" s="449">
        <v>0</v>
      </c>
      <c r="X141" s="449"/>
      <c r="Y141" s="449">
        <v>0</v>
      </c>
      <c r="Z141" s="531"/>
      <c r="AA141" s="449">
        <v>0</v>
      </c>
      <c r="AB141" s="449">
        <v>0</v>
      </c>
      <c r="AC141" s="449">
        <v>0</v>
      </c>
      <c r="AD141" s="449">
        <v>0</v>
      </c>
      <c r="AE141" s="449">
        <v>0</v>
      </c>
      <c r="AF141" s="449">
        <v>0</v>
      </c>
      <c r="AG141" s="449">
        <v>0</v>
      </c>
      <c r="AH141" s="449">
        <v>0</v>
      </c>
      <c r="AI141" s="449">
        <v>0</v>
      </c>
      <c r="AJ141" s="449">
        <v>0</v>
      </c>
      <c r="AK141" s="449">
        <v>0</v>
      </c>
      <c r="AL141" s="449">
        <v>0</v>
      </c>
      <c r="AM141" s="400"/>
      <c r="AN141" s="500">
        <v>0</v>
      </c>
      <c r="AO141" s="449">
        <v>20000</v>
      </c>
      <c r="AP141" s="449">
        <v>20000</v>
      </c>
      <c r="AQ141" s="453" t="s">
        <v>1519</v>
      </c>
      <c r="AR141" s="449">
        <v>20000</v>
      </c>
      <c r="AS141" s="449">
        <v>0</v>
      </c>
      <c r="AT141" s="426">
        <v>0</v>
      </c>
      <c r="AU141" s="421"/>
      <c r="AV141" s="449">
        <v>20000</v>
      </c>
      <c r="AW141" s="449">
        <v>0</v>
      </c>
      <c r="AX141" s="449">
        <v>0</v>
      </c>
      <c r="AY141" s="449">
        <v>0</v>
      </c>
      <c r="AZ141" s="449">
        <v>0</v>
      </c>
      <c r="BA141" s="449">
        <v>0</v>
      </c>
      <c r="BB141" s="449">
        <v>0</v>
      </c>
      <c r="BC141" s="449">
        <v>0</v>
      </c>
      <c r="BD141" s="449">
        <v>0</v>
      </c>
      <c r="BE141" s="449">
        <v>0</v>
      </c>
      <c r="BF141" s="449">
        <v>0</v>
      </c>
      <c r="BG141" s="449">
        <v>0</v>
      </c>
      <c r="BH141" s="400"/>
      <c r="BI141" s="449">
        <v>20000</v>
      </c>
      <c r="BJ141" s="449">
        <v>0</v>
      </c>
      <c r="BK141" s="449">
        <v>0</v>
      </c>
      <c r="BL141" s="771">
        <v>0</v>
      </c>
      <c r="BM141" s="449">
        <v>0</v>
      </c>
      <c r="BN141" s="449">
        <v>0</v>
      </c>
      <c r="BO141" s="449">
        <v>0</v>
      </c>
      <c r="BP141" s="449">
        <v>0</v>
      </c>
      <c r="BQ141" s="449">
        <v>0</v>
      </c>
      <c r="BR141" s="449">
        <v>0</v>
      </c>
      <c r="BS141" s="449">
        <v>0</v>
      </c>
      <c r="BT141" s="449">
        <v>0</v>
      </c>
    </row>
    <row r="142" spans="1:72" x14ac:dyDescent="0.25">
      <c r="A142" s="587"/>
      <c r="B142" s="502"/>
      <c r="C142" s="596"/>
      <c r="D142" s="500"/>
      <c r="E142" s="449"/>
      <c r="F142" s="449"/>
      <c r="G142" s="421"/>
      <c r="H142" s="449"/>
      <c r="I142" s="449"/>
      <c r="J142" s="426"/>
      <c r="K142" s="421"/>
      <c r="L142" s="449"/>
      <c r="M142" s="449"/>
      <c r="N142" s="449"/>
      <c r="O142" s="449"/>
      <c r="P142" s="449"/>
      <c r="Q142" s="449"/>
      <c r="R142" s="449"/>
      <c r="S142" s="449"/>
      <c r="T142" s="449"/>
      <c r="U142" s="449"/>
      <c r="V142" s="449"/>
      <c r="W142" s="449"/>
      <c r="X142" s="449"/>
      <c r="Y142" s="449"/>
      <c r="Z142" s="531"/>
      <c r="AA142" s="449"/>
      <c r="AB142" s="449"/>
      <c r="AC142" s="449"/>
      <c r="AD142" s="449"/>
      <c r="AE142" s="449"/>
      <c r="AF142" s="449"/>
      <c r="AG142" s="449"/>
      <c r="AH142" s="449"/>
      <c r="AI142" s="449"/>
      <c r="AJ142" s="449"/>
      <c r="AK142" s="449"/>
      <c r="AL142" s="449"/>
      <c r="AM142" s="400"/>
      <c r="AN142" s="500"/>
      <c r="AO142" s="449"/>
      <c r="AP142" s="449"/>
      <c r="AQ142" s="453"/>
      <c r="AR142" s="449"/>
      <c r="AS142" s="449"/>
      <c r="AT142" s="426"/>
      <c r="AU142" s="421"/>
      <c r="AV142" s="449"/>
      <c r="AW142" s="449"/>
      <c r="AX142" s="449"/>
      <c r="AY142" s="449"/>
      <c r="AZ142" s="449"/>
      <c r="BA142" s="449"/>
      <c r="BB142" s="449"/>
      <c r="BC142" s="449"/>
      <c r="BD142" s="449"/>
      <c r="BE142" s="449"/>
      <c r="BF142" s="449"/>
      <c r="BG142" s="449"/>
      <c r="BH142" s="531"/>
      <c r="BI142" s="449"/>
      <c r="BJ142" s="449"/>
      <c r="BK142" s="449"/>
      <c r="BL142" s="771"/>
      <c r="BM142" s="449"/>
      <c r="BN142" s="449"/>
      <c r="BO142" s="449"/>
      <c r="BP142" s="449"/>
      <c r="BQ142" s="449"/>
      <c r="BR142" s="449"/>
      <c r="BS142" s="449"/>
      <c r="BT142" s="449"/>
    </row>
    <row r="143" spans="1:72" ht="15.75" thickBot="1" x14ac:dyDescent="0.3">
      <c r="A143" s="526"/>
      <c r="B143" s="524" t="s">
        <v>220</v>
      </c>
      <c r="C143" s="596"/>
      <c r="D143" s="532">
        <v>283096</v>
      </c>
      <c r="E143" s="533">
        <v>247661</v>
      </c>
      <c r="F143" s="533">
        <v>35435</v>
      </c>
      <c r="G143" s="520">
        <v>0.14307864379131152</v>
      </c>
      <c r="H143" s="533">
        <v>283096</v>
      </c>
      <c r="I143" s="533">
        <v>0</v>
      </c>
      <c r="J143" s="521">
        <v>0</v>
      </c>
      <c r="K143" s="507"/>
      <c r="L143" s="533">
        <v>21976.44</v>
      </c>
      <c r="M143" s="533">
        <v>19297.710000000003</v>
      </c>
      <c r="N143" s="533">
        <v>14679.920000000002</v>
      </c>
      <c r="O143" s="533">
        <v>20878.959999999995</v>
      </c>
      <c r="P143" s="533">
        <v>17755.37</v>
      </c>
      <c r="Q143" s="533">
        <v>24409.930000000008</v>
      </c>
      <c r="R143" s="533">
        <v>27349.611666666668</v>
      </c>
      <c r="S143" s="533">
        <v>27349.611666666664</v>
      </c>
      <c r="T143" s="533">
        <v>27349.611666666664</v>
      </c>
      <c r="U143" s="533">
        <v>27349.611666666664</v>
      </c>
      <c r="V143" s="533">
        <v>27349.611666666664</v>
      </c>
      <c r="W143" s="533">
        <v>27349.611666666671</v>
      </c>
      <c r="X143" s="533"/>
      <c r="Y143" s="533">
        <v>283096</v>
      </c>
      <c r="Z143" s="534"/>
      <c r="AA143" s="533">
        <v>23591.333333333336</v>
      </c>
      <c r="AB143" s="533">
        <v>23591.333333333336</v>
      </c>
      <c r="AC143" s="533">
        <v>23591.333333333336</v>
      </c>
      <c r="AD143" s="533">
        <v>23591.333333333336</v>
      </c>
      <c r="AE143" s="533">
        <v>23591.333333333336</v>
      </c>
      <c r="AF143" s="533">
        <v>23591.333333333336</v>
      </c>
      <c r="AG143" s="533">
        <v>23591.333333333336</v>
      </c>
      <c r="AH143" s="533">
        <v>23591.333333333336</v>
      </c>
      <c r="AI143" s="533">
        <v>23591.333333333336</v>
      </c>
      <c r="AJ143" s="533">
        <v>23591.333333333336</v>
      </c>
      <c r="AK143" s="533">
        <v>23591.333333333336</v>
      </c>
      <c r="AL143" s="533">
        <v>23591.333333333336</v>
      </c>
      <c r="AM143" s="400"/>
      <c r="AN143" s="532">
        <v>283096</v>
      </c>
      <c r="AO143" s="533">
        <v>579267.16154894326</v>
      </c>
      <c r="AP143" s="533">
        <v>296171.16154894326</v>
      </c>
      <c r="AQ143" s="523">
        <v>1.0461863168287198</v>
      </c>
      <c r="AR143" s="533">
        <v>579267.16154894326</v>
      </c>
      <c r="AS143" s="533">
        <v>0</v>
      </c>
      <c r="AT143" s="521">
        <v>0</v>
      </c>
      <c r="AU143" s="507"/>
      <c r="AV143" s="533">
        <v>38517.076305220886</v>
      </c>
      <c r="AW143" s="533">
        <v>53884.296035827552</v>
      </c>
      <c r="AX143" s="533">
        <v>50851.270287566214</v>
      </c>
      <c r="AY143" s="533">
        <v>56851.270287566214</v>
      </c>
      <c r="AZ143" s="533">
        <v>50851.270287566214</v>
      </c>
      <c r="BA143" s="533">
        <v>41816.603620899543</v>
      </c>
      <c r="BB143" s="533">
        <v>41816.603620899543</v>
      </c>
      <c r="BC143" s="533">
        <v>41816.603620899543</v>
      </c>
      <c r="BD143" s="533">
        <v>41816.603620899543</v>
      </c>
      <c r="BE143" s="533">
        <v>41816.603620899543</v>
      </c>
      <c r="BF143" s="533">
        <v>41816.603620899543</v>
      </c>
      <c r="BG143" s="533">
        <v>77412.356619798884</v>
      </c>
      <c r="BH143" s="534"/>
      <c r="BI143" s="533">
        <v>38517.076305220886</v>
      </c>
      <c r="BJ143" s="533">
        <v>53884.296035827552</v>
      </c>
      <c r="BK143" s="533">
        <v>50851.270287566214</v>
      </c>
      <c r="BL143" s="777">
        <v>56851.270287566214</v>
      </c>
      <c r="BM143" s="533">
        <v>50851.270287566214</v>
      </c>
      <c r="BN143" s="533">
        <v>41816.603620899543</v>
      </c>
      <c r="BO143" s="533">
        <v>41816.603620899543</v>
      </c>
      <c r="BP143" s="533">
        <v>41816.603620899543</v>
      </c>
      <c r="BQ143" s="533">
        <v>41816.603620899543</v>
      </c>
      <c r="BR143" s="533">
        <v>41816.603620899543</v>
      </c>
      <c r="BS143" s="533">
        <v>41816.603620899543</v>
      </c>
      <c r="BT143" s="533">
        <v>77412.356619798884</v>
      </c>
    </row>
    <row r="144" spans="1:72" ht="15.75" thickTop="1" x14ac:dyDescent="0.25">
      <c r="A144" s="587"/>
      <c r="B144" s="502"/>
      <c r="C144" s="596"/>
      <c r="D144" s="500"/>
      <c r="E144" s="449"/>
      <c r="F144" s="449"/>
      <c r="G144" s="421"/>
      <c r="H144" s="449"/>
      <c r="I144" s="449"/>
      <c r="J144" s="426"/>
      <c r="K144" s="421"/>
      <c r="L144" s="449"/>
      <c r="M144" s="449"/>
      <c r="N144" s="449"/>
      <c r="O144" s="449"/>
      <c r="P144" s="449"/>
      <c r="Q144" s="449"/>
      <c r="R144" s="449"/>
      <c r="S144" s="449"/>
      <c r="T144" s="449"/>
      <c r="U144" s="449"/>
      <c r="V144" s="449"/>
      <c r="W144" s="449"/>
      <c r="X144" s="449"/>
      <c r="Y144" s="449"/>
      <c r="Z144" s="531"/>
      <c r="AA144" s="449"/>
      <c r="AB144" s="449"/>
      <c r="AC144" s="449"/>
      <c r="AD144" s="449"/>
      <c r="AE144" s="449"/>
      <c r="AF144" s="449"/>
      <c r="AG144" s="449"/>
      <c r="AH144" s="449"/>
      <c r="AI144" s="449"/>
      <c r="AJ144" s="449"/>
      <c r="AK144" s="449"/>
      <c r="AL144" s="449"/>
      <c r="AM144" s="400"/>
      <c r="AN144" s="500"/>
      <c r="AO144" s="449"/>
      <c r="AP144" s="449"/>
      <c r="AQ144" s="453"/>
      <c r="AR144" s="449"/>
      <c r="AS144" s="449"/>
      <c r="AT144" s="426"/>
      <c r="AU144" s="421"/>
      <c r="AV144" s="449"/>
      <c r="AW144" s="449"/>
      <c r="AX144" s="449"/>
      <c r="AY144" s="449"/>
      <c r="AZ144" s="449"/>
      <c r="BA144" s="449"/>
      <c r="BB144" s="449"/>
      <c r="BC144" s="449"/>
      <c r="BD144" s="449"/>
      <c r="BE144" s="449"/>
      <c r="BF144" s="449"/>
      <c r="BG144" s="449"/>
      <c r="BH144" s="531"/>
      <c r="BI144" s="449"/>
      <c r="BJ144" s="449"/>
      <c r="BK144" s="449"/>
      <c r="BL144" s="771"/>
      <c r="BM144" s="449"/>
      <c r="BN144" s="449"/>
      <c r="BO144" s="449"/>
      <c r="BP144" s="449"/>
      <c r="BQ144" s="449"/>
      <c r="BR144" s="449"/>
      <c r="BS144" s="449"/>
      <c r="BT144" s="449"/>
    </row>
    <row r="145" spans="1:72" ht="15.75" x14ac:dyDescent="0.25">
      <c r="A145" s="587"/>
      <c r="B145" s="525" t="s">
        <v>221</v>
      </c>
      <c r="C145" s="596"/>
      <c r="D145" s="500"/>
      <c r="E145" s="449"/>
      <c r="F145" s="449"/>
      <c r="G145" s="421"/>
      <c r="H145" s="449"/>
      <c r="I145" s="449"/>
      <c r="J145" s="426"/>
      <c r="K145" s="421"/>
      <c r="L145" s="449"/>
      <c r="M145" s="449"/>
      <c r="N145" s="449"/>
      <c r="O145" s="449"/>
      <c r="P145" s="449"/>
      <c r="Q145" s="449"/>
      <c r="R145" s="449"/>
      <c r="S145" s="449"/>
      <c r="T145" s="449"/>
      <c r="U145" s="449"/>
      <c r="V145" s="449"/>
      <c r="W145" s="449"/>
      <c r="X145" s="449"/>
      <c r="Y145" s="449"/>
      <c r="Z145" s="531"/>
      <c r="AA145" s="449"/>
      <c r="AB145" s="449"/>
      <c r="AC145" s="449"/>
      <c r="AD145" s="449"/>
      <c r="AE145" s="449"/>
      <c r="AF145" s="449"/>
      <c r="AG145" s="449"/>
      <c r="AH145" s="449"/>
      <c r="AI145" s="449"/>
      <c r="AJ145" s="449"/>
      <c r="AK145" s="449"/>
      <c r="AL145" s="449"/>
      <c r="AM145" s="400"/>
      <c r="AN145" s="500"/>
      <c r="AO145" s="449"/>
      <c r="AP145" s="449"/>
      <c r="AQ145" s="453"/>
      <c r="AR145" s="449"/>
      <c r="AS145" s="449"/>
      <c r="AT145" s="426"/>
      <c r="AU145" s="421"/>
      <c r="AV145" s="449"/>
      <c r="AW145" s="449"/>
      <c r="AX145" s="449"/>
      <c r="AY145" s="449"/>
      <c r="AZ145" s="449"/>
      <c r="BA145" s="449"/>
      <c r="BB145" s="449"/>
      <c r="BC145" s="449"/>
      <c r="BD145" s="449"/>
      <c r="BE145" s="449"/>
      <c r="BF145" s="449"/>
      <c r="BG145" s="449"/>
      <c r="BH145" s="531"/>
      <c r="BI145" s="449"/>
      <c r="BJ145" s="449"/>
      <c r="BK145" s="449"/>
      <c r="BL145" s="771"/>
      <c r="BM145" s="449"/>
      <c r="BN145" s="449"/>
      <c r="BO145" s="449"/>
      <c r="BP145" s="449"/>
      <c r="BQ145" s="449"/>
      <c r="BR145" s="449"/>
      <c r="BS145" s="449"/>
      <c r="BT145" s="449"/>
    </row>
    <row r="146" spans="1:72" ht="6" customHeight="1" x14ac:dyDescent="0.25">
      <c r="A146" s="587"/>
      <c r="B146" s="502"/>
      <c r="C146" s="596"/>
      <c r="D146" s="500"/>
      <c r="E146" s="449"/>
      <c r="F146" s="449"/>
      <c r="G146" s="421"/>
      <c r="H146" s="449"/>
      <c r="I146" s="449"/>
      <c r="J146" s="426"/>
      <c r="K146" s="421"/>
      <c r="L146" s="449"/>
      <c r="M146" s="449"/>
      <c r="N146" s="449"/>
      <c r="O146" s="449"/>
      <c r="P146" s="449"/>
      <c r="Q146" s="449"/>
      <c r="R146" s="449"/>
      <c r="S146" s="449"/>
      <c r="T146" s="449"/>
      <c r="U146" s="449"/>
      <c r="V146" s="449"/>
      <c r="W146" s="449"/>
      <c r="X146" s="449"/>
      <c r="Y146" s="449"/>
      <c r="Z146" s="531"/>
      <c r="AA146" s="449"/>
      <c r="AB146" s="449"/>
      <c r="AC146" s="449"/>
      <c r="AD146" s="449"/>
      <c r="AE146" s="449"/>
      <c r="AF146" s="449"/>
      <c r="AG146" s="449"/>
      <c r="AH146" s="449"/>
      <c r="AI146" s="449"/>
      <c r="AJ146" s="449"/>
      <c r="AK146" s="449"/>
      <c r="AL146" s="449"/>
      <c r="AM146" s="400"/>
      <c r="AN146" s="500"/>
      <c r="AO146" s="449"/>
      <c r="AP146" s="449"/>
      <c r="AQ146" s="453"/>
      <c r="AR146" s="449"/>
      <c r="AS146" s="449"/>
      <c r="AT146" s="426"/>
      <c r="AU146" s="421"/>
      <c r="AV146" s="449"/>
      <c r="AW146" s="449"/>
      <c r="AX146" s="449"/>
      <c r="AY146" s="449"/>
      <c r="AZ146" s="449"/>
      <c r="BA146" s="449"/>
      <c r="BB146" s="449"/>
      <c r="BC146" s="449"/>
      <c r="BD146" s="449"/>
      <c r="BE146" s="449"/>
      <c r="BF146" s="449"/>
      <c r="BG146" s="449"/>
      <c r="BH146" s="531"/>
      <c r="BI146" s="449"/>
      <c r="BJ146" s="449"/>
      <c r="BK146" s="449"/>
      <c r="BL146" s="771"/>
      <c r="BM146" s="449"/>
      <c r="BN146" s="449"/>
      <c r="BO146" s="449"/>
      <c r="BP146" s="449"/>
      <c r="BQ146" s="449"/>
      <c r="BR146" s="449"/>
      <c r="BS146" s="449"/>
      <c r="BT146" s="449"/>
    </row>
    <row r="147" spans="1:72" x14ac:dyDescent="0.25">
      <c r="A147" s="615" t="s">
        <v>222</v>
      </c>
      <c r="B147" s="502" t="s">
        <v>223</v>
      </c>
      <c r="C147" s="630"/>
      <c r="D147" s="500">
        <v>73807</v>
      </c>
      <c r="E147" s="449">
        <v>34807</v>
      </c>
      <c r="F147" s="449">
        <v>39000</v>
      </c>
      <c r="G147" s="421">
        <v>1.1204642744275577</v>
      </c>
      <c r="H147" s="449">
        <v>73807</v>
      </c>
      <c r="I147" s="449">
        <v>0</v>
      </c>
      <c r="J147" s="426">
        <v>0</v>
      </c>
      <c r="K147" s="421"/>
      <c r="L147" s="449">
        <v>0.01</v>
      </c>
      <c r="M147" s="449">
        <v>6812.96</v>
      </c>
      <c r="N147" s="449">
        <v>5961.329999999999</v>
      </c>
      <c r="O147" s="449">
        <v>5677.4599999999991</v>
      </c>
      <c r="P147" s="449">
        <v>5677.4600000000028</v>
      </c>
      <c r="Q147" s="449">
        <v>7096.8299999999981</v>
      </c>
      <c r="R147" s="449">
        <v>7096.8249999999998</v>
      </c>
      <c r="S147" s="449">
        <v>7096.8249999999998</v>
      </c>
      <c r="T147" s="449">
        <v>7096.8250000000007</v>
      </c>
      <c r="U147" s="449">
        <v>7096.8250000000016</v>
      </c>
      <c r="V147" s="449">
        <v>7096.8250000000007</v>
      </c>
      <c r="W147" s="449">
        <v>7096.8249999999971</v>
      </c>
      <c r="X147" s="449"/>
      <c r="Y147" s="449">
        <v>73807</v>
      </c>
      <c r="Z147" s="531"/>
      <c r="AA147" s="449">
        <v>6150.583333333333</v>
      </c>
      <c r="AB147" s="449">
        <v>6150.583333333333</v>
      </c>
      <c r="AC147" s="449">
        <v>6150.583333333333</v>
      </c>
      <c r="AD147" s="449">
        <v>6150.583333333333</v>
      </c>
      <c r="AE147" s="449">
        <v>6150.583333333333</v>
      </c>
      <c r="AF147" s="449">
        <v>6150.583333333333</v>
      </c>
      <c r="AG147" s="449">
        <v>6150.583333333333</v>
      </c>
      <c r="AH147" s="449">
        <v>6150.583333333333</v>
      </c>
      <c r="AI147" s="449">
        <v>6150.583333333333</v>
      </c>
      <c r="AJ147" s="449">
        <v>6150.583333333333</v>
      </c>
      <c r="AK147" s="449">
        <v>6150.583333333333</v>
      </c>
      <c r="AL147" s="449">
        <v>6150.583333333333</v>
      </c>
      <c r="AM147" s="400"/>
      <c r="AN147" s="500">
        <v>73807</v>
      </c>
      <c r="AO147" s="449">
        <v>117478.49369999999</v>
      </c>
      <c r="AP147" s="449">
        <v>43671.493699999992</v>
      </c>
      <c r="AQ147" s="453">
        <v>0.59169853401438877</v>
      </c>
      <c r="AR147" s="449">
        <v>117478.49369999999</v>
      </c>
      <c r="AS147" s="449">
        <v>0</v>
      </c>
      <c r="AT147" s="426">
        <v>0</v>
      </c>
      <c r="AU147" s="421"/>
      <c r="AV147" s="449">
        <v>0</v>
      </c>
      <c r="AW147" s="449">
        <v>9789.8744749999987</v>
      </c>
      <c r="AX147" s="449">
        <v>9789.8744749999987</v>
      </c>
      <c r="AY147" s="449">
        <v>9789.8744749999987</v>
      </c>
      <c r="AZ147" s="449">
        <v>9789.8744749999987</v>
      </c>
      <c r="BA147" s="449">
        <v>9789.8744749999987</v>
      </c>
      <c r="BB147" s="449">
        <v>9789.8744749999987</v>
      </c>
      <c r="BC147" s="449">
        <v>9789.8744749999987</v>
      </c>
      <c r="BD147" s="449">
        <v>9789.8744749999987</v>
      </c>
      <c r="BE147" s="449">
        <v>9789.8744749999987</v>
      </c>
      <c r="BF147" s="449">
        <v>9789.8744749999987</v>
      </c>
      <c r="BG147" s="449">
        <v>19579.748949999997</v>
      </c>
      <c r="BH147" s="400"/>
      <c r="BI147" s="449">
        <v>0</v>
      </c>
      <c r="BJ147" s="449">
        <v>9789.8744749999987</v>
      </c>
      <c r="BK147" s="449">
        <v>9789.8744749999987</v>
      </c>
      <c r="BL147" s="771">
        <v>9789.8744749999987</v>
      </c>
      <c r="BM147" s="449">
        <v>9789.8744749999987</v>
      </c>
      <c r="BN147" s="449">
        <v>9789.8744749999987</v>
      </c>
      <c r="BO147" s="449">
        <v>9789.8744749999987</v>
      </c>
      <c r="BP147" s="449">
        <v>9789.8744749999987</v>
      </c>
      <c r="BQ147" s="449">
        <v>9789.8744749999987</v>
      </c>
      <c r="BR147" s="449">
        <v>9789.8744749999987</v>
      </c>
      <c r="BS147" s="449">
        <v>9789.8744749999987</v>
      </c>
      <c r="BT147" s="449">
        <v>19579.748949999997</v>
      </c>
    </row>
    <row r="148" spans="1:72" x14ac:dyDescent="0.25">
      <c r="A148" s="615" t="s">
        <v>224</v>
      </c>
      <c r="B148" s="502" t="s">
        <v>225</v>
      </c>
      <c r="C148" s="630"/>
      <c r="D148" s="500">
        <v>225200</v>
      </c>
      <c r="E148" s="449">
        <v>192029</v>
      </c>
      <c r="F148" s="449">
        <v>33171</v>
      </c>
      <c r="G148" s="421">
        <v>0.17273953413286536</v>
      </c>
      <c r="H148" s="449">
        <v>225200</v>
      </c>
      <c r="I148" s="449">
        <v>0</v>
      </c>
      <c r="J148" s="426">
        <v>0</v>
      </c>
      <c r="K148" s="421"/>
      <c r="L148" s="449">
        <v>0</v>
      </c>
      <c r="M148" s="449">
        <v>10680</v>
      </c>
      <c r="N148" s="449">
        <v>9345</v>
      </c>
      <c r="O148" s="449">
        <v>8775.36</v>
      </c>
      <c r="P148" s="449">
        <v>8900</v>
      </c>
      <c r="Q148" s="449">
        <v>11125</v>
      </c>
      <c r="R148" s="449">
        <v>29395.773333333334</v>
      </c>
      <c r="S148" s="449">
        <v>29395.773333333334</v>
      </c>
      <c r="T148" s="449">
        <v>29395.773333333334</v>
      </c>
      <c r="U148" s="449">
        <v>29395.773333333334</v>
      </c>
      <c r="V148" s="449">
        <v>29395.773333333331</v>
      </c>
      <c r="W148" s="449">
        <v>29395.773333333316</v>
      </c>
      <c r="X148" s="449"/>
      <c r="Y148" s="449">
        <v>225200</v>
      </c>
      <c r="Z148" s="531"/>
      <c r="AA148" s="449">
        <v>18766.666666666668</v>
      </c>
      <c r="AB148" s="449">
        <v>18766.666666666668</v>
      </c>
      <c r="AC148" s="449">
        <v>18766.666666666668</v>
      </c>
      <c r="AD148" s="449">
        <v>18766.666666666668</v>
      </c>
      <c r="AE148" s="449">
        <v>18766.666666666668</v>
      </c>
      <c r="AF148" s="449">
        <v>18766.666666666668</v>
      </c>
      <c r="AG148" s="449">
        <v>18766.666666666668</v>
      </c>
      <c r="AH148" s="449">
        <v>18766.666666666668</v>
      </c>
      <c r="AI148" s="449">
        <v>18766.666666666668</v>
      </c>
      <c r="AJ148" s="449">
        <v>18766.666666666668</v>
      </c>
      <c r="AK148" s="449">
        <v>18766.666666666668</v>
      </c>
      <c r="AL148" s="449">
        <v>18766.666666666668</v>
      </c>
      <c r="AM148" s="400"/>
      <c r="AN148" s="500">
        <v>225200</v>
      </c>
      <c r="AO148" s="449">
        <v>300258.7492125</v>
      </c>
      <c r="AP148" s="449">
        <v>75058.749212499999</v>
      </c>
      <c r="AQ148" s="453">
        <v>0.33329817589920069</v>
      </c>
      <c r="AR148" s="449">
        <v>300258.7492125</v>
      </c>
      <c r="AS148" s="449">
        <v>0</v>
      </c>
      <c r="AT148" s="426">
        <v>0</v>
      </c>
      <c r="AU148" s="421"/>
      <c r="AV148" s="449">
        <v>0</v>
      </c>
      <c r="AW148" s="449">
        <v>25021.562434374999</v>
      </c>
      <c r="AX148" s="449">
        <v>25021.562434374999</v>
      </c>
      <c r="AY148" s="449">
        <v>25021.562434374999</v>
      </c>
      <c r="AZ148" s="449">
        <v>25021.562434374999</v>
      </c>
      <c r="BA148" s="449">
        <v>25021.562434374999</v>
      </c>
      <c r="BB148" s="449">
        <v>25021.562434374999</v>
      </c>
      <c r="BC148" s="449">
        <v>25021.562434374999</v>
      </c>
      <c r="BD148" s="449">
        <v>25021.562434374999</v>
      </c>
      <c r="BE148" s="449">
        <v>25021.562434374999</v>
      </c>
      <c r="BF148" s="449">
        <v>25021.562434374999</v>
      </c>
      <c r="BG148" s="449">
        <v>50043.124868749997</v>
      </c>
      <c r="BH148" s="400"/>
      <c r="BI148" s="449">
        <v>0</v>
      </c>
      <c r="BJ148" s="449">
        <v>25021.562434374999</v>
      </c>
      <c r="BK148" s="449">
        <v>25021.562434374999</v>
      </c>
      <c r="BL148" s="771">
        <v>25021.562434374999</v>
      </c>
      <c r="BM148" s="449">
        <v>25021.562434374999</v>
      </c>
      <c r="BN148" s="449">
        <v>25021.562434374999</v>
      </c>
      <c r="BO148" s="449">
        <v>25021.562434374999</v>
      </c>
      <c r="BP148" s="449">
        <v>25021.562434374999</v>
      </c>
      <c r="BQ148" s="449">
        <v>25021.562434374999</v>
      </c>
      <c r="BR148" s="449">
        <v>25021.562434374999</v>
      </c>
      <c r="BS148" s="449">
        <v>25021.562434374999</v>
      </c>
      <c r="BT148" s="449">
        <v>50043.124868749997</v>
      </c>
    </row>
    <row r="149" spans="1:72" hidden="1" x14ac:dyDescent="0.25">
      <c r="A149" s="631" t="s">
        <v>226</v>
      </c>
      <c r="B149" s="632" t="s">
        <v>227</v>
      </c>
      <c r="C149" s="630"/>
      <c r="D149" s="500">
        <v>5000</v>
      </c>
      <c r="E149" s="449">
        <v>5000</v>
      </c>
      <c r="F149" s="449">
        <v>0</v>
      </c>
      <c r="G149" s="421">
        <v>0</v>
      </c>
      <c r="H149" s="449">
        <v>5000</v>
      </c>
      <c r="I149" s="449">
        <v>0</v>
      </c>
      <c r="J149" s="426">
        <v>0</v>
      </c>
      <c r="K149" s="421"/>
      <c r="L149" s="449">
        <v>0</v>
      </c>
      <c r="M149" s="449">
        <v>0</v>
      </c>
      <c r="N149" s="449">
        <v>0</v>
      </c>
      <c r="O149" s="449">
        <v>0</v>
      </c>
      <c r="P149" s="449">
        <v>0</v>
      </c>
      <c r="Q149" s="449">
        <v>0</v>
      </c>
      <c r="R149" s="449">
        <v>833.33333333333337</v>
      </c>
      <c r="S149" s="449">
        <v>833.33333333333337</v>
      </c>
      <c r="T149" s="449">
        <v>833.33333333333326</v>
      </c>
      <c r="U149" s="449">
        <v>833.33333333333337</v>
      </c>
      <c r="V149" s="449">
        <v>833.33333333333326</v>
      </c>
      <c r="W149" s="449">
        <v>833.33333333333303</v>
      </c>
      <c r="X149" s="449"/>
      <c r="Y149" s="449">
        <v>5000</v>
      </c>
      <c r="Z149" s="531"/>
      <c r="AA149" s="449">
        <v>416.66666666666669</v>
      </c>
      <c r="AB149" s="449">
        <v>416.66666666666669</v>
      </c>
      <c r="AC149" s="449">
        <v>416.66666666666669</v>
      </c>
      <c r="AD149" s="449">
        <v>416.66666666666669</v>
      </c>
      <c r="AE149" s="449">
        <v>416.66666666666669</v>
      </c>
      <c r="AF149" s="449">
        <v>416.66666666666669</v>
      </c>
      <c r="AG149" s="449">
        <v>416.66666666666669</v>
      </c>
      <c r="AH149" s="449">
        <v>416.66666666666669</v>
      </c>
      <c r="AI149" s="449">
        <v>416.66666666666669</v>
      </c>
      <c r="AJ149" s="449">
        <v>416.66666666666669</v>
      </c>
      <c r="AK149" s="449">
        <v>416.66666666666669</v>
      </c>
      <c r="AL149" s="449">
        <v>416.66666666666669</v>
      </c>
      <c r="AM149" s="400"/>
      <c r="AN149" s="500">
        <v>5000</v>
      </c>
      <c r="AO149" s="449">
        <v>0</v>
      </c>
      <c r="AP149" s="449">
        <v>-5000</v>
      </c>
      <c r="AQ149" s="453">
        <v>-1</v>
      </c>
      <c r="AR149" s="449">
        <v>0</v>
      </c>
      <c r="AS149" s="449">
        <v>0</v>
      </c>
      <c r="AT149" s="426">
        <v>0</v>
      </c>
      <c r="AU149" s="421"/>
      <c r="AV149" s="449">
        <v>0</v>
      </c>
      <c r="AW149" s="449">
        <v>0</v>
      </c>
      <c r="AX149" s="449">
        <v>0</v>
      </c>
      <c r="AY149" s="449">
        <v>0</v>
      </c>
      <c r="AZ149" s="449">
        <v>0</v>
      </c>
      <c r="BA149" s="449">
        <v>0</v>
      </c>
      <c r="BB149" s="449">
        <v>0</v>
      </c>
      <c r="BC149" s="449">
        <v>0</v>
      </c>
      <c r="BD149" s="449">
        <v>0</v>
      </c>
      <c r="BE149" s="449">
        <v>0</v>
      </c>
      <c r="BF149" s="449">
        <v>0</v>
      </c>
      <c r="BG149" s="449">
        <v>0</v>
      </c>
      <c r="BH149" s="400"/>
      <c r="BI149" s="449">
        <v>0</v>
      </c>
      <c r="BJ149" s="449">
        <v>0</v>
      </c>
      <c r="BK149" s="449">
        <v>0</v>
      </c>
      <c r="BL149" s="771">
        <v>0</v>
      </c>
      <c r="BM149" s="449">
        <v>0</v>
      </c>
      <c r="BN149" s="449">
        <v>0</v>
      </c>
      <c r="BO149" s="449">
        <v>0</v>
      </c>
      <c r="BP149" s="449">
        <v>0</v>
      </c>
      <c r="BQ149" s="449">
        <v>0</v>
      </c>
      <c r="BR149" s="449">
        <v>0</v>
      </c>
      <c r="BS149" s="449">
        <v>0</v>
      </c>
      <c r="BT149" s="449">
        <v>0</v>
      </c>
    </row>
    <row r="150" spans="1:72" x14ac:dyDescent="0.25">
      <c r="A150" s="502" t="s">
        <v>228</v>
      </c>
      <c r="B150" s="502" t="s">
        <v>229</v>
      </c>
      <c r="C150" s="630"/>
      <c r="D150" s="500">
        <v>84000</v>
      </c>
      <c r="E150" s="449">
        <v>24000</v>
      </c>
      <c r="F150" s="449">
        <v>60000</v>
      </c>
      <c r="G150" s="421">
        <v>2.5</v>
      </c>
      <c r="H150" s="449">
        <v>84000</v>
      </c>
      <c r="I150" s="449">
        <v>0</v>
      </c>
      <c r="J150" s="426">
        <v>0</v>
      </c>
      <c r="K150" s="421"/>
      <c r="L150" s="449">
        <v>0</v>
      </c>
      <c r="M150" s="449">
        <v>0</v>
      </c>
      <c r="N150" s="449">
        <v>0</v>
      </c>
      <c r="O150" s="449">
        <v>31500</v>
      </c>
      <c r="P150" s="449">
        <v>0</v>
      </c>
      <c r="Q150" s="449">
        <v>7500</v>
      </c>
      <c r="R150" s="449">
        <v>7500</v>
      </c>
      <c r="S150" s="449">
        <v>7500</v>
      </c>
      <c r="T150" s="449">
        <v>7500</v>
      </c>
      <c r="U150" s="449">
        <v>7500</v>
      </c>
      <c r="V150" s="449">
        <v>7500</v>
      </c>
      <c r="W150" s="449">
        <v>7500</v>
      </c>
      <c r="X150" s="449"/>
      <c r="Y150" s="449">
        <v>84000</v>
      </c>
      <c r="Z150" s="531"/>
      <c r="AA150" s="449">
        <v>7000</v>
      </c>
      <c r="AB150" s="449">
        <v>7000</v>
      </c>
      <c r="AC150" s="449">
        <v>7000</v>
      </c>
      <c r="AD150" s="449">
        <v>7000</v>
      </c>
      <c r="AE150" s="449">
        <v>7000</v>
      </c>
      <c r="AF150" s="449">
        <v>7000</v>
      </c>
      <c r="AG150" s="449">
        <v>7000</v>
      </c>
      <c r="AH150" s="449">
        <v>7000</v>
      </c>
      <c r="AI150" s="449">
        <v>7000</v>
      </c>
      <c r="AJ150" s="449">
        <v>7000</v>
      </c>
      <c r="AK150" s="449">
        <v>7000</v>
      </c>
      <c r="AL150" s="449">
        <v>7000</v>
      </c>
      <c r="AM150" s="400"/>
      <c r="AN150" s="500">
        <v>84000</v>
      </c>
      <c r="AO150" s="449">
        <v>0</v>
      </c>
      <c r="AP150" s="449">
        <v>-84000</v>
      </c>
      <c r="AQ150" s="453">
        <v>-1</v>
      </c>
      <c r="AR150" s="449">
        <v>0</v>
      </c>
      <c r="AS150" s="449">
        <v>0</v>
      </c>
      <c r="AT150" s="426">
        <v>0</v>
      </c>
      <c r="AU150" s="421"/>
      <c r="AV150" s="449">
        <v>0</v>
      </c>
      <c r="AW150" s="449">
        <v>0</v>
      </c>
      <c r="AX150" s="449">
        <v>0</v>
      </c>
      <c r="AY150" s="449">
        <v>0</v>
      </c>
      <c r="AZ150" s="449">
        <v>0</v>
      </c>
      <c r="BA150" s="449">
        <v>0</v>
      </c>
      <c r="BB150" s="449">
        <v>0</v>
      </c>
      <c r="BC150" s="449">
        <v>0</v>
      </c>
      <c r="BD150" s="449">
        <v>0</v>
      </c>
      <c r="BE150" s="449">
        <v>0</v>
      </c>
      <c r="BF150" s="449">
        <v>0</v>
      </c>
      <c r="BG150" s="449">
        <v>0</v>
      </c>
      <c r="BH150" s="400"/>
      <c r="BI150" s="449">
        <v>0</v>
      </c>
      <c r="BJ150" s="449">
        <v>0</v>
      </c>
      <c r="BK150" s="449">
        <v>0</v>
      </c>
      <c r="BL150" s="771">
        <v>0</v>
      </c>
      <c r="BM150" s="449">
        <v>0</v>
      </c>
      <c r="BN150" s="449">
        <v>0</v>
      </c>
      <c r="BO150" s="449">
        <v>0</v>
      </c>
      <c r="BP150" s="449">
        <v>0</v>
      </c>
      <c r="BQ150" s="449">
        <v>0</v>
      </c>
      <c r="BR150" s="449">
        <v>0</v>
      </c>
      <c r="BS150" s="449">
        <v>0</v>
      </c>
      <c r="BT150" s="449">
        <v>0</v>
      </c>
    </row>
    <row r="151" spans="1:72" x14ac:dyDescent="0.25">
      <c r="A151" s="502" t="s">
        <v>230</v>
      </c>
      <c r="B151" s="502" t="s">
        <v>231</v>
      </c>
      <c r="C151" s="630"/>
      <c r="D151" s="500">
        <v>0</v>
      </c>
      <c r="E151" s="449">
        <v>60000</v>
      </c>
      <c r="F151" s="449">
        <v>-60000</v>
      </c>
      <c r="G151" s="421">
        <v>-1</v>
      </c>
      <c r="H151" s="449">
        <v>0</v>
      </c>
      <c r="I151" s="449">
        <v>0</v>
      </c>
      <c r="J151" s="426">
        <v>0</v>
      </c>
      <c r="K151" s="421"/>
      <c r="L151" s="449">
        <v>0</v>
      </c>
      <c r="M151" s="449">
        <v>0</v>
      </c>
      <c r="N151" s="449">
        <v>0</v>
      </c>
      <c r="O151" s="449">
        <v>0</v>
      </c>
      <c r="P151" s="449">
        <v>0</v>
      </c>
      <c r="Q151" s="449">
        <v>0</v>
      </c>
      <c r="R151" s="449">
        <v>0</v>
      </c>
      <c r="S151" s="449">
        <v>0</v>
      </c>
      <c r="T151" s="449">
        <v>0</v>
      </c>
      <c r="U151" s="449">
        <v>0</v>
      </c>
      <c r="V151" s="449">
        <v>0</v>
      </c>
      <c r="W151" s="449">
        <v>0</v>
      </c>
      <c r="X151" s="449"/>
      <c r="Y151" s="449">
        <v>0</v>
      </c>
      <c r="Z151" s="531"/>
      <c r="AA151" s="449">
        <v>0</v>
      </c>
      <c r="AB151" s="449">
        <v>0</v>
      </c>
      <c r="AC151" s="449">
        <v>0</v>
      </c>
      <c r="AD151" s="449">
        <v>0</v>
      </c>
      <c r="AE151" s="449">
        <v>0</v>
      </c>
      <c r="AF151" s="449">
        <v>0</v>
      </c>
      <c r="AG151" s="449">
        <v>0</v>
      </c>
      <c r="AH151" s="449">
        <v>0</v>
      </c>
      <c r="AI151" s="449">
        <v>0</v>
      </c>
      <c r="AJ151" s="449">
        <v>0</v>
      </c>
      <c r="AK151" s="449">
        <v>0</v>
      </c>
      <c r="AL151" s="449">
        <v>0</v>
      </c>
      <c r="AM151" s="400"/>
      <c r="AN151" s="500">
        <v>0</v>
      </c>
      <c r="AO151" s="449">
        <v>86000</v>
      </c>
      <c r="AP151" s="449">
        <v>86000</v>
      </c>
      <c r="AQ151" s="453" t="s">
        <v>1519</v>
      </c>
      <c r="AR151" s="449">
        <v>86000</v>
      </c>
      <c r="AS151" s="449">
        <v>0</v>
      </c>
      <c r="AT151" s="426">
        <v>0</v>
      </c>
      <c r="AU151" s="421"/>
      <c r="AV151" s="449">
        <v>0</v>
      </c>
      <c r="AW151" s="449">
        <v>0</v>
      </c>
      <c r="AX151" s="449">
        <v>0</v>
      </c>
      <c r="AY151" s="449">
        <v>43000</v>
      </c>
      <c r="AZ151" s="449">
        <v>0</v>
      </c>
      <c r="BA151" s="449">
        <v>0</v>
      </c>
      <c r="BB151" s="449">
        <v>0</v>
      </c>
      <c r="BC151" s="449">
        <v>0</v>
      </c>
      <c r="BD151" s="449">
        <v>0</v>
      </c>
      <c r="BE151" s="449">
        <v>43000</v>
      </c>
      <c r="BF151" s="449">
        <v>0</v>
      </c>
      <c r="BG151" s="449">
        <v>0</v>
      </c>
      <c r="BH151" s="400"/>
      <c r="BI151" s="449">
        <v>0</v>
      </c>
      <c r="BJ151" s="449">
        <v>0</v>
      </c>
      <c r="BK151" s="449">
        <v>0</v>
      </c>
      <c r="BL151" s="771">
        <v>43000</v>
      </c>
      <c r="BM151" s="449">
        <v>0</v>
      </c>
      <c r="BN151" s="449">
        <v>0</v>
      </c>
      <c r="BO151" s="449">
        <v>0</v>
      </c>
      <c r="BP151" s="449">
        <v>0</v>
      </c>
      <c r="BQ151" s="449">
        <v>0</v>
      </c>
      <c r="BR151" s="449">
        <v>43000</v>
      </c>
      <c r="BS151" s="449">
        <v>0</v>
      </c>
      <c r="BT151" s="449">
        <v>0</v>
      </c>
    </row>
    <row r="152" spans="1:72" x14ac:dyDescent="0.25">
      <c r="A152" s="615" t="s">
        <v>232</v>
      </c>
      <c r="B152" s="502" t="s">
        <v>233</v>
      </c>
      <c r="C152" s="630"/>
      <c r="D152" s="500">
        <v>6000</v>
      </c>
      <c r="E152" s="449">
        <v>6000</v>
      </c>
      <c r="F152" s="449">
        <v>0</v>
      </c>
      <c r="G152" s="421">
        <v>0</v>
      </c>
      <c r="H152" s="449">
        <v>6000</v>
      </c>
      <c r="I152" s="449">
        <v>0</v>
      </c>
      <c r="J152" s="426">
        <v>0</v>
      </c>
      <c r="K152" s="421"/>
      <c r="L152" s="449">
        <v>0</v>
      </c>
      <c r="M152" s="449">
        <v>0</v>
      </c>
      <c r="N152" s="449">
        <v>0</v>
      </c>
      <c r="O152" s="449">
        <v>6000</v>
      </c>
      <c r="P152" s="449">
        <v>0</v>
      </c>
      <c r="Q152" s="449">
        <v>0</v>
      </c>
      <c r="R152" s="449">
        <v>0</v>
      </c>
      <c r="S152" s="449">
        <v>0</v>
      </c>
      <c r="T152" s="449">
        <v>0</v>
      </c>
      <c r="U152" s="449">
        <v>0</v>
      </c>
      <c r="V152" s="449">
        <v>0</v>
      </c>
      <c r="W152" s="449">
        <v>0</v>
      </c>
      <c r="X152" s="449"/>
      <c r="Y152" s="449">
        <v>6000</v>
      </c>
      <c r="Z152" s="531"/>
      <c r="AA152" s="449">
        <v>500</v>
      </c>
      <c r="AB152" s="449">
        <v>500</v>
      </c>
      <c r="AC152" s="449">
        <v>500</v>
      </c>
      <c r="AD152" s="449">
        <v>500</v>
      </c>
      <c r="AE152" s="449">
        <v>500</v>
      </c>
      <c r="AF152" s="449">
        <v>500</v>
      </c>
      <c r="AG152" s="449">
        <v>500</v>
      </c>
      <c r="AH152" s="449">
        <v>500</v>
      </c>
      <c r="AI152" s="449">
        <v>500</v>
      </c>
      <c r="AJ152" s="449">
        <v>500</v>
      </c>
      <c r="AK152" s="449">
        <v>500</v>
      </c>
      <c r="AL152" s="449">
        <v>500</v>
      </c>
      <c r="AM152" s="400"/>
      <c r="AN152" s="500">
        <v>6000</v>
      </c>
      <c r="AO152" s="449">
        <v>9000</v>
      </c>
      <c r="AP152" s="449">
        <v>3000</v>
      </c>
      <c r="AQ152" s="453">
        <v>0.5</v>
      </c>
      <c r="AR152" s="449">
        <v>9000</v>
      </c>
      <c r="AS152" s="449">
        <v>0</v>
      </c>
      <c r="AT152" s="426">
        <v>0</v>
      </c>
      <c r="AU152" s="421"/>
      <c r="AV152" s="449">
        <v>0</v>
      </c>
      <c r="AW152" s="449">
        <v>0</v>
      </c>
      <c r="AX152" s="449">
        <v>0</v>
      </c>
      <c r="AY152" s="449">
        <v>9000</v>
      </c>
      <c r="AZ152" s="449">
        <v>0</v>
      </c>
      <c r="BA152" s="449">
        <v>0</v>
      </c>
      <c r="BB152" s="449">
        <v>0</v>
      </c>
      <c r="BC152" s="449">
        <v>0</v>
      </c>
      <c r="BD152" s="449">
        <v>0</v>
      </c>
      <c r="BE152" s="449">
        <v>0</v>
      </c>
      <c r="BF152" s="449">
        <v>0</v>
      </c>
      <c r="BG152" s="449">
        <v>0</v>
      </c>
      <c r="BH152" s="400"/>
      <c r="BI152" s="449">
        <v>0</v>
      </c>
      <c r="BJ152" s="449">
        <v>0</v>
      </c>
      <c r="BK152" s="449">
        <v>0</v>
      </c>
      <c r="BL152" s="771">
        <v>9000</v>
      </c>
      <c r="BM152" s="449">
        <v>0</v>
      </c>
      <c r="BN152" s="449">
        <v>0</v>
      </c>
      <c r="BO152" s="449">
        <v>0</v>
      </c>
      <c r="BP152" s="449">
        <v>0</v>
      </c>
      <c r="BQ152" s="449">
        <v>0</v>
      </c>
      <c r="BR152" s="449">
        <v>0</v>
      </c>
      <c r="BS152" s="449">
        <v>0</v>
      </c>
      <c r="BT152" s="449">
        <v>0</v>
      </c>
    </row>
    <row r="153" spans="1:72" x14ac:dyDescent="0.25">
      <c r="A153" s="537" t="s">
        <v>234</v>
      </c>
      <c r="B153" s="537" t="s">
        <v>235</v>
      </c>
      <c r="C153" s="541"/>
      <c r="D153" s="500">
        <v>0</v>
      </c>
      <c r="E153" s="449">
        <v>0</v>
      </c>
      <c r="F153" s="449">
        <v>0</v>
      </c>
      <c r="G153" s="421">
        <v>0</v>
      </c>
      <c r="H153" s="449">
        <v>0</v>
      </c>
      <c r="I153" s="449">
        <v>0</v>
      </c>
      <c r="J153" s="426">
        <v>0</v>
      </c>
      <c r="K153" s="421"/>
      <c r="L153" s="449">
        <v>0</v>
      </c>
      <c r="M153" s="449">
        <v>0</v>
      </c>
      <c r="N153" s="449">
        <v>0</v>
      </c>
      <c r="O153" s="449">
        <v>0</v>
      </c>
      <c r="P153" s="449">
        <v>0</v>
      </c>
      <c r="Q153" s="449">
        <v>0</v>
      </c>
      <c r="R153" s="449">
        <v>0</v>
      </c>
      <c r="S153" s="449">
        <v>0</v>
      </c>
      <c r="T153" s="449">
        <v>0</v>
      </c>
      <c r="U153" s="449">
        <v>0</v>
      </c>
      <c r="V153" s="449">
        <v>0</v>
      </c>
      <c r="W153" s="449">
        <v>0</v>
      </c>
      <c r="X153" s="449"/>
      <c r="Y153" s="449">
        <v>0</v>
      </c>
      <c r="Z153" s="531"/>
      <c r="AA153" s="449">
        <v>0</v>
      </c>
      <c r="AB153" s="449">
        <v>0</v>
      </c>
      <c r="AC153" s="449">
        <v>0</v>
      </c>
      <c r="AD153" s="449">
        <v>0</v>
      </c>
      <c r="AE153" s="449">
        <v>0</v>
      </c>
      <c r="AF153" s="449">
        <v>0</v>
      </c>
      <c r="AG153" s="449">
        <v>0</v>
      </c>
      <c r="AH153" s="449">
        <v>0</v>
      </c>
      <c r="AI153" s="449">
        <v>0</v>
      </c>
      <c r="AJ153" s="449">
        <v>0</v>
      </c>
      <c r="AK153" s="449">
        <v>0</v>
      </c>
      <c r="AL153" s="449">
        <v>0</v>
      </c>
      <c r="AM153" s="400"/>
      <c r="AN153" s="500">
        <v>0</v>
      </c>
      <c r="AO153" s="449">
        <v>15000</v>
      </c>
      <c r="AP153" s="449">
        <v>15000</v>
      </c>
      <c r="AQ153" s="453" t="s">
        <v>1519</v>
      </c>
      <c r="AR153" s="449">
        <v>15000</v>
      </c>
      <c r="AS153" s="449">
        <v>0</v>
      </c>
      <c r="AT153" s="426">
        <v>0</v>
      </c>
      <c r="AU153" s="421"/>
      <c r="AV153" s="449">
        <v>0</v>
      </c>
      <c r="AW153" s="449">
        <v>0</v>
      </c>
      <c r="AX153" s="449">
        <v>0</v>
      </c>
      <c r="AY153" s="449">
        <v>15000</v>
      </c>
      <c r="AZ153" s="449">
        <v>0</v>
      </c>
      <c r="BA153" s="449">
        <v>0</v>
      </c>
      <c r="BB153" s="449">
        <v>0</v>
      </c>
      <c r="BC153" s="449">
        <v>0</v>
      </c>
      <c r="BD153" s="449">
        <v>0</v>
      </c>
      <c r="BE153" s="449">
        <v>0</v>
      </c>
      <c r="BF153" s="449">
        <v>0</v>
      </c>
      <c r="BG153" s="449">
        <v>0</v>
      </c>
      <c r="BH153" s="400"/>
      <c r="BI153" s="449">
        <v>0</v>
      </c>
      <c r="BJ153" s="449">
        <v>0</v>
      </c>
      <c r="BK153" s="449">
        <v>0</v>
      </c>
      <c r="BL153" s="771">
        <v>15000</v>
      </c>
      <c r="BM153" s="449">
        <v>0</v>
      </c>
      <c r="BN153" s="449">
        <v>0</v>
      </c>
      <c r="BO153" s="449">
        <v>0</v>
      </c>
      <c r="BP153" s="449">
        <v>0</v>
      </c>
      <c r="BQ153" s="449">
        <v>0</v>
      </c>
      <c r="BR153" s="449">
        <v>0</v>
      </c>
      <c r="BS153" s="449">
        <v>0</v>
      </c>
      <c r="BT153" s="449">
        <v>0</v>
      </c>
    </row>
    <row r="154" spans="1:72" hidden="1" x14ac:dyDescent="0.25">
      <c r="A154" s="502" t="s">
        <v>236</v>
      </c>
      <c r="B154" s="502" t="s">
        <v>237</v>
      </c>
      <c r="C154" s="541"/>
      <c r="D154" s="500">
        <v>0</v>
      </c>
      <c r="E154" s="449">
        <v>0</v>
      </c>
      <c r="F154" s="449">
        <v>0</v>
      </c>
      <c r="G154" s="421">
        <v>0</v>
      </c>
      <c r="H154" s="449">
        <v>0</v>
      </c>
      <c r="I154" s="449">
        <v>0</v>
      </c>
      <c r="J154" s="426">
        <v>0</v>
      </c>
      <c r="K154" s="421"/>
      <c r="L154" s="449">
        <v>0</v>
      </c>
      <c r="M154" s="449">
        <v>0</v>
      </c>
      <c r="N154" s="449">
        <v>0</v>
      </c>
      <c r="O154" s="449">
        <v>0</v>
      </c>
      <c r="P154" s="449">
        <v>0</v>
      </c>
      <c r="Q154" s="449">
        <v>0</v>
      </c>
      <c r="R154" s="449">
        <v>0</v>
      </c>
      <c r="S154" s="449">
        <v>0</v>
      </c>
      <c r="T154" s="449">
        <v>0</v>
      </c>
      <c r="U154" s="449">
        <v>0</v>
      </c>
      <c r="V154" s="449">
        <v>0</v>
      </c>
      <c r="W154" s="449">
        <v>0</v>
      </c>
      <c r="X154" s="449"/>
      <c r="Y154" s="449">
        <v>0</v>
      </c>
      <c r="Z154" s="531"/>
      <c r="AA154" s="449">
        <v>0</v>
      </c>
      <c r="AB154" s="449">
        <v>0</v>
      </c>
      <c r="AC154" s="449">
        <v>0</v>
      </c>
      <c r="AD154" s="449">
        <v>0</v>
      </c>
      <c r="AE154" s="449">
        <v>0</v>
      </c>
      <c r="AF154" s="449">
        <v>0</v>
      </c>
      <c r="AG154" s="449">
        <v>0</v>
      </c>
      <c r="AH154" s="449">
        <v>0</v>
      </c>
      <c r="AI154" s="449">
        <v>0</v>
      </c>
      <c r="AJ154" s="449">
        <v>0</v>
      </c>
      <c r="AK154" s="449">
        <v>0</v>
      </c>
      <c r="AL154" s="449">
        <v>0</v>
      </c>
      <c r="AM154" s="400"/>
      <c r="AN154" s="500">
        <v>0</v>
      </c>
      <c r="AO154" s="449">
        <v>0</v>
      </c>
      <c r="AP154" s="449">
        <v>0</v>
      </c>
      <c r="AQ154" s="453" t="s">
        <v>1519</v>
      </c>
      <c r="AR154" s="449">
        <v>0</v>
      </c>
      <c r="AS154" s="449">
        <v>0</v>
      </c>
      <c r="AT154" s="426">
        <v>0</v>
      </c>
      <c r="AU154" s="421"/>
      <c r="AV154" s="449">
        <v>0</v>
      </c>
      <c r="AW154" s="449">
        <v>0</v>
      </c>
      <c r="AX154" s="449">
        <v>0</v>
      </c>
      <c r="AY154" s="449">
        <v>0</v>
      </c>
      <c r="AZ154" s="449">
        <v>0</v>
      </c>
      <c r="BA154" s="449">
        <v>0</v>
      </c>
      <c r="BB154" s="449">
        <v>0</v>
      </c>
      <c r="BC154" s="449">
        <v>0</v>
      </c>
      <c r="BD154" s="449">
        <v>0</v>
      </c>
      <c r="BE154" s="449">
        <v>0</v>
      </c>
      <c r="BF154" s="449">
        <v>0</v>
      </c>
      <c r="BG154" s="449">
        <v>0</v>
      </c>
      <c r="BH154" s="400"/>
      <c r="BI154" s="449">
        <v>0</v>
      </c>
      <c r="BJ154" s="449">
        <v>0</v>
      </c>
      <c r="BK154" s="449">
        <v>0</v>
      </c>
      <c r="BL154" s="771">
        <v>0</v>
      </c>
      <c r="BM154" s="449">
        <v>0</v>
      </c>
      <c r="BN154" s="449">
        <v>0</v>
      </c>
      <c r="BO154" s="449">
        <v>0</v>
      </c>
      <c r="BP154" s="449">
        <v>0</v>
      </c>
      <c r="BQ154" s="449">
        <v>0</v>
      </c>
      <c r="BR154" s="449">
        <v>0</v>
      </c>
      <c r="BS154" s="449">
        <v>0</v>
      </c>
      <c r="BT154" s="449">
        <v>0</v>
      </c>
    </row>
    <row r="155" spans="1:72" x14ac:dyDescent="0.25">
      <c r="A155" s="502" t="s">
        <v>238</v>
      </c>
      <c r="B155" s="502" t="s">
        <v>239</v>
      </c>
      <c r="C155" s="541"/>
      <c r="D155" s="500">
        <v>16059</v>
      </c>
      <c r="E155" s="449">
        <v>4059</v>
      </c>
      <c r="F155" s="449">
        <v>12000</v>
      </c>
      <c r="G155" s="421">
        <v>2.9563932002956395</v>
      </c>
      <c r="H155" s="449">
        <v>16059</v>
      </c>
      <c r="I155" s="449">
        <v>0</v>
      </c>
      <c r="J155" s="426">
        <v>0</v>
      </c>
      <c r="K155" s="421"/>
      <c r="L155" s="449">
        <v>11.69</v>
      </c>
      <c r="M155" s="449">
        <v>1100.8799999999999</v>
      </c>
      <c r="N155" s="449">
        <v>728.2</v>
      </c>
      <c r="O155" s="449">
        <v>1445.4</v>
      </c>
      <c r="P155" s="449">
        <v>577.31999999999971</v>
      </c>
      <c r="Q155" s="449">
        <v>542.90999999999985</v>
      </c>
      <c r="R155" s="449">
        <v>1942.1000000000001</v>
      </c>
      <c r="S155" s="449">
        <v>1942.1</v>
      </c>
      <c r="T155" s="449">
        <v>1942.1</v>
      </c>
      <c r="U155" s="449">
        <v>1942.0999999999997</v>
      </c>
      <c r="V155" s="449">
        <v>1942.0999999999995</v>
      </c>
      <c r="W155" s="449">
        <v>1942.0999999999985</v>
      </c>
      <c r="X155" s="449"/>
      <c r="Y155" s="449">
        <v>16059</v>
      </c>
      <c r="Z155" s="531"/>
      <c r="AA155" s="449">
        <v>1338.25</v>
      </c>
      <c r="AB155" s="449">
        <v>1338.25</v>
      </c>
      <c r="AC155" s="449">
        <v>1338.25</v>
      </c>
      <c r="AD155" s="449">
        <v>1338.25</v>
      </c>
      <c r="AE155" s="449">
        <v>1338.25</v>
      </c>
      <c r="AF155" s="449">
        <v>1338.25</v>
      </c>
      <c r="AG155" s="449">
        <v>1338.25</v>
      </c>
      <c r="AH155" s="449">
        <v>1338.25</v>
      </c>
      <c r="AI155" s="449">
        <v>1338.25</v>
      </c>
      <c r="AJ155" s="449">
        <v>1338.25</v>
      </c>
      <c r="AK155" s="449">
        <v>1338.25</v>
      </c>
      <c r="AL155" s="449">
        <v>1338.25</v>
      </c>
      <c r="AM155" s="400"/>
      <c r="AN155" s="500">
        <v>16059</v>
      </c>
      <c r="AO155" s="449">
        <v>13850.109999999997</v>
      </c>
      <c r="AP155" s="449">
        <v>-2208.8900000000031</v>
      </c>
      <c r="AQ155" s="453">
        <v>-0.13754841521888056</v>
      </c>
      <c r="AR155" s="449">
        <v>13850.109999999997</v>
      </c>
      <c r="AS155" s="449">
        <v>0</v>
      </c>
      <c r="AT155" s="426">
        <v>0</v>
      </c>
      <c r="AU155" s="421"/>
      <c r="AV155" s="449">
        <v>0</v>
      </c>
      <c r="AW155" s="449">
        <v>1154.1758333333332</v>
      </c>
      <c r="AX155" s="449">
        <v>1154.1758333333332</v>
      </c>
      <c r="AY155" s="449">
        <v>1154.1758333333332</v>
      </c>
      <c r="AZ155" s="449">
        <v>1154.1758333333332</v>
      </c>
      <c r="BA155" s="449">
        <v>1154.1758333333332</v>
      </c>
      <c r="BB155" s="449">
        <v>1154.1758333333332</v>
      </c>
      <c r="BC155" s="449">
        <v>1154.1758333333332</v>
      </c>
      <c r="BD155" s="449">
        <v>1154.1758333333332</v>
      </c>
      <c r="BE155" s="449">
        <v>1154.1758333333332</v>
      </c>
      <c r="BF155" s="449">
        <v>1154.1758333333332</v>
      </c>
      <c r="BG155" s="449">
        <v>2308.3516666666665</v>
      </c>
      <c r="BH155" s="400"/>
      <c r="BI155" s="449">
        <v>0</v>
      </c>
      <c r="BJ155" s="449">
        <v>1154.1758333333332</v>
      </c>
      <c r="BK155" s="449">
        <v>1154.1758333333332</v>
      </c>
      <c r="BL155" s="771">
        <v>1154.1758333333332</v>
      </c>
      <c r="BM155" s="449">
        <v>1154.1758333333332</v>
      </c>
      <c r="BN155" s="449">
        <v>1154.1758333333332</v>
      </c>
      <c r="BO155" s="449">
        <v>1154.1758333333332</v>
      </c>
      <c r="BP155" s="449">
        <v>1154.1758333333332</v>
      </c>
      <c r="BQ155" s="449">
        <v>1154.1758333333332</v>
      </c>
      <c r="BR155" s="449">
        <v>1154.1758333333332</v>
      </c>
      <c r="BS155" s="449">
        <v>1154.1758333333332</v>
      </c>
      <c r="BT155" s="449">
        <v>2308.3516666666665</v>
      </c>
    </row>
    <row r="156" spans="1:72" x14ac:dyDescent="0.25">
      <c r="A156" s="502" t="s">
        <v>240</v>
      </c>
      <c r="B156" s="502" t="s">
        <v>241</v>
      </c>
      <c r="C156" s="541"/>
      <c r="D156" s="500">
        <v>12695</v>
      </c>
      <c r="E156" s="449">
        <v>17774</v>
      </c>
      <c r="F156" s="449">
        <v>-5079</v>
      </c>
      <c r="G156" s="421">
        <v>-0.28575447282547539</v>
      </c>
      <c r="H156" s="449">
        <v>12695</v>
      </c>
      <c r="I156" s="449">
        <v>0</v>
      </c>
      <c r="J156" s="426">
        <v>0</v>
      </c>
      <c r="K156" s="421"/>
      <c r="L156" s="449">
        <v>0</v>
      </c>
      <c r="M156" s="449">
        <v>1713.26</v>
      </c>
      <c r="N156" s="449">
        <v>1144.1200000000001</v>
      </c>
      <c r="O156" s="449">
        <v>1052.73</v>
      </c>
      <c r="P156" s="449">
        <v>823.82000000000016</v>
      </c>
      <c r="Q156" s="449">
        <v>851.04999999999927</v>
      </c>
      <c r="R156" s="449">
        <v>1185.0033333333333</v>
      </c>
      <c r="S156" s="449">
        <v>1185.0033333333336</v>
      </c>
      <c r="T156" s="449">
        <v>1185.0033333333336</v>
      </c>
      <c r="U156" s="449">
        <v>1185.0033333333333</v>
      </c>
      <c r="V156" s="449">
        <v>1185.0033333333331</v>
      </c>
      <c r="W156" s="449">
        <v>1185.003333333334</v>
      </c>
      <c r="X156" s="449"/>
      <c r="Y156" s="449">
        <v>12695</v>
      </c>
      <c r="Z156" s="531"/>
      <c r="AA156" s="449">
        <v>1057.9166666666667</v>
      </c>
      <c r="AB156" s="449">
        <v>1057.9166666666667</v>
      </c>
      <c r="AC156" s="449">
        <v>1057.9166666666667</v>
      </c>
      <c r="AD156" s="449">
        <v>1057.9166666666667</v>
      </c>
      <c r="AE156" s="449">
        <v>1057.9166666666667</v>
      </c>
      <c r="AF156" s="449">
        <v>1057.9166666666667</v>
      </c>
      <c r="AG156" s="449">
        <v>1057.9166666666667</v>
      </c>
      <c r="AH156" s="449">
        <v>1057.9166666666667</v>
      </c>
      <c r="AI156" s="449">
        <v>1057.9166666666667</v>
      </c>
      <c r="AJ156" s="449">
        <v>1057.9166666666667</v>
      </c>
      <c r="AK156" s="449">
        <v>1057.9166666666667</v>
      </c>
      <c r="AL156" s="449">
        <v>1057.9166666666667</v>
      </c>
      <c r="AM156" s="400"/>
      <c r="AN156" s="500">
        <v>12695</v>
      </c>
      <c r="AO156" s="449">
        <v>40800.799999999996</v>
      </c>
      <c r="AP156" s="449">
        <v>28105.799999999996</v>
      </c>
      <c r="AQ156" s="453">
        <v>2.2139267428121303</v>
      </c>
      <c r="AR156" s="449">
        <v>40800.799999999996</v>
      </c>
      <c r="AS156" s="449">
        <v>0</v>
      </c>
      <c r="AT156" s="426">
        <v>0</v>
      </c>
      <c r="AU156" s="421"/>
      <c r="AV156" s="449">
        <v>0</v>
      </c>
      <c r="AW156" s="449">
        <v>3400.0666666666671</v>
      </c>
      <c r="AX156" s="449">
        <v>3400.0666666666671</v>
      </c>
      <c r="AY156" s="449">
        <v>3400.0666666666671</v>
      </c>
      <c r="AZ156" s="449">
        <v>3400.0666666666671</v>
      </c>
      <c r="BA156" s="449">
        <v>3400.0666666666671</v>
      </c>
      <c r="BB156" s="449">
        <v>3400.0666666666671</v>
      </c>
      <c r="BC156" s="449">
        <v>3400.0666666666671</v>
      </c>
      <c r="BD156" s="449">
        <v>3400.0666666666671</v>
      </c>
      <c r="BE156" s="449">
        <v>3400.0666666666671</v>
      </c>
      <c r="BF156" s="449">
        <v>3400.0666666666671</v>
      </c>
      <c r="BG156" s="449">
        <v>6800.1333333333341</v>
      </c>
      <c r="BH156" s="400"/>
      <c r="BI156" s="449">
        <v>0</v>
      </c>
      <c r="BJ156" s="449">
        <v>3400.0666666666671</v>
      </c>
      <c r="BK156" s="449">
        <v>3400.0666666666671</v>
      </c>
      <c r="BL156" s="771">
        <v>3400.0666666666671</v>
      </c>
      <c r="BM156" s="449">
        <v>3400.0666666666671</v>
      </c>
      <c r="BN156" s="449">
        <v>3400.0666666666671</v>
      </c>
      <c r="BO156" s="449">
        <v>3400.0666666666671</v>
      </c>
      <c r="BP156" s="449">
        <v>3400.0666666666671</v>
      </c>
      <c r="BQ156" s="449">
        <v>3400.0666666666671</v>
      </c>
      <c r="BR156" s="449">
        <v>3400.0666666666671</v>
      </c>
      <c r="BS156" s="449">
        <v>3400.0666666666671</v>
      </c>
      <c r="BT156" s="449">
        <v>6800.1333333333341</v>
      </c>
    </row>
    <row r="157" spans="1:72" x14ac:dyDescent="0.25">
      <c r="A157" s="502" t="s">
        <v>242</v>
      </c>
      <c r="B157" s="502" t="s">
        <v>243</v>
      </c>
      <c r="C157" s="541"/>
      <c r="D157" s="500">
        <v>6044</v>
      </c>
      <c r="E157" s="449">
        <v>6044</v>
      </c>
      <c r="F157" s="449">
        <v>0</v>
      </c>
      <c r="G157" s="421">
        <v>0</v>
      </c>
      <c r="H157" s="449">
        <v>6044</v>
      </c>
      <c r="I157" s="449">
        <v>0</v>
      </c>
      <c r="J157" s="426">
        <v>0</v>
      </c>
      <c r="K157" s="421"/>
      <c r="L157" s="449">
        <v>0</v>
      </c>
      <c r="M157" s="449">
        <v>0</v>
      </c>
      <c r="N157" s="449">
        <v>0</v>
      </c>
      <c r="O157" s="449">
        <v>3938.79</v>
      </c>
      <c r="P157" s="449">
        <v>0</v>
      </c>
      <c r="Q157" s="449">
        <v>809.23999999999978</v>
      </c>
      <c r="R157" s="449">
        <v>215.99500000000003</v>
      </c>
      <c r="S157" s="449">
        <v>215.99500000000006</v>
      </c>
      <c r="T157" s="449">
        <v>215.99500000000012</v>
      </c>
      <c r="U157" s="449">
        <v>215.9950000000002</v>
      </c>
      <c r="V157" s="449">
        <v>215.99500000000035</v>
      </c>
      <c r="W157" s="449">
        <v>215.9950000000008</v>
      </c>
      <c r="X157" s="449"/>
      <c r="Y157" s="449">
        <v>6044</v>
      </c>
      <c r="Z157" s="531"/>
      <c r="AA157" s="449">
        <v>503.66666666666669</v>
      </c>
      <c r="AB157" s="449">
        <v>503.66666666666669</v>
      </c>
      <c r="AC157" s="449">
        <v>503.66666666666669</v>
      </c>
      <c r="AD157" s="449">
        <v>503.66666666666669</v>
      </c>
      <c r="AE157" s="449">
        <v>503.66666666666669</v>
      </c>
      <c r="AF157" s="449">
        <v>503.66666666666669</v>
      </c>
      <c r="AG157" s="449">
        <v>503.66666666666669</v>
      </c>
      <c r="AH157" s="449">
        <v>503.66666666666669</v>
      </c>
      <c r="AI157" s="449">
        <v>503.66666666666669</v>
      </c>
      <c r="AJ157" s="449">
        <v>503.66666666666669</v>
      </c>
      <c r="AK157" s="449">
        <v>503.66666666666669</v>
      </c>
      <c r="AL157" s="449">
        <v>503.66666666666669</v>
      </c>
      <c r="AM157" s="400"/>
      <c r="AN157" s="500">
        <v>6044</v>
      </c>
      <c r="AO157" s="449">
        <v>0</v>
      </c>
      <c r="AP157" s="449">
        <v>-6044</v>
      </c>
      <c r="AQ157" s="453">
        <v>-1</v>
      </c>
      <c r="AR157" s="449">
        <v>0</v>
      </c>
      <c r="AS157" s="449">
        <v>0</v>
      </c>
      <c r="AT157" s="426">
        <v>0</v>
      </c>
      <c r="AU157" s="421"/>
      <c r="AV157" s="449">
        <v>0</v>
      </c>
      <c r="AW157" s="449">
        <v>0</v>
      </c>
      <c r="AX157" s="449">
        <v>0</v>
      </c>
      <c r="AY157" s="449">
        <v>0</v>
      </c>
      <c r="AZ157" s="449">
        <v>0</v>
      </c>
      <c r="BA157" s="449">
        <v>0</v>
      </c>
      <c r="BB157" s="449">
        <v>0</v>
      </c>
      <c r="BC157" s="449">
        <v>0</v>
      </c>
      <c r="BD157" s="449">
        <v>0</v>
      </c>
      <c r="BE157" s="449">
        <v>0</v>
      </c>
      <c r="BF157" s="449">
        <v>0</v>
      </c>
      <c r="BG157" s="449">
        <v>0</v>
      </c>
      <c r="BH157" s="400"/>
      <c r="BI157" s="449">
        <v>0</v>
      </c>
      <c r="BJ157" s="449">
        <v>0</v>
      </c>
      <c r="BK157" s="449">
        <v>0</v>
      </c>
      <c r="BL157" s="771">
        <v>0</v>
      </c>
      <c r="BM157" s="449">
        <v>0</v>
      </c>
      <c r="BN157" s="449">
        <v>0</v>
      </c>
      <c r="BO157" s="449">
        <v>0</v>
      </c>
      <c r="BP157" s="449">
        <v>0</v>
      </c>
      <c r="BQ157" s="449">
        <v>0</v>
      </c>
      <c r="BR157" s="449">
        <v>0</v>
      </c>
      <c r="BS157" s="449">
        <v>0</v>
      </c>
      <c r="BT157" s="449">
        <v>0</v>
      </c>
    </row>
    <row r="158" spans="1:72" x14ac:dyDescent="0.25">
      <c r="A158" s="537" t="s">
        <v>244</v>
      </c>
      <c r="B158" s="537" t="s">
        <v>245</v>
      </c>
      <c r="C158" s="541"/>
      <c r="D158" s="500">
        <v>0</v>
      </c>
      <c r="E158" s="449">
        <v>0</v>
      </c>
      <c r="F158" s="449">
        <v>0</v>
      </c>
      <c r="G158" s="421">
        <v>0</v>
      </c>
      <c r="H158" s="449">
        <v>0</v>
      </c>
      <c r="I158" s="449">
        <v>0</v>
      </c>
      <c r="J158" s="426">
        <v>0</v>
      </c>
      <c r="K158" s="421"/>
      <c r="L158" s="449">
        <v>0</v>
      </c>
      <c r="M158" s="449">
        <v>0</v>
      </c>
      <c r="N158" s="449">
        <v>0</v>
      </c>
      <c r="O158" s="449">
        <v>0</v>
      </c>
      <c r="P158" s="449">
        <v>0</v>
      </c>
      <c r="Q158" s="449">
        <v>0</v>
      </c>
      <c r="R158" s="449">
        <v>0</v>
      </c>
      <c r="S158" s="449">
        <v>0</v>
      </c>
      <c r="T158" s="449">
        <v>0</v>
      </c>
      <c r="U158" s="449">
        <v>0</v>
      </c>
      <c r="V158" s="449">
        <v>0</v>
      </c>
      <c r="W158" s="449">
        <v>0</v>
      </c>
      <c r="X158" s="449"/>
      <c r="Y158" s="449">
        <v>0</v>
      </c>
      <c r="Z158" s="531"/>
      <c r="AA158" s="449">
        <v>0</v>
      </c>
      <c r="AB158" s="449">
        <v>0</v>
      </c>
      <c r="AC158" s="449">
        <v>0</v>
      </c>
      <c r="AD158" s="449">
        <v>0</v>
      </c>
      <c r="AE158" s="449">
        <v>0</v>
      </c>
      <c r="AF158" s="449">
        <v>0</v>
      </c>
      <c r="AG158" s="449">
        <v>0</v>
      </c>
      <c r="AH158" s="449">
        <v>0</v>
      </c>
      <c r="AI158" s="449">
        <v>0</v>
      </c>
      <c r="AJ158" s="449">
        <v>0</v>
      </c>
      <c r="AK158" s="449">
        <v>0</v>
      </c>
      <c r="AL158" s="449">
        <v>0</v>
      </c>
      <c r="AM158" s="400"/>
      <c r="AN158" s="500">
        <v>0</v>
      </c>
      <c r="AO158" s="449">
        <v>6579</v>
      </c>
      <c r="AP158" s="449">
        <v>6579</v>
      </c>
      <c r="AQ158" s="453" t="s">
        <v>1519</v>
      </c>
      <c r="AR158" s="449">
        <v>6579</v>
      </c>
      <c r="AS158" s="449">
        <v>0</v>
      </c>
      <c r="AT158" s="426">
        <v>0</v>
      </c>
      <c r="AU158" s="421"/>
      <c r="AV158" s="449">
        <v>0</v>
      </c>
      <c r="AW158" s="449">
        <v>0</v>
      </c>
      <c r="AX158" s="449">
        <v>0</v>
      </c>
      <c r="AY158" s="449">
        <v>3289.5</v>
      </c>
      <c r="AZ158" s="449">
        <v>0</v>
      </c>
      <c r="BA158" s="449">
        <v>0</v>
      </c>
      <c r="BB158" s="449">
        <v>0</v>
      </c>
      <c r="BC158" s="449">
        <v>0</v>
      </c>
      <c r="BD158" s="449">
        <v>0</v>
      </c>
      <c r="BE158" s="449">
        <v>3289.5</v>
      </c>
      <c r="BF158" s="449">
        <v>0</v>
      </c>
      <c r="BG158" s="449">
        <v>0</v>
      </c>
      <c r="BH158" s="400"/>
      <c r="BI158" s="449">
        <v>0</v>
      </c>
      <c r="BJ158" s="449">
        <v>0</v>
      </c>
      <c r="BK158" s="449">
        <v>0</v>
      </c>
      <c r="BL158" s="771">
        <v>3289.5</v>
      </c>
      <c r="BM158" s="449">
        <v>0</v>
      </c>
      <c r="BN158" s="449">
        <v>0</v>
      </c>
      <c r="BO158" s="449">
        <v>0</v>
      </c>
      <c r="BP158" s="449">
        <v>0</v>
      </c>
      <c r="BQ158" s="449">
        <v>0</v>
      </c>
      <c r="BR158" s="449">
        <v>3289.5</v>
      </c>
      <c r="BS158" s="449">
        <v>0</v>
      </c>
      <c r="BT158" s="449">
        <v>0</v>
      </c>
    </row>
    <row r="159" spans="1:72" x14ac:dyDescent="0.25">
      <c r="A159" s="502" t="s">
        <v>246</v>
      </c>
      <c r="B159" s="502" t="s">
        <v>247</v>
      </c>
      <c r="C159" s="541"/>
      <c r="D159" s="500">
        <v>20038</v>
      </c>
      <c r="E159" s="449">
        <v>5038</v>
      </c>
      <c r="F159" s="449">
        <v>15000</v>
      </c>
      <c r="G159" s="421">
        <v>2.9773719730051607</v>
      </c>
      <c r="H159" s="449">
        <v>20038</v>
      </c>
      <c r="I159" s="449">
        <v>0</v>
      </c>
      <c r="J159" s="426">
        <v>0</v>
      </c>
      <c r="K159" s="421"/>
      <c r="L159" s="449">
        <v>54.8</v>
      </c>
      <c r="M159" s="449">
        <v>1043.6500000000001</v>
      </c>
      <c r="N159" s="449">
        <v>1708.8300000000002</v>
      </c>
      <c r="O159" s="449">
        <v>-621.0300000000002</v>
      </c>
      <c r="P159" s="449">
        <v>715.01000000000022</v>
      </c>
      <c r="Q159" s="449">
        <v>769.94999999999982</v>
      </c>
      <c r="R159" s="449">
        <v>2727.7983333333336</v>
      </c>
      <c r="S159" s="449">
        <v>2727.7983333333332</v>
      </c>
      <c r="T159" s="449">
        <v>2727.7983333333332</v>
      </c>
      <c r="U159" s="449">
        <v>2727.7983333333336</v>
      </c>
      <c r="V159" s="449">
        <v>2727.7983333333332</v>
      </c>
      <c r="W159" s="449">
        <v>2727.7983333333323</v>
      </c>
      <c r="X159" s="449"/>
      <c r="Y159" s="449">
        <v>20038</v>
      </c>
      <c r="Z159" s="531"/>
      <c r="AA159" s="449">
        <v>1669.8333333333333</v>
      </c>
      <c r="AB159" s="449">
        <v>1669.8333333333333</v>
      </c>
      <c r="AC159" s="449">
        <v>1669.8333333333333</v>
      </c>
      <c r="AD159" s="449">
        <v>1669.8333333333333</v>
      </c>
      <c r="AE159" s="449">
        <v>1669.8333333333333</v>
      </c>
      <c r="AF159" s="449">
        <v>1669.8333333333333</v>
      </c>
      <c r="AG159" s="449">
        <v>1669.8333333333333</v>
      </c>
      <c r="AH159" s="449">
        <v>1669.8333333333333</v>
      </c>
      <c r="AI159" s="449">
        <v>1669.8333333333333</v>
      </c>
      <c r="AJ159" s="449">
        <v>1669.8333333333333</v>
      </c>
      <c r="AK159" s="449">
        <v>1669.8333333333333</v>
      </c>
      <c r="AL159" s="449">
        <v>1669.8333333333333</v>
      </c>
      <c r="AM159" s="400"/>
      <c r="AN159" s="500">
        <v>20038</v>
      </c>
      <c r="AO159" s="449">
        <v>17927.218138619999</v>
      </c>
      <c r="AP159" s="449">
        <v>-2110.7818613800009</v>
      </c>
      <c r="AQ159" s="453">
        <v>-0.10533894906577507</v>
      </c>
      <c r="AR159" s="449">
        <v>17927.218138619999</v>
      </c>
      <c r="AS159" s="449">
        <v>0</v>
      </c>
      <c r="AT159" s="426">
        <v>0</v>
      </c>
      <c r="AU159" s="421"/>
      <c r="AV159" s="449">
        <v>0</v>
      </c>
      <c r="AW159" s="449">
        <v>1493.9348448850003</v>
      </c>
      <c r="AX159" s="449">
        <v>1493.9348448850003</v>
      </c>
      <c r="AY159" s="449">
        <v>1493.9348448850003</v>
      </c>
      <c r="AZ159" s="449">
        <v>1493.9348448850003</v>
      </c>
      <c r="BA159" s="449">
        <v>1493.9348448850003</v>
      </c>
      <c r="BB159" s="449">
        <v>1493.9348448850003</v>
      </c>
      <c r="BC159" s="449">
        <v>1493.9348448850003</v>
      </c>
      <c r="BD159" s="449">
        <v>1493.9348448850003</v>
      </c>
      <c r="BE159" s="449">
        <v>1493.9348448850003</v>
      </c>
      <c r="BF159" s="449">
        <v>1493.9348448850003</v>
      </c>
      <c r="BG159" s="449">
        <v>2987.8696897700006</v>
      </c>
      <c r="BH159" s="400"/>
      <c r="BI159" s="449">
        <v>0</v>
      </c>
      <c r="BJ159" s="449">
        <v>1493.9348448850003</v>
      </c>
      <c r="BK159" s="449">
        <v>1493.9348448850003</v>
      </c>
      <c r="BL159" s="771">
        <v>1493.9348448850003</v>
      </c>
      <c r="BM159" s="449">
        <v>1493.9348448850003</v>
      </c>
      <c r="BN159" s="449">
        <v>1493.9348448850003</v>
      </c>
      <c r="BO159" s="449">
        <v>1493.9348448850003</v>
      </c>
      <c r="BP159" s="449">
        <v>1493.9348448850003</v>
      </c>
      <c r="BQ159" s="449">
        <v>1493.9348448850003</v>
      </c>
      <c r="BR159" s="449">
        <v>1493.9348448850003</v>
      </c>
      <c r="BS159" s="449">
        <v>1493.9348448850003</v>
      </c>
      <c r="BT159" s="449">
        <v>2987.8696897700006</v>
      </c>
    </row>
    <row r="160" spans="1:72" hidden="1" x14ac:dyDescent="0.25">
      <c r="A160" s="502" t="s">
        <v>248</v>
      </c>
      <c r="B160" s="502" t="s">
        <v>249</v>
      </c>
      <c r="C160" s="541"/>
      <c r="D160" s="500">
        <v>0</v>
      </c>
      <c r="E160" s="449">
        <v>0</v>
      </c>
      <c r="F160" s="449">
        <v>0</v>
      </c>
      <c r="G160" s="421">
        <v>0</v>
      </c>
      <c r="H160" s="449">
        <v>0</v>
      </c>
      <c r="I160" s="449">
        <v>0</v>
      </c>
      <c r="J160" s="426">
        <v>0</v>
      </c>
      <c r="K160" s="421"/>
      <c r="L160" s="449">
        <v>0</v>
      </c>
      <c r="M160" s="449">
        <v>0</v>
      </c>
      <c r="N160" s="449">
        <v>0</v>
      </c>
      <c r="O160" s="449">
        <v>0</v>
      </c>
      <c r="P160" s="449">
        <v>0</v>
      </c>
      <c r="Q160" s="449">
        <v>0</v>
      </c>
      <c r="R160" s="449">
        <v>0</v>
      </c>
      <c r="S160" s="449">
        <v>0</v>
      </c>
      <c r="T160" s="449">
        <v>0</v>
      </c>
      <c r="U160" s="449">
        <v>0</v>
      </c>
      <c r="V160" s="449">
        <v>0</v>
      </c>
      <c r="W160" s="449">
        <v>0</v>
      </c>
      <c r="X160" s="449"/>
      <c r="Y160" s="449">
        <v>0</v>
      </c>
      <c r="Z160" s="531"/>
      <c r="AA160" s="449">
        <v>0</v>
      </c>
      <c r="AB160" s="449">
        <v>0</v>
      </c>
      <c r="AC160" s="449">
        <v>0</v>
      </c>
      <c r="AD160" s="449">
        <v>0</v>
      </c>
      <c r="AE160" s="449">
        <v>0</v>
      </c>
      <c r="AF160" s="449">
        <v>0</v>
      </c>
      <c r="AG160" s="449">
        <v>0</v>
      </c>
      <c r="AH160" s="449">
        <v>0</v>
      </c>
      <c r="AI160" s="449">
        <v>0</v>
      </c>
      <c r="AJ160" s="449">
        <v>0</v>
      </c>
      <c r="AK160" s="449">
        <v>0</v>
      </c>
      <c r="AL160" s="449">
        <v>0</v>
      </c>
      <c r="AM160" s="400"/>
      <c r="AN160" s="500">
        <v>0</v>
      </c>
      <c r="AO160" s="449">
        <v>0</v>
      </c>
      <c r="AP160" s="449">
        <v>0</v>
      </c>
      <c r="AQ160" s="453" t="s">
        <v>1519</v>
      </c>
      <c r="AR160" s="449">
        <v>0</v>
      </c>
      <c r="AS160" s="449">
        <v>0</v>
      </c>
      <c r="AT160" s="426">
        <v>0</v>
      </c>
      <c r="AU160" s="421"/>
      <c r="AV160" s="449">
        <v>0</v>
      </c>
      <c r="AW160" s="449">
        <v>0</v>
      </c>
      <c r="AX160" s="449">
        <v>0</v>
      </c>
      <c r="AY160" s="449">
        <v>0</v>
      </c>
      <c r="AZ160" s="449">
        <v>0</v>
      </c>
      <c r="BA160" s="449">
        <v>0</v>
      </c>
      <c r="BB160" s="449">
        <v>0</v>
      </c>
      <c r="BC160" s="449">
        <v>0</v>
      </c>
      <c r="BD160" s="449">
        <v>0</v>
      </c>
      <c r="BE160" s="449">
        <v>0</v>
      </c>
      <c r="BF160" s="449">
        <v>0</v>
      </c>
      <c r="BG160" s="449">
        <v>0</v>
      </c>
      <c r="BH160" s="400"/>
      <c r="BI160" s="449">
        <v>0</v>
      </c>
      <c r="BJ160" s="449">
        <v>0</v>
      </c>
      <c r="BK160" s="449">
        <v>0</v>
      </c>
      <c r="BL160" s="771">
        <v>0</v>
      </c>
      <c r="BM160" s="449">
        <v>0</v>
      </c>
      <c r="BN160" s="449">
        <v>0</v>
      </c>
      <c r="BO160" s="449">
        <v>0</v>
      </c>
      <c r="BP160" s="449">
        <v>0</v>
      </c>
      <c r="BQ160" s="449">
        <v>0</v>
      </c>
      <c r="BR160" s="449">
        <v>0</v>
      </c>
      <c r="BS160" s="449">
        <v>0</v>
      </c>
      <c r="BT160" s="449">
        <v>0</v>
      </c>
    </row>
    <row r="161" spans="1:72" x14ac:dyDescent="0.25">
      <c r="A161" s="502" t="s">
        <v>250</v>
      </c>
      <c r="B161" s="502" t="s">
        <v>251</v>
      </c>
      <c r="C161" s="541"/>
      <c r="D161" s="500">
        <v>20473</v>
      </c>
      <c r="E161" s="449">
        <v>27077</v>
      </c>
      <c r="F161" s="449">
        <v>-6604</v>
      </c>
      <c r="G161" s="421">
        <v>-0.24389703438342505</v>
      </c>
      <c r="H161" s="449">
        <v>20473</v>
      </c>
      <c r="I161" s="449">
        <v>0</v>
      </c>
      <c r="J161" s="426">
        <v>0</v>
      </c>
      <c r="K161" s="421"/>
      <c r="L161" s="449">
        <v>0</v>
      </c>
      <c r="M161" s="449">
        <v>0</v>
      </c>
      <c r="N161" s="449">
        <v>0</v>
      </c>
      <c r="O161" s="449">
        <v>2133.88</v>
      </c>
      <c r="P161" s="449">
        <v>3150.6499999999996</v>
      </c>
      <c r="Q161" s="449">
        <v>1128.4300000000003</v>
      </c>
      <c r="R161" s="449">
        <v>2343.34</v>
      </c>
      <c r="S161" s="449">
        <v>2343.34</v>
      </c>
      <c r="T161" s="449">
        <v>2343.34</v>
      </c>
      <c r="U161" s="449">
        <v>2343.34</v>
      </c>
      <c r="V161" s="449">
        <v>2343.34</v>
      </c>
      <c r="W161" s="449">
        <v>2343.34</v>
      </c>
      <c r="X161" s="449"/>
      <c r="Y161" s="449">
        <v>20473</v>
      </c>
      <c r="Z161" s="531"/>
      <c r="AA161" s="449">
        <v>1706.0833333333333</v>
      </c>
      <c r="AB161" s="449">
        <v>1706.0833333333333</v>
      </c>
      <c r="AC161" s="449">
        <v>1706.0833333333333</v>
      </c>
      <c r="AD161" s="449">
        <v>1706.0833333333333</v>
      </c>
      <c r="AE161" s="449">
        <v>1706.0833333333333</v>
      </c>
      <c r="AF161" s="449">
        <v>1706.0833333333333</v>
      </c>
      <c r="AG161" s="449">
        <v>1706.0833333333333</v>
      </c>
      <c r="AH161" s="449">
        <v>1706.0833333333333</v>
      </c>
      <c r="AI161" s="449">
        <v>1706.0833333333333</v>
      </c>
      <c r="AJ161" s="449">
        <v>1706.0833333333333</v>
      </c>
      <c r="AK161" s="449">
        <v>1706.0833333333333</v>
      </c>
      <c r="AL161" s="449">
        <v>1706.0833333333333</v>
      </c>
      <c r="AM161" s="400"/>
      <c r="AN161" s="500">
        <v>20473</v>
      </c>
      <c r="AO161" s="449">
        <v>45819.48512982751</v>
      </c>
      <c r="AP161" s="449">
        <v>25346.48512982751</v>
      </c>
      <c r="AQ161" s="453">
        <v>1.2380445039724275</v>
      </c>
      <c r="AR161" s="449">
        <v>45819.48512982751</v>
      </c>
      <c r="AS161" s="449">
        <v>0</v>
      </c>
      <c r="AT161" s="426">
        <v>0</v>
      </c>
      <c r="AU161" s="421"/>
      <c r="AV161" s="449">
        <v>0</v>
      </c>
      <c r="AW161" s="449">
        <v>3818.2904274856251</v>
      </c>
      <c r="AX161" s="449">
        <v>3818.2904274856251</v>
      </c>
      <c r="AY161" s="449">
        <v>3818.2904274856251</v>
      </c>
      <c r="AZ161" s="449">
        <v>3818.2904274856251</v>
      </c>
      <c r="BA161" s="449">
        <v>3818.2904274856251</v>
      </c>
      <c r="BB161" s="449">
        <v>3818.2904274856251</v>
      </c>
      <c r="BC161" s="449">
        <v>3818.2904274856251</v>
      </c>
      <c r="BD161" s="449">
        <v>3818.2904274856251</v>
      </c>
      <c r="BE161" s="449">
        <v>3818.2904274856251</v>
      </c>
      <c r="BF161" s="449">
        <v>3818.2904274856251</v>
      </c>
      <c r="BG161" s="449">
        <v>7636.5808549712501</v>
      </c>
      <c r="BH161" s="400"/>
      <c r="BI161" s="449">
        <v>0</v>
      </c>
      <c r="BJ161" s="449">
        <v>3818.2904274856251</v>
      </c>
      <c r="BK161" s="449">
        <v>3818.2904274856251</v>
      </c>
      <c r="BL161" s="771">
        <v>3818.2904274856251</v>
      </c>
      <c r="BM161" s="449">
        <v>3818.2904274856251</v>
      </c>
      <c r="BN161" s="449">
        <v>3818.2904274856251</v>
      </c>
      <c r="BO161" s="449">
        <v>3818.2904274856251</v>
      </c>
      <c r="BP161" s="449">
        <v>3818.2904274856251</v>
      </c>
      <c r="BQ161" s="449">
        <v>3818.2904274856251</v>
      </c>
      <c r="BR161" s="449">
        <v>3818.2904274856251</v>
      </c>
      <c r="BS161" s="449">
        <v>3818.2904274856251</v>
      </c>
      <c r="BT161" s="449">
        <v>7636.5808549712501</v>
      </c>
    </row>
    <row r="162" spans="1:72" hidden="1" x14ac:dyDescent="0.25">
      <c r="A162" s="502" t="s">
        <v>252</v>
      </c>
      <c r="B162" s="502" t="s">
        <v>253</v>
      </c>
      <c r="C162" s="541"/>
      <c r="D162" s="500">
        <v>0</v>
      </c>
      <c r="E162" s="449">
        <v>0</v>
      </c>
      <c r="F162" s="449">
        <v>0</v>
      </c>
      <c r="G162" s="421">
        <v>0</v>
      </c>
      <c r="H162" s="449">
        <v>0</v>
      </c>
      <c r="I162" s="449">
        <v>0</v>
      </c>
      <c r="J162" s="426">
        <v>0</v>
      </c>
      <c r="K162" s="421"/>
      <c r="L162" s="449">
        <v>0</v>
      </c>
      <c r="M162" s="449">
        <v>0</v>
      </c>
      <c r="N162" s="449">
        <v>0</v>
      </c>
      <c r="O162" s="449">
        <v>0</v>
      </c>
      <c r="P162" s="449">
        <v>0</v>
      </c>
      <c r="Q162" s="449">
        <v>0</v>
      </c>
      <c r="R162" s="449">
        <v>0</v>
      </c>
      <c r="S162" s="449">
        <v>0</v>
      </c>
      <c r="T162" s="449">
        <v>0</v>
      </c>
      <c r="U162" s="449">
        <v>0</v>
      </c>
      <c r="V162" s="449">
        <v>0</v>
      </c>
      <c r="W162" s="449">
        <v>0</v>
      </c>
      <c r="X162" s="449"/>
      <c r="Y162" s="449">
        <v>0</v>
      </c>
      <c r="Z162" s="531"/>
      <c r="AA162" s="449">
        <v>0</v>
      </c>
      <c r="AB162" s="449">
        <v>0</v>
      </c>
      <c r="AC162" s="449">
        <v>0</v>
      </c>
      <c r="AD162" s="449">
        <v>0</v>
      </c>
      <c r="AE162" s="449">
        <v>0</v>
      </c>
      <c r="AF162" s="449">
        <v>0</v>
      </c>
      <c r="AG162" s="449">
        <v>0</v>
      </c>
      <c r="AH162" s="449">
        <v>0</v>
      </c>
      <c r="AI162" s="449">
        <v>0</v>
      </c>
      <c r="AJ162" s="449">
        <v>0</v>
      </c>
      <c r="AK162" s="449">
        <v>0</v>
      </c>
      <c r="AL162" s="449">
        <v>0</v>
      </c>
      <c r="AM162" s="400"/>
      <c r="AN162" s="500">
        <v>0</v>
      </c>
      <c r="AO162" s="449">
        <v>0</v>
      </c>
      <c r="AP162" s="449">
        <v>0</v>
      </c>
      <c r="AQ162" s="453" t="s">
        <v>1519</v>
      </c>
      <c r="AR162" s="449">
        <v>0</v>
      </c>
      <c r="AS162" s="449">
        <v>0</v>
      </c>
      <c r="AT162" s="426">
        <v>0</v>
      </c>
      <c r="AU162" s="421"/>
      <c r="AV162" s="449">
        <v>0</v>
      </c>
      <c r="AW162" s="449">
        <v>0</v>
      </c>
      <c r="AX162" s="449">
        <v>0</v>
      </c>
      <c r="AY162" s="449">
        <v>0</v>
      </c>
      <c r="AZ162" s="449">
        <v>0</v>
      </c>
      <c r="BA162" s="449">
        <v>0</v>
      </c>
      <c r="BB162" s="449">
        <v>0</v>
      </c>
      <c r="BC162" s="449">
        <v>0</v>
      </c>
      <c r="BD162" s="449">
        <v>0</v>
      </c>
      <c r="BE162" s="449">
        <v>0</v>
      </c>
      <c r="BF162" s="449">
        <v>0</v>
      </c>
      <c r="BG162" s="449">
        <v>0</v>
      </c>
      <c r="BH162" s="400"/>
      <c r="BI162" s="449">
        <v>0</v>
      </c>
      <c r="BJ162" s="449">
        <v>0</v>
      </c>
      <c r="BK162" s="449">
        <v>0</v>
      </c>
      <c r="BL162" s="771">
        <v>0</v>
      </c>
      <c r="BM162" s="449">
        <v>0</v>
      </c>
      <c r="BN162" s="449">
        <v>0</v>
      </c>
      <c r="BO162" s="449">
        <v>0</v>
      </c>
      <c r="BP162" s="449">
        <v>0</v>
      </c>
      <c r="BQ162" s="449">
        <v>0</v>
      </c>
      <c r="BR162" s="449">
        <v>0</v>
      </c>
      <c r="BS162" s="449">
        <v>0</v>
      </c>
      <c r="BT162" s="449">
        <v>0</v>
      </c>
    </row>
    <row r="163" spans="1:72" x14ac:dyDescent="0.25">
      <c r="A163" s="502" t="s">
        <v>254</v>
      </c>
      <c r="B163" s="502" t="s">
        <v>255</v>
      </c>
      <c r="C163" s="541"/>
      <c r="D163" s="500">
        <v>1392</v>
      </c>
      <c r="E163" s="449">
        <v>1392</v>
      </c>
      <c r="F163" s="449">
        <v>0</v>
      </c>
      <c r="G163" s="421">
        <v>0</v>
      </c>
      <c r="H163" s="449">
        <v>1392</v>
      </c>
      <c r="I163" s="449">
        <v>0</v>
      </c>
      <c r="J163" s="426">
        <v>0</v>
      </c>
      <c r="K163" s="421"/>
      <c r="L163" s="449">
        <v>0</v>
      </c>
      <c r="M163" s="449">
        <v>0</v>
      </c>
      <c r="N163" s="449">
        <v>0</v>
      </c>
      <c r="O163" s="449">
        <v>120</v>
      </c>
      <c r="P163" s="449">
        <v>0</v>
      </c>
      <c r="Q163" s="449">
        <v>0</v>
      </c>
      <c r="R163" s="449">
        <v>212</v>
      </c>
      <c r="S163" s="449">
        <v>212</v>
      </c>
      <c r="T163" s="449">
        <v>212</v>
      </c>
      <c r="U163" s="449">
        <v>212</v>
      </c>
      <c r="V163" s="449">
        <v>212</v>
      </c>
      <c r="W163" s="449">
        <v>212</v>
      </c>
      <c r="X163" s="449"/>
      <c r="Y163" s="449">
        <v>1392</v>
      </c>
      <c r="Z163" s="531"/>
      <c r="AA163" s="449">
        <v>116</v>
      </c>
      <c r="AB163" s="449">
        <v>116</v>
      </c>
      <c r="AC163" s="449">
        <v>116</v>
      </c>
      <c r="AD163" s="449">
        <v>116</v>
      </c>
      <c r="AE163" s="449">
        <v>116</v>
      </c>
      <c r="AF163" s="449">
        <v>116</v>
      </c>
      <c r="AG163" s="449">
        <v>116</v>
      </c>
      <c r="AH163" s="449">
        <v>116</v>
      </c>
      <c r="AI163" s="449">
        <v>116</v>
      </c>
      <c r="AJ163" s="449">
        <v>116</v>
      </c>
      <c r="AK163" s="449">
        <v>116</v>
      </c>
      <c r="AL163" s="449">
        <v>116</v>
      </c>
      <c r="AM163" s="400"/>
      <c r="AN163" s="500">
        <v>1392</v>
      </c>
      <c r="AO163" s="449">
        <v>4699.1400000000012</v>
      </c>
      <c r="AP163" s="449">
        <v>3307.1400000000012</v>
      </c>
      <c r="AQ163" s="453">
        <v>2.3758189655172424</v>
      </c>
      <c r="AR163" s="449">
        <v>4699.1400000000012</v>
      </c>
      <c r="AS163" s="449">
        <v>0</v>
      </c>
      <c r="AT163" s="426">
        <v>0</v>
      </c>
      <c r="AU163" s="421"/>
      <c r="AV163" s="449">
        <v>0</v>
      </c>
      <c r="AW163" s="449">
        <v>391.59500000000003</v>
      </c>
      <c r="AX163" s="449">
        <v>391.59500000000003</v>
      </c>
      <c r="AY163" s="449">
        <v>391.59500000000003</v>
      </c>
      <c r="AZ163" s="449">
        <v>391.59500000000003</v>
      </c>
      <c r="BA163" s="449">
        <v>391.59500000000003</v>
      </c>
      <c r="BB163" s="449">
        <v>391.59500000000003</v>
      </c>
      <c r="BC163" s="449">
        <v>391.59500000000003</v>
      </c>
      <c r="BD163" s="449">
        <v>391.59500000000003</v>
      </c>
      <c r="BE163" s="449">
        <v>391.59500000000003</v>
      </c>
      <c r="BF163" s="449">
        <v>391.59500000000003</v>
      </c>
      <c r="BG163" s="449">
        <v>783.19</v>
      </c>
      <c r="BH163" s="400"/>
      <c r="BI163" s="449">
        <v>0</v>
      </c>
      <c r="BJ163" s="449">
        <v>391.59500000000003</v>
      </c>
      <c r="BK163" s="449">
        <v>391.59500000000003</v>
      </c>
      <c r="BL163" s="771">
        <v>391.59500000000003</v>
      </c>
      <c r="BM163" s="449">
        <v>391.59500000000003</v>
      </c>
      <c r="BN163" s="449">
        <v>391.59500000000003</v>
      </c>
      <c r="BO163" s="449">
        <v>391.59500000000003</v>
      </c>
      <c r="BP163" s="449">
        <v>391.59500000000003</v>
      </c>
      <c r="BQ163" s="449">
        <v>391.59500000000003</v>
      </c>
      <c r="BR163" s="449">
        <v>391.59500000000003</v>
      </c>
      <c r="BS163" s="449">
        <v>391.59500000000003</v>
      </c>
      <c r="BT163" s="449">
        <v>783.19</v>
      </c>
    </row>
    <row r="164" spans="1:72" x14ac:dyDescent="0.25">
      <c r="A164" s="502" t="s">
        <v>256</v>
      </c>
      <c r="B164" s="502" t="s">
        <v>257</v>
      </c>
      <c r="C164" s="541"/>
      <c r="D164" s="500">
        <v>10568</v>
      </c>
      <c r="E164" s="449">
        <v>7681</v>
      </c>
      <c r="F164" s="449">
        <v>2887</v>
      </c>
      <c r="G164" s="421">
        <v>0.37586251790131492</v>
      </c>
      <c r="H164" s="449">
        <v>10568</v>
      </c>
      <c r="I164" s="449">
        <v>0</v>
      </c>
      <c r="J164" s="426">
        <v>0</v>
      </c>
      <c r="K164" s="421"/>
      <c r="L164" s="449">
        <v>0</v>
      </c>
      <c r="M164" s="449">
        <v>152.11000000000001</v>
      </c>
      <c r="N164" s="449">
        <v>133.09999999999997</v>
      </c>
      <c r="O164" s="449">
        <v>126.76000000000005</v>
      </c>
      <c r="P164" s="449">
        <v>126.75999999999999</v>
      </c>
      <c r="Q164" s="449">
        <v>158.44999999999993</v>
      </c>
      <c r="R164" s="449">
        <v>1645.1366666666665</v>
      </c>
      <c r="S164" s="449">
        <v>1645.1366666666668</v>
      </c>
      <c r="T164" s="449">
        <v>1645.1366666666668</v>
      </c>
      <c r="U164" s="449">
        <v>1645.1366666666665</v>
      </c>
      <c r="V164" s="449">
        <v>1645.1366666666668</v>
      </c>
      <c r="W164" s="449">
        <v>1645.1366666666672</v>
      </c>
      <c r="X164" s="449"/>
      <c r="Y164" s="449">
        <v>10568</v>
      </c>
      <c r="Z164" s="531"/>
      <c r="AA164" s="449">
        <v>880.66666666666663</v>
      </c>
      <c r="AB164" s="449">
        <v>880.66666666666663</v>
      </c>
      <c r="AC164" s="449">
        <v>880.66666666666663</v>
      </c>
      <c r="AD164" s="449">
        <v>880.66666666666663</v>
      </c>
      <c r="AE164" s="449">
        <v>880.66666666666663</v>
      </c>
      <c r="AF164" s="449">
        <v>880.66666666666663</v>
      </c>
      <c r="AG164" s="449">
        <v>880.66666666666663</v>
      </c>
      <c r="AH164" s="449">
        <v>880.66666666666663</v>
      </c>
      <c r="AI164" s="449">
        <v>880.66666666666663</v>
      </c>
      <c r="AJ164" s="449">
        <v>880.66666666666663</v>
      </c>
      <c r="AK164" s="449">
        <v>880.66666666666663</v>
      </c>
      <c r="AL164" s="449">
        <v>880.66666666666663</v>
      </c>
      <c r="AM164" s="400"/>
      <c r="AN164" s="500">
        <v>10568</v>
      </c>
      <c r="AO164" s="449">
        <v>12010.35</v>
      </c>
      <c r="AP164" s="449">
        <v>1442.3500000000004</v>
      </c>
      <c r="AQ164" s="453">
        <v>0.13648277819833463</v>
      </c>
      <c r="AR164" s="449">
        <v>12010.35</v>
      </c>
      <c r="AS164" s="449">
        <v>0</v>
      </c>
      <c r="AT164" s="426">
        <v>0</v>
      </c>
      <c r="AU164" s="421"/>
      <c r="AV164" s="449">
        <v>0</v>
      </c>
      <c r="AW164" s="449">
        <v>1000.8625000000002</v>
      </c>
      <c r="AX164" s="449">
        <v>1000.8625000000002</v>
      </c>
      <c r="AY164" s="449">
        <v>1000.8625000000002</v>
      </c>
      <c r="AZ164" s="449">
        <v>1000.8625000000002</v>
      </c>
      <c r="BA164" s="449">
        <v>1000.8625000000002</v>
      </c>
      <c r="BB164" s="449">
        <v>1000.8625000000002</v>
      </c>
      <c r="BC164" s="449">
        <v>1000.8625000000002</v>
      </c>
      <c r="BD164" s="449">
        <v>1000.8625000000002</v>
      </c>
      <c r="BE164" s="449">
        <v>1000.8625000000002</v>
      </c>
      <c r="BF164" s="449">
        <v>1000.8625000000002</v>
      </c>
      <c r="BG164" s="449">
        <v>2001.7250000000004</v>
      </c>
      <c r="BH164" s="400"/>
      <c r="BI164" s="449">
        <v>0</v>
      </c>
      <c r="BJ164" s="449">
        <v>1000.8625000000002</v>
      </c>
      <c r="BK164" s="449">
        <v>1000.8625000000002</v>
      </c>
      <c r="BL164" s="771">
        <v>1000.8625000000002</v>
      </c>
      <c r="BM164" s="449">
        <v>1000.8625000000002</v>
      </c>
      <c r="BN164" s="449">
        <v>1000.8625000000002</v>
      </c>
      <c r="BO164" s="449">
        <v>1000.8625000000002</v>
      </c>
      <c r="BP164" s="449">
        <v>1000.8625000000002</v>
      </c>
      <c r="BQ164" s="449">
        <v>1000.8625000000002</v>
      </c>
      <c r="BR164" s="449">
        <v>1000.8625000000002</v>
      </c>
      <c r="BS164" s="449">
        <v>1000.8625000000002</v>
      </c>
      <c r="BT164" s="449">
        <v>2001.7250000000004</v>
      </c>
    </row>
    <row r="165" spans="1:72" x14ac:dyDescent="0.25">
      <c r="A165" s="502" t="s">
        <v>258</v>
      </c>
      <c r="B165" s="502" t="s">
        <v>259</v>
      </c>
      <c r="C165" s="541"/>
      <c r="D165" s="500">
        <v>396</v>
      </c>
      <c r="E165" s="449">
        <v>396</v>
      </c>
      <c r="F165" s="449">
        <v>0</v>
      </c>
      <c r="G165" s="421">
        <v>0</v>
      </c>
      <c r="H165" s="449">
        <v>396</v>
      </c>
      <c r="I165" s="449">
        <v>0</v>
      </c>
      <c r="J165" s="426">
        <v>0</v>
      </c>
      <c r="K165" s="421"/>
      <c r="L165" s="449">
        <v>0</v>
      </c>
      <c r="M165" s="449">
        <v>0</v>
      </c>
      <c r="N165" s="449">
        <v>0</v>
      </c>
      <c r="O165" s="449">
        <v>240</v>
      </c>
      <c r="P165" s="449">
        <v>0</v>
      </c>
      <c r="Q165" s="449">
        <v>117.19999999999999</v>
      </c>
      <c r="R165" s="449">
        <v>6.4666666666666686</v>
      </c>
      <c r="S165" s="449">
        <v>6.4666666666666739</v>
      </c>
      <c r="T165" s="449">
        <v>6.4666666666666686</v>
      </c>
      <c r="U165" s="449">
        <v>6.4666666666666588</v>
      </c>
      <c r="V165" s="449">
        <v>6.4666666666666686</v>
      </c>
      <c r="W165" s="449">
        <v>6.466666666666697</v>
      </c>
      <c r="X165" s="449"/>
      <c r="Y165" s="449">
        <v>396</v>
      </c>
      <c r="Z165" s="531"/>
      <c r="AA165" s="449">
        <v>33</v>
      </c>
      <c r="AB165" s="449">
        <v>33</v>
      </c>
      <c r="AC165" s="449">
        <v>33</v>
      </c>
      <c r="AD165" s="449">
        <v>33</v>
      </c>
      <c r="AE165" s="449">
        <v>33</v>
      </c>
      <c r="AF165" s="449">
        <v>33</v>
      </c>
      <c r="AG165" s="449">
        <v>33</v>
      </c>
      <c r="AH165" s="449">
        <v>33</v>
      </c>
      <c r="AI165" s="449">
        <v>33</v>
      </c>
      <c r="AJ165" s="449">
        <v>33</v>
      </c>
      <c r="AK165" s="449">
        <v>33</v>
      </c>
      <c r="AL165" s="449">
        <v>33</v>
      </c>
      <c r="AM165" s="400"/>
      <c r="AN165" s="500">
        <v>396</v>
      </c>
      <c r="AO165" s="449">
        <v>0</v>
      </c>
      <c r="AP165" s="449">
        <v>-396</v>
      </c>
      <c r="AQ165" s="453">
        <v>-1</v>
      </c>
      <c r="AR165" s="449">
        <v>0</v>
      </c>
      <c r="AS165" s="449">
        <v>0</v>
      </c>
      <c r="AT165" s="426">
        <v>0</v>
      </c>
      <c r="AU165" s="421"/>
      <c r="AV165" s="449">
        <v>0</v>
      </c>
      <c r="AW165" s="449">
        <v>0</v>
      </c>
      <c r="AX165" s="449">
        <v>0</v>
      </c>
      <c r="AY165" s="449">
        <v>0</v>
      </c>
      <c r="AZ165" s="449">
        <v>0</v>
      </c>
      <c r="BA165" s="449">
        <v>0</v>
      </c>
      <c r="BB165" s="449">
        <v>0</v>
      </c>
      <c r="BC165" s="449">
        <v>0</v>
      </c>
      <c r="BD165" s="449">
        <v>0</v>
      </c>
      <c r="BE165" s="449">
        <v>0</v>
      </c>
      <c r="BF165" s="449">
        <v>0</v>
      </c>
      <c r="BG165" s="449">
        <v>0</v>
      </c>
      <c r="BH165" s="400"/>
      <c r="BI165" s="449">
        <v>0</v>
      </c>
      <c r="BJ165" s="449">
        <v>0</v>
      </c>
      <c r="BK165" s="449">
        <v>0</v>
      </c>
      <c r="BL165" s="771">
        <v>0</v>
      </c>
      <c r="BM165" s="449">
        <v>0</v>
      </c>
      <c r="BN165" s="449">
        <v>0</v>
      </c>
      <c r="BO165" s="449">
        <v>0</v>
      </c>
      <c r="BP165" s="449">
        <v>0</v>
      </c>
      <c r="BQ165" s="449">
        <v>0</v>
      </c>
      <c r="BR165" s="449">
        <v>0</v>
      </c>
      <c r="BS165" s="449">
        <v>0</v>
      </c>
      <c r="BT165" s="449">
        <v>0</v>
      </c>
    </row>
    <row r="166" spans="1:72" x14ac:dyDescent="0.25">
      <c r="A166" s="537" t="s">
        <v>260</v>
      </c>
      <c r="B166" s="537" t="s">
        <v>261</v>
      </c>
      <c r="C166" s="541"/>
      <c r="D166" s="500">
        <v>0</v>
      </c>
      <c r="E166" s="449">
        <v>0</v>
      </c>
      <c r="F166" s="449">
        <v>0</v>
      </c>
      <c r="G166" s="421">
        <v>0</v>
      </c>
      <c r="H166" s="449">
        <v>0</v>
      </c>
      <c r="I166" s="449">
        <v>0</v>
      </c>
      <c r="J166" s="426">
        <v>0</v>
      </c>
      <c r="K166" s="421"/>
      <c r="L166" s="449">
        <v>0</v>
      </c>
      <c r="M166" s="449">
        <v>0</v>
      </c>
      <c r="N166" s="449">
        <v>0</v>
      </c>
      <c r="O166" s="449">
        <v>0</v>
      </c>
      <c r="P166" s="449">
        <v>0</v>
      </c>
      <c r="Q166" s="449">
        <v>0</v>
      </c>
      <c r="R166" s="449">
        <v>0</v>
      </c>
      <c r="S166" s="449">
        <v>0</v>
      </c>
      <c r="T166" s="449">
        <v>0</v>
      </c>
      <c r="U166" s="449">
        <v>0</v>
      </c>
      <c r="V166" s="449">
        <v>0</v>
      </c>
      <c r="W166" s="449">
        <v>0</v>
      </c>
      <c r="X166" s="449"/>
      <c r="Y166" s="449">
        <v>0</v>
      </c>
      <c r="Z166" s="531"/>
      <c r="AA166" s="449">
        <v>0</v>
      </c>
      <c r="AB166" s="449">
        <v>0</v>
      </c>
      <c r="AC166" s="449">
        <v>0</v>
      </c>
      <c r="AD166" s="449">
        <v>0</v>
      </c>
      <c r="AE166" s="449">
        <v>0</v>
      </c>
      <c r="AF166" s="449">
        <v>0</v>
      </c>
      <c r="AG166" s="449">
        <v>0</v>
      </c>
      <c r="AH166" s="449">
        <v>0</v>
      </c>
      <c r="AI166" s="449">
        <v>0</v>
      </c>
      <c r="AJ166" s="449">
        <v>0</v>
      </c>
      <c r="AK166" s="449">
        <v>0</v>
      </c>
      <c r="AL166" s="449">
        <v>0</v>
      </c>
      <c r="AM166" s="400"/>
      <c r="AN166" s="500">
        <v>0</v>
      </c>
      <c r="AO166" s="449">
        <v>860</v>
      </c>
      <c r="AP166" s="449">
        <v>860</v>
      </c>
      <c r="AQ166" s="453" t="s">
        <v>1519</v>
      </c>
      <c r="AR166" s="449">
        <v>860</v>
      </c>
      <c r="AS166" s="449">
        <v>0</v>
      </c>
      <c r="AT166" s="426">
        <v>0</v>
      </c>
      <c r="AU166" s="421"/>
      <c r="AV166" s="449">
        <v>0</v>
      </c>
      <c r="AW166" s="449">
        <v>0</v>
      </c>
      <c r="AX166" s="449">
        <v>0</v>
      </c>
      <c r="AY166" s="449">
        <v>430</v>
      </c>
      <c r="AZ166" s="449">
        <v>0</v>
      </c>
      <c r="BA166" s="449">
        <v>0</v>
      </c>
      <c r="BB166" s="449">
        <v>0</v>
      </c>
      <c r="BC166" s="449">
        <v>0</v>
      </c>
      <c r="BD166" s="449">
        <v>0</v>
      </c>
      <c r="BE166" s="449">
        <v>430</v>
      </c>
      <c r="BF166" s="449">
        <v>0</v>
      </c>
      <c r="BG166" s="449">
        <v>0</v>
      </c>
      <c r="BH166" s="400"/>
      <c r="BI166" s="449">
        <v>0</v>
      </c>
      <c r="BJ166" s="449">
        <v>0</v>
      </c>
      <c r="BK166" s="449">
        <v>0</v>
      </c>
      <c r="BL166" s="771">
        <v>430</v>
      </c>
      <c r="BM166" s="449">
        <v>0</v>
      </c>
      <c r="BN166" s="449">
        <v>0</v>
      </c>
      <c r="BO166" s="449">
        <v>0</v>
      </c>
      <c r="BP166" s="449">
        <v>0</v>
      </c>
      <c r="BQ166" s="449">
        <v>0</v>
      </c>
      <c r="BR166" s="449">
        <v>430</v>
      </c>
      <c r="BS166" s="449">
        <v>0</v>
      </c>
      <c r="BT166" s="449">
        <v>0</v>
      </c>
    </row>
    <row r="167" spans="1:72" x14ac:dyDescent="0.25">
      <c r="A167" s="502" t="s">
        <v>262</v>
      </c>
      <c r="B167" s="502" t="s">
        <v>263</v>
      </c>
      <c r="C167" s="538" t="s">
        <v>264</v>
      </c>
      <c r="D167" s="500">
        <v>37000</v>
      </c>
      <c r="E167" s="449">
        <v>36973</v>
      </c>
      <c r="F167" s="449">
        <v>27</v>
      </c>
      <c r="G167" s="421">
        <v>7.3026262407702917E-4</v>
      </c>
      <c r="H167" s="449">
        <v>37000</v>
      </c>
      <c r="I167" s="449">
        <v>0</v>
      </c>
      <c r="J167" s="426">
        <v>0</v>
      </c>
      <c r="K167" s="421"/>
      <c r="L167" s="449">
        <v>8552.4</v>
      </c>
      <c r="M167" s="449">
        <v>0</v>
      </c>
      <c r="N167" s="449">
        <v>0</v>
      </c>
      <c r="O167" s="449">
        <v>0</v>
      </c>
      <c r="P167" s="449">
        <v>0</v>
      </c>
      <c r="Q167" s="449">
        <v>0</v>
      </c>
      <c r="R167" s="449">
        <v>4741.2666666666664</v>
      </c>
      <c r="S167" s="449">
        <v>4741.2666666666673</v>
      </c>
      <c r="T167" s="449">
        <v>4741.2666666666664</v>
      </c>
      <c r="U167" s="449">
        <v>4741.2666666666664</v>
      </c>
      <c r="V167" s="449">
        <v>4741.2666666666664</v>
      </c>
      <c r="W167" s="449">
        <v>4741.2666666666664</v>
      </c>
      <c r="X167" s="449"/>
      <c r="Y167" s="449">
        <v>37000</v>
      </c>
      <c r="Z167" s="531"/>
      <c r="AA167" s="449">
        <v>3083.3333333333335</v>
      </c>
      <c r="AB167" s="449">
        <v>3083.3333333333335</v>
      </c>
      <c r="AC167" s="449">
        <v>3083.3333333333335</v>
      </c>
      <c r="AD167" s="449">
        <v>3083.3333333333335</v>
      </c>
      <c r="AE167" s="449">
        <v>3083.3333333333335</v>
      </c>
      <c r="AF167" s="449">
        <v>3083.3333333333335</v>
      </c>
      <c r="AG167" s="449">
        <v>3083.3333333333335</v>
      </c>
      <c r="AH167" s="449">
        <v>3083.3333333333335</v>
      </c>
      <c r="AI167" s="449">
        <v>3083.3333333333335</v>
      </c>
      <c r="AJ167" s="449">
        <v>3083.3333333333335</v>
      </c>
      <c r="AK167" s="449">
        <v>3083.3333333333335</v>
      </c>
      <c r="AL167" s="449">
        <v>3083.3333333333335</v>
      </c>
      <c r="AM167" s="400"/>
      <c r="AN167" s="500">
        <v>37000</v>
      </c>
      <c r="AO167" s="449">
        <v>40685.140562248998</v>
      </c>
      <c r="AP167" s="449">
        <v>3685.1405622489983</v>
      </c>
      <c r="AQ167" s="453">
        <v>9.9598393574297256E-2</v>
      </c>
      <c r="AR167" s="449">
        <v>40685.140562248998</v>
      </c>
      <c r="AS167" s="449">
        <v>0</v>
      </c>
      <c r="AT167" s="426">
        <v>0</v>
      </c>
      <c r="AU167" s="421"/>
      <c r="AV167" s="449">
        <v>3390.4283801874167</v>
      </c>
      <c r="AW167" s="449">
        <v>3390.4283801874167</v>
      </c>
      <c r="AX167" s="449">
        <v>3390.4283801874167</v>
      </c>
      <c r="AY167" s="449">
        <v>3390.4283801874167</v>
      </c>
      <c r="AZ167" s="449">
        <v>3390.4283801874167</v>
      </c>
      <c r="BA167" s="449">
        <v>3390.4283801874167</v>
      </c>
      <c r="BB167" s="449">
        <v>3390.4283801874167</v>
      </c>
      <c r="BC167" s="449">
        <v>3390.4283801874167</v>
      </c>
      <c r="BD167" s="449">
        <v>3390.4283801874167</v>
      </c>
      <c r="BE167" s="449">
        <v>3390.4283801874167</v>
      </c>
      <c r="BF167" s="449">
        <v>3390.4283801874167</v>
      </c>
      <c r="BG167" s="449">
        <v>3390.4283801874167</v>
      </c>
      <c r="BH167" s="400"/>
      <c r="BI167" s="449">
        <v>3390.4283801874167</v>
      </c>
      <c r="BJ167" s="449">
        <v>3390.4283801874167</v>
      </c>
      <c r="BK167" s="449">
        <v>3390.4283801874167</v>
      </c>
      <c r="BL167" s="771">
        <v>3390.4283801874167</v>
      </c>
      <c r="BM167" s="449">
        <v>3390.4283801874167</v>
      </c>
      <c r="BN167" s="449">
        <v>3390.4283801874167</v>
      </c>
      <c r="BO167" s="449">
        <v>3390.4283801874167</v>
      </c>
      <c r="BP167" s="449">
        <v>3390.4283801874167</v>
      </c>
      <c r="BQ167" s="449">
        <v>3390.4283801874167</v>
      </c>
      <c r="BR167" s="449">
        <v>3390.4283801874167</v>
      </c>
      <c r="BS167" s="449">
        <v>3390.4283801874167</v>
      </c>
      <c r="BT167" s="449">
        <v>3390.4283801874167</v>
      </c>
    </row>
    <row r="168" spans="1:72" x14ac:dyDescent="0.25">
      <c r="A168" s="502" t="s">
        <v>265</v>
      </c>
      <c r="B168" s="502" t="s">
        <v>266</v>
      </c>
      <c r="C168" s="543" t="s">
        <v>267</v>
      </c>
      <c r="D168" s="500">
        <v>1000</v>
      </c>
      <c r="E168" s="449">
        <v>563</v>
      </c>
      <c r="F168" s="449">
        <v>437</v>
      </c>
      <c r="G168" s="421">
        <v>0.77619893428063946</v>
      </c>
      <c r="H168" s="449">
        <v>1000</v>
      </c>
      <c r="I168" s="449">
        <v>0</v>
      </c>
      <c r="J168" s="426">
        <v>0</v>
      </c>
      <c r="K168" s="421"/>
      <c r="L168" s="449">
        <v>0</v>
      </c>
      <c r="M168" s="449">
        <v>0</v>
      </c>
      <c r="N168" s="449">
        <v>0</v>
      </c>
      <c r="O168" s="449">
        <v>0</v>
      </c>
      <c r="P168" s="449">
        <v>0</v>
      </c>
      <c r="Q168" s="449">
        <v>0</v>
      </c>
      <c r="R168" s="449">
        <v>166.66666666666666</v>
      </c>
      <c r="S168" s="449">
        <v>166.66666666666669</v>
      </c>
      <c r="T168" s="449">
        <v>166.66666666666666</v>
      </c>
      <c r="U168" s="449">
        <v>166.66666666666666</v>
      </c>
      <c r="V168" s="449">
        <v>166.66666666666669</v>
      </c>
      <c r="W168" s="449">
        <v>166.66666666666674</v>
      </c>
      <c r="X168" s="449"/>
      <c r="Y168" s="449">
        <v>1000</v>
      </c>
      <c r="Z168" s="531"/>
      <c r="AA168" s="449">
        <v>83.333333333333329</v>
      </c>
      <c r="AB168" s="449">
        <v>83.333333333333329</v>
      </c>
      <c r="AC168" s="449">
        <v>83.333333333333329</v>
      </c>
      <c r="AD168" s="449">
        <v>83.333333333333329</v>
      </c>
      <c r="AE168" s="449">
        <v>83.333333333333329</v>
      </c>
      <c r="AF168" s="449">
        <v>83.333333333333329</v>
      </c>
      <c r="AG168" s="449">
        <v>83.333333333333329</v>
      </c>
      <c r="AH168" s="449">
        <v>83.333333333333329</v>
      </c>
      <c r="AI168" s="449">
        <v>83.333333333333329</v>
      </c>
      <c r="AJ168" s="449">
        <v>83.333333333333329</v>
      </c>
      <c r="AK168" s="449">
        <v>83.333333333333329</v>
      </c>
      <c r="AL168" s="449">
        <v>83.333333333333329</v>
      </c>
      <c r="AM168" s="400"/>
      <c r="AN168" s="500">
        <v>1000</v>
      </c>
      <c r="AO168" s="449">
        <v>1099.5983935742972</v>
      </c>
      <c r="AP168" s="449">
        <v>99.598393574297233</v>
      </c>
      <c r="AQ168" s="453">
        <v>9.9598393574297228E-2</v>
      </c>
      <c r="AR168" s="449">
        <v>1099.5983935742972</v>
      </c>
      <c r="AS168" s="449">
        <v>0</v>
      </c>
      <c r="AT168" s="426">
        <v>0</v>
      </c>
      <c r="AU168" s="421"/>
      <c r="AV168" s="449">
        <v>91.633199464524765</v>
      </c>
      <c r="AW168" s="449">
        <v>91.633199464524765</v>
      </c>
      <c r="AX168" s="449">
        <v>91.633199464524765</v>
      </c>
      <c r="AY168" s="449">
        <v>91.633199464524765</v>
      </c>
      <c r="AZ168" s="449">
        <v>91.633199464524765</v>
      </c>
      <c r="BA168" s="449">
        <v>91.633199464524765</v>
      </c>
      <c r="BB168" s="449">
        <v>91.633199464524765</v>
      </c>
      <c r="BC168" s="449">
        <v>91.633199464524765</v>
      </c>
      <c r="BD168" s="449">
        <v>91.633199464524765</v>
      </c>
      <c r="BE168" s="449">
        <v>91.633199464524765</v>
      </c>
      <c r="BF168" s="449">
        <v>91.633199464524765</v>
      </c>
      <c r="BG168" s="449">
        <v>91.633199464524765</v>
      </c>
      <c r="BH168" s="400"/>
      <c r="BI168" s="449">
        <v>91.633199464524765</v>
      </c>
      <c r="BJ168" s="449">
        <v>91.633199464524765</v>
      </c>
      <c r="BK168" s="449">
        <v>91.633199464524765</v>
      </c>
      <c r="BL168" s="771">
        <v>91.633199464524765</v>
      </c>
      <c r="BM168" s="449">
        <v>91.633199464524765</v>
      </c>
      <c r="BN168" s="449">
        <v>91.633199464524765</v>
      </c>
      <c r="BO168" s="449">
        <v>91.633199464524765</v>
      </c>
      <c r="BP168" s="449">
        <v>91.633199464524765</v>
      </c>
      <c r="BQ168" s="449">
        <v>91.633199464524765</v>
      </c>
      <c r="BR168" s="449">
        <v>91.633199464524765</v>
      </c>
      <c r="BS168" s="449">
        <v>91.633199464524765</v>
      </c>
      <c r="BT168" s="449">
        <v>91.633199464524765</v>
      </c>
    </row>
    <row r="169" spans="1:72" x14ac:dyDescent="0.25">
      <c r="A169" s="612" t="s">
        <v>268</v>
      </c>
      <c r="B169" s="502" t="s">
        <v>1437</v>
      </c>
      <c r="C169" s="596"/>
      <c r="D169" s="500">
        <v>21000</v>
      </c>
      <c r="E169" s="449">
        <v>6430</v>
      </c>
      <c r="F169" s="449">
        <v>14570</v>
      </c>
      <c r="G169" s="421">
        <v>2.2659409020217729</v>
      </c>
      <c r="H169" s="449">
        <v>21000</v>
      </c>
      <c r="I169" s="449">
        <v>0</v>
      </c>
      <c r="J169" s="426">
        <v>0</v>
      </c>
      <c r="K169" s="421"/>
      <c r="L169" s="449">
        <v>277.51</v>
      </c>
      <c r="M169" s="449">
        <v>2906.5</v>
      </c>
      <c r="N169" s="449">
        <v>180.91999999999962</v>
      </c>
      <c r="O169" s="449">
        <v>0</v>
      </c>
      <c r="P169" s="449">
        <v>406.78999999999996</v>
      </c>
      <c r="Q169" s="449">
        <v>0</v>
      </c>
      <c r="R169" s="449">
        <v>2871.3799999999997</v>
      </c>
      <c r="S169" s="449">
        <v>2871.38</v>
      </c>
      <c r="T169" s="449">
        <v>2871.38</v>
      </c>
      <c r="U169" s="449">
        <v>2871.3799999999997</v>
      </c>
      <c r="V169" s="449">
        <v>2871.38</v>
      </c>
      <c r="W169" s="449">
        <v>2871.380000000001</v>
      </c>
      <c r="X169" s="449"/>
      <c r="Y169" s="449">
        <v>21000</v>
      </c>
      <c r="Z169" s="531"/>
      <c r="AA169" s="449">
        <v>1750</v>
      </c>
      <c r="AB169" s="449">
        <v>1750</v>
      </c>
      <c r="AC169" s="449">
        <v>1750</v>
      </c>
      <c r="AD169" s="449">
        <v>1750</v>
      </c>
      <c r="AE169" s="449">
        <v>1750</v>
      </c>
      <c r="AF169" s="449">
        <v>1750</v>
      </c>
      <c r="AG169" s="449">
        <v>1750</v>
      </c>
      <c r="AH169" s="449">
        <v>1750</v>
      </c>
      <c r="AI169" s="449">
        <v>1750</v>
      </c>
      <c r="AJ169" s="449">
        <v>1750</v>
      </c>
      <c r="AK169" s="449">
        <v>1750</v>
      </c>
      <c r="AL169" s="449">
        <v>1750</v>
      </c>
      <c r="AM169" s="400"/>
      <c r="AN169" s="500">
        <v>21000</v>
      </c>
      <c r="AO169" s="449">
        <v>23091.566265060253</v>
      </c>
      <c r="AP169" s="449">
        <v>2091.5662650602535</v>
      </c>
      <c r="AQ169" s="453">
        <v>9.9598393574297783E-2</v>
      </c>
      <c r="AR169" s="449">
        <v>23091.566265060253</v>
      </c>
      <c r="AS169" s="449">
        <v>0</v>
      </c>
      <c r="AT169" s="426">
        <v>0</v>
      </c>
      <c r="AU169" s="421"/>
      <c r="AV169" s="449">
        <v>4618.3132530120483</v>
      </c>
      <c r="AW169" s="449">
        <v>4618.3132530120483</v>
      </c>
      <c r="AX169" s="449">
        <v>3078.8755020080325</v>
      </c>
      <c r="AY169" s="449">
        <v>3078.8755020080325</v>
      </c>
      <c r="AZ169" s="449">
        <v>3078.8755020080325</v>
      </c>
      <c r="BA169" s="449">
        <v>659.75903614457832</v>
      </c>
      <c r="BB169" s="449">
        <v>659.75903614457832</v>
      </c>
      <c r="BC169" s="449">
        <v>659.75903614457832</v>
      </c>
      <c r="BD169" s="449">
        <v>659.75903614457832</v>
      </c>
      <c r="BE169" s="449">
        <v>659.75903614457832</v>
      </c>
      <c r="BF169" s="449">
        <v>659.75903614457832</v>
      </c>
      <c r="BG169" s="449">
        <v>659.75903614457832</v>
      </c>
      <c r="BH169" s="400"/>
      <c r="BI169" s="449">
        <v>4618.3132530120483</v>
      </c>
      <c r="BJ169" s="449">
        <v>4618.3132530120483</v>
      </c>
      <c r="BK169" s="449">
        <v>3078.8755020080325</v>
      </c>
      <c r="BL169" s="771">
        <v>3078.8755020080325</v>
      </c>
      <c r="BM169" s="449">
        <v>3078.8755020080325</v>
      </c>
      <c r="BN169" s="449">
        <v>659.75903614457832</v>
      </c>
      <c r="BO169" s="449">
        <v>659.75903614457832</v>
      </c>
      <c r="BP169" s="449">
        <v>659.75903614457832</v>
      </c>
      <c r="BQ169" s="449">
        <v>659.75903614457832</v>
      </c>
      <c r="BR169" s="449">
        <v>659.75903614457832</v>
      </c>
      <c r="BS169" s="449">
        <v>659.75903614457832</v>
      </c>
      <c r="BT169" s="449">
        <v>659.75903614457832</v>
      </c>
    </row>
    <row r="170" spans="1:72" x14ac:dyDescent="0.25">
      <c r="A170" s="612" t="s">
        <v>269</v>
      </c>
      <c r="B170" s="502" t="s">
        <v>270</v>
      </c>
      <c r="C170" s="596"/>
      <c r="D170" s="500">
        <v>1183.2</v>
      </c>
      <c r="E170" s="449">
        <v>0</v>
      </c>
      <c r="F170" s="449">
        <v>1183.2</v>
      </c>
      <c r="G170" s="421">
        <v>0</v>
      </c>
      <c r="H170" s="449">
        <v>0</v>
      </c>
      <c r="I170" s="449">
        <v>1183.2</v>
      </c>
      <c r="J170" s="426">
        <v>0</v>
      </c>
      <c r="K170" s="421"/>
      <c r="L170" s="449">
        <v>0</v>
      </c>
      <c r="M170" s="449">
        <v>6639.88</v>
      </c>
      <c r="N170" s="449">
        <v>-5456.68</v>
      </c>
      <c r="O170" s="449">
        <v>2.2737367544323206E-13</v>
      </c>
      <c r="P170" s="449">
        <v>0</v>
      </c>
      <c r="Q170" s="449">
        <v>0</v>
      </c>
      <c r="R170" s="449">
        <v>0</v>
      </c>
      <c r="S170" s="449">
        <v>0</v>
      </c>
      <c r="T170" s="449">
        <v>0</v>
      </c>
      <c r="U170" s="449">
        <v>0</v>
      </c>
      <c r="V170" s="449">
        <v>0</v>
      </c>
      <c r="W170" s="449">
        <v>0</v>
      </c>
      <c r="X170" s="449"/>
      <c r="Y170" s="449">
        <v>1183.2</v>
      </c>
      <c r="Z170" s="531"/>
      <c r="AA170" s="449">
        <v>0</v>
      </c>
      <c r="AB170" s="449">
        <v>0</v>
      </c>
      <c r="AC170" s="449">
        <v>0</v>
      </c>
      <c r="AD170" s="449">
        <v>0</v>
      </c>
      <c r="AE170" s="449">
        <v>0</v>
      </c>
      <c r="AF170" s="449">
        <v>0</v>
      </c>
      <c r="AG170" s="449">
        <v>0</v>
      </c>
      <c r="AH170" s="449">
        <v>0</v>
      </c>
      <c r="AI170" s="449">
        <v>0</v>
      </c>
      <c r="AJ170" s="449">
        <v>0</v>
      </c>
      <c r="AK170" s="449">
        <v>0</v>
      </c>
      <c r="AL170" s="449">
        <v>0</v>
      </c>
      <c r="AM170" s="400"/>
      <c r="AN170" s="500">
        <v>1183.2</v>
      </c>
      <c r="AO170" s="449">
        <v>0</v>
      </c>
      <c r="AP170" s="449">
        <v>-1183.2</v>
      </c>
      <c r="AQ170" s="453">
        <v>-1</v>
      </c>
      <c r="AR170" s="449">
        <v>0</v>
      </c>
      <c r="AS170" s="449">
        <v>0</v>
      </c>
      <c r="AT170" s="426">
        <v>0</v>
      </c>
      <c r="AU170" s="421"/>
      <c r="AV170" s="449">
        <v>0</v>
      </c>
      <c r="AW170" s="449">
        <v>0</v>
      </c>
      <c r="AX170" s="449">
        <v>0</v>
      </c>
      <c r="AY170" s="449">
        <v>0</v>
      </c>
      <c r="AZ170" s="449">
        <v>0</v>
      </c>
      <c r="BA170" s="449">
        <v>0</v>
      </c>
      <c r="BB170" s="449">
        <v>0</v>
      </c>
      <c r="BC170" s="449">
        <v>0</v>
      </c>
      <c r="BD170" s="449">
        <v>0</v>
      </c>
      <c r="BE170" s="449">
        <v>0</v>
      </c>
      <c r="BF170" s="449">
        <v>0</v>
      </c>
      <c r="BG170" s="449">
        <v>0</v>
      </c>
      <c r="BH170" s="400"/>
      <c r="BI170" s="449">
        <v>0</v>
      </c>
      <c r="BJ170" s="449">
        <v>0</v>
      </c>
      <c r="BK170" s="449">
        <v>0</v>
      </c>
      <c r="BL170" s="771">
        <v>0</v>
      </c>
      <c r="BM170" s="449">
        <v>0</v>
      </c>
      <c r="BN170" s="449">
        <v>0</v>
      </c>
      <c r="BO170" s="449">
        <v>0</v>
      </c>
      <c r="BP170" s="449">
        <v>0</v>
      </c>
      <c r="BQ170" s="449">
        <v>0</v>
      </c>
      <c r="BR170" s="449">
        <v>0</v>
      </c>
      <c r="BS170" s="449">
        <v>0</v>
      </c>
      <c r="BT170" s="449">
        <v>0</v>
      </c>
    </row>
    <row r="171" spans="1:72" x14ac:dyDescent="0.25">
      <c r="A171" s="612" t="s">
        <v>271</v>
      </c>
      <c r="B171" s="502" t="s">
        <v>1438</v>
      </c>
      <c r="C171" s="596"/>
      <c r="D171" s="500">
        <v>19304.79</v>
      </c>
      <c r="E171" s="449">
        <v>0</v>
      </c>
      <c r="F171" s="449">
        <v>19304.79</v>
      </c>
      <c r="G171" s="421">
        <v>0</v>
      </c>
      <c r="H171" s="449">
        <v>0</v>
      </c>
      <c r="I171" s="449">
        <v>19304.79</v>
      </c>
      <c r="J171" s="426">
        <v>0</v>
      </c>
      <c r="K171" s="421"/>
      <c r="L171" s="449">
        <v>3966</v>
      </c>
      <c r="M171" s="449">
        <v>9522.64</v>
      </c>
      <c r="N171" s="449">
        <v>1938.7300000000014</v>
      </c>
      <c r="O171" s="449">
        <v>0</v>
      </c>
      <c r="P171" s="449">
        <v>3877.42</v>
      </c>
      <c r="Q171" s="449">
        <v>0</v>
      </c>
      <c r="R171" s="449">
        <v>0</v>
      </c>
      <c r="S171" s="449">
        <v>0</v>
      </c>
      <c r="T171" s="449">
        <v>0</v>
      </c>
      <c r="U171" s="449">
        <v>0</v>
      </c>
      <c r="V171" s="449">
        <v>0</v>
      </c>
      <c r="W171" s="449">
        <v>0</v>
      </c>
      <c r="X171" s="449"/>
      <c r="Y171" s="449">
        <v>19304.79</v>
      </c>
      <c r="Z171" s="531"/>
      <c r="AA171" s="449">
        <v>0</v>
      </c>
      <c r="AB171" s="449">
        <v>0</v>
      </c>
      <c r="AC171" s="449">
        <v>0</v>
      </c>
      <c r="AD171" s="449">
        <v>0</v>
      </c>
      <c r="AE171" s="449">
        <v>0</v>
      </c>
      <c r="AF171" s="449">
        <v>0</v>
      </c>
      <c r="AG171" s="449">
        <v>0</v>
      </c>
      <c r="AH171" s="449">
        <v>0</v>
      </c>
      <c r="AI171" s="449">
        <v>0</v>
      </c>
      <c r="AJ171" s="449">
        <v>0</v>
      </c>
      <c r="AK171" s="449">
        <v>0</v>
      </c>
      <c r="AL171" s="449">
        <v>0</v>
      </c>
      <c r="AM171" s="400"/>
      <c r="AN171" s="500">
        <v>19304.79</v>
      </c>
      <c r="AO171" s="449">
        <v>21227.516072289163</v>
      </c>
      <c r="AP171" s="449">
        <v>1922.7260722891624</v>
      </c>
      <c r="AQ171" s="453">
        <v>9.9598393574297478E-2</v>
      </c>
      <c r="AR171" s="449">
        <v>21227.516072289163</v>
      </c>
      <c r="AS171" s="449">
        <v>0</v>
      </c>
      <c r="AT171" s="426">
        <v>0</v>
      </c>
      <c r="AU171" s="421"/>
      <c r="AV171" s="449">
        <v>4245.5032144578317</v>
      </c>
      <c r="AW171" s="449">
        <v>4245.5032144578317</v>
      </c>
      <c r="AX171" s="449">
        <v>2830.3354763052212</v>
      </c>
      <c r="AY171" s="449">
        <v>2830.3354763052212</v>
      </c>
      <c r="AZ171" s="449">
        <v>2830.3354763052212</v>
      </c>
      <c r="BA171" s="449">
        <v>606.50045920826165</v>
      </c>
      <c r="BB171" s="449">
        <v>606.50045920826165</v>
      </c>
      <c r="BC171" s="449">
        <v>606.50045920826165</v>
      </c>
      <c r="BD171" s="449">
        <v>606.50045920826165</v>
      </c>
      <c r="BE171" s="449">
        <v>606.50045920826165</v>
      </c>
      <c r="BF171" s="449">
        <v>606.50045920826165</v>
      </c>
      <c r="BG171" s="449">
        <v>606.50045920826165</v>
      </c>
      <c r="BH171" s="400"/>
      <c r="BI171" s="449">
        <v>4245.5032144578317</v>
      </c>
      <c r="BJ171" s="449">
        <v>4245.5032144578317</v>
      </c>
      <c r="BK171" s="449">
        <v>2830.3354763052212</v>
      </c>
      <c r="BL171" s="771">
        <v>2830.3354763052212</v>
      </c>
      <c r="BM171" s="449">
        <v>2830.3354763052212</v>
      </c>
      <c r="BN171" s="449">
        <v>606.50045920826165</v>
      </c>
      <c r="BO171" s="449">
        <v>606.50045920826165</v>
      </c>
      <c r="BP171" s="449">
        <v>606.50045920826165</v>
      </c>
      <c r="BQ171" s="449">
        <v>606.50045920826165</v>
      </c>
      <c r="BR171" s="449">
        <v>606.50045920826165</v>
      </c>
      <c r="BS171" s="449">
        <v>606.50045920826165</v>
      </c>
      <c r="BT171" s="449">
        <v>606.50045920826165</v>
      </c>
    </row>
    <row r="172" spans="1:72" x14ac:dyDescent="0.25">
      <c r="A172" s="612" t="s">
        <v>272</v>
      </c>
      <c r="B172" s="537" t="s">
        <v>273</v>
      </c>
      <c r="C172" s="541"/>
      <c r="D172" s="500">
        <v>0</v>
      </c>
      <c r="E172" s="449">
        <v>0</v>
      </c>
      <c r="F172" s="449">
        <v>0</v>
      </c>
      <c r="G172" s="421">
        <v>0</v>
      </c>
      <c r="H172" s="449">
        <v>0</v>
      </c>
      <c r="I172" s="449">
        <v>0</v>
      </c>
      <c r="J172" s="426">
        <v>0</v>
      </c>
      <c r="K172" s="421"/>
      <c r="L172" s="449">
        <v>0</v>
      </c>
      <c r="M172" s="449">
        <v>0</v>
      </c>
      <c r="N172" s="449">
        <v>0</v>
      </c>
      <c r="O172" s="449">
        <v>0</v>
      </c>
      <c r="P172" s="449">
        <v>0</v>
      </c>
      <c r="Q172" s="449">
        <v>0</v>
      </c>
      <c r="R172" s="449">
        <v>0</v>
      </c>
      <c r="S172" s="449">
        <v>0</v>
      </c>
      <c r="T172" s="449">
        <v>0</v>
      </c>
      <c r="U172" s="449">
        <v>0</v>
      </c>
      <c r="V172" s="449">
        <v>0</v>
      </c>
      <c r="W172" s="449">
        <v>0</v>
      </c>
      <c r="X172" s="449"/>
      <c r="Y172" s="449">
        <v>0</v>
      </c>
      <c r="Z172" s="531"/>
      <c r="AA172" s="449">
        <v>0</v>
      </c>
      <c r="AB172" s="449">
        <v>0</v>
      </c>
      <c r="AC172" s="449">
        <v>0</v>
      </c>
      <c r="AD172" s="449">
        <v>0</v>
      </c>
      <c r="AE172" s="449">
        <v>0</v>
      </c>
      <c r="AF172" s="449">
        <v>0</v>
      </c>
      <c r="AG172" s="449">
        <v>0</v>
      </c>
      <c r="AH172" s="449">
        <v>0</v>
      </c>
      <c r="AI172" s="449">
        <v>0</v>
      </c>
      <c r="AJ172" s="449">
        <v>0</v>
      </c>
      <c r="AK172" s="449">
        <v>0</v>
      </c>
      <c r="AL172" s="449">
        <v>0</v>
      </c>
      <c r="AM172" s="400"/>
      <c r="AN172" s="500">
        <v>0</v>
      </c>
      <c r="AO172" s="449">
        <v>0</v>
      </c>
      <c r="AP172" s="449">
        <v>0</v>
      </c>
      <c r="AQ172" s="453" t="s">
        <v>1519</v>
      </c>
      <c r="AR172" s="449">
        <v>0</v>
      </c>
      <c r="AS172" s="449">
        <v>0</v>
      </c>
      <c r="AT172" s="426">
        <v>0</v>
      </c>
      <c r="AU172" s="421"/>
      <c r="AV172" s="449">
        <v>0</v>
      </c>
      <c r="AW172" s="449">
        <v>0</v>
      </c>
      <c r="AX172" s="449">
        <v>0</v>
      </c>
      <c r="AY172" s="449">
        <v>0</v>
      </c>
      <c r="AZ172" s="449">
        <v>0</v>
      </c>
      <c r="BA172" s="449">
        <v>0</v>
      </c>
      <c r="BB172" s="449">
        <v>0</v>
      </c>
      <c r="BC172" s="449">
        <v>0</v>
      </c>
      <c r="BD172" s="449">
        <v>0</v>
      </c>
      <c r="BE172" s="449">
        <v>0</v>
      </c>
      <c r="BF172" s="449">
        <v>0</v>
      </c>
      <c r="BG172" s="449">
        <v>0</v>
      </c>
      <c r="BH172" s="400"/>
      <c r="BI172" s="449">
        <v>0</v>
      </c>
      <c r="BJ172" s="449">
        <v>0</v>
      </c>
      <c r="BK172" s="449">
        <v>0</v>
      </c>
      <c r="BL172" s="771">
        <v>0</v>
      </c>
      <c r="BM172" s="449">
        <v>0</v>
      </c>
      <c r="BN172" s="449">
        <v>0</v>
      </c>
      <c r="BO172" s="449">
        <v>0</v>
      </c>
      <c r="BP172" s="449">
        <v>0</v>
      </c>
      <c r="BQ172" s="449">
        <v>0</v>
      </c>
      <c r="BR172" s="449">
        <v>0</v>
      </c>
      <c r="BS172" s="449">
        <v>0</v>
      </c>
      <c r="BT172" s="449">
        <v>0</v>
      </c>
    </row>
    <row r="173" spans="1:72" x14ac:dyDescent="0.25">
      <c r="A173" s="612" t="s">
        <v>274</v>
      </c>
      <c r="B173" s="502" t="s">
        <v>134</v>
      </c>
      <c r="C173" s="596"/>
      <c r="D173" s="500">
        <v>8000</v>
      </c>
      <c r="E173" s="449">
        <v>965</v>
      </c>
      <c r="F173" s="449">
        <v>7035</v>
      </c>
      <c r="G173" s="421">
        <v>7.2901554404145079</v>
      </c>
      <c r="H173" s="449">
        <v>8000</v>
      </c>
      <c r="I173" s="449">
        <v>0</v>
      </c>
      <c r="J173" s="426">
        <v>0</v>
      </c>
      <c r="K173" s="421"/>
      <c r="L173" s="449">
        <v>0</v>
      </c>
      <c r="M173" s="449">
        <v>0</v>
      </c>
      <c r="N173" s="449">
        <v>0</v>
      </c>
      <c r="O173" s="449">
        <v>0</v>
      </c>
      <c r="P173" s="449">
        <v>0</v>
      </c>
      <c r="Q173" s="449">
        <v>0</v>
      </c>
      <c r="R173" s="449">
        <v>1333.3333333333333</v>
      </c>
      <c r="S173" s="449">
        <v>1333.3333333333335</v>
      </c>
      <c r="T173" s="449">
        <v>1333.3333333333333</v>
      </c>
      <c r="U173" s="449">
        <v>1333.3333333333333</v>
      </c>
      <c r="V173" s="449">
        <v>1333.3333333333335</v>
      </c>
      <c r="W173" s="449">
        <v>1333.3333333333339</v>
      </c>
      <c r="X173" s="449"/>
      <c r="Y173" s="449">
        <v>8000</v>
      </c>
      <c r="Z173" s="531"/>
      <c r="AA173" s="449">
        <v>666.66666666666663</v>
      </c>
      <c r="AB173" s="449">
        <v>666.66666666666663</v>
      </c>
      <c r="AC173" s="449">
        <v>666.66666666666663</v>
      </c>
      <c r="AD173" s="449">
        <v>666.66666666666663</v>
      </c>
      <c r="AE173" s="449">
        <v>666.66666666666663</v>
      </c>
      <c r="AF173" s="449">
        <v>666.66666666666663</v>
      </c>
      <c r="AG173" s="449">
        <v>666.66666666666663</v>
      </c>
      <c r="AH173" s="449">
        <v>666.66666666666663</v>
      </c>
      <c r="AI173" s="449">
        <v>666.66666666666663</v>
      </c>
      <c r="AJ173" s="449">
        <v>666.66666666666663</v>
      </c>
      <c r="AK173" s="449">
        <v>666.66666666666663</v>
      </c>
      <c r="AL173" s="449">
        <v>666.66666666666663</v>
      </c>
      <c r="AM173" s="400"/>
      <c r="AN173" s="500">
        <v>8000</v>
      </c>
      <c r="AO173" s="449">
        <v>8796.7871485943779</v>
      </c>
      <c r="AP173" s="449">
        <v>796.78714859437787</v>
      </c>
      <c r="AQ173" s="453">
        <v>9.9598393574297228E-2</v>
      </c>
      <c r="AR173" s="449">
        <v>8796.7871485943779</v>
      </c>
      <c r="AS173" s="449">
        <v>0</v>
      </c>
      <c r="AT173" s="426">
        <v>0</v>
      </c>
      <c r="AU173" s="421"/>
      <c r="AV173" s="449">
        <v>1759.3574297188757</v>
      </c>
      <c r="AW173" s="449">
        <v>1759.3574297188757</v>
      </c>
      <c r="AX173" s="449">
        <v>1172.904953145917</v>
      </c>
      <c r="AY173" s="449">
        <v>1172.904953145917</v>
      </c>
      <c r="AZ173" s="449">
        <v>1172.904953145917</v>
      </c>
      <c r="BA173" s="449">
        <v>251.33677567412508</v>
      </c>
      <c r="BB173" s="449">
        <v>251.33677567412508</v>
      </c>
      <c r="BC173" s="449">
        <v>251.33677567412508</v>
      </c>
      <c r="BD173" s="449">
        <v>251.33677567412508</v>
      </c>
      <c r="BE173" s="449">
        <v>251.33677567412508</v>
      </c>
      <c r="BF173" s="449">
        <v>251.33677567412508</v>
      </c>
      <c r="BG173" s="449">
        <v>251.33677567412508</v>
      </c>
      <c r="BH173" s="400"/>
      <c r="BI173" s="449">
        <v>1759.3574297188757</v>
      </c>
      <c r="BJ173" s="449">
        <v>1759.3574297188757</v>
      </c>
      <c r="BK173" s="449">
        <v>1172.904953145917</v>
      </c>
      <c r="BL173" s="771">
        <v>1172.904953145917</v>
      </c>
      <c r="BM173" s="449">
        <v>1172.904953145917</v>
      </c>
      <c r="BN173" s="449">
        <v>251.33677567412508</v>
      </c>
      <c r="BO173" s="449">
        <v>251.33677567412508</v>
      </c>
      <c r="BP173" s="449">
        <v>251.33677567412508</v>
      </c>
      <c r="BQ173" s="449">
        <v>251.33677567412508</v>
      </c>
      <c r="BR173" s="449">
        <v>251.33677567412508</v>
      </c>
      <c r="BS173" s="449">
        <v>251.33677567412508</v>
      </c>
      <c r="BT173" s="449">
        <v>251.33677567412508</v>
      </c>
    </row>
    <row r="174" spans="1:72" x14ac:dyDescent="0.25">
      <c r="A174" s="612" t="s">
        <v>275</v>
      </c>
      <c r="B174" s="537" t="s">
        <v>276</v>
      </c>
      <c r="C174" s="541"/>
      <c r="D174" s="500">
        <v>0</v>
      </c>
      <c r="E174" s="449">
        <v>0</v>
      </c>
      <c r="F174" s="449">
        <v>0</v>
      </c>
      <c r="G174" s="421">
        <v>0</v>
      </c>
      <c r="H174" s="449">
        <v>0</v>
      </c>
      <c r="I174" s="449">
        <v>0</v>
      </c>
      <c r="J174" s="426">
        <v>0</v>
      </c>
      <c r="K174" s="421"/>
      <c r="L174" s="449">
        <v>0</v>
      </c>
      <c r="M174" s="449">
        <v>0</v>
      </c>
      <c r="N174" s="449">
        <v>0</v>
      </c>
      <c r="O174" s="449">
        <v>0</v>
      </c>
      <c r="P174" s="449">
        <v>0</v>
      </c>
      <c r="Q174" s="449">
        <v>0</v>
      </c>
      <c r="R174" s="449">
        <v>0</v>
      </c>
      <c r="S174" s="449">
        <v>0</v>
      </c>
      <c r="T174" s="449">
        <v>0</v>
      </c>
      <c r="U174" s="449">
        <v>0</v>
      </c>
      <c r="V174" s="449">
        <v>0</v>
      </c>
      <c r="W174" s="449">
        <v>0</v>
      </c>
      <c r="X174" s="449"/>
      <c r="Y174" s="449">
        <v>0</v>
      </c>
      <c r="Z174" s="531"/>
      <c r="AA174" s="449">
        <v>0</v>
      </c>
      <c r="AB174" s="449">
        <v>0</v>
      </c>
      <c r="AC174" s="449">
        <v>0</v>
      </c>
      <c r="AD174" s="449">
        <v>0</v>
      </c>
      <c r="AE174" s="449">
        <v>0</v>
      </c>
      <c r="AF174" s="449">
        <v>0</v>
      </c>
      <c r="AG174" s="449">
        <v>0</v>
      </c>
      <c r="AH174" s="449">
        <v>0</v>
      </c>
      <c r="AI174" s="449">
        <v>0</v>
      </c>
      <c r="AJ174" s="449">
        <v>0</v>
      </c>
      <c r="AK174" s="449">
        <v>0</v>
      </c>
      <c r="AL174" s="449">
        <v>0</v>
      </c>
      <c r="AM174" s="400"/>
      <c r="AN174" s="500">
        <v>0</v>
      </c>
      <c r="AO174" s="449">
        <v>0</v>
      </c>
      <c r="AP174" s="449">
        <v>0</v>
      </c>
      <c r="AQ174" s="453" t="s">
        <v>1519</v>
      </c>
      <c r="AR174" s="449">
        <v>0</v>
      </c>
      <c r="AS174" s="449">
        <v>0</v>
      </c>
      <c r="AT174" s="426">
        <v>0</v>
      </c>
      <c r="AU174" s="421"/>
      <c r="AV174" s="449">
        <v>0</v>
      </c>
      <c r="AW174" s="449">
        <v>0</v>
      </c>
      <c r="AX174" s="449">
        <v>0</v>
      </c>
      <c r="AY174" s="449">
        <v>0</v>
      </c>
      <c r="AZ174" s="449">
        <v>0</v>
      </c>
      <c r="BA174" s="449">
        <v>0</v>
      </c>
      <c r="BB174" s="449">
        <v>0</v>
      </c>
      <c r="BC174" s="449">
        <v>0</v>
      </c>
      <c r="BD174" s="449">
        <v>0</v>
      </c>
      <c r="BE174" s="449">
        <v>0</v>
      </c>
      <c r="BF174" s="449">
        <v>0</v>
      </c>
      <c r="BG174" s="449">
        <v>0</v>
      </c>
      <c r="BH174" s="400"/>
      <c r="BI174" s="449">
        <v>0</v>
      </c>
      <c r="BJ174" s="449">
        <v>0</v>
      </c>
      <c r="BK174" s="449">
        <v>0</v>
      </c>
      <c r="BL174" s="771">
        <v>0</v>
      </c>
      <c r="BM174" s="449">
        <v>0</v>
      </c>
      <c r="BN174" s="449">
        <v>0</v>
      </c>
      <c r="BO174" s="449">
        <v>0</v>
      </c>
      <c r="BP174" s="449">
        <v>0</v>
      </c>
      <c r="BQ174" s="449">
        <v>0</v>
      </c>
      <c r="BR174" s="449">
        <v>0</v>
      </c>
      <c r="BS174" s="449">
        <v>0</v>
      </c>
      <c r="BT174" s="449">
        <v>0</v>
      </c>
    </row>
    <row r="175" spans="1:72" x14ac:dyDescent="0.25">
      <c r="A175" s="502" t="s">
        <v>277</v>
      </c>
      <c r="B175" s="502" t="s">
        <v>278</v>
      </c>
      <c r="C175" s="596"/>
      <c r="D175" s="500">
        <v>0</v>
      </c>
      <c r="E175" s="449">
        <v>0</v>
      </c>
      <c r="F175" s="449">
        <v>0</v>
      </c>
      <c r="G175" s="421">
        <v>0</v>
      </c>
      <c r="H175" s="449">
        <v>0</v>
      </c>
      <c r="I175" s="449">
        <v>0</v>
      </c>
      <c r="J175" s="426">
        <v>0</v>
      </c>
      <c r="K175" s="421"/>
      <c r="L175" s="449">
        <v>0</v>
      </c>
      <c r="M175" s="449">
        <v>0</v>
      </c>
      <c r="N175" s="449">
        <v>0</v>
      </c>
      <c r="O175" s="449">
        <v>0</v>
      </c>
      <c r="P175" s="449">
        <v>0</v>
      </c>
      <c r="Q175" s="449">
        <v>0</v>
      </c>
      <c r="R175" s="449">
        <v>0</v>
      </c>
      <c r="S175" s="449">
        <v>0</v>
      </c>
      <c r="T175" s="449">
        <v>0</v>
      </c>
      <c r="U175" s="449">
        <v>0</v>
      </c>
      <c r="V175" s="449">
        <v>0</v>
      </c>
      <c r="W175" s="449">
        <v>0</v>
      </c>
      <c r="X175" s="449"/>
      <c r="Y175" s="449">
        <v>0</v>
      </c>
      <c r="Z175" s="531"/>
      <c r="AA175" s="449">
        <v>0</v>
      </c>
      <c r="AB175" s="449">
        <v>0</v>
      </c>
      <c r="AC175" s="449">
        <v>0</v>
      </c>
      <c r="AD175" s="449">
        <v>0</v>
      </c>
      <c r="AE175" s="449">
        <v>0</v>
      </c>
      <c r="AF175" s="449">
        <v>0</v>
      </c>
      <c r="AG175" s="449">
        <v>0</v>
      </c>
      <c r="AH175" s="449">
        <v>0</v>
      </c>
      <c r="AI175" s="449">
        <v>0</v>
      </c>
      <c r="AJ175" s="449">
        <v>0</v>
      </c>
      <c r="AK175" s="449">
        <v>0</v>
      </c>
      <c r="AL175" s="449">
        <v>0</v>
      </c>
      <c r="AM175" s="400"/>
      <c r="AN175" s="500">
        <v>0</v>
      </c>
      <c r="AO175" s="449">
        <v>0</v>
      </c>
      <c r="AP175" s="449">
        <v>0</v>
      </c>
      <c r="AQ175" s="453" t="s">
        <v>1519</v>
      </c>
      <c r="AR175" s="449">
        <v>0</v>
      </c>
      <c r="AS175" s="449">
        <v>0</v>
      </c>
      <c r="AT175" s="426">
        <v>0</v>
      </c>
      <c r="AU175" s="421"/>
      <c r="AV175" s="449">
        <v>0</v>
      </c>
      <c r="AW175" s="449">
        <v>0</v>
      </c>
      <c r="AX175" s="449">
        <v>0</v>
      </c>
      <c r="AY175" s="449">
        <v>0</v>
      </c>
      <c r="AZ175" s="449">
        <v>0</v>
      </c>
      <c r="BA175" s="449">
        <v>0</v>
      </c>
      <c r="BB175" s="449">
        <v>0</v>
      </c>
      <c r="BC175" s="449">
        <v>0</v>
      </c>
      <c r="BD175" s="449">
        <v>0</v>
      </c>
      <c r="BE175" s="449">
        <v>0</v>
      </c>
      <c r="BF175" s="449">
        <v>0</v>
      </c>
      <c r="BG175" s="449">
        <v>0</v>
      </c>
      <c r="BH175" s="400"/>
      <c r="BI175" s="449">
        <v>0</v>
      </c>
      <c r="BJ175" s="449">
        <v>0</v>
      </c>
      <c r="BK175" s="449">
        <v>0</v>
      </c>
      <c r="BL175" s="771">
        <v>0</v>
      </c>
      <c r="BM175" s="449">
        <v>0</v>
      </c>
      <c r="BN175" s="449">
        <v>0</v>
      </c>
      <c r="BO175" s="449">
        <v>0</v>
      </c>
      <c r="BP175" s="449">
        <v>0</v>
      </c>
      <c r="BQ175" s="449">
        <v>0</v>
      </c>
      <c r="BR175" s="449">
        <v>0</v>
      </c>
      <c r="BS175" s="449">
        <v>0</v>
      </c>
      <c r="BT175" s="449">
        <v>0</v>
      </c>
    </row>
    <row r="176" spans="1:72" x14ac:dyDescent="0.25">
      <c r="A176" s="537" t="s">
        <v>279</v>
      </c>
      <c r="B176" s="537" t="s">
        <v>280</v>
      </c>
      <c r="C176" s="541"/>
      <c r="D176" s="500">
        <v>0</v>
      </c>
      <c r="E176" s="449">
        <v>0</v>
      </c>
      <c r="F176" s="449">
        <v>0</v>
      </c>
      <c r="G176" s="421">
        <v>0</v>
      </c>
      <c r="H176" s="449">
        <v>0</v>
      </c>
      <c r="I176" s="449">
        <v>0</v>
      </c>
      <c r="J176" s="426">
        <v>0</v>
      </c>
      <c r="K176" s="421"/>
      <c r="L176" s="449">
        <v>0</v>
      </c>
      <c r="M176" s="449">
        <v>0</v>
      </c>
      <c r="N176" s="449">
        <v>0</v>
      </c>
      <c r="O176" s="449">
        <v>0</v>
      </c>
      <c r="P176" s="449">
        <v>0</v>
      </c>
      <c r="Q176" s="449">
        <v>0</v>
      </c>
      <c r="R176" s="449">
        <v>0</v>
      </c>
      <c r="S176" s="449">
        <v>0</v>
      </c>
      <c r="T176" s="449">
        <v>0</v>
      </c>
      <c r="U176" s="449">
        <v>0</v>
      </c>
      <c r="V176" s="449">
        <v>0</v>
      </c>
      <c r="W176" s="449">
        <v>0</v>
      </c>
      <c r="X176" s="449"/>
      <c r="Y176" s="449">
        <v>0</v>
      </c>
      <c r="Z176" s="531"/>
      <c r="AA176" s="449">
        <v>0</v>
      </c>
      <c r="AB176" s="449">
        <v>0</v>
      </c>
      <c r="AC176" s="449">
        <v>0</v>
      </c>
      <c r="AD176" s="449">
        <v>0</v>
      </c>
      <c r="AE176" s="449">
        <v>0</v>
      </c>
      <c r="AF176" s="449">
        <v>0</v>
      </c>
      <c r="AG176" s="449">
        <v>0</v>
      </c>
      <c r="AH176" s="449">
        <v>0</v>
      </c>
      <c r="AI176" s="449">
        <v>0</v>
      </c>
      <c r="AJ176" s="449">
        <v>0</v>
      </c>
      <c r="AK176" s="449">
        <v>0</v>
      </c>
      <c r="AL176" s="449">
        <v>0</v>
      </c>
      <c r="AM176" s="400"/>
      <c r="AN176" s="500">
        <v>0</v>
      </c>
      <c r="AO176" s="449">
        <v>0</v>
      </c>
      <c r="AP176" s="449">
        <v>0</v>
      </c>
      <c r="AQ176" s="453" t="s">
        <v>1519</v>
      </c>
      <c r="AR176" s="449">
        <v>0</v>
      </c>
      <c r="AS176" s="449">
        <v>0</v>
      </c>
      <c r="AT176" s="426">
        <v>0</v>
      </c>
      <c r="AU176" s="421"/>
      <c r="AV176" s="449">
        <v>0</v>
      </c>
      <c r="AW176" s="449">
        <v>0</v>
      </c>
      <c r="AX176" s="449">
        <v>0</v>
      </c>
      <c r="AY176" s="449">
        <v>0</v>
      </c>
      <c r="AZ176" s="449">
        <v>0</v>
      </c>
      <c r="BA176" s="449">
        <v>0</v>
      </c>
      <c r="BB176" s="449">
        <v>0</v>
      </c>
      <c r="BC176" s="449">
        <v>0</v>
      </c>
      <c r="BD176" s="449">
        <v>0</v>
      </c>
      <c r="BE176" s="449">
        <v>0</v>
      </c>
      <c r="BF176" s="449">
        <v>0</v>
      </c>
      <c r="BG176" s="449">
        <v>0</v>
      </c>
      <c r="BH176" s="400"/>
      <c r="BI176" s="449">
        <v>0</v>
      </c>
      <c r="BJ176" s="449">
        <v>0</v>
      </c>
      <c r="BK176" s="449">
        <v>0</v>
      </c>
      <c r="BL176" s="771">
        <v>0</v>
      </c>
      <c r="BM176" s="449">
        <v>0</v>
      </c>
      <c r="BN176" s="449">
        <v>0</v>
      </c>
      <c r="BO176" s="449">
        <v>0</v>
      </c>
      <c r="BP176" s="449">
        <v>0</v>
      </c>
      <c r="BQ176" s="449">
        <v>0</v>
      </c>
      <c r="BR176" s="449">
        <v>0</v>
      </c>
      <c r="BS176" s="449">
        <v>0</v>
      </c>
      <c r="BT176" s="449">
        <v>0</v>
      </c>
    </row>
    <row r="177" spans="1:72" x14ac:dyDescent="0.25">
      <c r="A177" s="612" t="s">
        <v>281</v>
      </c>
      <c r="B177" s="502" t="s">
        <v>282</v>
      </c>
      <c r="C177" s="596"/>
      <c r="D177" s="500">
        <v>0</v>
      </c>
      <c r="E177" s="449">
        <v>0</v>
      </c>
      <c r="F177" s="449">
        <v>0</v>
      </c>
      <c r="G177" s="421">
        <v>0</v>
      </c>
      <c r="H177" s="449"/>
      <c r="I177" s="449">
        <v>0</v>
      </c>
      <c r="J177" s="426">
        <v>0</v>
      </c>
      <c r="K177" s="421"/>
      <c r="L177" s="449">
        <v>0</v>
      </c>
      <c r="M177" s="449">
        <v>0</v>
      </c>
      <c r="N177" s="449">
        <v>0</v>
      </c>
      <c r="O177" s="449">
        <v>0</v>
      </c>
      <c r="P177" s="449">
        <v>0</v>
      </c>
      <c r="Q177" s="449">
        <v>0</v>
      </c>
      <c r="R177" s="449">
        <v>0</v>
      </c>
      <c r="S177" s="449">
        <v>0</v>
      </c>
      <c r="T177" s="449">
        <v>0</v>
      </c>
      <c r="U177" s="449">
        <v>0</v>
      </c>
      <c r="V177" s="449">
        <v>0</v>
      </c>
      <c r="W177" s="449">
        <v>0</v>
      </c>
      <c r="X177" s="449"/>
      <c r="Y177" s="449">
        <v>0</v>
      </c>
      <c r="Z177" s="531"/>
      <c r="AA177" s="449">
        <v>0</v>
      </c>
      <c r="AB177" s="449">
        <v>0</v>
      </c>
      <c r="AC177" s="449">
        <v>0</v>
      </c>
      <c r="AD177" s="449">
        <v>0</v>
      </c>
      <c r="AE177" s="449">
        <v>0</v>
      </c>
      <c r="AF177" s="449">
        <v>0</v>
      </c>
      <c r="AG177" s="449">
        <v>0</v>
      </c>
      <c r="AH177" s="449">
        <v>0</v>
      </c>
      <c r="AI177" s="449">
        <v>0</v>
      </c>
      <c r="AJ177" s="449">
        <v>0</v>
      </c>
      <c r="AK177" s="449">
        <v>0</v>
      </c>
      <c r="AL177" s="449">
        <v>0</v>
      </c>
      <c r="AM177" s="400"/>
      <c r="AN177" s="500">
        <v>0</v>
      </c>
      <c r="AO177" s="449">
        <v>0</v>
      </c>
      <c r="AP177" s="449">
        <v>0</v>
      </c>
      <c r="AQ177" s="453" t="s">
        <v>1519</v>
      </c>
      <c r="AR177" s="449">
        <v>0</v>
      </c>
      <c r="AS177" s="449">
        <v>0</v>
      </c>
      <c r="AT177" s="426">
        <v>0</v>
      </c>
      <c r="AU177" s="421"/>
      <c r="AV177" s="449">
        <v>0</v>
      </c>
      <c r="AW177" s="449">
        <v>0</v>
      </c>
      <c r="AX177" s="449">
        <v>0</v>
      </c>
      <c r="AY177" s="449">
        <v>0</v>
      </c>
      <c r="AZ177" s="449">
        <v>0</v>
      </c>
      <c r="BA177" s="449">
        <v>0</v>
      </c>
      <c r="BB177" s="449">
        <v>0</v>
      </c>
      <c r="BC177" s="449">
        <v>0</v>
      </c>
      <c r="BD177" s="449">
        <v>0</v>
      </c>
      <c r="BE177" s="449">
        <v>0</v>
      </c>
      <c r="BF177" s="449">
        <v>0</v>
      </c>
      <c r="BG177" s="449">
        <v>0</v>
      </c>
      <c r="BH177" s="400"/>
      <c r="BI177" s="449">
        <v>0</v>
      </c>
      <c r="BJ177" s="449">
        <v>0</v>
      </c>
      <c r="BK177" s="449">
        <v>0</v>
      </c>
      <c r="BL177" s="771">
        <v>0</v>
      </c>
      <c r="BM177" s="449">
        <v>0</v>
      </c>
      <c r="BN177" s="449">
        <v>0</v>
      </c>
      <c r="BO177" s="449">
        <v>0</v>
      </c>
      <c r="BP177" s="449">
        <v>0</v>
      </c>
      <c r="BQ177" s="449">
        <v>0</v>
      </c>
      <c r="BR177" s="449">
        <v>0</v>
      </c>
      <c r="BS177" s="449">
        <v>0</v>
      </c>
      <c r="BT177" s="449">
        <v>0</v>
      </c>
    </row>
    <row r="178" spans="1:72" x14ac:dyDescent="0.25">
      <c r="A178" s="612" t="s">
        <v>283</v>
      </c>
      <c r="B178" s="537" t="s">
        <v>284</v>
      </c>
      <c r="C178" s="541"/>
      <c r="D178" s="500">
        <v>0</v>
      </c>
      <c r="E178" s="449">
        <v>0</v>
      </c>
      <c r="F178" s="449">
        <v>0</v>
      </c>
      <c r="G178" s="421">
        <v>0</v>
      </c>
      <c r="H178" s="449">
        <v>0</v>
      </c>
      <c r="I178" s="449">
        <v>0</v>
      </c>
      <c r="J178" s="426">
        <v>0</v>
      </c>
      <c r="K178" s="421"/>
      <c r="L178" s="449">
        <v>0</v>
      </c>
      <c r="M178" s="449">
        <v>0</v>
      </c>
      <c r="N178" s="449">
        <v>0</v>
      </c>
      <c r="O178" s="449">
        <v>0</v>
      </c>
      <c r="P178" s="449">
        <v>0</v>
      </c>
      <c r="Q178" s="449">
        <v>0</v>
      </c>
      <c r="R178" s="449">
        <v>0</v>
      </c>
      <c r="S178" s="449">
        <v>0</v>
      </c>
      <c r="T178" s="449">
        <v>0</v>
      </c>
      <c r="U178" s="449">
        <v>0</v>
      </c>
      <c r="V178" s="449">
        <v>0</v>
      </c>
      <c r="W178" s="449">
        <v>0</v>
      </c>
      <c r="X178" s="449"/>
      <c r="Y178" s="449">
        <v>0</v>
      </c>
      <c r="Z178" s="531"/>
      <c r="AA178" s="449">
        <v>0</v>
      </c>
      <c r="AB178" s="449">
        <v>0</v>
      </c>
      <c r="AC178" s="449">
        <v>0</v>
      </c>
      <c r="AD178" s="449">
        <v>0</v>
      </c>
      <c r="AE178" s="449">
        <v>0</v>
      </c>
      <c r="AF178" s="449">
        <v>0</v>
      </c>
      <c r="AG178" s="449">
        <v>0</v>
      </c>
      <c r="AH178" s="449">
        <v>0</v>
      </c>
      <c r="AI178" s="449">
        <v>0</v>
      </c>
      <c r="AJ178" s="449">
        <v>0</v>
      </c>
      <c r="AK178" s="449">
        <v>0</v>
      </c>
      <c r="AL178" s="449">
        <v>0</v>
      </c>
      <c r="AM178" s="400"/>
      <c r="AN178" s="500">
        <v>0</v>
      </c>
      <c r="AO178" s="449">
        <v>0</v>
      </c>
      <c r="AP178" s="449">
        <v>0</v>
      </c>
      <c r="AQ178" s="453" t="s">
        <v>1519</v>
      </c>
      <c r="AR178" s="449">
        <v>0</v>
      </c>
      <c r="AS178" s="449">
        <v>0</v>
      </c>
      <c r="AT178" s="426">
        <v>0</v>
      </c>
      <c r="AU178" s="421"/>
      <c r="AV178" s="449">
        <v>0</v>
      </c>
      <c r="AW178" s="449">
        <v>0</v>
      </c>
      <c r="AX178" s="449">
        <v>0</v>
      </c>
      <c r="AY178" s="449">
        <v>0</v>
      </c>
      <c r="AZ178" s="449">
        <v>0</v>
      </c>
      <c r="BA178" s="449">
        <v>0</v>
      </c>
      <c r="BB178" s="449">
        <v>0</v>
      </c>
      <c r="BC178" s="449">
        <v>0</v>
      </c>
      <c r="BD178" s="449">
        <v>0</v>
      </c>
      <c r="BE178" s="449">
        <v>0</v>
      </c>
      <c r="BF178" s="449">
        <v>0</v>
      </c>
      <c r="BG178" s="449">
        <v>0</v>
      </c>
      <c r="BH178" s="400"/>
      <c r="BI178" s="449">
        <v>0</v>
      </c>
      <c r="BJ178" s="449">
        <v>0</v>
      </c>
      <c r="BK178" s="449">
        <v>0</v>
      </c>
      <c r="BL178" s="771">
        <v>0</v>
      </c>
      <c r="BM178" s="449">
        <v>0</v>
      </c>
      <c r="BN178" s="449">
        <v>0</v>
      </c>
      <c r="BO178" s="449">
        <v>0</v>
      </c>
      <c r="BP178" s="449">
        <v>0</v>
      </c>
      <c r="BQ178" s="449">
        <v>0</v>
      </c>
      <c r="BR178" s="449">
        <v>0</v>
      </c>
      <c r="BS178" s="449">
        <v>0</v>
      </c>
      <c r="BT178" s="449">
        <v>0</v>
      </c>
    </row>
    <row r="179" spans="1:72" x14ac:dyDescent="0.25">
      <c r="A179" s="612" t="s">
        <v>285</v>
      </c>
      <c r="B179" s="612" t="s">
        <v>286</v>
      </c>
      <c r="C179" s="596"/>
      <c r="D179" s="500">
        <v>0</v>
      </c>
      <c r="E179" s="449">
        <v>0</v>
      </c>
      <c r="F179" s="449">
        <v>0</v>
      </c>
      <c r="G179" s="421">
        <v>0</v>
      </c>
      <c r="H179" s="449">
        <v>0</v>
      </c>
      <c r="I179" s="449">
        <v>0</v>
      </c>
      <c r="J179" s="426">
        <v>0</v>
      </c>
      <c r="K179" s="421"/>
      <c r="L179" s="449">
        <v>66507.77</v>
      </c>
      <c r="M179" s="449">
        <v>0</v>
      </c>
      <c r="N179" s="449">
        <v>0</v>
      </c>
      <c r="O179" s="449">
        <v>0</v>
      </c>
      <c r="P179" s="449">
        <v>-66507.77</v>
      </c>
      <c r="Q179" s="449">
        <v>0</v>
      </c>
      <c r="R179" s="449">
        <v>0</v>
      </c>
      <c r="S179" s="449">
        <v>0</v>
      </c>
      <c r="T179" s="449">
        <v>0</v>
      </c>
      <c r="U179" s="449">
        <v>0</v>
      </c>
      <c r="V179" s="449">
        <v>0</v>
      </c>
      <c r="W179" s="449">
        <v>0</v>
      </c>
      <c r="X179" s="449"/>
      <c r="Y179" s="449">
        <v>0</v>
      </c>
      <c r="Z179" s="531"/>
      <c r="AA179" s="449">
        <v>0</v>
      </c>
      <c r="AB179" s="449">
        <v>0</v>
      </c>
      <c r="AC179" s="449">
        <v>0</v>
      </c>
      <c r="AD179" s="449">
        <v>0</v>
      </c>
      <c r="AE179" s="449">
        <v>0</v>
      </c>
      <c r="AF179" s="449">
        <v>0</v>
      </c>
      <c r="AG179" s="449">
        <v>0</v>
      </c>
      <c r="AH179" s="449">
        <v>0</v>
      </c>
      <c r="AI179" s="449">
        <v>0</v>
      </c>
      <c r="AJ179" s="449">
        <v>0</v>
      </c>
      <c r="AK179" s="449">
        <v>0</v>
      </c>
      <c r="AL179" s="449">
        <v>0</v>
      </c>
      <c r="AM179" s="400"/>
      <c r="AN179" s="500">
        <v>0</v>
      </c>
      <c r="AO179" s="449">
        <v>0</v>
      </c>
      <c r="AP179" s="449">
        <v>0</v>
      </c>
      <c r="AQ179" s="453" t="s">
        <v>1519</v>
      </c>
      <c r="AR179" s="449">
        <v>0</v>
      </c>
      <c r="AS179" s="449">
        <v>0</v>
      </c>
      <c r="AT179" s="426">
        <v>0</v>
      </c>
      <c r="AU179" s="421"/>
      <c r="AV179" s="449">
        <v>0</v>
      </c>
      <c r="AW179" s="449">
        <v>0</v>
      </c>
      <c r="AX179" s="449">
        <v>0</v>
      </c>
      <c r="AY179" s="449">
        <v>0</v>
      </c>
      <c r="AZ179" s="449">
        <v>0</v>
      </c>
      <c r="BA179" s="449">
        <v>0</v>
      </c>
      <c r="BB179" s="449">
        <v>0</v>
      </c>
      <c r="BC179" s="449">
        <v>0</v>
      </c>
      <c r="BD179" s="449">
        <v>0</v>
      </c>
      <c r="BE179" s="449">
        <v>0</v>
      </c>
      <c r="BF179" s="449">
        <v>0</v>
      </c>
      <c r="BG179" s="449">
        <v>0</v>
      </c>
      <c r="BH179" s="400"/>
      <c r="BI179" s="449">
        <v>0</v>
      </c>
      <c r="BJ179" s="449">
        <v>0</v>
      </c>
      <c r="BK179" s="449">
        <v>0</v>
      </c>
      <c r="BL179" s="771">
        <v>0</v>
      </c>
      <c r="BM179" s="449">
        <v>0</v>
      </c>
      <c r="BN179" s="449">
        <v>0</v>
      </c>
      <c r="BO179" s="449">
        <v>0</v>
      </c>
      <c r="BP179" s="449">
        <v>0</v>
      </c>
      <c r="BQ179" s="449">
        <v>0</v>
      </c>
      <c r="BR179" s="449">
        <v>0</v>
      </c>
      <c r="BS179" s="449">
        <v>0</v>
      </c>
      <c r="BT179" s="449">
        <v>0</v>
      </c>
    </row>
    <row r="180" spans="1:72" x14ac:dyDescent="0.25">
      <c r="A180" s="612" t="s">
        <v>287</v>
      </c>
      <c r="B180" s="612" t="s">
        <v>288</v>
      </c>
      <c r="C180" s="596"/>
      <c r="D180" s="500">
        <v>68000</v>
      </c>
      <c r="E180" s="449">
        <v>23700</v>
      </c>
      <c r="F180" s="449">
        <v>44300</v>
      </c>
      <c r="G180" s="421">
        <v>1.869198312236287</v>
      </c>
      <c r="H180" s="449">
        <v>68000</v>
      </c>
      <c r="I180" s="449">
        <v>0</v>
      </c>
      <c r="J180" s="426">
        <v>0</v>
      </c>
      <c r="K180" s="421"/>
      <c r="L180" s="449">
        <v>0</v>
      </c>
      <c r="M180" s="449">
        <v>0</v>
      </c>
      <c r="N180" s="449">
        <v>0</v>
      </c>
      <c r="O180" s="449">
        <v>0</v>
      </c>
      <c r="P180" s="449">
        <v>66507.77</v>
      </c>
      <c r="Q180" s="449">
        <v>0</v>
      </c>
      <c r="R180" s="449">
        <v>248.70499999999933</v>
      </c>
      <c r="S180" s="449">
        <v>248.70499999999885</v>
      </c>
      <c r="T180" s="449">
        <v>248.70499999999811</v>
      </c>
      <c r="U180" s="449">
        <v>248.70499999999689</v>
      </c>
      <c r="V180" s="449">
        <v>248.70499999999447</v>
      </c>
      <c r="W180" s="449">
        <v>248.70499999998719</v>
      </c>
      <c r="X180" s="449"/>
      <c r="Y180" s="449">
        <v>68000</v>
      </c>
      <c r="Z180" s="531"/>
      <c r="AA180" s="449">
        <v>5666.666666666667</v>
      </c>
      <c r="AB180" s="449">
        <v>5666.666666666667</v>
      </c>
      <c r="AC180" s="449">
        <v>5666.666666666667</v>
      </c>
      <c r="AD180" s="449">
        <v>5666.666666666667</v>
      </c>
      <c r="AE180" s="449">
        <v>5666.666666666667</v>
      </c>
      <c r="AF180" s="449">
        <v>5666.666666666667</v>
      </c>
      <c r="AG180" s="449">
        <v>5666.666666666667</v>
      </c>
      <c r="AH180" s="449">
        <v>5666.666666666667</v>
      </c>
      <c r="AI180" s="449">
        <v>5666.666666666667</v>
      </c>
      <c r="AJ180" s="449">
        <v>5666.666666666667</v>
      </c>
      <c r="AK180" s="449">
        <v>5666.666666666667</v>
      </c>
      <c r="AL180" s="449">
        <v>5666.666666666667</v>
      </c>
      <c r="AM180" s="400"/>
      <c r="AN180" s="500">
        <v>68000</v>
      </c>
      <c r="AO180" s="449">
        <v>0</v>
      </c>
      <c r="AP180" s="449">
        <v>-68000</v>
      </c>
      <c r="AQ180" s="453">
        <v>-1</v>
      </c>
      <c r="AR180" s="449">
        <v>0</v>
      </c>
      <c r="AS180" s="449">
        <v>0</v>
      </c>
      <c r="AT180" s="426">
        <v>0</v>
      </c>
      <c r="AU180" s="421"/>
      <c r="AV180" s="449">
        <v>0</v>
      </c>
      <c r="AW180" s="449">
        <v>0</v>
      </c>
      <c r="AX180" s="449">
        <v>0</v>
      </c>
      <c r="AY180" s="449">
        <v>0</v>
      </c>
      <c r="AZ180" s="449">
        <v>0</v>
      </c>
      <c r="BA180" s="449">
        <v>0</v>
      </c>
      <c r="BB180" s="449">
        <v>0</v>
      </c>
      <c r="BC180" s="449">
        <v>0</v>
      </c>
      <c r="BD180" s="449">
        <v>0</v>
      </c>
      <c r="BE180" s="449">
        <v>0</v>
      </c>
      <c r="BF180" s="449">
        <v>0</v>
      </c>
      <c r="BG180" s="449">
        <v>0</v>
      </c>
      <c r="BH180" s="400"/>
      <c r="BI180" s="449">
        <v>0</v>
      </c>
      <c r="BJ180" s="449">
        <v>0</v>
      </c>
      <c r="BK180" s="449">
        <v>0</v>
      </c>
      <c r="BL180" s="771">
        <v>0</v>
      </c>
      <c r="BM180" s="449">
        <v>0</v>
      </c>
      <c r="BN180" s="449">
        <v>0</v>
      </c>
      <c r="BO180" s="449">
        <v>0</v>
      </c>
      <c r="BP180" s="449">
        <v>0</v>
      </c>
      <c r="BQ180" s="449">
        <v>0</v>
      </c>
      <c r="BR180" s="449">
        <v>0</v>
      </c>
      <c r="BS180" s="449">
        <v>0</v>
      </c>
      <c r="BT180" s="449">
        <v>0</v>
      </c>
    </row>
    <row r="181" spans="1:72" x14ac:dyDescent="0.25">
      <c r="A181" s="612" t="s">
        <v>289</v>
      </c>
      <c r="B181" s="612" t="s">
        <v>290</v>
      </c>
      <c r="C181" s="541"/>
      <c r="D181" s="500">
        <v>0</v>
      </c>
      <c r="E181" s="449">
        <v>0</v>
      </c>
      <c r="F181" s="449">
        <v>0</v>
      </c>
      <c r="G181" s="421">
        <v>0</v>
      </c>
      <c r="H181" s="449">
        <v>0</v>
      </c>
      <c r="I181" s="449">
        <v>0</v>
      </c>
      <c r="J181" s="426">
        <v>0</v>
      </c>
      <c r="K181" s="421"/>
      <c r="L181" s="449">
        <v>0</v>
      </c>
      <c r="M181" s="449">
        <v>0</v>
      </c>
      <c r="N181" s="449">
        <v>0</v>
      </c>
      <c r="O181" s="449">
        <v>0</v>
      </c>
      <c r="P181" s="449">
        <v>0</v>
      </c>
      <c r="Q181" s="449">
        <v>0</v>
      </c>
      <c r="R181" s="449">
        <v>0</v>
      </c>
      <c r="S181" s="449">
        <v>0</v>
      </c>
      <c r="T181" s="449">
        <v>0</v>
      </c>
      <c r="U181" s="449">
        <v>0</v>
      </c>
      <c r="V181" s="449">
        <v>0</v>
      </c>
      <c r="W181" s="449">
        <v>0</v>
      </c>
      <c r="X181" s="449"/>
      <c r="Y181" s="449">
        <v>0</v>
      </c>
      <c r="Z181" s="531"/>
      <c r="AA181" s="449">
        <v>0</v>
      </c>
      <c r="AB181" s="449">
        <v>0</v>
      </c>
      <c r="AC181" s="449">
        <v>0</v>
      </c>
      <c r="AD181" s="449">
        <v>0</v>
      </c>
      <c r="AE181" s="449">
        <v>0</v>
      </c>
      <c r="AF181" s="449">
        <v>0</v>
      </c>
      <c r="AG181" s="449">
        <v>0</v>
      </c>
      <c r="AH181" s="449">
        <v>0</v>
      </c>
      <c r="AI181" s="449">
        <v>0</v>
      </c>
      <c r="AJ181" s="449">
        <v>0</v>
      </c>
      <c r="AK181" s="449">
        <v>0</v>
      </c>
      <c r="AL181" s="449">
        <v>0</v>
      </c>
      <c r="AM181" s="400"/>
      <c r="AN181" s="500">
        <v>0</v>
      </c>
      <c r="AO181" s="449">
        <v>0</v>
      </c>
      <c r="AP181" s="449">
        <v>0</v>
      </c>
      <c r="AQ181" s="453" t="s">
        <v>1519</v>
      </c>
      <c r="AR181" s="449">
        <v>0</v>
      </c>
      <c r="AS181" s="449">
        <v>0</v>
      </c>
      <c r="AT181" s="426">
        <v>0</v>
      </c>
      <c r="AU181" s="421"/>
      <c r="AV181" s="449">
        <v>0</v>
      </c>
      <c r="AW181" s="449">
        <v>0</v>
      </c>
      <c r="AX181" s="449">
        <v>0</v>
      </c>
      <c r="AY181" s="449">
        <v>0</v>
      </c>
      <c r="AZ181" s="449">
        <v>0</v>
      </c>
      <c r="BA181" s="449">
        <v>0</v>
      </c>
      <c r="BB181" s="449">
        <v>0</v>
      </c>
      <c r="BC181" s="449">
        <v>0</v>
      </c>
      <c r="BD181" s="449">
        <v>0</v>
      </c>
      <c r="BE181" s="449">
        <v>0</v>
      </c>
      <c r="BF181" s="449">
        <v>0</v>
      </c>
      <c r="BG181" s="449">
        <v>0</v>
      </c>
      <c r="BH181" s="400"/>
      <c r="BI181" s="449">
        <v>0</v>
      </c>
      <c r="BJ181" s="449">
        <v>0</v>
      </c>
      <c r="BK181" s="449">
        <v>0</v>
      </c>
      <c r="BL181" s="771">
        <v>0</v>
      </c>
      <c r="BM181" s="449">
        <v>0</v>
      </c>
      <c r="BN181" s="449">
        <v>0</v>
      </c>
      <c r="BO181" s="449">
        <v>0</v>
      </c>
      <c r="BP181" s="449">
        <v>0</v>
      </c>
      <c r="BQ181" s="449">
        <v>0</v>
      </c>
      <c r="BR181" s="449">
        <v>0</v>
      </c>
      <c r="BS181" s="449">
        <v>0</v>
      </c>
      <c r="BT181" s="449">
        <v>0</v>
      </c>
    </row>
    <row r="182" spans="1:72" x14ac:dyDescent="0.25">
      <c r="A182" s="612" t="s">
        <v>291</v>
      </c>
      <c r="B182" s="612" t="s">
        <v>292</v>
      </c>
      <c r="C182" s="541"/>
      <c r="D182" s="500">
        <v>0</v>
      </c>
      <c r="E182" s="449">
        <v>0</v>
      </c>
      <c r="F182" s="449">
        <v>0</v>
      </c>
      <c r="G182" s="421">
        <v>0</v>
      </c>
      <c r="H182" s="449">
        <v>0</v>
      </c>
      <c r="I182" s="449">
        <v>0</v>
      </c>
      <c r="J182" s="426">
        <v>0</v>
      </c>
      <c r="K182" s="421"/>
      <c r="L182" s="449">
        <v>0</v>
      </c>
      <c r="M182" s="449">
        <v>0</v>
      </c>
      <c r="N182" s="449">
        <v>0</v>
      </c>
      <c r="O182" s="449">
        <v>0</v>
      </c>
      <c r="P182" s="449">
        <v>0</v>
      </c>
      <c r="Q182" s="449">
        <v>0</v>
      </c>
      <c r="R182" s="449">
        <v>0</v>
      </c>
      <c r="S182" s="449">
        <v>0</v>
      </c>
      <c r="T182" s="449">
        <v>0</v>
      </c>
      <c r="U182" s="449">
        <v>0</v>
      </c>
      <c r="V182" s="449">
        <v>0</v>
      </c>
      <c r="W182" s="449">
        <v>0</v>
      </c>
      <c r="X182" s="449"/>
      <c r="Y182" s="449">
        <v>0</v>
      </c>
      <c r="Z182" s="531"/>
      <c r="AA182" s="449">
        <v>0</v>
      </c>
      <c r="AB182" s="449">
        <v>0</v>
      </c>
      <c r="AC182" s="449">
        <v>0</v>
      </c>
      <c r="AD182" s="449">
        <v>0</v>
      </c>
      <c r="AE182" s="449">
        <v>0</v>
      </c>
      <c r="AF182" s="449">
        <v>0</v>
      </c>
      <c r="AG182" s="449">
        <v>0</v>
      </c>
      <c r="AH182" s="449">
        <v>0</v>
      </c>
      <c r="AI182" s="449">
        <v>0</v>
      </c>
      <c r="AJ182" s="449">
        <v>0</v>
      </c>
      <c r="AK182" s="449">
        <v>0</v>
      </c>
      <c r="AL182" s="449">
        <v>0</v>
      </c>
      <c r="AM182" s="400"/>
      <c r="AN182" s="500">
        <v>0</v>
      </c>
      <c r="AO182" s="449">
        <v>0</v>
      </c>
      <c r="AP182" s="449">
        <v>0</v>
      </c>
      <c r="AQ182" s="453" t="s">
        <v>1519</v>
      </c>
      <c r="AR182" s="449">
        <v>0</v>
      </c>
      <c r="AS182" s="449">
        <v>0</v>
      </c>
      <c r="AT182" s="426">
        <v>0</v>
      </c>
      <c r="AU182" s="421"/>
      <c r="AV182" s="449">
        <v>0</v>
      </c>
      <c r="AW182" s="449">
        <v>0</v>
      </c>
      <c r="AX182" s="449">
        <v>0</v>
      </c>
      <c r="AY182" s="449">
        <v>0</v>
      </c>
      <c r="AZ182" s="449">
        <v>0</v>
      </c>
      <c r="BA182" s="449">
        <v>0</v>
      </c>
      <c r="BB182" s="449">
        <v>0</v>
      </c>
      <c r="BC182" s="449">
        <v>0</v>
      </c>
      <c r="BD182" s="449">
        <v>0</v>
      </c>
      <c r="BE182" s="449">
        <v>0</v>
      </c>
      <c r="BF182" s="449">
        <v>0</v>
      </c>
      <c r="BG182" s="449">
        <v>0</v>
      </c>
      <c r="BH182" s="400"/>
      <c r="BI182" s="449">
        <v>0</v>
      </c>
      <c r="BJ182" s="449">
        <v>0</v>
      </c>
      <c r="BK182" s="449">
        <v>0</v>
      </c>
      <c r="BL182" s="771">
        <v>0</v>
      </c>
      <c r="BM182" s="449">
        <v>0</v>
      </c>
      <c r="BN182" s="449">
        <v>0</v>
      </c>
      <c r="BO182" s="449">
        <v>0</v>
      </c>
      <c r="BP182" s="449">
        <v>0</v>
      </c>
      <c r="BQ182" s="449">
        <v>0</v>
      </c>
      <c r="BR182" s="449">
        <v>0</v>
      </c>
      <c r="BS182" s="449">
        <v>0</v>
      </c>
      <c r="BT182" s="449">
        <v>0</v>
      </c>
    </row>
    <row r="183" spans="1:72" x14ac:dyDescent="0.25">
      <c r="A183" s="612" t="s">
        <v>293</v>
      </c>
      <c r="B183" s="612" t="s">
        <v>294</v>
      </c>
      <c r="C183" s="596"/>
      <c r="D183" s="500">
        <v>6000</v>
      </c>
      <c r="E183" s="449">
        <v>0</v>
      </c>
      <c r="F183" s="449">
        <v>6000</v>
      </c>
      <c r="G183" s="421">
        <v>0</v>
      </c>
      <c r="H183" s="449">
        <v>6000</v>
      </c>
      <c r="I183" s="449">
        <v>0</v>
      </c>
      <c r="J183" s="426">
        <v>0</v>
      </c>
      <c r="K183" s="421"/>
      <c r="L183" s="449">
        <v>4380</v>
      </c>
      <c r="M183" s="449">
        <v>0</v>
      </c>
      <c r="N183" s="449">
        <v>33.6899999999996</v>
      </c>
      <c r="O183" s="449">
        <v>0</v>
      </c>
      <c r="P183" s="449">
        <v>28982.000000000004</v>
      </c>
      <c r="Q183" s="449">
        <v>-28982</v>
      </c>
      <c r="R183" s="449">
        <v>264.38499999999959</v>
      </c>
      <c r="S183" s="449">
        <v>264.38499999999965</v>
      </c>
      <c r="T183" s="449">
        <v>264.38499999999976</v>
      </c>
      <c r="U183" s="449">
        <v>264.38499999999959</v>
      </c>
      <c r="V183" s="449">
        <v>264.38499999999976</v>
      </c>
      <c r="W183" s="449">
        <v>264.38500000000022</v>
      </c>
      <c r="X183" s="449"/>
      <c r="Y183" s="449">
        <v>6000</v>
      </c>
      <c r="Z183" s="531"/>
      <c r="AA183" s="449">
        <v>500</v>
      </c>
      <c r="AB183" s="449">
        <v>500</v>
      </c>
      <c r="AC183" s="449">
        <v>500</v>
      </c>
      <c r="AD183" s="449">
        <v>500</v>
      </c>
      <c r="AE183" s="449">
        <v>500</v>
      </c>
      <c r="AF183" s="449">
        <v>500</v>
      </c>
      <c r="AG183" s="449">
        <v>500</v>
      </c>
      <c r="AH183" s="449">
        <v>500</v>
      </c>
      <c r="AI183" s="449">
        <v>500</v>
      </c>
      <c r="AJ183" s="449">
        <v>500</v>
      </c>
      <c r="AK183" s="449">
        <v>500</v>
      </c>
      <c r="AL183" s="449">
        <v>500</v>
      </c>
      <c r="AM183" s="400"/>
      <c r="AN183" s="500">
        <v>6000</v>
      </c>
      <c r="AO183" s="449">
        <v>6597.5903614457829</v>
      </c>
      <c r="AP183" s="449">
        <v>597.59036144578295</v>
      </c>
      <c r="AQ183" s="453">
        <v>9.9598393574297159E-2</v>
      </c>
      <c r="AR183" s="449">
        <v>6597.5903614457829</v>
      </c>
      <c r="AS183" s="449">
        <v>0</v>
      </c>
      <c r="AT183" s="426">
        <v>0</v>
      </c>
      <c r="AU183" s="421"/>
      <c r="AV183" s="449">
        <v>549.79919678714862</v>
      </c>
      <c r="AW183" s="449">
        <v>549.79919678714862</v>
      </c>
      <c r="AX183" s="449">
        <v>549.79919678714862</v>
      </c>
      <c r="AY183" s="449">
        <v>549.79919678714862</v>
      </c>
      <c r="AZ183" s="449">
        <v>549.79919678714862</v>
      </c>
      <c r="BA183" s="449">
        <v>549.79919678714862</v>
      </c>
      <c r="BB183" s="449">
        <v>549.79919678714862</v>
      </c>
      <c r="BC183" s="449">
        <v>549.79919678714862</v>
      </c>
      <c r="BD183" s="449">
        <v>549.79919678714862</v>
      </c>
      <c r="BE183" s="449">
        <v>549.79919678714862</v>
      </c>
      <c r="BF183" s="449">
        <v>549.79919678714862</v>
      </c>
      <c r="BG183" s="449">
        <v>549.79919678714862</v>
      </c>
      <c r="BH183" s="400"/>
      <c r="BI183" s="449">
        <v>549.79919678714862</v>
      </c>
      <c r="BJ183" s="449">
        <v>549.79919678714862</v>
      </c>
      <c r="BK183" s="449">
        <v>549.79919678714862</v>
      </c>
      <c r="BL183" s="771">
        <v>549.79919678714862</v>
      </c>
      <c r="BM183" s="449">
        <v>549.79919678714862</v>
      </c>
      <c r="BN183" s="449">
        <v>549.79919678714862</v>
      </c>
      <c r="BO183" s="449">
        <v>549.79919678714862</v>
      </c>
      <c r="BP183" s="449">
        <v>549.79919678714862</v>
      </c>
      <c r="BQ183" s="449">
        <v>549.79919678714862</v>
      </c>
      <c r="BR183" s="449">
        <v>549.79919678714862</v>
      </c>
      <c r="BS183" s="449">
        <v>549.79919678714862</v>
      </c>
      <c r="BT183" s="449">
        <v>549.79919678714862</v>
      </c>
    </row>
    <row r="184" spans="1:72" x14ac:dyDescent="0.25">
      <c r="A184" s="612" t="s">
        <v>295</v>
      </c>
      <c r="B184" s="612" t="s">
        <v>296</v>
      </c>
      <c r="C184" s="541"/>
      <c r="D184" s="500">
        <v>0</v>
      </c>
      <c r="E184" s="449">
        <v>0</v>
      </c>
      <c r="F184" s="449">
        <v>0</v>
      </c>
      <c r="G184" s="421">
        <v>0</v>
      </c>
      <c r="H184" s="449">
        <v>0</v>
      </c>
      <c r="I184" s="449">
        <v>0</v>
      </c>
      <c r="J184" s="426">
        <v>0</v>
      </c>
      <c r="K184" s="421"/>
      <c r="L184" s="449">
        <v>0</v>
      </c>
      <c r="M184" s="449">
        <v>0</v>
      </c>
      <c r="N184" s="449">
        <v>0</v>
      </c>
      <c r="O184" s="449">
        <v>0</v>
      </c>
      <c r="P184" s="449">
        <v>0</v>
      </c>
      <c r="Q184" s="449">
        <v>0</v>
      </c>
      <c r="R184" s="449">
        <v>0</v>
      </c>
      <c r="S184" s="449">
        <v>0</v>
      </c>
      <c r="T184" s="449">
        <v>0</v>
      </c>
      <c r="U184" s="449">
        <v>0</v>
      </c>
      <c r="V184" s="449">
        <v>0</v>
      </c>
      <c r="W184" s="449">
        <v>0</v>
      </c>
      <c r="X184" s="449"/>
      <c r="Y184" s="449">
        <v>0</v>
      </c>
      <c r="Z184" s="531"/>
      <c r="AA184" s="449">
        <v>0</v>
      </c>
      <c r="AB184" s="449">
        <v>0</v>
      </c>
      <c r="AC184" s="449">
        <v>0</v>
      </c>
      <c r="AD184" s="449">
        <v>0</v>
      </c>
      <c r="AE184" s="449">
        <v>0</v>
      </c>
      <c r="AF184" s="449">
        <v>0</v>
      </c>
      <c r="AG184" s="449">
        <v>0</v>
      </c>
      <c r="AH184" s="449">
        <v>0</v>
      </c>
      <c r="AI184" s="449">
        <v>0</v>
      </c>
      <c r="AJ184" s="449">
        <v>0</v>
      </c>
      <c r="AK184" s="449">
        <v>0</v>
      </c>
      <c r="AL184" s="449">
        <v>0</v>
      </c>
      <c r="AM184" s="400"/>
      <c r="AN184" s="500">
        <v>0</v>
      </c>
      <c r="AO184" s="449">
        <v>0</v>
      </c>
      <c r="AP184" s="449">
        <v>0</v>
      </c>
      <c r="AQ184" s="453" t="s">
        <v>1519</v>
      </c>
      <c r="AR184" s="449">
        <v>0</v>
      </c>
      <c r="AS184" s="449">
        <v>0</v>
      </c>
      <c r="AT184" s="426">
        <v>0</v>
      </c>
      <c r="AU184" s="421"/>
      <c r="AV184" s="449">
        <v>0</v>
      </c>
      <c r="AW184" s="449">
        <v>0</v>
      </c>
      <c r="AX184" s="449">
        <v>0</v>
      </c>
      <c r="AY184" s="449">
        <v>0</v>
      </c>
      <c r="AZ184" s="449">
        <v>0</v>
      </c>
      <c r="BA184" s="449">
        <v>0</v>
      </c>
      <c r="BB184" s="449">
        <v>0</v>
      </c>
      <c r="BC184" s="449">
        <v>0</v>
      </c>
      <c r="BD184" s="449">
        <v>0</v>
      </c>
      <c r="BE184" s="449">
        <v>0</v>
      </c>
      <c r="BF184" s="449">
        <v>0</v>
      </c>
      <c r="BG184" s="449">
        <v>0</v>
      </c>
      <c r="BH184" s="400"/>
      <c r="BI184" s="449">
        <v>0</v>
      </c>
      <c r="BJ184" s="449">
        <v>0</v>
      </c>
      <c r="BK184" s="449">
        <v>0</v>
      </c>
      <c r="BL184" s="771">
        <v>0</v>
      </c>
      <c r="BM184" s="449">
        <v>0</v>
      </c>
      <c r="BN184" s="449">
        <v>0</v>
      </c>
      <c r="BO184" s="449">
        <v>0</v>
      </c>
      <c r="BP184" s="449">
        <v>0</v>
      </c>
      <c r="BQ184" s="449">
        <v>0</v>
      </c>
      <c r="BR184" s="449">
        <v>0</v>
      </c>
      <c r="BS184" s="449">
        <v>0</v>
      </c>
      <c r="BT184" s="449">
        <v>0</v>
      </c>
    </row>
    <row r="185" spans="1:72" x14ac:dyDescent="0.25">
      <c r="A185" s="612" t="s">
        <v>297</v>
      </c>
      <c r="B185" s="612" t="s">
        <v>298</v>
      </c>
      <c r="C185" s="596"/>
      <c r="D185" s="500">
        <v>6639.88</v>
      </c>
      <c r="E185" s="449">
        <v>0</v>
      </c>
      <c r="F185" s="449">
        <v>6639.88</v>
      </c>
      <c r="G185" s="421">
        <v>0</v>
      </c>
      <c r="H185" s="449">
        <v>2000</v>
      </c>
      <c r="I185" s="449">
        <v>4639.88</v>
      </c>
      <c r="J185" s="426">
        <v>2.3199399999999999</v>
      </c>
      <c r="K185" s="421"/>
      <c r="L185" s="449">
        <v>411.88</v>
      </c>
      <c r="M185" s="449">
        <v>6228</v>
      </c>
      <c r="N185" s="449">
        <v>0</v>
      </c>
      <c r="O185" s="449">
        <v>0</v>
      </c>
      <c r="P185" s="449">
        <v>0</v>
      </c>
      <c r="Q185" s="449">
        <v>0</v>
      </c>
      <c r="R185" s="449">
        <v>0</v>
      </c>
      <c r="S185" s="449">
        <v>0</v>
      </c>
      <c r="T185" s="449">
        <v>0</v>
      </c>
      <c r="U185" s="449">
        <v>0</v>
      </c>
      <c r="V185" s="449">
        <v>0</v>
      </c>
      <c r="W185" s="449">
        <v>0</v>
      </c>
      <c r="X185" s="449"/>
      <c r="Y185" s="449">
        <v>6639.88</v>
      </c>
      <c r="Z185" s="531"/>
      <c r="AA185" s="449">
        <v>166.66666666666666</v>
      </c>
      <c r="AB185" s="449">
        <v>166.66666666666666</v>
      </c>
      <c r="AC185" s="449">
        <v>166.66666666666666</v>
      </c>
      <c r="AD185" s="449">
        <v>166.66666666666666</v>
      </c>
      <c r="AE185" s="449">
        <v>166.66666666666666</v>
      </c>
      <c r="AF185" s="449">
        <v>166.66666666666666</v>
      </c>
      <c r="AG185" s="449">
        <v>166.66666666666666</v>
      </c>
      <c r="AH185" s="449">
        <v>166.66666666666666</v>
      </c>
      <c r="AI185" s="449">
        <v>166.66666666666666</v>
      </c>
      <c r="AJ185" s="449">
        <v>166.66666666666666</v>
      </c>
      <c r="AK185" s="449">
        <v>166.66666666666666</v>
      </c>
      <c r="AL185" s="449">
        <v>166.66666666666666</v>
      </c>
      <c r="AM185" s="400"/>
      <c r="AN185" s="500">
        <v>6639.88</v>
      </c>
      <c r="AO185" s="449">
        <v>0</v>
      </c>
      <c r="AP185" s="449">
        <v>-6639.88</v>
      </c>
      <c r="AQ185" s="453">
        <v>-1</v>
      </c>
      <c r="AR185" s="449">
        <v>0</v>
      </c>
      <c r="AS185" s="449">
        <v>0</v>
      </c>
      <c r="AT185" s="426">
        <v>0</v>
      </c>
      <c r="AU185" s="421"/>
      <c r="AV185" s="449">
        <v>0</v>
      </c>
      <c r="AW185" s="449">
        <v>0</v>
      </c>
      <c r="AX185" s="449">
        <v>0</v>
      </c>
      <c r="AY185" s="449">
        <v>0</v>
      </c>
      <c r="AZ185" s="449">
        <v>0</v>
      </c>
      <c r="BA185" s="449">
        <v>0</v>
      </c>
      <c r="BB185" s="449">
        <v>0</v>
      </c>
      <c r="BC185" s="449">
        <v>0</v>
      </c>
      <c r="BD185" s="449">
        <v>0</v>
      </c>
      <c r="BE185" s="449">
        <v>0</v>
      </c>
      <c r="BF185" s="449">
        <v>0</v>
      </c>
      <c r="BG185" s="449">
        <v>0</v>
      </c>
      <c r="BH185" s="400"/>
      <c r="BI185" s="449">
        <v>0</v>
      </c>
      <c r="BJ185" s="449">
        <v>0</v>
      </c>
      <c r="BK185" s="449">
        <v>0</v>
      </c>
      <c r="BL185" s="771">
        <v>0</v>
      </c>
      <c r="BM185" s="449">
        <v>0</v>
      </c>
      <c r="BN185" s="449">
        <v>0</v>
      </c>
      <c r="BO185" s="449">
        <v>0</v>
      </c>
      <c r="BP185" s="449">
        <v>0</v>
      </c>
      <c r="BQ185" s="449">
        <v>0</v>
      </c>
      <c r="BR185" s="449">
        <v>0</v>
      </c>
      <c r="BS185" s="449">
        <v>0</v>
      </c>
      <c r="BT185" s="449">
        <v>0</v>
      </c>
    </row>
    <row r="186" spans="1:72" x14ac:dyDescent="0.25">
      <c r="A186" s="612" t="s">
        <v>299</v>
      </c>
      <c r="B186" s="612" t="s">
        <v>300</v>
      </c>
      <c r="C186" s="541"/>
      <c r="D186" s="500">
        <v>0</v>
      </c>
      <c r="E186" s="449">
        <v>0</v>
      </c>
      <c r="F186" s="449">
        <v>0</v>
      </c>
      <c r="G186" s="421">
        <v>0</v>
      </c>
      <c r="H186" s="449">
        <v>0</v>
      </c>
      <c r="I186" s="449">
        <v>0</v>
      </c>
      <c r="J186" s="426">
        <v>0</v>
      </c>
      <c r="K186" s="421"/>
      <c r="L186" s="449">
        <v>0</v>
      </c>
      <c r="M186" s="449">
        <v>0</v>
      </c>
      <c r="N186" s="449">
        <v>0</v>
      </c>
      <c r="O186" s="449">
        <v>0</v>
      </c>
      <c r="P186" s="449">
        <v>0</v>
      </c>
      <c r="Q186" s="449">
        <v>0</v>
      </c>
      <c r="R186" s="449">
        <v>0</v>
      </c>
      <c r="S186" s="449">
        <v>0</v>
      </c>
      <c r="T186" s="449">
        <v>0</v>
      </c>
      <c r="U186" s="449">
        <v>0</v>
      </c>
      <c r="V186" s="449">
        <v>0</v>
      </c>
      <c r="W186" s="449">
        <v>0</v>
      </c>
      <c r="X186" s="449"/>
      <c r="Y186" s="449">
        <v>0</v>
      </c>
      <c r="Z186" s="531"/>
      <c r="AA186" s="449">
        <v>0</v>
      </c>
      <c r="AB186" s="449">
        <v>0</v>
      </c>
      <c r="AC186" s="449">
        <v>0</v>
      </c>
      <c r="AD186" s="449">
        <v>0</v>
      </c>
      <c r="AE186" s="449">
        <v>0</v>
      </c>
      <c r="AF186" s="449">
        <v>0</v>
      </c>
      <c r="AG186" s="449">
        <v>0</v>
      </c>
      <c r="AH186" s="449">
        <v>0</v>
      </c>
      <c r="AI186" s="449">
        <v>0</v>
      </c>
      <c r="AJ186" s="449">
        <v>0</v>
      </c>
      <c r="AK186" s="449">
        <v>0</v>
      </c>
      <c r="AL186" s="449">
        <v>0</v>
      </c>
      <c r="AM186" s="400"/>
      <c r="AN186" s="500">
        <v>0</v>
      </c>
      <c r="AO186" s="449">
        <v>0</v>
      </c>
      <c r="AP186" s="449">
        <v>0</v>
      </c>
      <c r="AQ186" s="453" t="s">
        <v>1519</v>
      </c>
      <c r="AR186" s="449">
        <v>0</v>
      </c>
      <c r="AS186" s="449">
        <v>0</v>
      </c>
      <c r="AT186" s="426">
        <v>0</v>
      </c>
      <c r="AU186" s="421"/>
      <c r="AV186" s="449">
        <v>0</v>
      </c>
      <c r="AW186" s="449">
        <v>0</v>
      </c>
      <c r="AX186" s="449">
        <v>0</v>
      </c>
      <c r="AY186" s="449">
        <v>0</v>
      </c>
      <c r="AZ186" s="449">
        <v>0</v>
      </c>
      <c r="BA186" s="449">
        <v>0</v>
      </c>
      <c r="BB186" s="449">
        <v>0</v>
      </c>
      <c r="BC186" s="449">
        <v>0</v>
      </c>
      <c r="BD186" s="449">
        <v>0</v>
      </c>
      <c r="BE186" s="449">
        <v>0</v>
      </c>
      <c r="BF186" s="449">
        <v>0</v>
      </c>
      <c r="BG186" s="449">
        <v>0</v>
      </c>
      <c r="BH186" s="400"/>
      <c r="BI186" s="449">
        <v>0</v>
      </c>
      <c r="BJ186" s="449">
        <v>0</v>
      </c>
      <c r="BK186" s="449">
        <v>0</v>
      </c>
      <c r="BL186" s="771">
        <v>0</v>
      </c>
      <c r="BM186" s="449">
        <v>0</v>
      </c>
      <c r="BN186" s="449">
        <v>0</v>
      </c>
      <c r="BO186" s="449">
        <v>0</v>
      </c>
      <c r="BP186" s="449">
        <v>0</v>
      </c>
      <c r="BQ186" s="449">
        <v>0</v>
      </c>
      <c r="BR186" s="449">
        <v>0</v>
      </c>
      <c r="BS186" s="449">
        <v>0</v>
      </c>
      <c r="BT186" s="449">
        <v>0</v>
      </c>
    </row>
    <row r="187" spans="1:72" x14ac:dyDescent="0.25">
      <c r="A187" s="502" t="s">
        <v>301</v>
      </c>
      <c r="B187" s="502" t="s">
        <v>302</v>
      </c>
      <c r="C187" s="538"/>
      <c r="D187" s="500">
        <v>3065.4</v>
      </c>
      <c r="E187" s="449">
        <v>1608</v>
      </c>
      <c r="F187" s="449">
        <v>1457.4</v>
      </c>
      <c r="G187" s="421">
        <v>0.9063432835820896</v>
      </c>
      <c r="H187" s="449">
        <v>1608</v>
      </c>
      <c r="I187" s="449">
        <v>1457.4</v>
      </c>
      <c r="J187" s="426">
        <v>0.9063432835820896</v>
      </c>
      <c r="K187" s="421"/>
      <c r="L187" s="449">
        <v>0</v>
      </c>
      <c r="M187" s="449">
        <v>3065.4</v>
      </c>
      <c r="N187" s="449">
        <v>0</v>
      </c>
      <c r="O187" s="449">
        <v>0</v>
      </c>
      <c r="P187" s="449">
        <v>0</v>
      </c>
      <c r="Q187" s="449">
        <v>0</v>
      </c>
      <c r="R187" s="449">
        <v>0</v>
      </c>
      <c r="S187" s="449">
        <v>0</v>
      </c>
      <c r="T187" s="449">
        <v>0</v>
      </c>
      <c r="U187" s="449">
        <v>0</v>
      </c>
      <c r="V187" s="449">
        <v>0</v>
      </c>
      <c r="W187" s="449">
        <v>0</v>
      </c>
      <c r="X187" s="449"/>
      <c r="Y187" s="449">
        <v>3065.4</v>
      </c>
      <c r="Z187" s="531"/>
      <c r="AA187" s="449">
        <v>134</v>
      </c>
      <c r="AB187" s="449">
        <v>134</v>
      </c>
      <c r="AC187" s="449">
        <v>134</v>
      </c>
      <c r="AD187" s="449">
        <v>134</v>
      </c>
      <c r="AE187" s="449">
        <v>134</v>
      </c>
      <c r="AF187" s="449">
        <v>134</v>
      </c>
      <c r="AG187" s="449">
        <v>134</v>
      </c>
      <c r="AH187" s="449">
        <v>134</v>
      </c>
      <c r="AI187" s="449">
        <v>134</v>
      </c>
      <c r="AJ187" s="449">
        <v>134</v>
      </c>
      <c r="AK187" s="449">
        <v>134</v>
      </c>
      <c r="AL187" s="449">
        <v>134</v>
      </c>
      <c r="AM187" s="400"/>
      <c r="AN187" s="500">
        <v>3065.4</v>
      </c>
      <c r="AO187" s="449">
        <v>3370.7089156626516</v>
      </c>
      <c r="AP187" s="449">
        <v>305.30891566265154</v>
      </c>
      <c r="AQ187" s="453">
        <v>9.9598393574297492E-2</v>
      </c>
      <c r="AR187" s="449">
        <v>3370.7089156626516</v>
      </c>
      <c r="AS187" s="449">
        <v>0</v>
      </c>
      <c r="AT187" s="426">
        <v>0</v>
      </c>
      <c r="AU187" s="421"/>
      <c r="AV187" s="449">
        <v>280.89240963855423</v>
      </c>
      <c r="AW187" s="449">
        <v>280.89240963855423</v>
      </c>
      <c r="AX187" s="449">
        <v>280.89240963855423</v>
      </c>
      <c r="AY187" s="449">
        <v>280.89240963855423</v>
      </c>
      <c r="AZ187" s="449">
        <v>280.89240963855423</v>
      </c>
      <c r="BA187" s="449">
        <v>280.89240963855423</v>
      </c>
      <c r="BB187" s="449">
        <v>280.89240963855423</v>
      </c>
      <c r="BC187" s="449">
        <v>280.89240963855423</v>
      </c>
      <c r="BD187" s="449">
        <v>280.89240963855423</v>
      </c>
      <c r="BE187" s="449">
        <v>280.89240963855423</v>
      </c>
      <c r="BF187" s="449">
        <v>280.89240963855423</v>
      </c>
      <c r="BG187" s="449">
        <v>280.89240963855423</v>
      </c>
      <c r="BH187" s="400"/>
      <c r="BI187" s="449">
        <v>280.89240963855423</v>
      </c>
      <c r="BJ187" s="449">
        <v>280.89240963855423</v>
      </c>
      <c r="BK187" s="449">
        <v>280.89240963855423</v>
      </c>
      <c r="BL187" s="771">
        <v>280.89240963855423</v>
      </c>
      <c r="BM187" s="449">
        <v>280.89240963855423</v>
      </c>
      <c r="BN187" s="449">
        <v>280.89240963855423</v>
      </c>
      <c r="BO187" s="449">
        <v>280.89240963855423</v>
      </c>
      <c r="BP187" s="449">
        <v>280.89240963855423</v>
      </c>
      <c r="BQ187" s="449">
        <v>280.89240963855423</v>
      </c>
      <c r="BR187" s="449">
        <v>280.89240963855423</v>
      </c>
      <c r="BS187" s="449">
        <v>280.89240963855423</v>
      </c>
      <c r="BT187" s="449">
        <v>280.89240963855423</v>
      </c>
    </row>
    <row r="188" spans="1:72" x14ac:dyDescent="0.25">
      <c r="A188" s="537" t="s">
        <v>303</v>
      </c>
      <c r="B188" s="537" t="s">
        <v>304</v>
      </c>
      <c r="C188" s="541"/>
      <c r="D188" s="500">
        <v>0</v>
      </c>
      <c r="E188" s="449">
        <v>0</v>
      </c>
      <c r="F188" s="449">
        <v>0</v>
      </c>
      <c r="G188" s="421">
        <v>0</v>
      </c>
      <c r="H188" s="449">
        <v>0</v>
      </c>
      <c r="I188" s="449">
        <v>0</v>
      </c>
      <c r="J188" s="426">
        <v>0</v>
      </c>
      <c r="K188" s="421"/>
      <c r="L188" s="449">
        <v>0</v>
      </c>
      <c r="M188" s="449">
        <v>0</v>
      </c>
      <c r="N188" s="449">
        <v>0</v>
      </c>
      <c r="O188" s="449">
        <v>0</v>
      </c>
      <c r="P188" s="449">
        <v>0</v>
      </c>
      <c r="Q188" s="449">
        <v>0</v>
      </c>
      <c r="R188" s="449">
        <v>0</v>
      </c>
      <c r="S188" s="449">
        <v>0</v>
      </c>
      <c r="T188" s="449">
        <v>0</v>
      </c>
      <c r="U188" s="449">
        <v>0</v>
      </c>
      <c r="V188" s="449">
        <v>0</v>
      </c>
      <c r="W188" s="449">
        <v>0</v>
      </c>
      <c r="X188" s="449"/>
      <c r="Y188" s="449">
        <v>0</v>
      </c>
      <c r="Z188" s="531"/>
      <c r="AA188" s="449">
        <v>0</v>
      </c>
      <c r="AB188" s="449">
        <v>0</v>
      </c>
      <c r="AC188" s="449">
        <v>0</v>
      </c>
      <c r="AD188" s="449">
        <v>0</v>
      </c>
      <c r="AE188" s="449">
        <v>0</v>
      </c>
      <c r="AF188" s="449">
        <v>0</v>
      </c>
      <c r="AG188" s="449">
        <v>0</v>
      </c>
      <c r="AH188" s="449">
        <v>0</v>
      </c>
      <c r="AI188" s="449">
        <v>0</v>
      </c>
      <c r="AJ188" s="449">
        <v>0</v>
      </c>
      <c r="AK188" s="449">
        <v>0</v>
      </c>
      <c r="AL188" s="449">
        <v>0</v>
      </c>
      <c r="AM188" s="400"/>
      <c r="AN188" s="500">
        <v>0</v>
      </c>
      <c r="AO188" s="449">
        <v>0</v>
      </c>
      <c r="AP188" s="449">
        <v>0</v>
      </c>
      <c r="AQ188" s="453" t="s">
        <v>1519</v>
      </c>
      <c r="AR188" s="449">
        <v>0</v>
      </c>
      <c r="AS188" s="449">
        <v>0</v>
      </c>
      <c r="AT188" s="426">
        <v>0</v>
      </c>
      <c r="AU188" s="421"/>
      <c r="AV188" s="449">
        <v>0</v>
      </c>
      <c r="AW188" s="449">
        <v>0</v>
      </c>
      <c r="AX188" s="449">
        <v>0</v>
      </c>
      <c r="AY188" s="449">
        <v>0</v>
      </c>
      <c r="AZ188" s="449">
        <v>0</v>
      </c>
      <c r="BA188" s="449">
        <v>0</v>
      </c>
      <c r="BB188" s="449">
        <v>0</v>
      </c>
      <c r="BC188" s="449">
        <v>0</v>
      </c>
      <c r="BD188" s="449">
        <v>0</v>
      </c>
      <c r="BE188" s="449">
        <v>0</v>
      </c>
      <c r="BF188" s="449">
        <v>0</v>
      </c>
      <c r="BG188" s="449">
        <v>0</v>
      </c>
      <c r="BH188" s="400"/>
      <c r="BI188" s="449">
        <v>0</v>
      </c>
      <c r="BJ188" s="449">
        <v>0</v>
      </c>
      <c r="BK188" s="449">
        <v>0</v>
      </c>
      <c r="BL188" s="771">
        <v>0</v>
      </c>
      <c r="BM188" s="449">
        <v>0</v>
      </c>
      <c r="BN188" s="449">
        <v>0</v>
      </c>
      <c r="BO188" s="449">
        <v>0</v>
      </c>
      <c r="BP188" s="449">
        <v>0</v>
      </c>
      <c r="BQ188" s="449">
        <v>0</v>
      </c>
      <c r="BR188" s="449">
        <v>0</v>
      </c>
      <c r="BS188" s="449">
        <v>0</v>
      </c>
      <c r="BT188" s="449">
        <v>0</v>
      </c>
    </row>
    <row r="189" spans="1:72" x14ac:dyDescent="0.25">
      <c r="A189" s="502" t="s">
        <v>305</v>
      </c>
      <c r="B189" s="612" t="s">
        <v>306</v>
      </c>
      <c r="C189" s="596"/>
      <c r="D189" s="500">
        <v>1816.19</v>
      </c>
      <c r="E189" s="449">
        <v>0</v>
      </c>
      <c r="F189" s="449">
        <v>1816.19</v>
      </c>
      <c r="G189" s="421">
        <v>0</v>
      </c>
      <c r="H189" s="449">
        <v>0</v>
      </c>
      <c r="I189" s="449">
        <v>1816.19</v>
      </c>
      <c r="J189" s="426">
        <v>0</v>
      </c>
      <c r="K189" s="421"/>
      <c r="L189" s="449">
        <v>1569.45</v>
      </c>
      <c r="M189" s="449">
        <v>0</v>
      </c>
      <c r="N189" s="449">
        <v>246.74</v>
      </c>
      <c r="O189" s="449">
        <v>0</v>
      </c>
      <c r="P189" s="449">
        <v>0</v>
      </c>
      <c r="Q189" s="449">
        <v>0</v>
      </c>
      <c r="R189" s="449">
        <v>0</v>
      </c>
      <c r="S189" s="449">
        <v>0</v>
      </c>
      <c r="T189" s="449">
        <v>0</v>
      </c>
      <c r="U189" s="449">
        <v>0</v>
      </c>
      <c r="V189" s="449">
        <v>0</v>
      </c>
      <c r="W189" s="449">
        <v>0</v>
      </c>
      <c r="X189" s="449"/>
      <c r="Y189" s="449">
        <v>1816.19</v>
      </c>
      <c r="Z189" s="531"/>
      <c r="AA189" s="449">
        <v>0</v>
      </c>
      <c r="AB189" s="449">
        <v>0</v>
      </c>
      <c r="AC189" s="449">
        <v>0</v>
      </c>
      <c r="AD189" s="449">
        <v>0</v>
      </c>
      <c r="AE189" s="449">
        <v>0</v>
      </c>
      <c r="AF189" s="449">
        <v>0</v>
      </c>
      <c r="AG189" s="449">
        <v>0</v>
      </c>
      <c r="AH189" s="449">
        <v>0</v>
      </c>
      <c r="AI189" s="449">
        <v>0</v>
      </c>
      <c r="AJ189" s="449">
        <v>0</v>
      </c>
      <c r="AK189" s="449">
        <v>0</v>
      </c>
      <c r="AL189" s="449">
        <v>0</v>
      </c>
      <c r="AM189" s="400"/>
      <c r="AN189" s="500">
        <v>1816.19</v>
      </c>
      <c r="AO189" s="449">
        <v>1997.0796064257036</v>
      </c>
      <c r="AP189" s="449">
        <v>180.88960642570351</v>
      </c>
      <c r="AQ189" s="453">
        <v>9.9598393574297561E-2</v>
      </c>
      <c r="AR189" s="449">
        <v>1997.0796064257036</v>
      </c>
      <c r="AS189" s="449">
        <v>0</v>
      </c>
      <c r="AT189" s="426">
        <v>0</v>
      </c>
      <c r="AU189" s="421"/>
      <c r="AV189" s="449">
        <v>399.4159212851406</v>
      </c>
      <c r="AW189" s="449">
        <v>399.4159212851406</v>
      </c>
      <c r="AX189" s="449">
        <v>266.2772808567604</v>
      </c>
      <c r="AY189" s="449">
        <v>266.2772808567604</v>
      </c>
      <c r="AZ189" s="449">
        <v>266.2772808567604</v>
      </c>
      <c r="BA189" s="449">
        <v>57.059417326448653</v>
      </c>
      <c r="BB189" s="449">
        <v>57.059417326448653</v>
      </c>
      <c r="BC189" s="449">
        <v>57.059417326448653</v>
      </c>
      <c r="BD189" s="449">
        <v>57.059417326448653</v>
      </c>
      <c r="BE189" s="449">
        <v>57.059417326448653</v>
      </c>
      <c r="BF189" s="449">
        <v>57.059417326448653</v>
      </c>
      <c r="BG189" s="449">
        <v>57.059417326448653</v>
      </c>
      <c r="BH189" s="400"/>
      <c r="BI189" s="449">
        <v>399.4159212851406</v>
      </c>
      <c r="BJ189" s="449">
        <v>399.4159212851406</v>
      </c>
      <c r="BK189" s="449">
        <v>266.2772808567604</v>
      </c>
      <c r="BL189" s="771">
        <v>266.2772808567604</v>
      </c>
      <c r="BM189" s="449">
        <v>266.2772808567604</v>
      </c>
      <c r="BN189" s="449">
        <v>57.059417326448653</v>
      </c>
      <c r="BO189" s="449">
        <v>57.059417326448653</v>
      </c>
      <c r="BP189" s="449">
        <v>57.059417326448653</v>
      </c>
      <c r="BQ189" s="449">
        <v>57.059417326448653</v>
      </c>
      <c r="BR189" s="449">
        <v>57.059417326448653</v>
      </c>
      <c r="BS189" s="449">
        <v>57.059417326448653</v>
      </c>
      <c r="BT189" s="449">
        <v>57.059417326448653</v>
      </c>
    </row>
    <row r="190" spans="1:72" x14ac:dyDescent="0.25">
      <c r="A190" s="502" t="s">
        <v>307</v>
      </c>
      <c r="B190" s="612" t="s">
        <v>308</v>
      </c>
      <c r="C190" s="596"/>
      <c r="D190" s="500">
        <v>21861.65</v>
      </c>
      <c r="E190" s="449">
        <v>0</v>
      </c>
      <c r="F190" s="449">
        <v>21861.65</v>
      </c>
      <c r="G190" s="421">
        <v>0</v>
      </c>
      <c r="H190" s="449">
        <v>20000</v>
      </c>
      <c r="I190" s="449">
        <v>1861.6500000000015</v>
      </c>
      <c r="J190" s="426">
        <v>9.3082500000000068E-2</v>
      </c>
      <c r="K190" s="421"/>
      <c r="L190" s="449">
        <v>21861.65</v>
      </c>
      <c r="M190" s="449">
        <v>0</v>
      </c>
      <c r="N190" s="449">
        <v>0</v>
      </c>
      <c r="O190" s="449">
        <v>0</v>
      </c>
      <c r="P190" s="449">
        <v>0</v>
      </c>
      <c r="Q190" s="449">
        <v>0</v>
      </c>
      <c r="R190" s="449">
        <v>0</v>
      </c>
      <c r="S190" s="449">
        <v>0</v>
      </c>
      <c r="T190" s="449">
        <v>0</v>
      </c>
      <c r="U190" s="449">
        <v>0</v>
      </c>
      <c r="V190" s="449">
        <v>0</v>
      </c>
      <c r="W190" s="449">
        <v>0</v>
      </c>
      <c r="X190" s="449"/>
      <c r="Y190" s="449">
        <v>21861.65</v>
      </c>
      <c r="Z190" s="531"/>
      <c r="AA190" s="449">
        <v>1666.6666666666667</v>
      </c>
      <c r="AB190" s="449">
        <v>1666.6666666666667</v>
      </c>
      <c r="AC190" s="449">
        <v>1666.6666666666667</v>
      </c>
      <c r="AD190" s="449">
        <v>1666.6666666666667</v>
      </c>
      <c r="AE190" s="449">
        <v>1666.6666666666667</v>
      </c>
      <c r="AF190" s="449">
        <v>1666.6666666666667</v>
      </c>
      <c r="AG190" s="449">
        <v>1666.6666666666667</v>
      </c>
      <c r="AH190" s="449">
        <v>1666.6666666666667</v>
      </c>
      <c r="AI190" s="449">
        <v>1666.6666666666667</v>
      </c>
      <c r="AJ190" s="449">
        <v>1666.6666666666667</v>
      </c>
      <c r="AK190" s="449">
        <v>1666.6666666666667</v>
      </c>
      <c r="AL190" s="449">
        <v>1666.6666666666667</v>
      </c>
      <c r="AM190" s="400"/>
      <c r="AN190" s="500">
        <v>21861.65</v>
      </c>
      <c r="AO190" s="449">
        <v>24039.035220883532</v>
      </c>
      <c r="AP190" s="449">
        <v>2177.3852208835306</v>
      </c>
      <c r="AQ190" s="453">
        <v>9.959839357429702E-2</v>
      </c>
      <c r="AR190" s="449">
        <v>24039.035220883532</v>
      </c>
      <c r="AS190" s="449">
        <v>0</v>
      </c>
      <c r="AT190" s="426">
        <v>0</v>
      </c>
      <c r="AU190" s="421"/>
      <c r="AV190" s="449">
        <v>4807.8070441767077</v>
      </c>
      <c r="AW190" s="449">
        <v>4807.8070441767077</v>
      </c>
      <c r="AX190" s="449">
        <v>3205.2046961178048</v>
      </c>
      <c r="AY190" s="449">
        <v>3205.2046961178048</v>
      </c>
      <c r="AZ190" s="449">
        <v>3205.2046961178048</v>
      </c>
      <c r="BA190" s="449">
        <v>686.82957773952955</v>
      </c>
      <c r="BB190" s="449">
        <v>686.82957773952955</v>
      </c>
      <c r="BC190" s="449">
        <v>686.82957773952955</v>
      </c>
      <c r="BD190" s="449">
        <v>686.82957773952955</v>
      </c>
      <c r="BE190" s="449">
        <v>686.82957773952955</v>
      </c>
      <c r="BF190" s="449">
        <v>686.82957773952955</v>
      </c>
      <c r="BG190" s="449">
        <v>686.82957773952955</v>
      </c>
      <c r="BH190" s="400"/>
      <c r="BI190" s="449">
        <v>4807.8070441767077</v>
      </c>
      <c r="BJ190" s="449">
        <v>4807.8070441767077</v>
      </c>
      <c r="BK190" s="449">
        <v>3205.2046961178048</v>
      </c>
      <c r="BL190" s="771">
        <v>3205.2046961178048</v>
      </c>
      <c r="BM190" s="449">
        <v>3205.2046961178048</v>
      </c>
      <c r="BN190" s="449">
        <v>686.82957773952955</v>
      </c>
      <c r="BO190" s="449">
        <v>686.82957773952955</v>
      </c>
      <c r="BP190" s="449">
        <v>686.82957773952955</v>
      </c>
      <c r="BQ190" s="449">
        <v>686.82957773952955</v>
      </c>
      <c r="BR190" s="449">
        <v>686.82957773952955</v>
      </c>
      <c r="BS190" s="449">
        <v>686.82957773952955</v>
      </c>
      <c r="BT190" s="449">
        <v>686.82957773952955</v>
      </c>
    </row>
    <row r="191" spans="1:72" x14ac:dyDescent="0.25">
      <c r="A191" s="502" t="s">
        <v>309</v>
      </c>
      <c r="B191" s="612" t="s">
        <v>310</v>
      </c>
      <c r="C191" s="596"/>
      <c r="D191" s="500">
        <v>2000</v>
      </c>
      <c r="E191" s="449">
        <v>0</v>
      </c>
      <c r="F191" s="449">
        <v>2000</v>
      </c>
      <c r="G191" s="421">
        <v>0</v>
      </c>
      <c r="H191" s="449">
        <v>2000</v>
      </c>
      <c r="I191" s="449">
        <v>0</v>
      </c>
      <c r="J191" s="426">
        <v>0</v>
      </c>
      <c r="K191" s="421"/>
      <c r="L191" s="449">
        <v>0</v>
      </c>
      <c r="M191" s="449">
        <v>0</v>
      </c>
      <c r="N191" s="449">
        <v>0</v>
      </c>
      <c r="O191" s="449">
        <v>0</v>
      </c>
      <c r="P191" s="449">
        <v>0</v>
      </c>
      <c r="Q191" s="449">
        <v>0</v>
      </c>
      <c r="R191" s="449">
        <v>333.33333333333331</v>
      </c>
      <c r="S191" s="449">
        <v>333.33333333333337</v>
      </c>
      <c r="T191" s="449">
        <v>333.33333333333331</v>
      </c>
      <c r="U191" s="449">
        <v>333.33333333333331</v>
      </c>
      <c r="V191" s="449">
        <v>333.33333333333337</v>
      </c>
      <c r="W191" s="449">
        <v>333.33333333333348</v>
      </c>
      <c r="X191" s="449"/>
      <c r="Y191" s="449">
        <v>2000</v>
      </c>
      <c r="Z191" s="531"/>
      <c r="AA191" s="449">
        <v>166.66666666666666</v>
      </c>
      <c r="AB191" s="449">
        <v>166.66666666666666</v>
      </c>
      <c r="AC191" s="449">
        <v>166.66666666666666</v>
      </c>
      <c r="AD191" s="449">
        <v>166.66666666666666</v>
      </c>
      <c r="AE191" s="449">
        <v>166.66666666666666</v>
      </c>
      <c r="AF191" s="449">
        <v>166.66666666666666</v>
      </c>
      <c r="AG191" s="449">
        <v>166.66666666666666</v>
      </c>
      <c r="AH191" s="449">
        <v>166.66666666666666</v>
      </c>
      <c r="AI191" s="449">
        <v>166.66666666666666</v>
      </c>
      <c r="AJ191" s="449">
        <v>166.66666666666666</v>
      </c>
      <c r="AK191" s="449">
        <v>166.66666666666666</v>
      </c>
      <c r="AL191" s="449">
        <v>166.66666666666666</v>
      </c>
      <c r="AM191" s="400"/>
      <c r="AN191" s="500">
        <v>2000</v>
      </c>
      <c r="AO191" s="449">
        <v>0</v>
      </c>
      <c r="AP191" s="449">
        <v>-2000</v>
      </c>
      <c r="AQ191" s="453">
        <v>-1</v>
      </c>
      <c r="AR191" s="449">
        <v>0</v>
      </c>
      <c r="AS191" s="449">
        <v>0</v>
      </c>
      <c r="AT191" s="426">
        <v>0</v>
      </c>
      <c r="AU191" s="421"/>
      <c r="AV191" s="449">
        <v>0</v>
      </c>
      <c r="AW191" s="449">
        <v>0</v>
      </c>
      <c r="AX191" s="449">
        <v>0</v>
      </c>
      <c r="AY191" s="449">
        <v>0</v>
      </c>
      <c r="AZ191" s="449">
        <v>0</v>
      </c>
      <c r="BA191" s="449">
        <v>0</v>
      </c>
      <c r="BB191" s="449">
        <v>0</v>
      </c>
      <c r="BC191" s="449">
        <v>0</v>
      </c>
      <c r="BD191" s="449">
        <v>0</v>
      </c>
      <c r="BE191" s="449">
        <v>0</v>
      </c>
      <c r="BF191" s="449">
        <v>0</v>
      </c>
      <c r="BG191" s="449">
        <v>0</v>
      </c>
      <c r="BH191" s="400"/>
      <c r="BI191" s="449">
        <v>0</v>
      </c>
      <c r="BJ191" s="449">
        <v>0</v>
      </c>
      <c r="BK191" s="449">
        <v>0</v>
      </c>
      <c r="BL191" s="771">
        <v>0</v>
      </c>
      <c r="BM191" s="449">
        <v>0</v>
      </c>
      <c r="BN191" s="449">
        <v>0</v>
      </c>
      <c r="BO191" s="449">
        <v>0</v>
      </c>
      <c r="BP191" s="449">
        <v>0</v>
      </c>
      <c r="BQ191" s="449">
        <v>0</v>
      </c>
      <c r="BR191" s="449">
        <v>0</v>
      </c>
      <c r="BS191" s="449">
        <v>0</v>
      </c>
      <c r="BT191" s="449">
        <v>0</v>
      </c>
    </row>
    <row r="192" spans="1:72" x14ac:dyDescent="0.25">
      <c r="A192" s="502" t="s">
        <v>311</v>
      </c>
      <c r="B192" s="502" t="s">
        <v>312</v>
      </c>
      <c r="C192" s="538"/>
      <c r="D192" s="500">
        <v>39000</v>
      </c>
      <c r="E192" s="449">
        <v>32960</v>
      </c>
      <c r="F192" s="449">
        <v>6040</v>
      </c>
      <c r="G192" s="421">
        <v>0.18325242718446602</v>
      </c>
      <c r="H192" s="449">
        <v>39000</v>
      </c>
      <c r="I192" s="449">
        <v>0</v>
      </c>
      <c r="J192" s="426">
        <v>0</v>
      </c>
      <c r="K192" s="421"/>
      <c r="L192" s="449">
        <v>-1811.33</v>
      </c>
      <c r="M192" s="449">
        <v>6642.46</v>
      </c>
      <c r="N192" s="449">
        <v>5812.1500000000005</v>
      </c>
      <c r="O192" s="449">
        <v>5535.3799999999992</v>
      </c>
      <c r="P192" s="449">
        <v>-5321.6399999999994</v>
      </c>
      <c r="Q192" s="449">
        <v>17776.25</v>
      </c>
      <c r="R192" s="449">
        <v>1727.7883333333332</v>
      </c>
      <c r="S192" s="449">
        <v>1727.7883333333332</v>
      </c>
      <c r="T192" s="449">
        <v>1727.788333333333</v>
      </c>
      <c r="U192" s="449">
        <v>1727.7883333333327</v>
      </c>
      <c r="V192" s="449">
        <v>1727.7883333333339</v>
      </c>
      <c r="W192" s="449">
        <v>1727.7883333333302</v>
      </c>
      <c r="X192" s="449"/>
      <c r="Y192" s="449">
        <v>39000</v>
      </c>
      <c r="Z192" s="531"/>
      <c r="AA192" s="449">
        <v>3250</v>
      </c>
      <c r="AB192" s="449">
        <v>3250</v>
      </c>
      <c r="AC192" s="449">
        <v>3250</v>
      </c>
      <c r="AD192" s="449">
        <v>3250</v>
      </c>
      <c r="AE192" s="449">
        <v>3250</v>
      </c>
      <c r="AF192" s="449">
        <v>3250</v>
      </c>
      <c r="AG192" s="449">
        <v>3250</v>
      </c>
      <c r="AH192" s="449">
        <v>3250</v>
      </c>
      <c r="AI192" s="449">
        <v>3250</v>
      </c>
      <c r="AJ192" s="449">
        <v>3250</v>
      </c>
      <c r="AK192" s="449">
        <v>3250</v>
      </c>
      <c r="AL192" s="449">
        <v>3250</v>
      </c>
      <c r="AM192" s="400"/>
      <c r="AN192" s="500">
        <v>39000</v>
      </c>
      <c r="AO192" s="449">
        <v>40170</v>
      </c>
      <c r="AP192" s="449">
        <v>1170</v>
      </c>
      <c r="AQ192" s="453">
        <v>0.03</v>
      </c>
      <c r="AR192" s="449">
        <v>40170</v>
      </c>
      <c r="AS192" s="449">
        <v>0</v>
      </c>
      <c r="AT192" s="426">
        <v>0</v>
      </c>
      <c r="AU192" s="421"/>
      <c r="AV192" s="449">
        <v>0</v>
      </c>
      <c r="AW192" s="449">
        <v>3347.5</v>
      </c>
      <c r="AX192" s="449">
        <v>3347.5</v>
      </c>
      <c r="AY192" s="449">
        <v>3347.5</v>
      </c>
      <c r="AZ192" s="449">
        <v>3347.5</v>
      </c>
      <c r="BA192" s="449">
        <v>3347.5</v>
      </c>
      <c r="BB192" s="449">
        <v>3347.5</v>
      </c>
      <c r="BC192" s="449">
        <v>3347.5</v>
      </c>
      <c r="BD192" s="449">
        <v>3347.5</v>
      </c>
      <c r="BE192" s="449">
        <v>3347.5</v>
      </c>
      <c r="BF192" s="449">
        <v>3347.5</v>
      </c>
      <c r="BG192" s="449">
        <v>6695</v>
      </c>
      <c r="BH192" s="400"/>
      <c r="BI192" s="449">
        <v>0</v>
      </c>
      <c r="BJ192" s="449">
        <v>3347.5</v>
      </c>
      <c r="BK192" s="449">
        <v>3347.5</v>
      </c>
      <c r="BL192" s="771">
        <v>3347.5</v>
      </c>
      <c r="BM192" s="449">
        <v>3347.5</v>
      </c>
      <c r="BN192" s="449">
        <v>3347.5</v>
      </c>
      <c r="BO192" s="449">
        <v>3347.5</v>
      </c>
      <c r="BP192" s="449">
        <v>3347.5</v>
      </c>
      <c r="BQ192" s="449">
        <v>3347.5</v>
      </c>
      <c r="BR192" s="449">
        <v>3347.5</v>
      </c>
      <c r="BS192" s="449">
        <v>3347.5</v>
      </c>
      <c r="BT192" s="449">
        <v>6695</v>
      </c>
    </row>
    <row r="193" spans="1:72" x14ac:dyDescent="0.25">
      <c r="A193" s="502" t="s">
        <v>313</v>
      </c>
      <c r="B193" s="502" t="s">
        <v>314</v>
      </c>
      <c r="C193" s="538"/>
      <c r="D193" s="500">
        <v>32960</v>
      </c>
      <c r="E193" s="449">
        <v>65920</v>
      </c>
      <c r="F193" s="449">
        <v>-32960</v>
      </c>
      <c r="G193" s="421">
        <v>-0.5</v>
      </c>
      <c r="H193" s="449">
        <v>32960</v>
      </c>
      <c r="I193" s="449">
        <v>0</v>
      </c>
      <c r="J193" s="426">
        <v>0</v>
      </c>
      <c r="K193" s="421"/>
      <c r="L193" s="449">
        <v>0</v>
      </c>
      <c r="M193" s="449">
        <v>0</v>
      </c>
      <c r="N193" s="449">
        <v>0</v>
      </c>
      <c r="O193" s="449">
        <v>0</v>
      </c>
      <c r="P193" s="449">
        <v>10857.02</v>
      </c>
      <c r="Q193" s="449">
        <v>-10857.02</v>
      </c>
      <c r="R193" s="449">
        <v>5493.333333333333</v>
      </c>
      <c r="S193" s="449">
        <v>5493.3333333333339</v>
      </c>
      <c r="T193" s="449">
        <v>5493.333333333333</v>
      </c>
      <c r="U193" s="449">
        <v>5493.333333333333</v>
      </c>
      <c r="V193" s="449">
        <v>5493.3333333333339</v>
      </c>
      <c r="W193" s="449">
        <v>5493.3333333333358</v>
      </c>
      <c r="X193" s="449"/>
      <c r="Y193" s="449">
        <v>32960</v>
      </c>
      <c r="Z193" s="531"/>
      <c r="AA193" s="449">
        <v>2746.6666666666665</v>
      </c>
      <c r="AB193" s="449">
        <v>2746.6666666666665</v>
      </c>
      <c r="AC193" s="449">
        <v>2746.6666666666665</v>
      </c>
      <c r="AD193" s="449">
        <v>2746.6666666666665</v>
      </c>
      <c r="AE193" s="449">
        <v>2746.6666666666665</v>
      </c>
      <c r="AF193" s="449">
        <v>2746.6666666666665</v>
      </c>
      <c r="AG193" s="449">
        <v>2746.6666666666665</v>
      </c>
      <c r="AH193" s="449">
        <v>2746.6666666666665</v>
      </c>
      <c r="AI193" s="449">
        <v>2746.6666666666665</v>
      </c>
      <c r="AJ193" s="449">
        <v>2746.6666666666665</v>
      </c>
      <c r="AK193" s="449">
        <v>2746.6666666666665</v>
      </c>
      <c r="AL193" s="449">
        <v>2746.6666666666665</v>
      </c>
      <c r="AM193" s="400"/>
      <c r="AN193" s="500">
        <v>32960</v>
      </c>
      <c r="AO193" s="449">
        <v>33948.799999999996</v>
      </c>
      <c r="AP193" s="449">
        <v>988.79999999999563</v>
      </c>
      <c r="AQ193" s="453">
        <v>2.9999999999999867E-2</v>
      </c>
      <c r="AR193" s="449">
        <v>33948.799999999996</v>
      </c>
      <c r="AS193" s="449">
        <v>0</v>
      </c>
      <c r="AT193" s="426">
        <v>0</v>
      </c>
      <c r="AU193" s="421"/>
      <c r="AV193" s="449">
        <v>0</v>
      </c>
      <c r="AW193" s="449">
        <v>2829.0666666666671</v>
      </c>
      <c r="AX193" s="449">
        <v>2829.0666666666671</v>
      </c>
      <c r="AY193" s="449">
        <v>2829.0666666666671</v>
      </c>
      <c r="AZ193" s="449">
        <v>2829.0666666666671</v>
      </c>
      <c r="BA193" s="449">
        <v>2829.0666666666671</v>
      </c>
      <c r="BB193" s="449">
        <v>2829.0666666666671</v>
      </c>
      <c r="BC193" s="449">
        <v>2829.0666666666671</v>
      </c>
      <c r="BD193" s="449">
        <v>2829.0666666666671</v>
      </c>
      <c r="BE193" s="449">
        <v>2829.0666666666671</v>
      </c>
      <c r="BF193" s="449">
        <v>2829.0666666666671</v>
      </c>
      <c r="BG193" s="449">
        <v>5658.1333333333341</v>
      </c>
      <c r="BH193" s="400"/>
      <c r="BI193" s="449">
        <v>0</v>
      </c>
      <c r="BJ193" s="449">
        <v>2829.0666666666671</v>
      </c>
      <c r="BK193" s="449">
        <v>2829.0666666666671</v>
      </c>
      <c r="BL193" s="771">
        <v>2829.0666666666671</v>
      </c>
      <c r="BM193" s="449">
        <v>2829.0666666666671</v>
      </c>
      <c r="BN193" s="449">
        <v>2829.0666666666671</v>
      </c>
      <c r="BO193" s="449">
        <v>2829.0666666666671</v>
      </c>
      <c r="BP193" s="449">
        <v>2829.0666666666671</v>
      </c>
      <c r="BQ193" s="449">
        <v>2829.0666666666671</v>
      </c>
      <c r="BR193" s="449">
        <v>2829.0666666666671</v>
      </c>
      <c r="BS193" s="449">
        <v>2829.0666666666671</v>
      </c>
      <c r="BT193" s="449">
        <v>5658.1333333333341</v>
      </c>
    </row>
    <row r="194" spans="1:72" x14ac:dyDescent="0.25">
      <c r="A194" s="502" t="s">
        <v>315</v>
      </c>
      <c r="B194" s="502" t="s">
        <v>316</v>
      </c>
      <c r="C194" s="538"/>
      <c r="D194" s="500">
        <v>3000</v>
      </c>
      <c r="E194" s="449">
        <v>3000</v>
      </c>
      <c r="F194" s="449">
        <v>0</v>
      </c>
      <c r="G194" s="421">
        <v>0</v>
      </c>
      <c r="H194" s="449">
        <v>3000</v>
      </c>
      <c r="I194" s="449">
        <v>0</v>
      </c>
      <c r="J194" s="426">
        <v>0</v>
      </c>
      <c r="K194" s="421"/>
      <c r="L194" s="449">
        <v>0</v>
      </c>
      <c r="M194" s="449">
        <v>0</v>
      </c>
      <c r="N194" s="449">
        <v>0</v>
      </c>
      <c r="O194" s="449">
        <v>3000</v>
      </c>
      <c r="P194" s="449">
        <v>0</v>
      </c>
      <c r="Q194" s="449">
        <v>0</v>
      </c>
      <c r="R194" s="449">
        <v>0</v>
      </c>
      <c r="S194" s="449">
        <v>0</v>
      </c>
      <c r="T194" s="449">
        <v>0</v>
      </c>
      <c r="U194" s="449">
        <v>0</v>
      </c>
      <c r="V194" s="449">
        <v>0</v>
      </c>
      <c r="W194" s="449">
        <v>0</v>
      </c>
      <c r="X194" s="449"/>
      <c r="Y194" s="449">
        <v>3000</v>
      </c>
      <c r="Z194" s="531"/>
      <c r="AA194" s="449">
        <v>250</v>
      </c>
      <c r="AB194" s="449">
        <v>250</v>
      </c>
      <c r="AC194" s="449">
        <v>250</v>
      </c>
      <c r="AD194" s="449">
        <v>250</v>
      </c>
      <c r="AE194" s="449">
        <v>250</v>
      </c>
      <c r="AF194" s="449">
        <v>250</v>
      </c>
      <c r="AG194" s="449">
        <v>250</v>
      </c>
      <c r="AH194" s="449">
        <v>250</v>
      </c>
      <c r="AI194" s="449">
        <v>250</v>
      </c>
      <c r="AJ194" s="449">
        <v>250</v>
      </c>
      <c r="AK194" s="449">
        <v>250</v>
      </c>
      <c r="AL194" s="449">
        <v>250</v>
      </c>
      <c r="AM194" s="400"/>
      <c r="AN194" s="500">
        <v>3000</v>
      </c>
      <c r="AO194" s="449">
        <v>3000</v>
      </c>
      <c r="AP194" s="449">
        <v>0</v>
      </c>
      <c r="AQ194" s="453">
        <v>0</v>
      </c>
      <c r="AR194" s="449">
        <v>3000</v>
      </c>
      <c r="AS194" s="449">
        <v>0</v>
      </c>
      <c r="AT194" s="426">
        <v>0</v>
      </c>
      <c r="AU194" s="421"/>
      <c r="AV194" s="449">
        <v>0</v>
      </c>
      <c r="AW194" s="449">
        <v>0</v>
      </c>
      <c r="AX194" s="449">
        <v>0</v>
      </c>
      <c r="AY194" s="449">
        <v>3000</v>
      </c>
      <c r="AZ194" s="449">
        <v>0</v>
      </c>
      <c r="BA194" s="449">
        <v>0</v>
      </c>
      <c r="BB194" s="449">
        <v>0</v>
      </c>
      <c r="BC194" s="449">
        <v>0</v>
      </c>
      <c r="BD194" s="449">
        <v>0</v>
      </c>
      <c r="BE194" s="449">
        <v>0</v>
      </c>
      <c r="BF194" s="449">
        <v>0</v>
      </c>
      <c r="BG194" s="449">
        <v>0</v>
      </c>
      <c r="BH194" s="400"/>
      <c r="BI194" s="449">
        <v>0</v>
      </c>
      <c r="BJ194" s="449">
        <v>0</v>
      </c>
      <c r="BK194" s="449">
        <v>0</v>
      </c>
      <c r="BL194" s="771">
        <v>3000</v>
      </c>
      <c r="BM194" s="449">
        <v>0</v>
      </c>
      <c r="BN194" s="449">
        <v>0</v>
      </c>
      <c r="BO194" s="449">
        <v>0</v>
      </c>
      <c r="BP194" s="449">
        <v>0</v>
      </c>
      <c r="BQ194" s="449">
        <v>0</v>
      </c>
      <c r="BR194" s="449">
        <v>0</v>
      </c>
      <c r="BS194" s="449">
        <v>0</v>
      </c>
      <c r="BT194" s="449">
        <v>0</v>
      </c>
    </row>
    <row r="195" spans="1:72" x14ac:dyDescent="0.25">
      <c r="A195" s="537" t="s">
        <v>317</v>
      </c>
      <c r="B195" s="537" t="s">
        <v>318</v>
      </c>
      <c r="C195" s="541"/>
      <c r="D195" s="500">
        <v>0</v>
      </c>
      <c r="E195" s="449">
        <v>0</v>
      </c>
      <c r="F195" s="449">
        <v>0</v>
      </c>
      <c r="G195" s="421">
        <v>0</v>
      </c>
      <c r="H195" s="449">
        <v>0</v>
      </c>
      <c r="I195" s="449">
        <v>0</v>
      </c>
      <c r="J195" s="426">
        <v>0</v>
      </c>
      <c r="K195" s="421"/>
      <c r="L195" s="449">
        <v>0</v>
      </c>
      <c r="M195" s="449">
        <v>0</v>
      </c>
      <c r="N195" s="449">
        <v>0</v>
      </c>
      <c r="O195" s="449">
        <v>0</v>
      </c>
      <c r="P195" s="449">
        <v>0</v>
      </c>
      <c r="Q195" s="449">
        <v>0</v>
      </c>
      <c r="R195" s="449">
        <v>0</v>
      </c>
      <c r="S195" s="449">
        <v>0</v>
      </c>
      <c r="T195" s="449">
        <v>0</v>
      </c>
      <c r="U195" s="449">
        <v>0</v>
      </c>
      <c r="V195" s="449">
        <v>0</v>
      </c>
      <c r="W195" s="449">
        <v>0</v>
      </c>
      <c r="X195" s="449"/>
      <c r="Y195" s="449">
        <v>0</v>
      </c>
      <c r="Z195" s="531"/>
      <c r="AA195" s="449">
        <v>0</v>
      </c>
      <c r="AB195" s="449">
        <v>0</v>
      </c>
      <c r="AC195" s="449">
        <v>0</v>
      </c>
      <c r="AD195" s="449">
        <v>0</v>
      </c>
      <c r="AE195" s="449">
        <v>0</v>
      </c>
      <c r="AF195" s="449">
        <v>0</v>
      </c>
      <c r="AG195" s="449">
        <v>0</v>
      </c>
      <c r="AH195" s="449">
        <v>0</v>
      </c>
      <c r="AI195" s="449">
        <v>0</v>
      </c>
      <c r="AJ195" s="449">
        <v>0</v>
      </c>
      <c r="AK195" s="449">
        <v>0</v>
      </c>
      <c r="AL195" s="449">
        <v>0</v>
      </c>
      <c r="AM195" s="400"/>
      <c r="AN195" s="500">
        <v>0</v>
      </c>
      <c r="AO195" s="449">
        <v>3000</v>
      </c>
      <c r="AP195" s="449">
        <v>3000</v>
      </c>
      <c r="AQ195" s="453" t="s">
        <v>1519</v>
      </c>
      <c r="AR195" s="449">
        <v>3000</v>
      </c>
      <c r="AS195" s="449">
        <v>0</v>
      </c>
      <c r="AT195" s="426">
        <v>0</v>
      </c>
      <c r="AU195" s="421"/>
      <c r="AV195" s="449">
        <v>0</v>
      </c>
      <c r="AW195" s="449">
        <v>0</v>
      </c>
      <c r="AX195" s="449">
        <v>0</v>
      </c>
      <c r="AY195" s="449">
        <v>3000</v>
      </c>
      <c r="AZ195" s="449">
        <v>0</v>
      </c>
      <c r="BA195" s="449">
        <v>0</v>
      </c>
      <c r="BB195" s="449">
        <v>0</v>
      </c>
      <c r="BC195" s="449">
        <v>0</v>
      </c>
      <c r="BD195" s="449">
        <v>0</v>
      </c>
      <c r="BE195" s="449">
        <v>0</v>
      </c>
      <c r="BF195" s="449">
        <v>0</v>
      </c>
      <c r="BG195" s="449">
        <v>0</v>
      </c>
      <c r="BH195" s="400"/>
      <c r="BI195" s="449">
        <v>0</v>
      </c>
      <c r="BJ195" s="449">
        <v>0</v>
      </c>
      <c r="BK195" s="449">
        <v>0</v>
      </c>
      <c r="BL195" s="771">
        <v>3000</v>
      </c>
      <c r="BM195" s="449">
        <v>0</v>
      </c>
      <c r="BN195" s="449">
        <v>0</v>
      </c>
      <c r="BO195" s="449">
        <v>0</v>
      </c>
      <c r="BP195" s="449">
        <v>0</v>
      </c>
      <c r="BQ195" s="449">
        <v>0</v>
      </c>
      <c r="BR195" s="449">
        <v>0</v>
      </c>
      <c r="BS195" s="449">
        <v>0</v>
      </c>
      <c r="BT195" s="449">
        <v>0</v>
      </c>
    </row>
    <row r="196" spans="1:72" x14ac:dyDescent="0.25">
      <c r="A196" s="502" t="s">
        <v>319</v>
      </c>
      <c r="B196" s="502" t="s">
        <v>320</v>
      </c>
      <c r="C196" s="541"/>
      <c r="D196" s="500">
        <v>8383</v>
      </c>
      <c r="E196" s="449">
        <v>12642</v>
      </c>
      <c r="F196" s="449">
        <v>-4259</v>
      </c>
      <c r="G196" s="421">
        <v>-0.33689289669356115</v>
      </c>
      <c r="H196" s="449">
        <v>8383</v>
      </c>
      <c r="I196" s="449">
        <v>0</v>
      </c>
      <c r="J196" s="426">
        <v>0</v>
      </c>
      <c r="K196" s="421"/>
      <c r="L196" s="449">
        <v>-199.89</v>
      </c>
      <c r="M196" s="449">
        <v>1077.97</v>
      </c>
      <c r="N196" s="449">
        <v>708.16</v>
      </c>
      <c r="O196" s="449">
        <v>1106.0800000000002</v>
      </c>
      <c r="P196" s="449">
        <v>631.98</v>
      </c>
      <c r="Q196" s="449">
        <v>529.32999999999993</v>
      </c>
      <c r="R196" s="449">
        <v>754.89499999999998</v>
      </c>
      <c r="S196" s="449">
        <v>754.8950000000001</v>
      </c>
      <c r="T196" s="449">
        <v>754.89499999999998</v>
      </c>
      <c r="U196" s="449">
        <v>754.89499999999987</v>
      </c>
      <c r="V196" s="449">
        <v>754.89499999999998</v>
      </c>
      <c r="W196" s="449">
        <v>754.89500000000044</v>
      </c>
      <c r="X196" s="449"/>
      <c r="Y196" s="449">
        <v>8383</v>
      </c>
      <c r="Z196" s="531"/>
      <c r="AA196" s="449">
        <v>698.58333333333337</v>
      </c>
      <c r="AB196" s="449">
        <v>698.58333333333337</v>
      </c>
      <c r="AC196" s="449">
        <v>698.58333333333337</v>
      </c>
      <c r="AD196" s="449">
        <v>698.58333333333337</v>
      </c>
      <c r="AE196" s="449">
        <v>698.58333333333337</v>
      </c>
      <c r="AF196" s="449">
        <v>698.58333333333337</v>
      </c>
      <c r="AG196" s="449">
        <v>698.58333333333337</v>
      </c>
      <c r="AH196" s="449">
        <v>698.58333333333337</v>
      </c>
      <c r="AI196" s="449">
        <v>698.58333333333337</v>
      </c>
      <c r="AJ196" s="449">
        <v>698.58333333333337</v>
      </c>
      <c r="AK196" s="449">
        <v>698.58333333333337</v>
      </c>
      <c r="AL196" s="449">
        <v>698.58333333333337</v>
      </c>
      <c r="AM196" s="400"/>
      <c r="AN196" s="500">
        <v>8383</v>
      </c>
      <c r="AO196" s="449">
        <v>4694.01</v>
      </c>
      <c r="AP196" s="449">
        <v>-3688.99</v>
      </c>
      <c r="AQ196" s="453">
        <v>-0.44005606584754858</v>
      </c>
      <c r="AR196" s="449">
        <v>4694.01</v>
      </c>
      <c r="AS196" s="449">
        <v>0</v>
      </c>
      <c r="AT196" s="426">
        <v>0</v>
      </c>
      <c r="AU196" s="421"/>
      <c r="AV196" s="449">
        <v>0</v>
      </c>
      <c r="AW196" s="449">
        <v>391.16750000000002</v>
      </c>
      <c r="AX196" s="449">
        <v>391.16750000000002</v>
      </c>
      <c r="AY196" s="449">
        <v>391.16750000000002</v>
      </c>
      <c r="AZ196" s="449">
        <v>391.16750000000002</v>
      </c>
      <c r="BA196" s="449">
        <v>391.16750000000002</v>
      </c>
      <c r="BB196" s="449">
        <v>391.16750000000002</v>
      </c>
      <c r="BC196" s="449">
        <v>391.16750000000002</v>
      </c>
      <c r="BD196" s="449">
        <v>391.16750000000002</v>
      </c>
      <c r="BE196" s="449">
        <v>391.16750000000002</v>
      </c>
      <c r="BF196" s="449">
        <v>391.16750000000002</v>
      </c>
      <c r="BG196" s="449">
        <v>782.33500000000004</v>
      </c>
      <c r="BH196" s="400"/>
      <c r="BI196" s="449">
        <v>0</v>
      </c>
      <c r="BJ196" s="449">
        <v>391.16750000000002</v>
      </c>
      <c r="BK196" s="449">
        <v>391.16750000000002</v>
      </c>
      <c r="BL196" s="771">
        <v>391.16750000000002</v>
      </c>
      <c r="BM196" s="449">
        <v>391.16750000000002</v>
      </c>
      <c r="BN196" s="449">
        <v>391.16750000000002</v>
      </c>
      <c r="BO196" s="449">
        <v>391.16750000000002</v>
      </c>
      <c r="BP196" s="449">
        <v>391.16750000000002</v>
      </c>
      <c r="BQ196" s="449">
        <v>391.16750000000002</v>
      </c>
      <c r="BR196" s="449">
        <v>391.16750000000002</v>
      </c>
      <c r="BS196" s="449">
        <v>391.16750000000002</v>
      </c>
      <c r="BT196" s="449">
        <v>782.33500000000004</v>
      </c>
    </row>
    <row r="197" spans="1:72" x14ac:dyDescent="0.25">
      <c r="A197" s="502" t="s">
        <v>321</v>
      </c>
      <c r="B197" s="502" t="s">
        <v>322</v>
      </c>
      <c r="C197" s="541"/>
      <c r="D197" s="500">
        <v>3917</v>
      </c>
      <c r="E197" s="449">
        <v>9231</v>
      </c>
      <c r="F197" s="449">
        <v>-5314</v>
      </c>
      <c r="G197" s="421">
        <v>-0.57566894160979309</v>
      </c>
      <c r="H197" s="449">
        <v>3917</v>
      </c>
      <c r="I197" s="449">
        <v>0</v>
      </c>
      <c r="J197" s="426">
        <v>0</v>
      </c>
      <c r="K197" s="421"/>
      <c r="L197" s="449">
        <v>0</v>
      </c>
      <c r="M197" s="449">
        <v>0</v>
      </c>
      <c r="N197" s="449">
        <v>0</v>
      </c>
      <c r="O197" s="449">
        <v>0</v>
      </c>
      <c r="P197" s="449">
        <v>0</v>
      </c>
      <c r="Q197" s="449">
        <v>0</v>
      </c>
      <c r="R197" s="449">
        <v>652.83333333333337</v>
      </c>
      <c r="S197" s="449">
        <v>652.83333333333326</v>
      </c>
      <c r="T197" s="449">
        <v>652.83333333333337</v>
      </c>
      <c r="U197" s="449">
        <v>652.83333333333337</v>
      </c>
      <c r="V197" s="449">
        <v>652.83333333333326</v>
      </c>
      <c r="W197" s="449">
        <v>652.83333333333303</v>
      </c>
      <c r="X197" s="449"/>
      <c r="Y197" s="449">
        <v>3917</v>
      </c>
      <c r="Z197" s="531"/>
      <c r="AA197" s="449">
        <v>326.41666666666669</v>
      </c>
      <c r="AB197" s="449">
        <v>326.41666666666669</v>
      </c>
      <c r="AC197" s="449">
        <v>326.41666666666669</v>
      </c>
      <c r="AD197" s="449">
        <v>326.41666666666669</v>
      </c>
      <c r="AE197" s="449">
        <v>326.41666666666669</v>
      </c>
      <c r="AF197" s="449">
        <v>326.41666666666669</v>
      </c>
      <c r="AG197" s="449">
        <v>326.41666666666669</v>
      </c>
      <c r="AH197" s="449">
        <v>326.41666666666669</v>
      </c>
      <c r="AI197" s="449">
        <v>326.41666666666669</v>
      </c>
      <c r="AJ197" s="449">
        <v>326.41666666666669</v>
      </c>
      <c r="AK197" s="449">
        <v>326.41666666666669</v>
      </c>
      <c r="AL197" s="449">
        <v>326.41666666666669</v>
      </c>
      <c r="AM197" s="400"/>
      <c r="AN197" s="500">
        <v>3917</v>
      </c>
      <c r="AO197" s="449">
        <v>4218.0900000000011</v>
      </c>
      <c r="AP197" s="449">
        <v>301.09000000000106</v>
      </c>
      <c r="AQ197" s="453">
        <v>7.6867500638243824E-2</v>
      </c>
      <c r="AR197" s="449">
        <v>4218.0900000000011</v>
      </c>
      <c r="AS197" s="449">
        <v>0</v>
      </c>
      <c r="AT197" s="426">
        <v>0</v>
      </c>
      <c r="AU197" s="421"/>
      <c r="AV197" s="449">
        <v>0</v>
      </c>
      <c r="AW197" s="449">
        <v>351.50749999999999</v>
      </c>
      <c r="AX197" s="449">
        <v>351.50749999999999</v>
      </c>
      <c r="AY197" s="449">
        <v>351.50749999999999</v>
      </c>
      <c r="AZ197" s="449">
        <v>351.50749999999999</v>
      </c>
      <c r="BA197" s="449">
        <v>351.50749999999999</v>
      </c>
      <c r="BB197" s="449">
        <v>351.50749999999999</v>
      </c>
      <c r="BC197" s="449">
        <v>351.50749999999999</v>
      </c>
      <c r="BD197" s="449">
        <v>351.50749999999999</v>
      </c>
      <c r="BE197" s="449">
        <v>351.50749999999999</v>
      </c>
      <c r="BF197" s="449">
        <v>351.50749999999999</v>
      </c>
      <c r="BG197" s="449">
        <v>703.01499999999999</v>
      </c>
      <c r="BH197" s="400"/>
      <c r="BI197" s="449">
        <v>0</v>
      </c>
      <c r="BJ197" s="449">
        <v>351.50749999999999</v>
      </c>
      <c r="BK197" s="449">
        <v>351.50749999999999</v>
      </c>
      <c r="BL197" s="771">
        <v>351.50749999999999</v>
      </c>
      <c r="BM197" s="449">
        <v>351.50749999999999</v>
      </c>
      <c r="BN197" s="449">
        <v>351.50749999999999</v>
      </c>
      <c r="BO197" s="449">
        <v>351.50749999999999</v>
      </c>
      <c r="BP197" s="449">
        <v>351.50749999999999</v>
      </c>
      <c r="BQ197" s="449">
        <v>351.50749999999999</v>
      </c>
      <c r="BR197" s="449">
        <v>351.50749999999999</v>
      </c>
      <c r="BS197" s="449">
        <v>351.50749999999999</v>
      </c>
      <c r="BT197" s="449">
        <v>703.01499999999999</v>
      </c>
    </row>
    <row r="198" spans="1:72" x14ac:dyDescent="0.25">
      <c r="A198" s="502" t="s">
        <v>323</v>
      </c>
      <c r="B198" s="502" t="s">
        <v>324</v>
      </c>
      <c r="C198" s="541"/>
      <c r="D198" s="500">
        <v>5038</v>
      </c>
      <c r="E198" s="449">
        <v>5038</v>
      </c>
      <c r="F198" s="449">
        <v>0</v>
      </c>
      <c r="G198" s="421">
        <v>0</v>
      </c>
      <c r="H198" s="449">
        <v>5038</v>
      </c>
      <c r="I198" s="449">
        <v>0</v>
      </c>
      <c r="J198" s="426">
        <v>0</v>
      </c>
      <c r="K198" s="421"/>
      <c r="L198" s="449">
        <v>5.0999999999999996</v>
      </c>
      <c r="M198" s="449">
        <v>40.549999999999997</v>
      </c>
      <c r="N198" s="449">
        <v>66.390000000000015</v>
      </c>
      <c r="O198" s="449">
        <v>1881.21</v>
      </c>
      <c r="P198" s="449">
        <v>720.11000000000013</v>
      </c>
      <c r="Q198" s="449">
        <v>655.75</v>
      </c>
      <c r="R198" s="449">
        <v>278.14833333333331</v>
      </c>
      <c r="S198" s="449">
        <v>278.14833333333337</v>
      </c>
      <c r="T198" s="449">
        <v>278.14833333333331</v>
      </c>
      <c r="U198" s="449">
        <v>278.14833333333326</v>
      </c>
      <c r="V198" s="449">
        <v>278.14833333333308</v>
      </c>
      <c r="W198" s="449">
        <v>278.14833333333263</v>
      </c>
      <c r="X198" s="449"/>
      <c r="Y198" s="449">
        <v>5038</v>
      </c>
      <c r="Z198" s="531"/>
      <c r="AA198" s="449">
        <v>419.83333333333331</v>
      </c>
      <c r="AB198" s="449">
        <v>419.83333333333331</v>
      </c>
      <c r="AC198" s="449">
        <v>419.83333333333331</v>
      </c>
      <c r="AD198" s="449">
        <v>419.83333333333331</v>
      </c>
      <c r="AE198" s="449">
        <v>419.83333333333331</v>
      </c>
      <c r="AF198" s="449">
        <v>419.83333333333331</v>
      </c>
      <c r="AG198" s="449">
        <v>419.83333333333331</v>
      </c>
      <c r="AH198" s="449">
        <v>419.83333333333331</v>
      </c>
      <c r="AI198" s="449">
        <v>419.83333333333331</v>
      </c>
      <c r="AJ198" s="449">
        <v>419.83333333333331</v>
      </c>
      <c r="AK198" s="449">
        <v>419.83333333333331</v>
      </c>
      <c r="AL198" s="449">
        <v>419.83333333333331</v>
      </c>
      <c r="AM198" s="400"/>
      <c r="AN198" s="500">
        <v>5038</v>
      </c>
      <c r="AO198" s="449">
        <v>6129.942</v>
      </c>
      <c r="AP198" s="449">
        <v>1091.942</v>
      </c>
      <c r="AQ198" s="453">
        <v>0.21674116712981342</v>
      </c>
      <c r="AR198" s="449">
        <v>6129.942</v>
      </c>
      <c r="AS198" s="449">
        <v>0</v>
      </c>
      <c r="AT198" s="426">
        <v>0</v>
      </c>
      <c r="AU198" s="421"/>
      <c r="AV198" s="449">
        <v>0</v>
      </c>
      <c r="AW198" s="449">
        <v>510.82850000000008</v>
      </c>
      <c r="AX198" s="449">
        <v>510.82850000000008</v>
      </c>
      <c r="AY198" s="449">
        <v>510.82850000000008</v>
      </c>
      <c r="AZ198" s="449">
        <v>510.82850000000008</v>
      </c>
      <c r="BA198" s="449">
        <v>510.82850000000008</v>
      </c>
      <c r="BB198" s="449">
        <v>510.82850000000008</v>
      </c>
      <c r="BC198" s="449">
        <v>510.82850000000008</v>
      </c>
      <c r="BD198" s="449">
        <v>510.82850000000008</v>
      </c>
      <c r="BE198" s="449">
        <v>510.82850000000008</v>
      </c>
      <c r="BF198" s="449">
        <v>510.82850000000008</v>
      </c>
      <c r="BG198" s="449">
        <v>1021.6570000000002</v>
      </c>
      <c r="BH198" s="400"/>
      <c r="BI198" s="449">
        <v>0</v>
      </c>
      <c r="BJ198" s="449">
        <v>510.82850000000008</v>
      </c>
      <c r="BK198" s="449">
        <v>510.82850000000008</v>
      </c>
      <c r="BL198" s="771">
        <v>510.82850000000008</v>
      </c>
      <c r="BM198" s="449">
        <v>510.82850000000008</v>
      </c>
      <c r="BN198" s="449">
        <v>510.82850000000008</v>
      </c>
      <c r="BO198" s="449">
        <v>510.82850000000008</v>
      </c>
      <c r="BP198" s="449">
        <v>510.82850000000008</v>
      </c>
      <c r="BQ198" s="449">
        <v>510.82850000000008</v>
      </c>
      <c r="BR198" s="449">
        <v>510.82850000000008</v>
      </c>
      <c r="BS198" s="449">
        <v>510.82850000000008</v>
      </c>
      <c r="BT198" s="449">
        <v>1021.6570000000002</v>
      </c>
    </row>
    <row r="199" spans="1:72" x14ac:dyDescent="0.25">
      <c r="A199" s="502" t="s">
        <v>325</v>
      </c>
      <c r="B199" s="502" t="s">
        <v>326</v>
      </c>
      <c r="C199" s="541"/>
      <c r="D199" s="500">
        <v>369</v>
      </c>
      <c r="E199" s="449">
        <v>5406</v>
      </c>
      <c r="F199" s="449">
        <v>-5037</v>
      </c>
      <c r="G199" s="421">
        <v>-0.93174250832408434</v>
      </c>
      <c r="H199" s="449">
        <v>369</v>
      </c>
      <c r="I199" s="449">
        <v>0</v>
      </c>
      <c r="J199" s="426">
        <v>0</v>
      </c>
      <c r="K199" s="421"/>
      <c r="L199" s="449">
        <v>0</v>
      </c>
      <c r="M199" s="449">
        <v>0</v>
      </c>
      <c r="N199" s="449">
        <v>0</v>
      </c>
      <c r="O199" s="449">
        <v>0</v>
      </c>
      <c r="P199" s="449">
        <v>0</v>
      </c>
      <c r="Q199" s="449">
        <v>0</v>
      </c>
      <c r="R199" s="449">
        <v>61.5</v>
      </c>
      <c r="S199" s="449">
        <v>61.5</v>
      </c>
      <c r="T199" s="449">
        <v>61.5</v>
      </c>
      <c r="U199" s="449">
        <v>61.5</v>
      </c>
      <c r="V199" s="449">
        <v>61.5</v>
      </c>
      <c r="W199" s="449">
        <v>61.5</v>
      </c>
      <c r="X199" s="449"/>
      <c r="Y199" s="449">
        <v>369</v>
      </c>
      <c r="Z199" s="531"/>
      <c r="AA199" s="449">
        <v>30.75</v>
      </c>
      <c r="AB199" s="449">
        <v>30.75</v>
      </c>
      <c r="AC199" s="449">
        <v>30.75</v>
      </c>
      <c r="AD199" s="449">
        <v>30.75</v>
      </c>
      <c r="AE199" s="449">
        <v>30.75</v>
      </c>
      <c r="AF199" s="449">
        <v>30.75</v>
      </c>
      <c r="AG199" s="449">
        <v>30.75</v>
      </c>
      <c r="AH199" s="449">
        <v>30.75</v>
      </c>
      <c r="AI199" s="449">
        <v>30.75</v>
      </c>
      <c r="AJ199" s="449">
        <v>30.75</v>
      </c>
      <c r="AK199" s="449">
        <v>30.75</v>
      </c>
      <c r="AL199" s="449">
        <v>30.75</v>
      </c>
      <c r="AM199" s="400"/>
      <c r="AN199" s="500">
        <v>369</v>
      </c>
      <c r="AO199" s="449">
        <v>5180.5868800000007</v>
      </c>
      <c r="AP199" s="449">
        <v>4811.5868800000007</v>
      </c>
      <c r="AQ199" s="453">
        <v>13.039530840108403</v>
      </c>
      <c r="AR199" s="449">
        <v>5180.5868800000007</v>
      </c>
      <c r="AS199" s="449">
        <v>0</v>
      </c>
      <c r="AT199" s="426">
        <v>0</v>
      </c>
      <c r="AU199" s="421"/>
      <c r="AV199" s="449">
        <v>0</v>
      </c>
      <c r="AW199" s="449">
        <v>431.7155733333334</v>
      </c>
      <c r="AX199" s="449">
        <v>431.7155733333334</v>
      </c>
      <c r="AY199" s="449">
        <v>431.7155733333334</v>
      </c>
      <c r="AZ199" s="449">
        <v>431.7155733333334</v>
      </c>
      <c r="BA199" s="449">
        <v>431.7155733333334</v>
      </c>
      <c r="BB199" s="449">
        <v>431.7155733333334</v>
      </c>
      <c r="BC199" s="449">
        <v>431.7155733333334</v>
      </c>
      <c r="BD199" s="449">
        <v>431.7155733333334</v>
      </c>
      <c r="BE199" s="449">
        <v>431.7155733333334</v>
      </c>
      <c r="BF199" s="449">
        <v>431.7155733333334</v>
      </c>
      <c r="BG199" s="449">
        <v>863.43114666666679</v>
      </c>
      <c r="BH199" s="400"/>
      <c r="BI199" s="449">
        <v>0</v>
      </c>
      <c r="BJ199" s="449">
        <v>431.7155733333334</v>
      </c>
      <c r="BK199" s="449">
        <v>431.7155733333334</v>
      </c>
      <c r="BL199" s="771">
        <v>431.7155733333334</v>
      </c>
      <c r="BM199" s="449">
        <v>431.7155733333334</v>
      </c>
      <c r="BN199" s="449">
        <v>431.7155733333334</v>
      </c>
      <c r="BO199" s="449">
        <v>431.7155733333334</v>
      </c>
      <c r="BP199" s="449">
        <v>431.7155733333334</v>
      </c>
      <c r="BQ199" s="449">
        <v>431.7155733333334</v>
      </c>
      <c r="BR199" s="449">
        <v>431.7155733333334</v>
      </c>
      <c r="BS199" s="449">
        <v>431.7155733333334</v>
      </c>
      <c r="BT199" s="449">
        <v>863.43114666666679</v>
      </c>
    </row>
    <row r="200" spans="1:72" x14ac:dyDescent="0.25">
      <c r="A200" s="502" t="s">
        <v>327</v>
      </c>
      <c r="B200" s="502" t="s">
        <v>328</v>
      </c>
      <c r="C200" s="541"/>
      <c r="D200" s="500">
        <v>1560</v>
      </c>
      <c r="E200" s="449">
        <v>1318</v>
      </c>
      <c r="F200" s="449">
        <v>242</v>
      </c>
      <c r="G200" s="421">
        <v>0.18361153262518967</v>
      </c>
      <c r="H200" s="449">
        <v>1560</v>
      </c>
      <c r="I200" s="449">
        <v>0</v>
      </c>
      <c r="J200" s="426">
        <v>0</v>
      </c>
      <c r="K200" s="421"/>
      <c r="L200" s="449">
        <v>-72.45</v>
      </c>
      <c r="M200" s="449">
        <v>235.7</v>
      </c>
      <c r="N200" s="449">
        <v>232.49</v>
      </c>
      <c r="O200" s="449">
        <v>341.41999999999996</v>
      </c>
      <c r="P200" s="449">
        <v>221.42000000000007</v>
      </c>
      <c r="Q200" s="449">
        <v>276.76999999999987</v>
      </c>
      <c r="R200" s="449">
        <v>54.108333333333348</v>
      </c>
      <c r="S200" s="449">
        <v>54.108333333333348</v>
      </c>
      <c r="T200" s="449">
        <v>54.108333333333348</v>
      </c>
      <c r="U200" s="449">
        <v>54.108333333333348</v>
      </c>
      <c r="V200" s="449">
        <v>54.108333333333348</v>
      </c>
      <c r="W200" s="449">
        <v>54.108333333333348</v>
      </c>
      <c r="X200" s="449"/>
      <c r="Y200" s="449">
        <v>1560</v>
      </c>
      <c r="Z200" s="531"/>
      <c r="AA200" s="449">
        <v>130</v>
      </c>
      <c r="AB200" s="449">
        <v>130</v>
      </c>
      <c r="AC200" s="449">
        <v>130</v>
      </c>
      <c r="AD200" s="449">
        <v>130</v>
      </c>
      <c r="AE200" s="449">
        <v>130</v>
      </c>
      <c r="AF200" s="449">
        <v>130</v>
      </c>
      <c r="AG200" s="449">
        <v>130</v>
      </c>
      <c r="AH200" s="449">
        <v>130</v>
      </c>
      <c r="AI200" s="449">
        <v>130</v>
      </c>
      <c r="AJ200" s="449">
        <v>130</v>
      </c>
      <c r="AK200" s="449">
        <v>130</v>
      </c>
      <c r="AL200" s="449">
        <v>130</v>
      </c>
      <c r="AM200" s="400"/>
      <c r="AN200" s="500">
        <v>1560</v>
      </c>
      <c r="AO200" s="449">
        <v>1606.8000000000002</v>
      </c>
      <c r="AP200" s="449">
        <v>46.800000000000182</v>
      </c>
      <c r="AQ200" s="453">
        <v>3.0000000000000117E-2</v>
      </c>
      <c r="AR200" s="449">
        <v>1606.8000000000002</v>
      </c>
      <c r="AS200" s="449">
        <v>0</v>
      </c>
      <c r="AT200" s="426">
        <v>0</v>
      </c>
      <c r="AU200" s="421"/>
      <c r="AV200" s="449">
        <v>0</v>
      </c>
      <c r="AW200" s="449">
        <v>133.9</v>
      </c>
      <c r="AX200" s="449">
        <v>133.9</v>
      </c>
      <c r="AY200" s="449">
        <v>133.9</v>
      </c>
      <c r="AZ200" s="449">
        <v>133.9</v>
      </c>
      <c r="BA200" s="449">
        <v>133.9</v>
      </c>
      <c r="BB200" s="449">
        <v>133.9</v>
      </c>
      <c r="BC200" s="449">
        <v>133.9</v>
      </c>
      <c r="BD200" s="449">
        <v>133.9</v>
      </c>
      <c r="BE200" s="449">
        <v>133.9</v>
      </c>
      <c r="BF200" s="449">
        <v>133.9</v>
      </c>
      <c r="BG200" s="449">
        <v>267.8</v>
      </c>
      <c r="BH200" s="400"/>
      <c r="BI200" s="449">
        <v>0</v>
      </c>
      <c r="BJ200" s="449">
        <v>133.9</v>
      </c>
      <c r="BK200" s="449">
        <v>133.9</v>
      </c>
      <c r="BL200" s="771">
        <v>133.9</v>
      </c>
      <c r="BM200" s="449">
        <v>133.9</v>
      </c>
      <c r="BN200" s="449">
        <v>133.9</v>
      </c>
      <c r="BO200" s="449">
        <v>133.9</v>
      </c>
      <c r="BP200" s="449">
        <v>133.9</v>
      </c>
      <c r="BQ200" s="449">
        <v>133.9</v>
      </c>
      <c r="BR200" s="449">
        <v>133.9</v>
      </c>
      <c r="BS200" s="449">
        <v>133.9</v>
      </c>
      <c r="BT200" s="449">
        <v>267.8</v>
      </c>
    </row>
    <row r="201" spans="1:72" x14ac:dyDescent="0.25">
      <c r="A201" s="502" t="s">
        <v>329</v>
      </c>
      <c r="B201" s="502" t="s">
        <v>330</v>
      </c>
      <c r="C201" s="541"/>
      <c r="D201" s="500">
        <v>1318</v>
      </c>
      <c r="E201" s="449">
        <v>2637</v>
      </c>
      <c r="F201" s="449">
        <v>-1319</v>
      </c>
      <c r="G201" s="421">
        <v>-0.50018960940462642</v>
      </c>
      <c r="H201" s="449">
        <v>1318</v>
      </c>
      <c r="I201" s="449">
        <v>0</v>
      </c>
      <c r="J201" s="426">
        <v>0</v>
      </c>
      <c r="K201" s="421"/>
      <c r="L201" s="449">
        <v>0</v>
      </c>
      <c r="M201" s="449">
        <v>0</v>
      </c>
      <c r="N201" s="449">
        <v>0</v>
      </c>
      <c r="O201" s="449">
        <v>0</v>
      </c>
      <c r="P201" s="449">
        <v>0</v>
      </c>
      <c r="Q201" s="449">
        <v>0</v>
      </c>
      <c r="R201" s="449">
        <v>219.66666666666666</v>
      </c>
      <c r="S201" s="449">
        <v>219.66666666666666</v>
      </c>
      <c r="T201" s="449">
        <v>219.66666666666669</v>
      </c>
      <c r="U201" s="449">
        <v>219.66666666666666</v>
      </c>
      <c r="V201" s="449">
        <v>219.66666666666669</v>
      </c>
      <c r="W201" s="449">
        <v>219.66666666666674</v>
      </c>
      <c r="X201" s="449"/>
      <c r="Y201" s="449">
        <v>1318</v>
      </c>
      <c r="Z201" s="531"/>
      <c r="AA201" s="449">
        <v>109.83333333333333</v>
      </c>
      <c r="AB201" s="449">
        <v>109.83333333333333</v>
      </c>
      <c r="AC201" s="449">
        <v>109.83333333333333</v>
      </c>
      <c r="AD201" s="449">
        <v>109.83333333333333</v>
      </c>
      <c r="AE201" s="449">
        <v>109.83333333333333</v>
      </c>
      <c r="AF201" s="449">
        <v>109.83333333333333</v>
      </c>
      <c r="AG201" s="449">
        <v>109.83333333333333</v>
      </c>
      <c r="AH201" s="449">
        <v>109.83333333333333</v>
      </c>
      <c r="AI201" s="449">
        <v>109.83333333333333</v>
      </c>
      <c r="AJ201" s="449">
        <v>109.83333333333333</v>
      </c>
      <c r="AK201" s="449">
        <v>109.83333333333333</v>
      </c>
      <c r="AL201" s="449">
        <v>109.83333333333333</v>
      </c>
      <c r="AM201" s="400"/>
      <c r="AN201" s="500">
        <v>1318</v>
      </c>
      <c r="AO201" s="449">
        <v>1357.95</v>
      </c>
      <c r="AP201" s="449">
        <v>39.950000000000045</v>
      </c>
      <c r="AQ201" s="453">
        <v>3.0311077389984859E-2</v>
      </c>
      <c r="AR201" s="449">
        <v>1357.95</v>
      </c>
      <c r="AS201" s="449">
        <v>0</v>
      </c>
      <c r="AT201" s="426">
        <v>0</v>
      </c>
      <c r="AU201" s="421"/>
      <c r="AV201" s="449">
        <v>0</v>
      </c>
      <c r="AW201" s="449">
        <v>113.16250000000001</v>
      </c>
      <c r="AX201" s="449">
        <v>113.16250000000001</v>
      </c>
      <c r="AY201" s="449">
        <v>113.16250000000001</v>
      </c>
      <c r="AZ201" s="449">
        <v>113.16250000000001</v>
      </c>
      <c r="BA201" s="449">
        <v>113.16250000000001</v>
      </c>
      <c r="BB201" s="449">
        <v>113.16250000000001</v>
      </c>
      <c r="BC201" s="449">
        <v>113.16250000000001</v>
      </c>
      <c r="BD201" s="449">
        <v>113.16250000000001</v>
      </c>
      <c r="BE201" s="449">
        <v>113.16250000000001</v>
      </c>
      <c r="BF201" s="449">
        <v>113.16250000000001</v>
      </c>
      <c r="BG201" s="449">
        <v>226.32500000000002</v>
      </c>
      <c r="BH201" s="400"/>
      <c r="BI201" s="449">
        <v>0</v>
      </c>
      <c r="BJ201" s="449">
        <v>113.16250000000001</v>
      </c>
      <c r="BK201" s="449">
        <v>113.16250000000001</v>
      </c>
      <c r="BL201" s="771">
        <v>113.16250000000001</v>
      </c>
      <c r="BM201" s="449">
        <v>113.16250000000001</v>
      </c>
      <c r="BN201" s="449">
        <v>113.16250000000001</v>
      </c>
      <c r="BO201" s="449">
        <v>113.16250000000001</v>
      </c>
      <c r="BP201" s="449">
        <v>113.16250000000001</v>
      </c>
      <c r="BQ201" s="449">
        <v>113.16250000000001</v>
      </c>
      <c r="BR201" s="449">
        <v>113.16250000000001</v>
      </c>
      <c r="BS201" s="449">
        <v>113.16250000000001</v>
      </c>
      <c r="BT201" s="449">
        <v>226.32500000000002</v>
      </c>
    </row>
    <row r="202" spans="1:72" hidden="1" x14ac:dyDescent="0.25">
      <c r="A202" s="614" t="s">
        <v>331</v>
      </c>
      <c r="B202" s="616" t="s">
        <v>332</v>
      </c>
      <c r="C202" s="538"/>
      <c r="D202" s="500">
        <v>32078</v>
      </c>
      <c r="E202" s="449">
        <v>61651</v>
      </c>
      <c r="F202" s="449">
        <v>-29573</v>
      </c>
      <c r="G202" s="421">
        <v>-0.47968402783409841</v>
      </c>
      <c r="H202" s="449">
        <v>32078</v>
      </c>
      <c r="I202" s="449">
        <v>0</v>
      </c>
      <c r="J202" s="426">
        <v>0</v>
      </c>
      <c r="K202" s="421"/>
      <c r="L202" s="449">
        <v>0</v>
      </c>
      <c r="M202" s="449">
        <v>3170.42</v>
      </c>
      <c r="N202" s="449">
        <v>3909.7299999999996</v>
      </c>
      <c r="O202" s="449">
        <v>3628.1400000000012</v>
      </c>
      <c r="P202" s="449">
        <v>3436.7099999999991</v>
      </c>
      <c r="Q202" s="449">
        <v>1715</v>
      </c>
      <c r="R202" s="449">
        <v>2703</v>
      </c>
      <c r="S202" s="449">
        <v>2703</v>
      </c>
      <c r="T202" s="449">
        <v>2703</v>
      </c>
      <c r="U202" s="449">
        <v>2703</v>
      </c>
      <c r="V202" s="449">
        <v>2703</v>
      </c>
      <c r="W202" s="449">
        <v>2703</v>
      </c>
      <c r="X202" s="449"/>
      <c r="Y202" s="449">
        <v>32078</v>
      </c>
      <c r="Z202" s="531"/>
      <c r="AA202" s="449">
        <v>2673.1666666666665</v>
      </c>
      <c r="AB202" s="449">
        <v>2673.1666666666665</v>
      </c>
      <c r="AC202" s="449">
        <v>2673.1666666666665</v>
      </c>
      <c r="AD202" s="449">
        <v>2673.1666666666665</v>
      </c>
      <c r="AE202" s="449">
        <v>2673.1666666666665</v>
      </c>
      <c r="AF202" s="449">
        <v>2673.1666666666665</v>
      </c>
      <c r="AG202" s="449">
        <v>2673.1666666666665</v>
      </c>
      <c r="AH202" s="449">
        <v>2673.1666666666665</v>
      </c>
      <c r="AI202" s="449">
        <v>2673.1666666666665</v>
      </c>
      <c r="AJ202" s="449">
        <v>2673.1666666666665</v>
      </c>
      <c r="AK202" s="449">
        <v>2673.1666666666665</v>
      </c>
      <c r="AL202" s="449">
        <v>2673.1666666666665</v>
      </c>
      <c r="AM202" s="400"/>
      <c r="AN202" s="500">
        <v>32078</v>
      </c>
      <c r="AO202" s="449">
        <v>0</v>
      </c>
      <c r="AP202" s="449">
        <v>-32078</v>
      </c>
      <c r="AQ202" s="453">
        <v>-1</v>
      </c>
      <c r="AR202" s="449">
        <v>0</v>
      </c>
      <c r="AS202" s="449">
        <v>0</v>
      </c>
      <c r="AT202" s="426">
        <v>0</v>
      </c>
      <c r="AU202" s="421"/>
      <c r="AV202" s="449">
        <v>0</v>
      </c>
      <c r="AW202" s="449">
        <v>0</v>
      </c>
      <c r="AX202" s="449">
        <v>0</v>
      </c>
      <c r="AY202" s="449">
        <v>0</v>
      </c>
      <c r="AZ202" s="449">
        <v>0</v>
      </c>
      <c r="BA202" s="449">
        <v>0</v>
      </c>
      <c r="BB202" s="449">
        <v>0</v>
      </c>
      <c r="BC202" s="449">
        <v>0</v>
      </c>
      <c r="BD202" s="449">
        <v>0</v>
      </c>
      <c r="BE202" s="449">
        <v>0</v>
      </c>
      <c r="BF202" s="449">
        <v>0</v>
      </c>
      <c r="BG202" s="449">
        <v>0</v>
      </c>
      <c r="BH202" s="400"/>
      <c r="BI202" s="449">
        <v>0</v>
      </c>
      <c r="BJ202" s="449">
        <v>0</v>
      </c>
      <c r="BK202" s="449">
        <v>0</v>
      </c>
      <c r="BL202" s="771">
        <v>0</v>
      </c>
      <c r="BM202" s="449">
        <v>0</v>
      </c>
      <c r="BN202" s="449">
        <v>0</v>
      </c>
      <c r="BO202" s="449">
        <v>0</v>
      </c>
      <c r="BP202" s="449">
        <v>0</v>
      </c>
      <c r="BQ202" s="449">
        <v>0</v>
      </c>
      <c r="BR202" s="449">
        <v>0</v>
      </c>
      <c r="BS202" s="449">
        <v>0</v>
      </c>
      <c r="BT202" s="449">
        <v>0</v>
      </c>
    </row>
    <row r="203" spans="1:72" hidden="1" x14ac:dyDescent="0.25">
      <c r="A203" s="614" t="s">
        <v>333</v>
      </c>
      <c r="B203" s="616" t="s">
        <v>334</v>
      </c>
      <c r="C203" s="538"/>
      <c r="D203" s="500">
        <v>0</v>
      </c>
      <c r="E203" s="449">
        <v>8153</v>
      </c>
      <c r="F203" s="449">
        <v>-8153</v>
      </c>
      <c r="G203" s="421">
        <v>-1</v>
      </c>
      <c r="H203" s="449">
        <v>0</v>
      </c>
      <c r="I203" s="449">
        <v>0</v>
      </c>
      <c r="J203" s="426">
        <v>0</v>
      </c>
      <c r="K203" s="421"/>
      <c r="L203" s="449">
        <v>0</v>
      </c>
      <c r="M203" s="449">
        <v>0</v>
      </c>
      <c r="N203" s="449">
        <v>0</v>
      </c>
      <c r="O203" s="449">
        <v>0</v>
      </c>
      <c r="P203" s="449">
        <v>0</v>
      </c>
      <c r="Q203" s="449">
        <v>0</v>
      </c>
      <c r="R203" s="449">
        <v>0</v>
      </c>
      <c r="S203" s="449">
        <v>0</v>
      </c>
      <c r="T203" s="449">
        <v>0</v>
      </c>
      <c r="U203" s="449">
        <v>0</v>
      </c>
      <c r="V203" s="449">
        <v>0</v>
      </c>
      <c r="W203" s="449">
        <v>0</v>
      </c>
      <c r="X203" s="449"/>
      <c r="Y203" s="449">
        <v>0</v>
      </c>
      <c r="Z203" s="531"/>
      <c r="AA203" s="449">
        <v>0</v>
      </c>
      <c r="AB203" s="449">
        <v>0</v>
      </c>
      <c r="AC203" s="449">
        <v>0</v>
      </c>
      <c r="AD203" s="449">
        <v>0</v>
      </c>
      <c r="AE203" s="449">
        <v>0</v>
      </c>
      <c r="AF203" s="449">
        <v>0</v>
      </c>
      <c r="AG203" s="449">
        <v>0</v>
      </c>
      <c r="AH203" s="449">
        <v>0</v>
      </c>
      <c r="AI203" s="449">
        <v>0</v>
      </c>
      <c r="AJ203" s="449">
        <v>0</v>
      </c>
      <c r="AK203" s="449">
        <v>0</v>
      </c>
      <c r="AL203" s="449">
        <v>0</v>
      </c>
      <c r="AM203" s="400"/>
      <c r="AN203" s="500">
        <v>0</v>
      </c>
      <c r="AO203" s="449">
        <v>0</v>
      </c>
      <c r="AP203" s="449">
        <v>0</v>
      </c>
      <c r="AQ203" s="453" t="s">
        <v>1519</v>
      </c>
      <c r="AR203" s="449">
        <v>0</v>
      </c>
      <c r="AS203" s="449">
        <v>0</v>
      </c>
      <c r="AT203" s="426">
        <v>0</v>
      </c>
      <c r="AU203" s="421"/>
      <c r="AV203" s="449">
        <v>0</v>
      </c>
      <c r="AW203" s="449">
        <v>0</v>
      </c>
      <c r="AX203" s="449">
        <v>0</v>
      </c>
      <c r="AY203" s="449">
        <v>0</v>
      </c>
      <c r="AZ203" s="449">
        <v>0</v>
      </c>
      <c r="BA203" s="449">
        <v>0</v>
      </c>
      <c r="BB203" s="449">
        <v>0</v>
      </c>
      <c r="BC203" s="449">
        <v>0</v>
      </c>
      <c r="BD203" s="449">
        <v>0</v>
      </c>
      <c r="BE203" s="449">
        <v>0</v>
      </c>
      <c r="BF203" s="449">
        <v>0</v>
      </c>
      <c r="BG203" s="449">
        <v>0</v>
      </c>
      <c r="BH203" s="400"/>
      <c r="BI203" s="449">
        <v>0</v>
      </c>
      <c r="BJ203" s="449">
        <v>0</v>
      </c>
      <c r="BK203" s="449">
        <v>0</v>
      </c>
      <c r="BL203" s="771">
        <v>0</v>
      </c>
      <c r="BM203" s="449">
        <v>0</v>
      </c>
      <c r="BN203" s="449">
        <v>0</v>
      </c>
      <c r="BO203" s="449">
        <v>0</v>
      </c>
      <c r="BP203" s="449">
        <v>0</v>
      </c>
      <c r="BQ203" s="449">
        <v>0</v>
      </c>
      <c r="BR203" s="449">
        <v>0</v>
      </c>
      <c r="BS203" s="449">
        <v>0</v>
      </c>
      <c r="BT203" s="449">
        <v>0</v>
      </c>
    </row>
    <row r="204" spans="1:72" hidden="1" x14ac:dyDescent="0.25">
      <c r="A204" s="614" t="s">
        <v>335</v>
      </c>
      <c r="B204" s="614" t="s">
        <v>336</v>
      </c>
      <c r="C204" s="541"/>
      <c r="D204" s="500">
        <v>3226</v>
      </c>
      <c r="E204" s="449">
        <v>12965</v>
      </c>
      <c r="F204" s="449">
        <v>-9739</v>
      </c>
      <c r="G204" s="421">
        <v>-0.75117624373312764</v>
      </c>
      <c r="H204" s="449">
        <v>3226</v>
      </c>
      <c r="I204" s="449">
        <v>0</v>
      </c>
      <c r="J204" s="426">
        <v>0</v>
      </c>
      <c r="K204" s="421"/>
      <c r="L204" s="449">
        <v>0</v>
      </c>
      <c r="M204" s="449">
        <v>581.76</v>
      </c>
      <c r="N204" s="449">
        <v>452.28</v>
      </c>
      <c r="O204" s="449">
        <v>487.98</v>
      </c>
      <c r="P204" s="449">
        <v>454.32000000000016</v>
      </c>
      <c r="Q204" s="449">
        <v>220.34999999999991</v>
      </c>
      <c r="R204" s="449">
        <v>171.55166666666665</v>
      </c>
      <c r="S204" s="449">
        <v>171.55166666666665</v>
      </c>
      <c r="T204" s="449">
        <v>171.55166666666662</v>
      </c>
      <c r="U204" s="449">
        <v>171.55166666666659</v>
      </c>
      <c r="V204" s="449">
        <v>171.55166666666651</v>
      </c>
      <c r="W204" s="449">
        <v>171.55166666666628</v>
      </c>
      <c r="X204" s="449"/>
      <c r="Y204" s="449">
        <v>3226</v>
      </c>
      <c r="Z204" s="531"/>
      <c r="AA204" s="449">
        <v>268.83333333333331</v>
      </c>
      <c r="AB204" s="449">
        <v>268.83333333333331</v>
      </c>
      <c r="AC204" s="449">
        <v>268.83333333333331</v>
      </c>
      <c r="AD204" s="449">
        <v>268.83333333333331</v>
      </c>
      <c r="AE204" s="449">
        <v>268.83333333333331</v>
      </c>
      <c r="AF204" s="449">
        <v>268.83333333333331</v>
      </c>
      <c r="AG204" s="449">
        <v>268.83333333333331</v>
      </c>
      <c r="AH204" s="449">
        <v>268.83333333333331</v>
      </c>
      <c r="AI204" s="449">
        <v>268.83333333333331</v>
      </c>
      <c r="AJ204" s="449">
        <v>268.83333333333331</v>
      </c>
      <c r="AK204" s="449">
        <v>268.83333333333331</v>
      </c>
      <c r="AL204" s="449">
        <v>268.83333333333331</v>
      </c>
      <c r="AM204" s="400"/>
      <c r="AN204" s="500">
        <v>3226</v>
      </c>
      <c r="AO204" s="449">
        <v>0</v>
      </c>
      <c r="AP204" s="449">
        <v>-3226</v>
      </c>
      <c r="AQ204" s="453">
        <v>-1</v>
      </c>
      <c r="AR204" s="449">
        <v>0</v>
      </c>
      <c r="AS204" s="449">
        <v>0</v>
      </c>
      <c r="AT204" s="426">
        <v>0</v>
      </c>
      <c r="AU204" s="421"/>
      <c r="AV204" s="449">
        <v>0</v>
      </c>
      <c r="AW204" s="449">
        <v>0</v>
      </c>
      <c r="AX204" s="449">
        <v>0</v>
      </c>
      <c r="AY204" s="449">
        <v>0</v>
      </c>
      <c r="AZ204" s="449">
        <v>0</v>
      </c>
      <c r="BA204" s="449">
        <v>0</v>
      </c>
      <c r="BB204" s="449">
        <v>0</v>
      </c>
      <c r="BC204" s="449">
        <v>0</v>
      </c>
      <c r="BD204" s="449">
        <v>0</v>
      </c>
      <c r="BE204" s="449">
        <v>0</v>
      </c>
      <c r="BF204" s="449">
        <v>0</v>
      </c>
      <c r="BG204" s="449">
        <v>0</v>
      </c>
      <c r="BH204" s="400"/>
      <c r="BI204" s="449">
        <v>0</v>
      </c>
      <c r="BJ204" s="449">
        <v>0</v>
      </c>
      <c r="BK204" s="449">
        <v>0</v>
      </c>
      <c r="BL204" s="771">
        <v>0</v>
      </c>
      <c r="BM204" s="449">
        <v>0</v>
      </c>
      <c r="BN204" s="449">
        <v>0</v>
      </c>
      <c r="BO204" s="449">
        <v>0</v>
      </c>
      <c r="BP204" s="449">
        <v>0</v>
      </c>
      <c r="BQ204" s="449">
        <v>0</v>
      </c>
      <c r="BR204" s="449">
        <v>0</v>
      </c>
      <c r="BS204" s="449">
        <v>0</v>
      </c>
      <c r="BT204" s="449">
        <v>0</v>
      </c>
    </row>
    <row r="205" spans="1:72" hidden="1" x14ac:dyDescent="0.25">
      <c r="A205" s="614" t="s">
        <v>337</v>
      </c>
      <c r="B205" s="614" t="s">
        <v>338</v>
      </c>
      <c r="C205" s="541"/>
      <c r="D205" s="500">
        <v>957</v>
      </c>
      <c r="E205" s="449">
        <v>2792</v>
      </c>
      <c r="F205" s="449">
        <v>-1835</v>
      </c>
      <c r="G205" s="421">
        <v>-0.6572349570200573</v>
      </c>
      <c r="H205" s="449">
        <v>957</v>
      </c>
      <c r="I205" s="449">
        <v>0</v>
      </c>
      <c r="J205" s="426">
        <v>0</v>
      </c>
      <c r="K205" s="421"/>
      <c r="L205" s="449">
        <v>0</v>
      </c>
      <c r="M205" s="449">
        <v>0</v>
      </c>
      <c r="N205" s="449">
        <v>0</v>
      </c>
      <c r="O205" s="449">
        <v>0</v>
      </c>
      <c r="P205" s="449">
        <v>0</v>
      </c>
      <c r="Q205" s="449">
        <v>0</v>
      </c>
      <c r="R205" s="449">
        <v>159.5</v>
      </c>
      <c r="S205" s="449">
        <v>159.5</v>
      </c>
      <c r="T205" s="449">
        <v>159.5</v>
      </c>
      <c r="U205" s="449">
        <v>159.5</v>
      </c>
      <c r="V205" s="449">
        <v>159.5</v>
      </c>
      <c r="W205" s="449">
        <v>159.5</v>
      </c>
      <c r="X205" s="449"/>
      <c r="Y205" s="449">
        <v>957</v>
      </c>
      <c r="Z205" s="531"/>
      <c r="AA205" s="449">
        <v>79.75</v>
      </c>
      <c r="AB205" s="449">
        <v>79.75</v>
      </c>
      <c r="AC205" s="449">
        <v>79.75</v>
      </c>
      <c r="AD205" s="449">
        <v>79.75</v>
      </c>
      <c r="AE205" s="449">
        <v>79.75</v>
      </c>
      <c r="AF205" s="449">
        <v>79.75</v>
      </c>
      <c r="AG205" s="449">
        <v>79.75</v>
      </c>
      <c r="AH205" s="449">
        <v>79.75</v>
      </c>
      <c r="AI205" s="449">
        <v>79.75</v>
      </c>
      <c r="AJ205" s="449">
        <v>79.75</v>
      </c>
      <c r="AK205" s="449">
        <v>79.75</v>
      </c>
      <c r="AL205" s="449">
        <v>79.75</v>
      </c>
      <c r="AM205" s="400"/>
      <c r="AN205" s="500">
        <v>957</v>
      </c>
      <c r="AO205" s="449">
        <v>0</v>
      </c>
      <c r="AP205" s="449">
        <v>-957</v>
      </c>
      <c r="AQ205" s="453">
        <v>-1</v>
      </c>
      <c r="AR205" s="449">
        <v>0</v>
      </c>
      <c r="AS205" s="449">
        <v>0</v>
      </c>
      <c r="AT205" s="426">
        <v>0</v>
      </c>
      <c r="AU205" s="421"/>
      <c r="AV205" s="449">
        <v>0</v>
      </c>
      <c r="AW205" s="449">
        <v>0</v>
      </c>
      <c r="AX205" s="449">
        <v>0</v>
      </c>
      <c r="AY205" s="449">
        <v>0</v>
      </c>
      <c r="AZ205" s="449">
        <v>0</v>
      </c>
      <c r="BA205" s="449">
        <v>0</v>
      </c>
      <c r="BB205" s="449">
        <v>0</v>
      </c>
      <c r="BC205" s="449">
        <v>0</v>
      </c>
      <c r="BD205" s="449">
        <v>0</v>
      </c>
      <c r="BE205" s="449">
        <v>0</v>
      </c>
      <c r="BF205" s="449">
        <v>0</v>
      </c>
      <c r="BG205" s="449">
        <v>0</v>
      </c>
      <c r="BH205" s="400"/>
      <c r="BI205" s="449">
        <v>0</v>
      </c>
      <c r="BJ205" s="449">
        <v>0</v>
      </c>
      <c r="BK205" s="449">
        <v>0</v>
      </c>
      <c r="BL205" s="771">
        <v>0</v>
      </c>
      <c r="BM205" s="449">
        <v>0</v>
      </c>
      <c r="BN205" s="449">
        <v>0</v>
      </c>
      <c r="BO205" s="449">
        <v>0</v>
      </c>
      <c r="BP205" s="449">
        <v>0</v>
      </c>
      <c r="BQ205" s="449">
        <v>0</v>
      </c>
      <c r="BR205" s="449">
        <v>0</v>
      </c>
      <c r="BS205" s="449">
        <v>0</v>
      </c>
      <c r="BT205" s="449">
        <v>0</v>
      </c>
    </row>
    <row r="206" spans="1:72" hidden="1" x14ac:dyDescent="0.25">
      <c r="A206" s="614" t="s">
        <v>339</v>
      </c>
      <c r="B206" s="614" t="s">
        <v>340</v>
      </c>
      <c r="C206" s="541"/>
      <c r="D206" s="500">
        <v>5724.73</v>
      </c>
      <c r="E206" s="449">
        <v>13287</v>
      </c>
      <c r="F206" s="449">
        <v>-7562.27</v>
      </c>
      <c r="G206" s="421">
        <v>-0.56914803943704373</v>
      </c>
      <c r="H206" s="449">
        <v>4902</v>
      </c>
      <c r="I206" s="449">
        <v>822.72999999999956</v>
      </c>
      <c r="J206" s="426">
        <v>0.1678355773153814</v>
      </c>
      <c r="K206" s="421"/>
      <c r="L206" s="449">
        <v>0</v>
      </c>
      <c r="M206" s="449">
        <v>0</v>
      </c>
      <c r="N206" s="449">
        <v>0</v>
      </c>
      <c r="O206" s="449">
        <v>3828.18</v>
      </c>
      <c r="P206" s="449">
        <v>823.74000000000024</v>
      </c>
      <c r="Q206" s="449">
        <v>1072.8099999999995</v>
      </c>
      <c r="R206" s="449">
        <v>0</v>
      </c>
      <c r="S206" s="449">
        <v>0</v>
      </c>
      <c r="T206" s="449">
        <v>0</v>
      </c>
      <c r="U206" s="449">
        <v>0</v>
      </c>
      <c r="V206" s="449">
        <v>0</v>
      </c>
      <c r="W206" s="449">
        <v>0</v>
      </c>
      <c r="X206" s="449"/>
      <c r="Y206" s="449">
        <v>5724.73</v>
      </c>
      <c r="Z206" s="531"/>
      <c r="AA206" s="449">
        <v>408.5</v>
      </c>
      <c r="AB206" s="449">
        <v>408.5</v>
      </c>
      <c r="AC206" s="449">
        <v>408.5</v>
      </c>
      <c r="AD206" s="449">
        <v>408.5</v>
      </c>
      <c r="AE206" s="449">
        <v>408.5</v>
      </c>
      <c r="AF206" s="449">
        <v>408.5</v>
      </c>
      <c r="AG206" s="449">
        <v>408.5</v>
      </c>
      <c r="AH206" s="449">
        <v>408.5</v>
      </c>
      <c r="AI206" s="449">
        <v>408.5</v>
      </c>
      <c r="AJ206" s="449">
        <v>408.5</v>
      </c>
      <c r="AK206" s="449">
        <v>408.5</v>
      </c>
      <c r="AL206" s="449">
        <v>408.5</v>
      </c>
      <c r="AM206" s="400"/>
      <c r="AN206" s="500">
        <v>5724.73</v>
      </c>
      <c r="AO206" s="449">
        <v>0</v>
      </c>
      <c r="AP206" s="449">
        <v>-5724.73</v>
      </c>
      <c r="AQ206" s="453">
        <v>-1</v>
      </c>
      <c r="AR206" s="449">
        <v>0</v>
      </c>
      <c r="AS206" s="449">
        <v>0</v>
      </c>
      <c r="AT206" s="426">
        <v>0</v>
      </c>
      <c r="AU206" s="421"/>
      <c r="AV206" s="449">
        <v>0</v>
      </c>
      <c r="AW206" s="449">
        <v>0</v>
      </c>
      <c r="AX206" s="449">
        <v>0</v>
      </c>
      <c r="AY206" s="449">
        <v>0</v>
      </c>
      <c r="AZ206" s="449">
        <v>0</v>
      </c>
      <c r="BA206" s="449">
        <v>0</v>
      </c>
      <c r="BB206" s="449">
        <v>0</v>
      </c>
      <c r="BC206" s="449">
        <v>0</v>
      </c>
      <c r="BD206" s="449">
        <v>0</v>
      </c>
      <c r="BE206" s="449">
        <v>0</v>
      </c>
      <c r="BF206" s="449">
        <v>0</v>
      </c>
      <c r="BG206" s="449">
        <v>0</v>
      </c>
      <c r="BH206" s="400"/>
      <c r="BI206" s="449">
        <v>0</v>
      </c>
      <c r="BJ206" s="449">
        <v>0</v>
      </c>
      <c r="BK206" s="449">
        <v>0</v>
      </c>
      <c r="BL206" s="771">
        <v>0</v>
      </c>
      <c r="BM206" s="449">
        <v>0</v>
      </c>
      <c r="BN206" s="449">
        <v>0</v>
      </c>
      <c r="BO206" s="449">
        <v>0</v>
      </c>
      <c r="BP206" s="449">
        <v>0</v>
      </c>
      <c r="BQ206" s="449">
        <v>0</v>
      </c>
      <c r="BR206" s="449">
        <v>0</v>
      </c>
      <c r="BS206" s="449">
        <v>0</v>
      </c>
      <c r="BT206" s="449">
        <v>0</v>
      </c>
    </row>
    <row r="207" spans="1:72" hidden="1" x14ac:dyDescent="0.25">
      <c r="A207" s="614" t="s">
        <v>341</v>
      </c>
      <c r="B207" s="614" t="s">
        <v>342</v>
      </c>
      <c r="C207" s="541"/>
      <c r="D207" s="500">
        <v>0</v>
      </c>
      <c r="E207" s="449">
        <v>0</v>
      </c>
      <c r="F207" s="449">
        <v>0</v>
      </c>
      <c r="G207" s="421">
        <v>0</v>
      </c>
      <c r="H207" s="449">
        <v>0</v>
      </c>
      <c r="I207" s="449">
        <v>0</v>
      </c>
      <c r="J207" s="426">
        <v>0</v>
      </c>
      <c r="K207" s="421"/>
      <c r="L207" s="449">
        <v>0</v>
      </c>
      <c r="M207" s="449">
        <v>0</v>
      </c>
      <c r="N207" s="449">
        <v>0</v>
      </c>
      <c r="O207" s="449">
        <v>0</v>
      </c>
      <c r="P207" s="449">
        <v>0</v>
      </c>
      <c r="Q207" s="449">
        <v>0</v>
      </c>
      <c r="R207" s="449">
        <v>0</v>
      </c>
      <c r="S207" s="449">
        <v>0</v>
      </c>
      <c r="T207" s="449">
        <v>0</v>
      </c>
      <c r="U207" s="449">
        <v>0</v>
      </c>
      <c r="V207" s="449">
        <v>0</v>
      </c>
      <c r="W207" s="449">
        <v>0</v>
      </c>
      <c r="X207" s="449"/>
      <c r="Y207" s="449">
        <v>0</v>
      </c>
      <c r="Z207" s="531"/>
      <c r="AA207" s="449">
        <v>0</v>
      </c>
      <c r="AB207" s="449">
        <v>0</v>
      </c>
      <c r="AC207" s="449">
        <v>0</v>
      </c>
      <c r="AD207" s="449">
        <v>0</v>
      </c>
      <c r="AE207" s="449">
        <v>0</v>
      </c>
      <c r="AF207" s="449">
        <v>0</v>
      </c>
      <c r="AG207" s="449">
        <v>0</v>
      </c>
      <c r="AH207" s="449">
        <v>0</v>
      </c>
      <c r="AI207" s="449">
        <v>0</v>
      </c>
      <c r="AJ207" s="449">
        <v>0</v>
      </c>
      <c r="AK207" s="449">
        <v>0</v>
      </c>
      <c r="AL207" s="449">
        <v>0</v>
      </c>
      <c r="AM207" s="400"/>
      <c r="AN207" s="500">
        <v>0</v>
      </c>
      <c r="AO207" s="449">
        <v>0</v>
      </c>
      <c r="AP207" s="449">
        <v>0</v>
      </c>
      <c r="AQ207" s="453" t="s">
        <v>1519</v>
      </c>
      <c r="AR207" s="449">
        <v>0</v>
      </c>
      <c r="AS207" s="449">
        <v>0</v>
      </c>
      <c r="AT207" s="426">
        <v>0</v>
      </c>
      <c r="AU207" s="421"/>
      <c r="AV207" s="449">
        <v>0</v>
      </c>
      <c r="AW207" s="449">
        <v>0</v>
      </c>
      <c r="AX207" s="449">
        <v>0</v>
      </c>
      <c r="AY207" s="449">
        <v>0</v>
      </c>
      <c r="AZ207" s="449">
        <v>0</v>
      </c>
      <c r="BA207" s="449">
        <v>0</v>
      </c>
      <c r="BB207" s="449">
        <v>0</v>
      </c>
      <c r="BC207" s="449">
        <v>0</v>
      </c>
      <c r="BD207" s="449">
        <v>0</v>
      </c>
      <c r="BE207" s="449">
        <v>0</v>
      </c>
      <c r="BF207" s="449">
        <v>0</v>
      </c>
      <c r="BG207" s="449">
        <v>0</v>
      </c>
      <c r="BH207" s="400"/>
      <c r="BI207" s="449">
        <v>0</v>
      </c>
      <c r="BJ207" s="449">
        <v>0</v>
      </c>
      <c r="BK207" s="449">
        <v>0</v>
      </c>
      <c r="BL207" s="771">
        <v>0</v>
      </c>
      <c r="BM207" s="449">
        <v>0</v>
      </c>
      <c r="BN207" s="449">
        <v>0</v>
      </c>
      <c r="BO207" s="449">
        <v>0</v>
      </c>
      <c r="BP207" s="449">
        <v>0</v>
      </c>
      <c r="BQ207" s="449">
        <v>0</v>
      </c>
      <c r="BR207" s="449">
        <v>0</v>
      </c>
      <c r="BS207" s="449">
        <v>0</v>
      </c>
      <c r="BT207" s="449">
        <v>0</v>
      </c>
    </row>
    <row r="208" spans="1:72" hidden="1" x14ac:dyDescent="0.25">
      <c r="A208" s="614" t="s">
        <v>343</v>
      </c>
      <c r="B208" s="614" t="s">
        <v>344</v>
      </c>
      <c r="C208" s="541"/>
      <c r="D208" s="500">
        <v>0</v>
      </c>
      <c r="E208" s="449">
        <v>0</v>
      </c>
      <c r="F208" s="449">
        <v>0</v>
      </c>
      <c r="G208" s="421">
        <v>0</v>
      </c>
      <c r="H208" s="449">
        <v>0</v>
      </c>
      <c r="I208" s="449">
        <v>0</v>
      </c>
      <c r="J208" s="426">
        <v>0</v>
      </c>
      <c r="K208" s="421"/>
      <c r="L208" s="449">
        <v>0</v>
      </c>
      <c r="M208" s="449">
        <v>0</v>
      </c>
      <c r="N208" s="449">
        <v>0</v>
      </c>
      <c r="O208" s="449">
        <v>0</v>
      </c>
      <c r="P208" s="449">
        <v>0</v>
      </c>
      <c r="Q208" s="449">
        <v>0</v>
      </c>
      <c r="R208" s="449">
        <v>0</v>
      </c>
      <c r="S208" s="449">
        <v>0</v>
      </c>
      <c r="T208" s="449">
        <v>0</v>
      </c>
      <c r="U208" s="449">
        <v>0</v>
      </c>
      <c r="V208" s="449">
        <v>0</v>
      </c>
      <c r="W208" s="449">
        <v>0</v>
      </c>
      <c r="X208" s="449"/>
      <c r="Y208" s="449">
        <v>0</v>
      </c>
      <c r="Z208" s="531"/>
      <c r="AA208" s="449">
        <v>0</v>
      </c>
      <c r="AB208" s="449">
        <v>0</v>
      </c>
      <c r="AC208" s="449">
        <v>0</v>
      </c>
      <c r="AD208" s="449">
        <v>0</v>
      </c>
      <c r="AE208" s="449">
        <v>0</v>
      </c>
      <c r="AF208" s="449">
        <v>0</v>
      </c>
      <c r="AG208" s="449">
        <v>0</v>
      </c>
      <c r="AH208" s="449">
        <v>0</v>
      </c>
      <c r="AI208" s="449">
        <v>0</v>
      </c>
      <c r="AJ208" s="449">
        <v>0</v>
      </c>
      <c r="AK208" s="449">
        <v>0</v>
      </c>
      <c r="AL208" s="449">
        <v>0</v>
      </c>
      <c r="AM208" s="400"/>
      <c r="AN208" s="500">
        <v>0</v>
      </c>
      <c r="AO208" s="449">
        <v>0</v>
      </c>
      <c r="AP208" s="449">
        <v>0</v>
      </c>
      <c r="AQ208" s="453" t="s">
        <v>1519</v>
      </c>
      <c r="AR208" s="449">
        <v>0</v>
      </c>
      <c r="AS208" s="449">
        <v>0</v>
      </c>
      <c r="AT208" s="426">
        <v>0</v>
      </c>
      <c r="AU208" s="421"/>
      <c r="AV208" s="449">
        <v>0</v>
      </c>
      <c r="AW208" s="449">
        <v>0</v>
      </c>
      <c r="AX208" s="449">
        <v>0</v>
      </c>
      <c r="AY208" s="449">
        <v>0</v>
      </c>
      <c r="AZ208" s="449">
        <v>0</v>
      </c>
      <c r="BA208" s="449">
        <v>0</v>
      </c>
      <c r="BB208" s="449">
        <v>0</v>
      </c>
      <c r="BC208" s="449">
        <v>0</v>
      </c>
      <c r="BD208" s="449">
        <v>0</v>
      </c>
      <c r="BE208" s="449">
        <v>0</v>
      </c>
      <c r="BF208" s="449">
        <v>0</v>
      </c>
      <c r="BG208" s="449">
        <v>0</v>
      </c>
      <c r="BH208" s="400"/>
      <c r="BI208" s="449">
        <v>0</v>
      </c>
      <c r="BJ208" s="449">
        <v>0</v>
      </c>
      <c r="BK208" s="449">
        <v>0</v>
      </c>
      <c r="BL208" s="771">
        <v>0</v>
      </c>
      <c r="BM208" s="449">
        <v>0</v>
      </c>
      <c r="BN208" s="449">
        <v>0</v>
      </c>
      <c r="BO208" s="449">
        <v>0</v>
      </c>
      <c r="BP208" s="449">
        <v>0</v>
      </c>
      <c r="BQ208" s="449">
        <v>0</v>
      </c>
      <c r="BR208" s="449">
        <v>0</v>
      </c>
      <c r="BS208" s="449">
        <v>0</v>
      </c>
      <c r="BT208" s="449">
        <v>0</v>
      </c>
    </row>
    <row r="209" spans="1:72" x14ac:dyDescent="0.25">
      <c r="A209" s="537" t="s">
        <v>345</v>
      </c>
      <c r="B209" s="537" t="s">
        <v>346</v>
      </c>
      <c r="C209" s="541" t="s">
        <v>347</v>
      </c>
      <c r="D209" s="500">
        <v>9552.6</v>
      </c>
      <c r="E209" s="449">
        <v>0</v>
      </c>
      <c r="F209" s="449">
        <v>9552.6</v>
      </c>
      <c r="G209" s="421">
        <v>0</v>
      </c>
      <c r="H209" s="449">
        <v>4000</v>
      </c>
      <c r="I209" s="449">
        <v>5552.6</v>
      </c>
      <c r="J209" s="426">
        <v>1.38815</v>
      </c>
      <c r="K209" s="421"/>
      <c r="L209" s="449">
        <v>0</v>
      </c>
      <c r="M209" s="449">
        <v>0</v>
      </c>
      <c r="N209" s="449">
        <v>0</v>
      </c>
      <c r="O209" s="449">
        <v>9552.6</v>
      </c>
      <c r="P209" s="449">
        <v>-9552.6</v>
      </c>
      <c r="Q209" s="449">
        <v>9552.6</v>
      </c>
      <c r="R209" s="449">
        <v>0</v>
      </c>
      <c r="S209" s="449">
        <v>0</v>
      </c>
      <c r="T209" s="449">
        <v>0</v>
      </c>
      <c r="U209" s="449">
        <v>0</v>
      </c>
      <c r="V209" s="449">
        <v>0</v>
      </c>
      <c r="W209" s="449">
        <v>0</v>
      </c>
      <c r="X209" s="449"/>
      <c r="Y209" s="449">
        <v>9552.6</v>
      </c>
      <c r="Z209" s="531"/>
      <c r="AA209" s="449">
        <v>333.33333333333331</v>
      </c>
      <c r="AB209" s="449">
        <v>333.33333333333331</v>
      </c>
      <c r="AC209" s="449">
        <v>333.33333333333331</v>
      </c>
      <c r="AD209" s="449">
        <v>333.33333333333331</v>
      </c>
      <c r="AE209" s="449">
        <v>333.33333333333331</v>
      </c>
      <c r="AF209" s="449">
        <v>333.33333333333331</v>
      </c>
      <c r="AG209" s="449">
        <v>333.33333333333331</v>
      </c>
      <c r="AH209" s="449">
        <v>333.33333333333331</v>
      </c>
      <c r="AI209" s="449">
        <v>333.33333333333331</v>
      </c>
      <c r="AJ209" s="449">
        <v>333.33333333333331</v>
      </c>
      <c r="AK209" s="449">
        <v>333.33333333333331</v>
      </c>
      <c r="AL209" s="449">
        <v>333.33333333333331</v>
      </c>
      <c r="AM209" s="400"/>
      <c r="AN209" s="500">
        <v>9552.6</v>
      </c>
      <c r="AO209" s="449">
        <v>10504.02361445783</v>
      </c>
      <c r="AP209" s="449">
        <v>951.4236144578299</v>
      </c>
      <c r="AQ209" s="453">
        <v>9.9598393574297034E-2</v>
      </c>
      <c r="AR209" s="449">
        <v>10504.02361445783</v>
      </c>
      <c r="AS209" s="449">
        <v>0</v>
      </c>
      <c r="AT209" s="426">
        <v>0</v>
      </c>
      <c r="AU209" s="421"/>
      <c r="AV209" s="449">
        <v>2100.8047228915666</v>
      </c>
      <c r="AW209" s="449">
        <v>2100.8047228915666</v>
      </c>
      <c r="AX209" s="449">
        <v>1400.5364819277108</v>
      </c>
      <c r="AY209" s="449">
        <v>1400.5364819277108</v>
      </c>
      <c r="AZ209" s="449">
        <v>1400.5364819277108</v>
      </c>
      <c r="BA209" s="449">
        <v>300.11496041308089</v>
      </c>
      <c r="BB209" s="449">
        <v>300.11496041308089</v>
      </c>
      <c r="BC209" s="449">
        <v>300.11496041308089</v>
      </c>
      <c r="BD209" s="449">
        <v>300.11496041308089</v>
      </c>
      <c r="BE209" s="449">
        <v>300.11496041308089</v>
      </c>
      <c r="BF209" s="449">
        <v>300.11496041308089</v>
      </c>
      <c r="BG209" s="449">
        <v>300.11496041308089</v>
      </c>
      <c r="BH209" s="400"/>
      <c r="BI209" s="449">
        <v>2100.8047228915666</v>
      </c>
      <c r="BJ209" s="449">
        <v>2100.8047228915666</v>
      </c>
      <c r="BK209" s="449">
        <v>1400.5364819277108</v>
      </c>
      <c r="BL209" s="771">
        <v>1400.5364819277108</v>
      </c>
      <c r="BM209" s="449">
        <v>1400.5364819277108</v>
      </c>
      <c r="BN209" s="449">
        <v>300.11496041308089</v>
      </c>
      <c r="BO209" s="449">
        <v>300.11496041308089</v>
      </c>
      <c r="BP209" s="449">
        <v>300.11496041308089</v>
      </c>
      <c r="BQ209" s="449">
        <v>300.11496041308089</v>
      </c>
      <c r="BR209" s="449">
        <v>300.11496041308089</v>
      </c>
      <c r="BS209" s="449">
        <v>300.11496041308089</v>
      </c>
      <c r="BT209" s="449">
        <v>300.11496041308089</v>
      </c>
    </row>
    <row r="210" spans="1:72" x14ac:dyDescent="0.25">
      <c r="A210" s="502" t="s">
        <v>348</v>
      </c>
      <c r="B210" s="502" t="s">
        <v>349</v>
      </c>
      <c r="C210" s="538"/>
      <c r="D210" s="500">
        <v>49227.1</v>
      </c>
      <c r="E210" s="449">
        <v>43620</v>
      </c>
      <c r="F210" s="449">
        <v>5607.0999999999985</v>
      </c>
      <c r="G210" s="421">
        <v>0.1285442457588262</v>
      </c>
      <c r="H210" s="449">
        <v>32500</v>
      </c>
      <c r="I210" s="449">
        <v>16727.099999999999</v>
      </c>
      <c r="J210" s="426">
        <v>0.51467999999999992</v>
      </c>
      <c r="K210" s="421"/>
      <c r="L210" s="449">
        <v>0</v>
      </c>
      <c r="M210" s="449">
        <v>10740.46</v>
      </c>
      <c r="N210" s="449">
        <v>9397.9000000000015</v>
      </c>
      <c r="O210" s="449">
        <v>8950.380000000001</v>
      </c>
      <c r="P210" s="449">
        <v>-19578.960000000003</v>
      </c>
      <c r="Q210" s="449">
        <v>39717.32</v>
      </c>
      <c r="R210" s="449">
        <v>0</v>
      </c>
      <c r="S210" s="449">
        <v>0</v>
      </c>
      <c r="T210" s="449">
        <v>0</v>
      </c>
      <c r="U210" s="449">
        <v>0</v>
      </c>
      <c r="V210" s="449">
        <v>0</v>
      </c>
      <c r="W210" s="449">
        <v>0</v>
      </c>
      <c r="X210" s="449"/>
      <c r="Y210" s="449">
        <v>49227.1</v>
      </c>
      <c r="Z210" s="531"/>
      <c r="AA210" s="449">
        <v>2708.3333333333335</v>
      </c>
      <c r="AB210" s="449">
        <v>2708.3333333333335</v>
      </c>
      <c r="AC210" s="449">
        <v>2708.3333333333335</v>
      </c>
      <c r="AD210" s="449">
        <v>2708.3333333333335</v>
      </c>
      <c r="AE210" s="449">
        <v>2708.3333333333335</v>
      </c>
      <c r="AF210" s="449">
        <v>2708.3333333333335</v>
      </c>
      <c r="AG210" s="449">
        <v>2708.3333333333335</v>
      </c>
      <c r="AH210" s="449">
        <v>2708.3333333333335</v>
      </c>
      <c r="AI210" s="449">
        <v>2708.3333333333335</v>
      </c>
      <c r="AJ210" s="449">
        <v>2708.3333333333335</v>
      </c>
      <c r="AK210" s="449">
        <v>2708.3333333333335</v>
      </c>
      <c r="AL210" s="449">
        <v>2708.3333333333335</v>
      </c>
      <c r="AM210" s="400"/>
      <c r="AN210" s="500">
        <v>49227.1</v>
      </c>
      <c r="AO210" s="449">
        <v>33474.999999999993</v>
      </c>
      <c r="AP210" s="449">
        <v>-15752.100000000006</v>
      </c>
      <c r="AQ210" s="453">
        <v>-0.31998838038397565</v>
      </c>
      <c r="AR210" s="449">
        <v>33474.999999999993</v>
      </c>
      <c r="AS210" s="449">
        <v>0</v>
      </c>
      <c r="AT210" s="426">
        <v>0</v>
      </c>
      <c r="AU210" s="421"/>
      <c r="AV210" s="449">
        <v>0</v>
      </c>
      <c r="AW210" s="449">
        <v>2789.5833333333335</v>
      </c>
      <c r="AX210" s="449">
        <v>2789.5833333333335</v>
      </c>
      <c r="AY210" s="449">
        <v>2789.5833333333335</v>
      </c>
      <c r="AZ210" s="449">
        <v>2789.5833333333335</v>
      </c>
      <c r="BA210" s="449">
        <v>2789.5833333333335</v>
      </c>
      <c r="BB210" s="449">
        <v>2789.5833333333335</v>
      </c>
      <c r="BC210" s="449">
        <v>2789.5833333333335</v>
      </c>
      <c r="BD210" s="449">
        <v>2789.5833333333335</v>
      </c>
      <c r="BE210" s="449">
        <v>2789.5833333333335</v>
      </c>
      <c r="BF210" s="449">
        <v>2789.5833333333335</v>
      </c>
      <c r="BG210" s="449">
        <v>5579.166666666667</v>
      </c>
      <c r="BH210" s="400"/>
      <c r="BI210" s="449">
        <v>0</v>
      </c>
      <c r="BJ210" s="449">
        <v>2789.5833333333335</v>
      </c>
      <c r="BK210" s="449">
        <v>2789.5833333333335</v>
      </c>
      <c r="BL210" s="771">
        <v>2789.5833333333335</v>
      </c>
      <c r="BM210" s="449">
        <v>2789.5833333333335</v>
      </c>
      <c r="BN210" s="449">
        <v>2789.5833333333335</v>
      </c>
      <c r="BO210" s="449">
        <v>2789.5833333333335</v>
      </c>
      <c r="BP210" s="449">
        <v>2789.5833333333335</v>
      </c>
      <c r="BQ210" s="449">
        <v>2789.5833333333335</v>
      </c>
      <c r="BR210" s="449">
        <v>2789.5833333333335</v>
      </c>
      <c r="BS210" s="449">
        <v>2789.5833333333335</v>
      </c>
      <c r="BT210" s="449">
        <v>5579.166666666667</v>
      </c>
    </row>
    <row r="211" spans="1:72" x14ac:dyDescent="0.25">
      <c r="A211" s="502" t="s">
        <v>350</v>
      </c>
      <c r="B211" s="502" t="s">
        <v>351</v>
      </c>
      <c r="C211" s="538"/>
      <c r="D211" s="500">
        <v>83855</v>
      </c>
      <c r="E211" s="449">
        <v>87240</v>
      </c>
      <c r="F211" s="449">
        <v>-3385</v>
      </c>
      <c r="G211" s="421">
        <v>-3.8801008711600186E-2</v>
      </c>
      <c r="H211" s="449">
        <v>83855</v>
      </c>
      <c r="I211" s="449">
        <v>0</v>
      </c>
      <c r="J211" s="426">
        <v>0</v>
      </c>
      <c r="K211" s="421"/>
      <c r="L211" s="449">
        <v>0</v>
      </c>
      <c r="M211" s="449">
        <v>0</v>
      </c>
      <c r="N211" s="449">
        <v>0</v>
      </c>
      <c r="O211" s="449">
        <v>0</v>
      </c>
      <c r="P211" s="449">
        <v>28529.340000000004</v>
      </c>
      <c r="Q211" s="449">
        <v>-28529.340000000004</v>
      </c>
      <c r="R211" s="449">
        <v>13975.833333333334</v>
      </c>
      <c r="S211" s="449">
        <v>13975.833333333334</v>
      </c>
      <c r="T211" s="449">
        <v>13975.833333333332</v>
      </c>
      <c r="U211" s="449">
        <v>13975.833333333334</v>
      </c>
      <c r="V211" s="449">
        <v>13975.833333333332</v>
      </c>
      <c r="W211" s="449">
        <v>13975.833333333328</v>
      </c>
      <c r="X211" s="449"/>
      <c r="Y211" s="449">
        <v>83855</v>
      </c>
      <c r="Z211" s="531"/>
      <c r="AA211" s="449">
        <v>6987.916666666667</v>
      </c>
      <c r="AB211" s="449">
        <v>6987.916666666667</v>
      </c>
      <c r="AC211" s="449">
        <v>6987.916666666667</v>
      </c>
      <c r="AD211" s="449">
        <v>6987.916666666667</v>
      </c>
      <c r="AE211" s="449">
        <v>6987.916666666667</v>
      </c>
      <c r="AF211" s="449">
        <v>6987.916666666667</v>
      </c>
      <c r="AG211" s="449">
        <v>6987.916666666667</v>
      </c>
      <c r="AH211" s="449">
        <v>6987.916666666667</v>
      </c>
      <c r="AI211" s="449">
        <v>6987.916666666667</v>
      </c>
      <c r="AJ211" s="449">
        <v>6987.916666666667</v>
      </c>
      <c r="AK211" s="449">
        <v>6987.916666666667</v>
      </c>
      <c r="AL211" s="449">
        <v>6987.916666666667</v>
      </c>
      <c r="AM211" s="400"/>
      <c r="AN211" s="500">
        <v>83855</v>
      </c>
      <c r="AO211" s="449">
        <v>86370.650000000009</v>
      </c>
      <c r="AP211" s="449">
        <v>2515.6500000000087</v>
      </c>
      <c r="AQ211" s="453">
        <v>3.0000000000000103E-2</v>
      </c>
      <c r="AR211" s="449">
        <v>86370.650000000009</v>
      </c>
      <c r="AS211" s="449">
        <v>0</v>
      </c>
      <c r="AT211" s="426">
        <v>0</v>
      </c>
      <c r="AU211" s="421"/>
      <c r="AV211" s="449">
        <v>0</v>
      </c>
      <c r="AW211" s="449">
        <v>7197.5541666666659</v>
      </c>
      <c r="AX211" s="449">
        <v>7197.5541666666659</v>
      </c>
      <c r="AY211" s="449">
        <v>7197.5541666666659</v>
      </c>
      <c r="AZ211" s="449">
        <v>7197.5541666666659</v>
      </c>
      <c r="BA211" s="449">
        <v>7197.5541666666659</v>
      </c>
      <c r="BB211" s="449">
        <v>7197.5541666666659</v>
      </c>
      <c r="BC211" s="449">
        <v>7197.5541666666659</v>
      </c>
      <c r="BD211" s="449">
        <v>7197.5541666666659</v>
      </c>
      <c r="BE211" s="449">
        <v>7197.5541666666659</v>
      </c>
      <c r="BF211" s="449">
        <v>7197.5541666666659</v>
      </c>
      <c r="BG211" s="449">
        <v>14395.108333333332</v>
      </c>
      <c r="BH211" s="400"/>
      <c r="BI211" s="449">
        <v>0</v>
      </c>
      <c r="BJ211" s="449">
        <v>7197.5541666666659</v>
      </c>
      <c r="BK211" s="449">
        <v>7197.5541666666659</v>
      </c>
      <c r="BL211" s="771">
        <v>7197.5541666666659</v>
      </c>
      <c r="BM211" s="449">
        <v>7197.5541666666659</v>
      </c>
      <c r="BN211" s="449">
        <v>7197.5541666666659</v>
      </c>
      <c r="BO211" s="449">
        <v>7197.5541666666659</v>
      </c>
      <c r="BP211" s="449">
        <v>7197.5541666666659</v>
      </c>
      <c r="BQ211" s="449">
        <v>7197.5541666666659</v>
      </c>
      <c r="BR211" s="449">
        <v>7197.5541666666659</v>
      </c>
      <c r="BS211" s="449">
        <v>7197.5541666666659</v>
      </c>
      <c r="BT211" s="449">
        <v>14395.108333333332</v>
      </c>
    </row>
    <row r="212" spans="1:72" x14ac:dyDescent="0.25">
      <c r="A212" s="502" t="s">
        <v>352</v>
      </c>
      <c r="B212" s="502" t="s">
        <v>353</v>
      </c>
      <c r="C212" s="538"/>
      <c r="D212" s="500">
        <v>3000</v>
      </c>
      <c r="E212" s="449">
        <v>3000</v>
      </c>
      <c r="F212" s="449">
        <v>0</v>
      </c>
      <c r="G212" s="421">
        <v>0</v>
      </c>
      <c r="H212" s="449">
        <v>3000</v>
      </c>
      <c r="I212" s="449">
        <v>0</v>
      </c>
      <c r="J212" s="426">
        <v>0</v>
      </c>
      <c r="K212" s="421"/>
      <c r="L212" s="449">
        <v>0</v>
      </c>
      <c r="M212" s="449">
        <v>0</v>
      </c>
      <c r="N212" s="449">
        <v>0</v>
      </c>
      <c r="O212" s="449">
        <v>3000</v>
      </c>
      <c r="P212" s="449">
        <v>0</v>
      </c>
      <c r="Q212" s="449">
        <v>0</v>
      </c>
      <c r="R212" s="449">
        <v>0</v>
      </c>
      <c r="S212" s="449">
        <v>0</v>
      </c>
      <c r="T212" s="449">
        <v>0</v>
      </c>
      <c r="U212" s="449">
        <v>0</v>
      </c>
      <c r="V212" s="449">
        <v>0</v>
      </c>
      <c r="W212" s="449">
        <v>0</v>
      </c>
      <c r="X212" s="449"/>
      <c r="Y212" s="449">
        <v>3000</v>
      </c>
      <c r="Z212" s="531"/>
      <c r="AA212" s="449">
        <v>250</v>
      </c>
      <c r="AB212" s="449">
        <v>250</v>
      </c>
      <c r="AC212" s="449">
        <v>250</v>
      </c>
      <c r="AD212" s="449">
        <v>250</v>
      </c>
      <c r="AE212" s="449">
        <v>250</v>
      </c>
      <c r="AF212" s="449">
        <v>250</v>
      </c>
      <c r="AG212" s="449">
        <v>250</v>
      </c>
      <c r="AH212" s="449">
        <v>250</v>
      </c>
      <c r="AI212" s="449">
        <v>250</v>
      </c>
      <c r="AJ212" s="449">
        <v>250</v>
      </c>
      <c r="AK212" s="449">
        <v>250</v>
      </c>
      <c r="AL212" s="449">
        <v>250</v>
      </c>
      <c r="AM212" s="400"/>
      <c r="AN212" s="500">
        <v>3000</v>
      </c>
      <c r="AO212" s="449">
        <v>3000</v>
      </c>
      <c r="AP212" s="449">
        <v>0</v>
      </c>
      <c r="AQ212" s="453">
        <v>0</v>
      </c>
      <c r="AR212" s="449">
        <v>3000</v>
      </c>
      <c r="AS212" s="449">
        <v>0</v>
      </c>
      <c r="AT212" s="426">
        <v>0</v>
      </c>
      <c r="AU212" s="421"/>
      <c r="AV212" s="449">
        <v>0</v>
      </c>
      <c r="AW212" s="449">
        <v>0</v>
      </c>
      <c r="AX212" s="449">
        <v>0</v>
      </c>
      <c r="AY212" s="449">
        <v>3000</v>
      </c>
      <c r="AZ212" s="449">
        <v>0</v>
      </c>
      <c r="BA212" s="449">
        <v>0</v>
      </c>
      <c r="BB212" s="449">
        <v>0</v>
      </c>
      <c r="BC212" s="449">
        <v>0</v>
      </c>
      <c r="BD212" s="449">
        <v>0</v>
      </c>
      <c r="BE212" s="449">
        <v>0</v>
      </c>
      <c r="BF212" s="449">
        <v>0</v>
      </c>
      <c r="BG212" s="449">
        <v>0</v>
      </c>
      <c r="BH212" s="400"/>
      <c r="BI212" s="449">
        <v>0</v>
      </c>
      <c r="BJ212" s="449">
        <v>0</v>
      </c>
      <c r="BK212" s="449">
        <v>0</v>
      </c>
      <c r="BL212" s="771">
        <v>3000</v>
      </c>
      <c r="BM212" s="449">
        <v>0</v>
      </c>
      <c r="BN212" s="449">
        <v>0</v>
      </c>
      <c r="BO212" s="449">
        <v>0</v>
      </c>
      <c r="BP212" s="449">
        <v>0</v>
      </c>
      <c r="BQ212" s="449">
        <v>0</v>
      </c>
      <c r="BR212" s="449">
        <v>0</v>
      </c>
      <c r="BS212" s="449">
        <v>0</v>
      </c>
      <c r="BT212" s="449">
        <v>0</v>
      </c>
    </row>
    <row r="213" spans="1:72" x14ac:dyDescent="0.25">
      <c r="A213" s="537" t="s">
        <v>354</v>
      </c>
      <c r="B213" s="537" t="s">
        <v>355</v>
      </c>
      <c r="C213" s="541"/>
      <c r="D213" s="500">
        <v>0</v>
      </c>
      <c r="E213" s="449">
        <v>0</v>
      </c>
      <c r="F213" s="449">
        <v>0</v>
      </c>
      <c r="G213" s="421">
        <v>0</v>
      </c>
      <c r="H213" s="449">
        <v>0</v>
      </c>
      <c r="I213" s="449">
        <v>0</v>
      </c>
      <c r="J213" s="426">
        <v>0</v>
      </c>
      <c r="K213" s="421"/>
      <c r="L213" s="449">
        <v>0</v>
      </c>
      <c r="M213" s="449">
        <v>0</v>
      </c>
      <c r="N213" s="449">
        <v>0</v>
      </c>
      <c r="O213" s="449">
        <v>0</v>
      </c>
      <c r="P213" s="449">
        <v>0</v>
      </c>
      <c r="Q213" s="449">
        <v>0</v>
      </c>
      <c r="R213" s="449">
        <v>0</v>
      </c>
      <c r="S213" s="449">
        <v>0</v>
      </c>
      <c r="T213" s="449">
        <v>0</v>
      </c>
      <c r="U213" s="449">
        <v>0</v>
      </c>
      <c r="V213" s="449">
        <v>0</v>
      </c>
      <c r="W213" s="449">
        <v>0</v>
      </c>
      <c r="X213" s="449"/>
      <c r="Y213" s="449">
        <v>0</v>
      </c>
      <c r="Z213" s="531"/>
      <c r="AA213" s="449">
        <v>0</v>
      </c>
      <c r="AB213" s="449">
        <v>0</v>
      </c>
      <c r="AC213" s="449">
        <v>0</v>
      </c>
      <c r="AD213" s="449">
        <v>0</v>
      </c>
      <c r="AE213" s="449">
        <v>0</v>
      </c>
      <c r="AF213" s="449">
        <v>0</v>
      </c>
      <c r="AG213" s="449">
        <v>0</v>
      </c>
      <c r="AH213" s="449">
        <v>0</v>
      </c>
      <c r="AI213" s="449">
        <v>0</v>
      </c>
      <c r="AJ213" s="449">
        <v>0</v>
      </c>
      <c r="AK213" s="449">
        <v>0</v>
      </c>
      <c r="AL213" s="449">
        <v>0</v>
      </c>
      <c r="AM213" s="400"/>
      <c r="AN213" s="500">
        <v>0</v>
      </c>
      <c r="AO213" s="449">
        <v>3000</v>
      </c>
      <c r="AP213" s="449">
        <v>3000</v>
      </c>
      <c r="AQ213" s="453" t="s">
        <v>1519</v>
      </c>
      <c r="AR213" s="449">
        <v>3000</v>
      </c>
      <c r="AS213" s="449">
        <v>0</v>
      </c>
      <c r="AT213" s="426">
        <v>0</v>
      </c>
      <c r="AU213" s="421"/>
      <c r="AV213" s="449">
        <v>0</v>
      </c>
      <c r="AW213" s="449">
        <v>0</v>
      </c>
      <c r="AX213" s="449">
        <v>0</v>
      </c>
      <c r="AY213" s="449">
        <v>3000</v>
      </c>
      <c r="AZ213" s="449">
        <v>0</v>
      </c>
      <c r="BA213" s="449">
        <v>0</v>
      </c>
      <c r="BB213" s="449">
        <v>0</v>
      </c>
      <c r="BC213" s="449">
        <v>0</v>
      </c>
      <c r="BD213" s="449">
        <v>0</v>
      </c>
      <c r="BE213" s="449">
        <v>0</v>
      </c>
      <c r="BF213" s="449">
        <v>0</v>
      </c>
      <c r="BG213" s="449">
        <v>0</v>
      </c>
      <c r="BH213" s="400"/>
      <c r="BI213" s="449">
        <v>0</v>
      </c>
      <c r="BJ213" s="449">
        <v>0</v>
      </c>
      <c r="BK213" s="449">
        <v>0</v>
      </c>
      <c r="BL213" s="771">
        <v>3000</v>
      </c>
      <c r="BM213" s="449">
        <v>0</v>
      </c>
      <c r="BN213" s="449">
        <v>0</v>
      </c>
      <c r="BO213" s="449">
        <v>0</v>
      </c>
      <c r="BP213" s="449">
        <v>0</v>
      </c>
      <c r="BQ213" s="449">
        <v>0</v>
      </c>
      <c r="BR213" s="449">
        <v>0</v>
      </c>
      <c r="BS213" s="449">
        <v>0</v>
      </c>
      <c r="BT213" s="449">
        <v>0</v>
      </c>
    </row>
    <row r="214" spans="1:72" x14ac:dyDescent="0.25">
      <c r="A214" s="502" t="s">
        <v>356</v>
      </c>
      <c r="B214" s="502" t="s">
        <v>357</v>
      </c>
      <c r="C214" s="541"/>
      <c r="D214" s="500">
        <v>6243.52</v>
      </c>
      <c r="E214" s="449">
        <v>6358</v>
      </c>
      <c r="F214" s="449">
        <v>-114.47999999999956</v>
      </c>
      <c r="G214" s="421">
        <v>-1.8005662157911224E-2</v>
      </c>
      <c r="H214" s="449">
        <v>5508</v>
      </c>
      <c r="I214" s="449">
        <v>735.52000000000044</v>
      </c>
      <c r="J214" s="426">
        <v>0.13353667392883087</v>
      </c>
      <c r="K214" s="421"/>
      <c r="L214" s="449">
        <v>5.84</v>
      </c>
      <c r="M214" s="449">
        <v>1721.39</v>
      </c>
      <c r="N214" s="449">
        <v>1150.5300000000002</v>
      </c>
      <c r="O214" s="449">
        <v>1493.7299999999996</v>
      </c>
      <c r="P214" s="449">
        <v>918.68000000000029</v>
      </c>
      <c r="Q214" s="449">
        <v>953.35000000000036</v>
      </c>
      <c r="R214" s="449">
        <v>0</v>
      </c>
      <c r="S214" s="449">
        <v>0</v>
      </c>
      <c r="T214" s="449">
        <v>0</v>
      </c>
      <c r="U214" s="449">
        <v>0</v>
      </c>
      <c r="V214" s="449">
        <v>0</v>
      </c>
      <c r="W214" s="449">
        <v>0</v>
      </c>
      <c r="X214" s="449"/>
      <c r="Y214" s="449">
        <v>6243.52</v>
      </c>
      <c r="Z214" s="531"/>
      <c r="AA214" s="449">
        <v>459</v>
      </c>
      <c r="AB214" s="449">
        <v>459</v>
      </c>
      <c r="AC214" s="449">
        <v>459</v>
      </c>
      <c r="AD214" s="449">
        <v>459</v>
      </c>
      <c r="AE214" s="449">
        <v>459</v>
      </c>
      <c r="AF214" s="449">
        <v>459</v>
      </c>
      <c r="AG214" s="449">
        <v>459</v>
      </c>
      <c r="AH214" s="449">
        <v>459</v>
      </c>
      <c r="AI214" s="449">
        <v>459</v>
      </c>
      <c r="AJ214" s="449">
        <v>459</v>
      </c>
      <c r="AK214" s="449">
        <v>459</v>
      </c>
      <c r="AL214" s="449">
        <v>459</v>
      </c>
      <c r="AM214" s="400"/>
      <c r="AN214" s="500">
        <v>6243.52</v>
      </c>
      <c r="AO214" s="449">
        <v>4181.84</v>
      </c>
      <c r="AP214" s="449">
        <v>-2061.6800000000003</v>
      </c>
      <c r="AQ214" s="453">
        <v>-0.33021116293372971</v>
      </c>
      <c r="AR214" s="449">
        <v>4181.84</v>
      </c>
      <c r="AS214" s="449">
        <v>0</v>
      </c>
      <c r="AT214" s="426">
        <v>0</v>
      </c>
      <c r="AU214" s="421"/>
      <c r="AV214" s="449">
        <v>0</v>
      </c>
      <c r="AW214" s="449">
        <v>348.48666666666668</v>
      </c>
      <c r="AX214" s="449">
        <v>348.48666666666668</v>
      </c>
      <c r="AY214" s="449">
        <v>348.48666666666668</v>
      </c>
      <c r="AZ214" s="449">
        <v>348.48666666666668</v>
      </c>
      <c r="BA214" s="449">
        <v>348.48666666666668</v>
      </c>
      <c r="BB214" s="449">
        <v>348.48666666666668</v>
      </c>
      <c r="BC214" s="449">
        <v>348.48666666666668</v>
      </c>
      <c r="BD214" s="449">
        <v>348.48666666666668</v>
      </c>
      <c r="BE214" s="449">
        <v>348.48666666666668</v>
      </c>
      <c r="BF214" s="449">
        <v>348.48666666666668</v>
      </c>
      <c r="BG214" s="449">
        <v>696.97333333333336</v>
      </c>
      <c r="BH214" s="400"/>
      <c r="BI214" s="449">
        <v>0</v>
      </c>
      <c r="BJ214" s="449">
        <v>348.48666666666668</v>
      </c>
      <c r="BK214" s="449">
        <v>348.48666666666668</v>
      </c>
      <c r="BL214" s="771">
        <v>348.48666666666668</v>
      </c>
      <c r="BM214" s="449">
        <v>348.48666666666668</v>
      </c>
      <c r="BN214" s="449">
        <v>348.48666666666668</v>
      </c>
      <c r="BO214" s="449">
        <v>348.48666666666668</v>
      </c>
      <c r="BP214" s="449">
        <v>348.48666666666668</v>
      </c>
      <c r="BQ214" s="449">
        <v>348.48666666666668</v>
      </c>
      <c r="BR214" s="449">
        <v>348.48666666666668</v>
      </c>
      <c r="BS214" s="449">
        <v>348.48666666666668</v>
      </c>
      <c r="BT214" s="449">
        <v>696.97333333333336</v>
      </c>
    </row>
    <row r="215" spans="1:72" x14ac:dyDescent="0.25">
      <c r="A215" s="502" t="s">
        <v>358</v>
      </c>
      <c r="B215" s="502" t="s">
        <v>359</v>
      </c>
      <c r="C215" s="541"/>
      <c r="D215" s="500">
        <v>10603</v>
      </c>
      <c r="E215" s="449">
        <v>10862</v>
      </c>
      <c r="F215" s="449">
        <v>-259</v>
      </c>
      <c r="G215" s="421">
        <v>-2.3844595838703738E-2</v>
      </c>
      <c r="H215" s="449">
        <v>10603</v>
      </c>
      <c r="I215" s="449">
        <v>0</v>
      </c>
      <c r="J215" s="426">
        <v>0</v>
      </c>
      <c r="K215" s="421"/>
      <c r="L215" s="449">
        <v>0</v>
      </c>
      <c r="M215" s="449">
        <v>0</v>
      </c>
      <c r="N215" s="449">
        <v>0</v>
      </c>
      <c r="O215" s="449">
        <v>0</v>
      </c>
      <c r="P215" s="449">
        <v>0</v>
      </c>
      <c r="Q215" s="449">
        <v>0</v>
      </c>
      <c r="R215" s="449">
        <v>1767.1666666666667</v>
      </c>
      <c r="S215" s="449">
        <v>1767.1666666666667</v>
      </c>
      <c r="T215" s="449">
        <v>1767.1666666666665</v>
      </c>
      <c r="U215" s="449">
        <v>1767.1666666666667</v>
      </c>
      <c r="V215" s="449">
        <v>1767.1666666666665</v>
      </c>
      <c r="W215" s="449">
        <v>1767.1666666666661</v>
      </c>
      <c r="X215" s="449"/>
      <c r="Y215" s="449">
        <v>10603</v>
      </c>
      <c r="Z215" s="531"/>
      <c r="AA215" s="449">
        <v>883.58333333333337</v>
      </c>
      <c r="AB215" s="449">
        <v>883.58333333333337</v>
      </c>
      <c r="AC215" s="449">
        <v>883.58333333333337</v>
      </c>
      <c r="AD215" s="449">
        <v>883.58333333333337</v>
      </c>
      <c r="AE215" s="449">
        <v>883.58333333333337</v>
      </c>
      <c r="AF215" s="449">
        <v>883.58333333333337</v>
      </c>
      <c r="AG215" s="449">
        <v>883.58333333333337</v>
      </c>
      <c r="AH215" s="449">
        <v>883.58333333333337</v>
      </c>
      <c r="AI215" s="449">
        <v>883.58333333333337</v>
      </c>
      <c r="AJ215" s="449">
        <v>883.58333333333337</v>
      </c>
      <c r="AK215" s="449">
        <v>883.58333333333337</v>
      </c>
      <c r="AL215" s="449">
        <v>883.58333333333337</v>
      </c>
      <c r="AM215" s="400"/>
      <c r="AN215" s="500">
        <v>10603</v>
      </c>
      <c r="AO215" s="449">
        <v>11470.35</v>
      </c>
      <c r="AP215" s="449">
        <v>867.35000000000036</v>
      </c>
      <c r="AQ215" s="453">
        <v>8.1802320098085482E-2</v>
      </c>
      <c r="AR215" s="449">
        <v>11470.35</v>
      </c>
      <c r="AS215" s="449">
        <v>0</v>
      </c>
      <c r="AT215" s="426">
        <v>0</v>
      </c>
      <c r="AU215" s="421"/>
      <c r="AV215" s="449">
        <v>0</v>
      </c>
      <c r="AW215" s="449">
        <v>955.86250000000007</v>
      </c>
      <c r="AX215" s="449">
        <v>955.86250000000007</v>
      </c>
      <c r="AY215" s="449">
        <v>955.86250000000007</v>
      </c>
      <c r="AZ215" s="449">
        <v>955.86250000000007</v>
      </c>
      <c r="BA215" s="449">
        <v>955.86250000000007</v>
      </c>
      <c r="BB215" s="449">
        <v>955.86250000000007</v>
      </c>
      <c r="BC215" s="449">
        <v>955.86250000000007</v>
      </c>
      <c r="BD215" s="449">
        <v>955.86250000000007</v>
      </c>
      <c r="BE215" s="449">
        <v>955.86250000000007</v>
      </c>
      <c r="BF215" s="449">
        <v>955.86250000000007</v>
      </c>
      <c r="BG215" s="449">
        <v>1911.7250000000001</v>
      </c>
      <c r="BH215" s="400"/>
      <c r="BI215" s="449">
        <v>0</v>
      </c>
      <c r="BJ215" s="449">
        <v>955.86250000000007</v>
      </c>
      <c r="BK215" s="449">
        <v>955.86250000000007</v>
      </c>
      <c r="BL215" s="771">
        <v>955.86250000000007</v>
      </c>
      <c r="BM215" s="449">
        <v>955.86250000000007</v>
      </c>
      <c r="BN215" s="449">
        <v>955.86250000000007</v>
      </c>
      <c r="BO215" s="449">
        <v>955.86250000000007</v>
      </c>
      <c r="BP215" s="449">
        <v>955.86250000000007</v>
      </c>
      <c r="BQ215" s="449">
        <v>955.86250000000007</v>
      </c>
      <c r="BR215" s="449">
        <v>955.86250000000007</v>
      </c>
      <c r="BS215" s="449">
        <v>955.86250000000007</v>
      </c>
      <c r="BT215" s="449">
        <v>1911.7250000000001</v>
      </c>
    </row>
    <row r="216" spans="1:72" x14ac:dyDescent="0.25">
      <c r="A216" s="502" t="s">
        <v>360</v>
      </c>
      <c r="B216" s="502" t="s">
        <v>361</v>
      </c>
      <c r="C216" s="541"/>
      <c r="D216" s="500">
        <v>5038</v>
      </c>
      <c r="E216" s="449">
        <v>5038</v>
      </c>
      <c r="F216" s="449">
        <v>0</v>
      </c>
      <c r="G216" s="421">
        <v>0</v>
      </c>
      <c r="H216" s="449">
        <v>5038</v>
      </c>
      <c r="I216" s="449">
        <v>0</v>
      </c>
      <c r="J216" s="426">
        <v>0</v>
      </c>
      <c r="K216" s="421"/>
      <c r="L216" s="449">
        <v>1.3</v>
      </c>
      <c r="M216" s="449">
        <v>40.450000000000003</v>
      </c>
      <c r="N216" s="449">
        <v>66.23</v>
      </c>
      <c r="O216" s="449">
        <v>2164.7599999999998</v>
      </c>
      <c r="P216" s="449">
        <v>802.05000000000018</v>
      </c>
      <c r="Q216" s="449">
        <v>746.13000000000011</v>
      </c>
      <c r="R216" s="449">
        <v>202.84666666666666</v>
      </c>
      <c r="S216" s="449">
        <v>202.84666666666664</v>
      </c>
      <c r="T216" s="449">
        <v>202.84666666666658</v>
      </c>
      <c r="U216" s="449">
        <v>202.84666666666666</v>
      </c>
      <c r="V216" s="449">
        <v>202.84666666666681</v>
      </c>
      <c r="W216" s="449">
        <v>202.84666666666635</v>
      </c>
      <c r="X216" s="449"/>
      <c r="Y216" s="449">
        <v>5038</v>
      </c>
      <c r="Z216" s="531"/>
      <c r="AA216" s="449">
        <v>419.83333333333331</v>
      </c>
      <c r="AB216" s="449">
        <v>419.83333333333331</v>
      </c>
      <c r="AC216" s="449">
        <v>419.83333333333331</v>
      </c>
      <c r="AD216" s="449">
        <v>419.83333333333331</v>
      </c>
      <c r="AE216" s="449">
        <v>419.83333333333331</v>
      </c>
      <c r="AF216" s="449">
        <v>419.83333333333331</v>
      </c>
      <c r="AG216" s="449">
        <v>419.83333333333331</v>
      </c>
      <c r="AH216" s="449">
        <v>419.83333333333331</v>
      </c>
      <c r="AI216" s="449">
        <v>419.83333333333331</v>
      </c>
      <c r="AJ216" s="449">
        <v>419.83333333333331</v>
      </c>
      <c r="AK216" s="449">
        <v>419.83333333333331</v>
      </c>
      <c r="AL216" s="449">
        <v>419.83333333333331</v>
      </c>
      <c r="AM216" s="400"/>
      <c r="AN216" s="500">
        <v>5038</v>
      </c>
      <c r="AO216" s="449">
        <v>5108.2850000000008</v>
      </c>
      <c r="AP216" s="449">
        <v>70.285000000000764</v>
      </c>
      <c r="AQ216" s="453">
        <v>1.3950972608178E-2</v>
      </c>
      <c r="AR216" s="449">
        <v>5108.2850000000008</v>
      </c>
      <c r="AS216" s="449">
        <v>0</v>
      </c>
      <c r="AT216" s="426">
        <v>0</v>
      </c>
      <c r="AU216" s="421"/>
      <c r="AV216" s="449">
        <v>0</v>
      </c>
      <c r="AW216" s="449">
        <v>425.69041666666675</v>
      </c>
      <c r="AX216" s="449">
        <v>425.69041666666675</v>
      </c>
      <c r="AY216" s="449">
        <v>425.69041666666675</v>
      </c>
      <c r="AZ216" s="449">
        <v>425.69041666666675</v>
      </c>
      <c r="BA216" s="449">
        <v>425.69041666666675</v>
      </c>
      <c r="BB216" s="449">
        <v>425.69041666666675</v>
      </c>
      <c r="BC216" s="449">
        <v>425.69041666666675</v>
      </c>
      <c r="BD216" s="449">
        <v>425.69041666666675</v>
      </c>
      <c r="BE216" s="449">
        <v>425.69041666666675</v>
      </c>
      <c r="BF216" s="449">
        <v>425.69041666666675</v>
      </c>
      <c r="BG216" s="449">
        <v>851.3808333333335</v>
      </c>
      <c r="BH216" s="400"/>
      <c r="BI216" s="449">
        <v>0</v>
      </c>
      <c r="BJ216" s="449">
        <v>425.69041666666675</v>
      </c>
      <c r="BK216" s="449">
        <v>425.69041666666675</v>
      </c>
      <c r="BL216" s="771">
        <v>425.69041666666675</v>
      </c>
      <c r="BM216" s="449">
        <v>425.69041666666675</v>
      </c>
      <c r="BN216" s="449">
        <v>425.69041666666675</v>
      </c>
      <c r="BO216" s="449">
        <v>425.69041666666675</v>
      </c>
      <c r="BP216" s="449">
        <v>425.69041666666675</v>
      </c>
      <c r="BQ216" s="449">
        <v>425.69041666666675</v>
      </c>
      <c r="BR216" s="449">
        <v>425.69041666666675</v>
      </c>
      <c r="BS216" s="449">
        <v>425.69041666666675</v>
      </c>
      <c r="BT216" s="449">
        <v>851.3808333333335</v>
      </c>
    </row>
    <row r="217" spans="1:72" x14ac:dyDescent="0.25">
      <c r="A217" s="502" t="s">
        <v>362</v>
      </c>
      <c r="B217" s="502" t="s">
        <v>363</v>
      </c>
      <c r="C217" s="541"/>
      <c r="D217" s="500">
        <v>5445</v>
      </c>
      <c r="E217" s="449">
        <v>5445</v>
      </c>
      <c r="F217" s="449">
        <v>0</v>
      </c>
      <c r="G217" s="421">
        <v>0</v>
      </c>
      <c r="H217" s="449">
        <v>5445</v>
      </c>
      <c r="I217" s="449">
        <v>0</v>
      </c>
      <c r="J217" s="426">
        <v>0</v>
      </c>
      <c r="K217" s="421"/>
      <c r="L217" s="449">
        <v>0</v>
      </c>
      <c r="M217" s="449">
        <v>0</v>
      </c>
      <c r="N217" s="449">
        <v>0</v>
      </c>
      <c r="O217" s="449">
        <v>0</v>
      </c>
      <c r="P217" s="449">
        <v>0</v>
      </c>
      <c r="Q217" s="449">
        <v>0</v>
      </c>
      <c r="R217" s="449">
        <v>907.5</v>
      </c>
      <c r="S217" s="449">
        <v>907.5</v>
      </c>
      <c r="T217" s="449">
        <v>907.5</v>
      </c>
      <c r="U217" s="449">
        <v>907.5</v>
      </c>
      <c r="V217" s="449">
        <v>907.5</v>
      </c>
      <c r="W217" s="449">
        <v>907.5</v>
      </c>
      <c r="X217" s="449"/>
      <c r="Y217" s="449">
        <v>5445</v>
      </c>
      <c r="Z217" s="531"/>
      <c r="AA217" s="449">
        <v>453.75</v>
      </c>
      <c r="AB217" s="449">
        <v>453.75</v>
      </c>
      <c r="AC217" s="449">
        <v>453.75</v>
      </c>
      <c r="AD217" s="449">
        <v>453.75</v>
      </c>
      <c r="AE217" s="449">
        <v>453.75</v>
      </c>
      <c r="AF217" s="449">
        <v>453.75</v>
      </c>
      <c r="AG217" s="449">
        <v>453.75</v>
      </c>
      <c r="AH217" s="449">
        <v>453.75</v>
      </c>
      <c r="AI217" s="449">
        <v>453.75</v>
      </c>
      <c r="AJ217" s="449">
        <v>453.75</v>
      </c>
      <c r="AK217" s="449">
        <v>453.75</v>
      </c>
      <c r="AL217" s="449">
        <v>453.75</v>
      </c>
      <c r="AM217" s="400"/>
      <c r="AN217" s="500">
        <v>5445</v>
      </c>
      <c r="AO217" s="449">
        <v>13180.161190000004</v>
      </c>
      <c r="AP217" s="449">
        <v>7735.1611900000044</v>
      </c>
      <c r="AQ217" s="453">
        <v>1.4205989329660247</v>
      </c>
      <c r="AR217" s="449">
        <v>13180.161190000004</v>
      </c>
      <c r="AS217" s="449">
        <v>0</v>
      </c>
      <c r="AT217" s="426">
        <v>0</v>
      </c>
      <c r="AU217" s="421"/>
      <c r="AV217" s="449">
        <v>0</v>
      </c>
      <c r="AW217" s="449">
        <v>1098.3467658333336</v>
      </c>
      <c r="AX217" s="449">
        <v>1098.3467658333336</v>
      </c>
      <c r="AY217" s="449">
        <v>1098.3467658333336</v>
      </c>
      <c r="AZ217" s="449">
        <v>1098.3467658333336</v>
      </c>
      <c r="BA217" s="449">
        <v>1098.3467658333336</v>
      </c>
      <c r="BB217" s="449">
        <v>1098.3467658333336</v>
      </c>
      <c r="BC217" s="449">
        <v>1098.3467658333336</v>
      </c>
      <c r="BD217" s="449">
        <v>1098.3467658333336</v>
      </c>
      <c r="BE217" s="449">
        <v>1098.3467658333336</v>
      </c>
      <c r="BF217" s="449">
        <v>1098.3467658333336</v>
      </c>
      <c r="BG217" s="449">
        <v>2196.6935316666672</v>
      </c>
      <c r="BH217" s="400"/>
      <c r="BI217" s="449">
        <v>0</v>
      </c>
      <c r="BJ217" s="449">
        <v>1098.3467658333336</v>
      </c>
      <c r="BK217" s="449">
        <v>1098.3467658333336</v>
      </c>
      <c r="BL217" s="771">
        <v>1098.3467658333336</v>
      </c>
      <c r="BM217" s="449">
        <v>1098.3467658333336</v>
      </c>
      <c r="BN217" s="449">
        <v>1098.3467658333336</v>
      </c>
      <c r="BO217" s="449">
        <v>1098.3467658333336</v>
      </c>
      <c r="BP217" s="449">
        <v>1098.3467658333336</v>
      </c>
      <c r="BQ217" s="449">
        <v>1098.3467658333336</v>
      </c>
      <c r="BR217" s="449">
        <v>1098.3467658333336</v>
      </c>
      <c r="BS217" s="449">
        <v>1098.3467658333336</v>
      </c>
      <c r="BT217" s="449">
        <v>2196.6935316666672</v>
      </c>
    </row>
    <row r="218" spans="1:72" x14ac:dyDescent="0.25">
      <c r="A218" s="502" t="s">
        <v>364</v>
      </c>
      <c r="B218" s="502" t="s">
        <v>365</v>
      </c>
      <c r="C218" s="541"/>
      <c r="D218" s="500">
        <v>1539.12</v>
      </c>
      <c r="E218" s="449">
        <v>1745</v>
      </c>
      <c r="F218" s="449">
        <v>-205.88000000000011</v>
      </c>
      <c r="G218" s="421">
        <v>-0.1179828080229227</v>
      </c>
      <c r="H218" s="449">
        <v>1300</v>
      </c>
      <c r="I218" s="449">
        <v>239.11999999999989</v>
      </c>
      <c r="J218" s="426">
        <v>0.18393846153846147</v>
      </c>
      <c r="K218" s="421"/>
      <c r="L218" s="449">
        <v>0</v>
      </c>
      <c r="M218" s="449">
        <v>309.63</v>
      </c>
      <c r="N218" s="449">
        <v>270.91999999999996</v>
      </c>
      <c r="O218" s="449">
        <v>378.0200000000001</v>
      </c>
      <c r="P218" s="449">
        <v>258.01999999999987</v>
      </c>
      <c r="Q218" s="449">
        <v>322.52999999999997</v>
      </c>
      <c r="R218" s="449">
        <v>0</v>
      </c>
      <c r="S218" s="449">
        <v>0</v>
      </c>
      <c r="T218" s="449">
        <v>0</v>
      </c>
      <c r="U218" s="449">
        <v>0</v>
      </c>
      <c r="V218" s="449">
        <v>0</v>
      </c>
      <c r="W218" s="449">
        <v>0</v>
      </c>
      <c r="X218" s="449"/>
      <c r="Y218" s="449">
        <v>1539.12</v>
      </c>
      <c r="Z218" s="531"/>
      <c r="AA218" s="449">
        <v>108.33333333333333</v>
      </c>
      <c r="AB218" s="449">
        <v>108.33333333333333</v>
      </c>
      <c r="AC218" s="449">
        <v>108.33333333333333</v>
      </c>
      <c r="AD218" s="449">
        <v>108.33333333333333</v>
      </c>
      <c r="AE218" s="449">
        <v>108.33333333333333</v>
      </c>
      <c r="AF218" s="449">
        <v>108.33333333333333</v>
      </c>
      <c r="AG218" s="449">
        <v>108.33333333333333</v>
      </c>
      <c r="AH218" s="449">
        <v>108.33333333333333</v>
      </c>
      <c r="AI218" s="449">
        <v>108.33333333333333</v>
      </c>
      <c r="AJ218" s="449">
        <v>108.33333333333333</v>
      </c>
      <c r="AK218" s="449">
        <v>108.33333333333333</v>
      </c>
      <c r="AL218" s="449">
        <v>108.33333333333333</v>
      </c>
      <c r="AM218" s="400"/>
      <c r="AN218" s="500">
        <v>1539.12</v>
      </c>
      <c r="AO218" s="449">
        <v>1339.0000000000002</v>
      </c>
      <c r="AP218" s="449">
        <v>-200.11999999999966</v>
      </c>
      <c r="AQ218" s="453">
        <v>-0.13002235043401403</v>
      </c>
      <c r="AR218" s="449">
        <v>1339.0000000000002</v>
      </c>
      <c r="AS218" s="449">
        <v>0</v>
      </c>
      <c r="AT218" s="426">
        <v>0</v>
      </c>
      <c r="AU218" s="421"/>
      <c r="AV218" s="449">
        <v>0</v>
      </c>
      <c r="AW218" s="449">
        <v>111.58333333333333</v>
      </c>
      <c r="AX218" s="449">
        <v>111.58333333333333</v>
      </c>
      <c r="AY218" s="449">
        <v>111.58333333333333</v>
      </c>
      <c r="AZ218" s="449">
        <v>111.58333333333333</v>
      </c>
      <c r="BA218" s="449">
        <v>111.58333333333333</v>
      </c>
      <c r="BB218" s="449">
        <v>111.58333333333333</v>
      </c>
      <c r="BC218" s="449">
        <v>111.58333333333333</v>
      </c>
      <c r="BD218" s="449">
        <v>111.58333333333333</v>
      </c>
      <c r="BE218" s="449">
        <v>111.58333333333333</v>
      </c>
      <c r="BF218" s="449">
        <v>111.58333333333333</v>
      </c>
      <c r="BG218" s="449">
        <v>223.16666666666666</v>
      </c>
      <c r="BH218" s="400"/>
      <c r="BI218" s="449">
        <v>0</v>
      </c>
      <c r="BJ218" s="449">
        <v>111.58333333333333</v>
      </c>
      <c r="BK218" s="449">
        <v>111.58333333333333</v>
      </c>
      <c r="BL218" s="771">
        <v>111.58333333333333</v>
      </c>
      <c r="BM218" s="449">
        <v>111.58333333333333</v>
      </c>
      <c r="BN218" s="449">
        <v>111.58333333333333</v>
      </c>
      <c r="BO218" s="449">
        <v>111.58333333333333</v>
      </c>
      <c r="BP218" s="449">
        <v>111.58333333333333</v>
      </c>
      <c r="BQ218" s="449">
        <v>111.58333333333333</v>
      </c>
      <c r="BR218" s="449">
        <v>111.58333333333333</v>
      </c>
      <c r="BS218" s="449">
        <v>111.58333333333333</v>
      </c>
      <c r="BT218" s="449">
        <v>223.16666666666666</v>
      </c>
    </row>
    <row r="219" spans="1:72" x14ac:dyDescent="0.25">
      <c r="A219" s="502" t="s">
        <v>366</v>
      </c>
      <c r="B219" s="502" t="s">
        <v>367</v>
      </c>
      <c r="C219" s="541"/>
      <c r="D219" s="500">
        <v>3354</v>
      </c>
      <c r="E219" s="449">
        <v>3490</v>
      </c>
      <c r="F219" s="449">
        <v>-136</v>
      </c>
      <c r="G219" s="421">
        <v>-3.8968481375358167E-2</v>
      </c>
      <c r="H219" s="449">
        <v>3354</v>
      </c>
      <c r="I219" s="449">
        <v>0</v>
      </c>
      <c r="J219" s="426">
        <v>0</v>
      </c>
      <c r="K219" s="421"/>
      <c r="L219" s="449">
        <v>0</v>
      </c>
      <c r="M219" s="449">
        <v>0</v>
      </c>
      <c r="N219" s="449">
        <v>0</v>
      </c>
      <c r="O219" s="449">
        <v>0</v>
      </c>
      <c r="P219" s="449">
        <v>0</v>
      </c>
      <c r="Q219" s="449">
        <v>0</v>
      </c>
      <c r="R219" s="449">
        <v>559</v>
      </c>
      <c r="S219" s="449">
        <v>559</v>
      </c>
      <c r="T219" s="449">
        <v>559</v>
      </c>
      <c r="U219" s="449">
        <v>559</v>
      </c>
      <c r="V219" s="449">
        <v>559</v>
      </c>
      <c r="W219" s="449">
        <v>559</v>
      </c>
      <c r="X219" s="449"/>
      <c r="Y219" s="449">
        <v>3354</v>
      </c>
      <c r="Z219" s="531"/>
      <c r="AA219" s="449">
        <v>279.5</v>
      </c>
      <c r="AB219" s="449">
        <v>279.5</v>
      </c>
      <c r="AC219" s="449">
        <v>279.5</v>
      </c>
      <c r="AD219" s="449">
        <v>279.5</v>
      </c>
      <c r="AE219" s="449">
        <v>279.5</v>
      </c>
      <c r="AF219" s="449">
        <v>279.5</v>
      </c>
      <c r="AG219" s="449">
        <v>279.5</v>
      </c>
      <c r="AH219" s="449">
        <v>279.5</v>
      </c>
      <c r="AI219" s="449">
        <v>279.5</v>
      </c>
      <c r="AJ219" s="449">
        <v>279.5</v>
      </c>
      <c r="AK219" s="449">
        <v>279.5</v>
      </c>
      <c r="AL219" s="449">
        <v>279.5</v>
      </c>
      <c r="AM219" s="400"/>
      <c r="AN219" s="500">
        <v>3354</v>
      </c>
      <c r="AO219" s="449">
        <v>3454.83</v>
      </c>
      <c r="AP219" s="449">
        <v>100.82999999999993</v>
      </c>
      <c r="AQ219" s="453">
        <v>3.0062611806797833E-2</v>
      </c>
      <c r="AR219" s="449">
        <v>3454.83</v>
      </c>
      <c r="AS219" s="449">
        <v>0</v>
      </c>
      <c r="AT219" s="426">
        <v>0</v>
      </c>
      <c r="AU219" s="421"/>
      <c r="AV219" s="449">
        <v>0</v>
      </c>
      <c r="AW219" s="449">
        <v>287.90249999999997</v>
      </c>
      <c r="AX219" s="449">
        <v>287.90249999999997</v>
      </c>
      <c r="AY219" s="449">
        <v>287.90249999999997</v>
      </c>
      <c r="AZ219" s="449">
        <v>287.90249999999997</v>
      </c>
      <c r="BA219" s="449">
        <v>287.90249999999997</v>
      </c>
      <c r="BB219" s="449">
        <v>287.90249999999997</v>
      </c>
      <c r="BC219" s="449">
        <v>287.90249999999997</v>
      </c>
      <c r="BD219" s="449">
        <v>287.90249999999997</v>
      </c>
      <c r="BE219" s="449">
        <v>287.90249999999997</v>
      </c>
      <c r="BF219" s="449">
        <v>287.90249999999997</v>
      </c>
      <c r="BG219" s="449">
        <v>575.80499999999995</v>
      </c>
      <c r="BH219" s="400"/>
      <c r="BI219" s="449">
        <v>0</v>
      </c>
      <c r="BJ219" s="449">
        <v>287.90249999999997</v>
      </c>
      <c r="BK219" s="449">
        <v>287.90249999999997</v>
      </c>
      <c r="BL219" s="771">
        <v>287.90249999999997</v>
      </c>
      <c r="BM219" s="449">
        <v>287.90249999999997</v>
      </c>
      <c r="BN219" s="449">
        <v>287.90249999999997</v>
      </c>
      <c r="BO219" s="449">
        <v>287.90249999999997</v>
      </c>
      <c r="BP219" s="449">
        <v>287.90249999999997</v>
      </c>
      <c r="BQ219" s="449">
        <v>287.90249999999997</v>
      </c>
      <c r="BR219" s="449">
        <v>287.90249999999997</v>
      </c>
      <c r="BS219" s="449">
        <v>287.90249999999997</v>
      </c>
      <c r="BT219" s="449">
        <v>575.80499999999995</v>
      </c>
    </row>
    <row r="220" spans="1:72" hidden="1" x14ac:dyDescent="0.25">
      <c r="A220" s="614" t="s">
        <v>345</v>
      </c>
      <c r="B220" s="614" t="s">
        <v>368</v>
      </c>
      <c r="C220" s="541" t="s">
        <v>347</v>
      </c>
      <c r="D220" s="500">
        <v>11968</v>
      </c>
      <c r="E220" s="449">
        <v>0</v>
      </c>
      <c r="F220" s="449">
        <v>11968</v>
      </c>
      <c r="G220" s="421">
        <v>0</v>
      </c>
      <c r="H220" s="449">
        <v>11968</v>
      </c>
      <c r="I220" s="449">
        <v>0</v>
      </c>
      <c r="J220" s="426">
        <v>0</v>
      </c>
      <c r="K220" s="421"/>
      <c r="L220" s="449">
        <v>0</v>
      </c>
      <c r="M220" s="449">
        <v>0</v>
      </c>
      <c r="N220" s="449">
        <v>0</v>
      </c>
      <c r="O220" s="449">
        <v>9552.6</v>
      </c>
      <c r="P220" s="449">
        <v>-9552.6</v>
      </c>
      <c r="Q220" s="449">
        <v>0</v>
      </c>
      <c r="R220" s="449">
        <v>1994.6666666666667</v>
      </c>
      <c r="S220" s="449">
        <v>1994.6666666666667</v>
      </c>
      <c r="T220" s="449">
        <v>1994.6666666666665</v>
      </c>
      <c r="U220" s="449">
        <v>1994.6666666666667</v>
      </c>
      <c r="V220" s="449">
        <v>1994.6666666666665</v>
      </c>
      <c r="W220" s="449">
        <v>1994.6666666666661</v>
      </c>
      <c r="X220" s="449"/>
      <c r="Y220" s="449">
        <v>11968</v>
      </c>
      <c r="Z220" s="531"/>
      <c r="AA220" s="449">
        <v>997.33333333333337</v>
      </c>
      <c r="AB220" s="449">
        <v>997.33333333333337</v>
      </c>
      <c r="AC220" s="449">
        <v>997.33333333333337</v>
      </c>
      <c r="AD220" s="449">
        <v>997.33333333333337</v>
      </c>
      <c r="AE220" s="449">
        <v>997.33333333333337</v>
      </c>
      <c r="AF220" s="449">
        <v>997.33333333333337</v>
      </c>
      <c r="AG220" s="449">
        <v>997.33333333333337</v>
      </c>
      <c r="AH220" s="449">
        <v>997.33333333333337</v>
      </c>
      <c r="AI220" s="449">
        <v>997.33333333333337</v>
      </c>
      <c r="AJ220" s="449">
        <v>997.33333333333337</v>
      </c>
      <c r="AK220" s="449">
        <v>997.33333333333337</v>
      </c>
      <c r="AL220" s="449">
        <v>997.33333333333337</v>
      </c>
      <c r="AM220" s="400"/>
      <c r="AN220" s="500">
        <v>11968</v>
      </c>
      <c r="AO220" s="449">
        <v>0</v>
      </c>
      <c r="AP220" s="449">
        <v>-11968</v>
      </c>
      <c r="AQ220" s="453">
        <v>-1</v>
      </c>
      <c r="AR220" s="449">
        <v>0</v>
      </c>
      <c r="AS220" s="449">
        <v>0</v>
      </c>
      <c r="AT220" s="426">
        <v>0</v>
      </c>
      <c r="AU220" s="421"/>
      <c r="AV220" s="449">
        <v>0</v>
      </c>
      <c r="AW220" s="449">
        <v>0</v>
      </c>
      <c r="AX220" s="449">
        <v>0</v>
      </c>
      <c r="AY220" s="449">
        <v>0</v>
      </c>
      <c r="AZ220" s="449">
        <v>0</v>
      </c>
      <c r="BA220" s="449">
        <v>0</v>
      </c>
      <c r="BB220" s="449">
        <v>0</v>
      </c>
      <c r="BC220" s="449">
        <v>0</v>
      </c>
      <c r="BD220" s="449">
        <v>0</v>
      </c>
      <c r="BE220" s="449">
        <v>0</v>
      </c>
      <c r="BF220" s="449">
        <v>0</v>
      </c>
      <c r="BG220" s="449">
        <v>0</v>
      </c>
      <c r="BH220" s="400"/>
      <c r="BI220" s="449">
        <v>0</v>
      </c>
      <c r="BJ220" s="449">
        <v>0</v>
      </c>
      <c r="BK220" s="449">
        <v>0</v>
      </c>
      <c r="BL220" s="771">
        <v>0</v>
      </c>
      <c r="BM220" s="449">
        <v>0</v>
      </c>
      <c r="BN220" s="449">
        <v>0</v>
      </c>
      <c r="BO220" s="449">
        <v>0</v>
      </c>
      <c r="BP220" s="449">
        <v>0</v>
      </c>
      <c r="BQ220" s="449">
        <v>0</v>
      </c>
      <c r="BR220" s="449">
        <v>0</v>
      </c>
      <c r="BS220" s="449">
        <v>0</v>
      </c>
      <c r="BT220" s="449">
        <v>0</v>
      </c>
    </row>
    <row r="221" spans="1:72" x14ac:dyDescent="0.25">
      <c r="A221" s="502" t="s">
        <v>369</v>
      </c>
      <c r="B221" s="502" t="s">
        <v>370</v>
      </c>
      <c r="C221" s="538"/>
      <c r="D221" s="500">
        <v>32500</v>
      </c>
      <c r="E221" s="449">
        <v>36280</v>
      </c>
      <c r="F221" s="449">
        <v>-3780</v>
      </c>
      <c r="G221" s="421">
        <v>-0.10418963616317531</v>
      </c>
      <c r="H221" s="449">
        <v>32500</v>
      </c>
      <c r="I221" s="449">
        <v>0</v>
      </c>
      <c r="J221" s="426">
        <v>0</v>
      </c>
      <c r="K221" s="421"/>
      <c r="L221" s="449">
        <v>0</v>
      </c>
      <c r="M221" s="449">
        <v>3000</v>
      </c>
      <c r="N221" s="449">
        <v>2625</v>
      </c>
      <c r="O221" s="449">
        <v>2500</v>
      </c>
      <c r="P221" s="449">
        <v>2500</v>
      </c>
      <c r="Q221" s="449">
        <v>3125</v>
      </c>
      <c r="R221" s="449">
        <v>3125</v>
      </c>
      <c r="S221" s="449">
        <v>3125</v>
      </c>
      <c r="T221" s="449">
        <v>3125</v>
      </c>
      <c r="U221" s="449">
        <v>3125</v>
      </c>
      <c r="V221" s="449">
        <v>3125</v>
      </c>
      <c r="W221" s="449">
        <v>3125</v>
      </c>
      <c r="X221" s="449"/>
      <c r="Y221" s="449">
        <v>32500</v>
      </c>
      <c r="Z221" s="531"/>
      <c r="AA221" s="449">
        <v>2708.3333333333335</v>
      </c>
      <c r="AB221" s="449">
        <v>2708.3333333333335</v>
      </c>
      <c r="AC221" s="449">
        <v>2708.3333333333335</v>
      </c>
      <c r="AD221" s="449">
        <v>2708.3333333333335</v>
      </c>
      <c r="AE221" s="449">
        <v>2708.3333333333335</v>
      </c>
      <c r="AF221" s="449">
        <v>2708.3333333333335</v>
      </c>
      <c r="AG221" s="449">
        <v>2708.3333333333335</v>
      </c>
      <c r="AH221" s="449">
        <v>2708.3333333333335</v>
      </c>
      <c r="AI221" s="449">
        <v>2708.3333333333335</v>
      </c>
      <c r="AJ221" s="449">
        <v>2708.3333333333335</v>
      </c>
      <c r="AK221" s="449">
        <v>2708.3333333333335</v>
      </c>
      <c r="AL221" s="449">
        <v>2708.3333333333335</v>
      </c>
      <c r="AM221" s="400"/>
      <c r="AN221" s="500">
        <v>32500</v>
      </c>
      <c r="AO221" s="449">
        <v>33474.999999999993</v>
      </c>
      <c r="AP221" s="449">
        <v>974.99999999999272</v>
      </c>
      <c r="AQ221" s="453">
        <v>2.9999999999999777E-2</v>
      </c>
      <c r="AR221" s="449">
        <v>33474.999999999993</v>
      </c>
      <c r="AS221" s="449">
        <v>0</v>
      </c>
      <c r="AT221" s="426">
        <v>0</v>
      </c>
      <c r="AU221" s="421"/>
      <c r="AV221" s="449">
        <v>0</v>
      </c>
      <c r="AW221" s="449">
        <v>2789.5833333333335</v>
      </c>
      <c r="AX221" s="449">
        <v>2789.5833333333335</v>
      </c>
      <c r="AY221" s="449">
        <v>2789.5833333333335</v>
      </c>
      <c r="AZ221" s="449">
        <v>2789.5833333333335</v>
      </c>
      <c r="BA221" s="449">
        <v>2789.5833333333335</v>
      </c>
      <c r="BB221" s="449">
        <v>2789.5833333333335</v>
      </c>
      <c r="BC221" s="449">
        <v>2789.5833333333335</v>
      </c>
      <c r="BD221" s="449">
        <v>2789.5833333333335</v>
      </c>
      <c r="BE221" s="449">
        <v>2789.5833333333335</v>
      </c>
      <c r="BF221" s="449">
        <v>2789.5833333333335</v>
      </c>
      <c r="BG221" s="449">
        <v>5579.166666666667</v>
      </c>
      <c r="BH221" s="400"/>
      <c r="BI221" s="449">
        <v>0</v>
      </c>
      <c r="BJ221" s="449">
        <v>2789.5833333333335</v>
      </c>
      <c r="BK221" s="449">
        <v>2789.5833333333335</v>
      </c>
      <c r="BL221" s="771">
        <v>2789.5833333333335</v>
      </c>
      <c r="BM221" s="449">
        <v>2789.5833333333335</v>
      </c>
      <c r="BN221" s="449">
        <v>2789.5833333333335</v>
      </c>
      <c r="BO221" s="449">
        <v>2789.5833333333335</v>
      </c>
      <c r="BP221" s="449">
        <v>2789.5833333333335</v>
      </c>
      <c r="BQ221" s="449">
        <v>2789.5833333333335</v>
      </c>
      <c r="BR221" s="449">
        <v>2789.5833333333335</v>
      </c>
      <c r="BS221" s="449">
        <v>2789.5833333333335</v>
      </c>
      <c r="BT221" s="449">
        <v>5579.166666666667</v>
      </c>
    </row>
    <row r="222" spans="1:72" x14ac:dyDescent="0.25">
      <c r="A222" s="502" t="s">
        <v>371</v>
      </c>
      <c r="B222" s="502" t="s">
        <v>372</v>
      </c>
      <c r="C222" s="538"/>
      <c r="D222" s="500">
        <v>36281</v>
      </c>
      <c r="E222" s="449">
        <v>42328</v>
      </c>
      <c r="F222" s="449">
        <v>-6047</v>
      </c>
      <c r="G222" s="421">
        <v>-0.14286051786051787</v>
      </c>
      <c r="H222" s="449">
        <v>36281</v>
      </c>
      <c r="I222" s="449">
        <v>0</v>
      </c>
      <c r="J222" s="426">
        <v>0</v>
      </c>
      <c r="K222" s="421"/>
      <c r="L222" s="449">
        <v>0</v>
      </c>
      <c r="M222" s="449">
        <v>3349.01</v>
      </c>
      <c r="N222" s="449">
        <v>2930.38</v>
      </c>
      <c r="O222" s="449">
        <v>2790.8399999999992</v>
      </c>
      <c r="P222" s="449">
        <v>2790.84</v>
      </c>
      <c r="Q222" s="449">
        <v>3488.5500000000011</v>
      </c>
      <c r="R222" s="449">
        <v>3488.563333333333</v>
      </c>
      <c r="S222" s="449">
        <v>3488.563333333333</v>
      </c>
      <c r="T222" s="449">
        <v>3488.5633333333335</v>
      </c>
      <c r="U222" s="449">
        <v>3488.563333333334</v>
      </c>
      <c r="V222" s="449">
        <v>3488.5633333333335</v>
      </c>
      <c r="W222" s="449">
        <v>3488.5633333333317</v>
      </c>
      <c r="X222" s="449"/>
      <c r="Y222" s="449">
        <v>36281</v>
      </c>
      <c r="Z222" s="531"/>
      <c r="AA222" s="449">
        <v>3023.4166666666665</v>
      </c>
      <c r="AB222" s="449">
        <v>3023.4166666666665</v>
      </c>
      <c r="AC222" s="449">
        <v>3023.4166666666665</v>
      </c>
      <c r="AD222" s="449">
        <v>3023.4166666666665</v>
      </c>
      <c r="AE222" s="449">
        <v>3023.4166666666665</v>
      </c>
      <c r="AF222" s="449">
        <v>3023.4166666666665</v>
      </c>
      <c r="AG222" s="449">
        <v>3023.4166666666665</v>
      </c>
      <c r="AH222" s="449">
        <v>3023.4166666666665</v>
      </c>
      <c r="AI222" s="449">
        <v>3023.4166666666665</v>
      </c>
      <c r="AJ222" s="449">
        <v>3023.4166666666665</v>
      </c>
      <c r="AK222" s="449">
        <v>3023.4166666666665</v>
      </c>
      <c r="AL222" s="449">
        <v>3023.4166666666665</v>
      </c>
      <c r="AM222" s="400"/>
      <c r="AN222" s="500">
        <v>36281</v>
      </c>
      <c r="AO222" s="449">
        <v>37369.141599999995</v>
      </c>
      <c r="AP222" s="449">
        <v>1088.1415999999954</v>
      </c>
      <c r="AQ222" s="453">
        <v>2.9992050935751368E-2</v>
      </c>
      <c r="AR222" s="449">
        <v>37369.141599999995</v>
      </c>
      <c r="AS222" s="449">
        <v>0</v>
      </c>
      <c r="AT222" s="426">
        <v>0</v>
      </c>
      <c r="AU222" s="421"/>
      <c r="AV222" s="449">
        <v>0</v>
      </c>
      <c r="AW222" s="449">
        <v>3114.0951333333337</v>
      </c>
      <c r="AX222" s="449">
        <v>3114.0951333333337</v>
      </c>
      <c r="AY222" s="449">
        <v>3114.0951333333337</v>
      </c>
      <c r="AZ222" s="449">
        <v>3114.0951333333337</v>
      </c>
      <c r="BA222" s="449">
        <v>3114.0951333333337</v>
      </c>
      <c r="BB222" s="449">
        <v>3114.0951333333337</v>
      </c>
      <c r="BC222" s="449">
        <v>3114.0951333333337</v>
      </c>
      <c r="BD222" s="449">
        <v>3114.0951333333337</v>
      </c>
      <c r="BE222" s="449">
        <v>3114.0951333333337</v>
      </c>
      <c r="BF222" s="449">
        <v>3114.0951333333337</v>
      </c>
      <c r="BG222" s="449">
        <v>6228.1902666666674</v>
      </c>
      <c r="BH222" s="400"/>
      <c r="BI222" s="449">
        <v>0</v>
      </c>
      <c r="BJ222" s="449">
        <v>3114.0951333333337</v>
      </c>
      <c r="BK222" s="449">
        <v>3114.0951333333337</v>
      </c>
      <c r="BL222" s="771">
        <v>3114.0951333333337</v>
      </c>
      <c r="BM222" s="449">
        <v>3114.0951333333337</v>
      </c>
      <c r="BN222" s="449">
        <v>3114.0951333333337</v>
      </c>
      <c r="BO222" s="449">
        <v>3114.0951333333337</v>
      </c>
      <c r="BP222" s="449">
        <v>3114.0951333333337</v>
      </c>
      <c r="BQ222" s="449">
        <v>3114.0951333333337</v>
      </c>
      <c r="BR222" s="449">
        <v>3114.0951333333337</v>
      </c>
      <c r="BS222" s="449">
        <v>3114.0951333333337</v>
      </c>
      <c r="BT222" s="449">
        <v>6228.1902666666674</v>
      </c>
    </row>
    <row r="223" spans="1:72" x14ac:dyDescent="0.25">
      <c r="A223" s="502" t="s">
        <v>373</v>
      </c>
      <c r="B223" s="502" t="s">
        <v>374</v>
      </c>
      <c r="C223" s="538"/>
      <c r="D223" s="500">
        <v>3000</v>
      </c>
      <c r="E223" s="449">
        <v>3000</v>
      </c>
      <c r="F223" s="449">
        <v>0</v>
      </c>
      <c r="G223" s="421">
        <v>0</v>
      </c>
      <c r="H223" s="449">
        <v>3000</v>
      </c>
      <c r="I223" s="449">
        <v>0</v>
      </c>
      <c r="J223" s="426">
        <v>0</v>
      </c>
      <c r="K223" s="421"/>
      <c r="L223" s="449">
        <v>0</v>
      </c>
      <c r="M223" s="449">
        <v>0</v>
      </c>
      <c r="N223" s="449">
        <v>0</v>
      </c>
      <c r="O223" s="449">
        <v>3000</v>
      </c>
      <c r="P223" s="449">
        <v>0</v>
      </c>
      <c r="Q223" s="449">
        <v>0</v>
      </c>
      <c r="R223" s="449">
        <v>0</v>
      </c>
      <c r="S223" s="449">
        <v>0</v>
      </c>
      <c r="T223" s="449">
        <v>0</v>
      </c>
      <c r="U223" s="449">
        <v>0</v>
      </c>
      <c r="V223" s="449">
        <v>0</v>
      </c>
      <c r="W223" s="449">
        <v>0</v>
      </c>
      <c r="X223" s="449"/>
      <c r="Y223" s="449">
        <v>3000</v>
      </c>
      <c r="Z223" s="531"/>
      <c r="AA223" s="449">
        <v>250</v>
      </c>
      <c r="AB223" s="449">
        <v>250</v>
      </c>
      <c r="AC223" s="449">
        <v>250</v>
      </c>
      <c r="AD223" s="449">
        <v>250</v>
      </c>
      <c r="AE223" s="449">
        <v>250</v>
      </c>
      <c r="AF223" s="449">
        <v>250</v>
      </c>
      <c r="AG223" s="449">
        <v>250</v>
      </c>
      <c r="AH223" s="449">
        <v>250</v>
      </c>
      <c r="AI223" s="449">
        <v>250</v>
      </c>
      <c r="AJ223" s="449">
        <v>250</v>
      </c>
      <c r="AK223" s="449">
        <v>250</v>
      </c>
      <c r="AL223" s="449">
        <v>250</v>
      </c>
      <c r="AM223" s="400"/>
      <c r="AN223" s="500">
        <v>3000</v>
      </c>
      <c r="AO223" s="449">
        <v>3000</v>
      </c>
      <c r="AP223" s="449">
        <v>0</v>
      </c>
      <c r="AQ223" s="453">
        <v>0</v>
      </c>
      <c r="AR223" s="449">
        <v>3000</v>
      </c>
      <c r="AS223" s="449">
        <v>0</v>
      </c>
      <c r="AT223" s="426">
        <v>0</v>
      </c>
      <c r="AU223" s="421"/>
      <c r="AV223" s="449">
        <v>0</v>
      </c>
      <c r="AW223" s="449">
        <v>0</v>
      </c>
      <c r="AX223" s="449">
        <v>0</v>
      </c>
      <c r="AY223" s="449">
        <v>3000</v>
      </c>
      <c r="AZ223" s="449">
        <v>0</v>
      </c>
      <c r="BA223" s="449">
        <v>0</v>
      </c>
      <c r="BB223" s="449">
        <v>0</v>
      </c>
      <c r="BC223" s="449">
        <v>0</v>
      </c>
      <c r="BD223" s="449">
        <v>0</v>
      </c>
      <c r="BE223" s="449">
        <v>0</v>
      </c>
      <c r="BF223" s="449">
        <v>0</v>
      </c>
      <c r="BG223" s="449">
        <v>0</v>
      </c>
      <c r="BH223" s="400"/>
      <c r="BI223" s="449">
        <v>0</v>
      </c>
      <c r="BJ223" s="449">
        <v>0</v>
      </c>
      <c r="BK223" s="449">
        <v>0</v>
      </c>
      <c r="BL223" s="771">
        <v>3000</v>
      </c>
      <c r="BM223" s="449">
        <v>0</v>
      </c>
      <c r="BN223" s="449">
        <v>0</v>
      </c>
      <c r="BO223" s="449">
        <v>0</v>
      </c>
      <c r="BP223" s="449">
        <v>0</v>
      </c>
      <c r="BQ223" s="449">
        <v>0</v>
      </c>
      <c r="BR223" s="449">
        <v>0</v>
      </c>
      <c r="BS223" s="449">
        <v>0</v>
      </c>
      <c r="BT223" s="449">
        <v>0</v>
      </c>
    </row>
    <row r="224" spans="1:72" x14ac:dyDescent="0.25">
      <c r="A224" s="537" t="s">
        <v>375</v>
      </c>
      <c r="B224" s="537" t="s">
        <v>376</v>
      </c>
      <c r="C224" s="541"/>
      <c r="D224" s="500">
        <v>0</v>
      </c>
      <c r="E224" s="449">
        <v>0</v>
      </c>
      <c r="F224" s="449">
        <v>0</v>
      </c>
      <c r="G224" s="421">
        <v>0</v>
      </c>
      <c r="H224" s="449">
        <v>0</v>
      </c>
      <c r="I224" s="449">
        <v>0</v>
      </c>
      <c r="J224" s="426">
        <v>0</v>
      </c>
      <c r="K224" s="421"/>
      <c r="L224" s="449">
        <v>0</v>
      </c>
      <c r="M224" s="449">
        <v>0</v>
      </c>
      <c r="N224" s="449">
        <v>0</v>
      </c>
      <c r="O224" s="449">
        <v>0</v>
      </c>
      <c r="P224" s="449">
        <v>0</v>
      </c>
      <c r="Q224" s="449">
        <v>0</v>
      </c>
      <c r="R224" s="449">
        <v>0</v>
      </c>
      <c r="S224" s="449">
        <v>0</v>
      </c>
      <c r="T224" s="449">
        <v>0</v>
      </c>
      <c r="U224" s="449">
        <v>0</v>
      </c>
      <c r="V224" s="449">
        <v>0</v>
      </c>
      <c r="W224" s="449">
        <v>0</v>
      </c>
      <c r="X224" s="449"/>
      <c r="Y224" s="449">
        <v>0</v>
      </c>
      <c r="Z224" s="531"/>
      <c r="AA224" s="449">
        <v>0</v>
      </c>
      <c r="AB224" s="449">
        <v>0</v>
      </c>
      <c r="AC224" s="449">
        <v>0</v>
      </c>
      <c r="AD224" s="449">
        <v>0</v>
      </c>
      <c r="AE224" s="449">
        <v>0</v>
      </c>
      <c r="AF224" s="449">
        <v>0</v>
      </c>
      <c r="AG224" s="449">
        <v>0</v>
      </c>
      <c r="AH224" s="449">
        <v>0</v>
      </c>
      <c r="AI224" s="449">
        <v>0</v>
      </c>
      <c r="AJ224" s="449">
        <v>0</v>
      </c>
      <c r="AK224" s="449">
        <v>0</v>
      </c>
      <c r="AL224" s="449">
        <v>0</v>
      </c>
      <c r="AM224" s="400"/>
      <c r="AN224" s="500">
        <v>0</v>
      </c>
      <c r="AO224" s="449">
        <v>3000</v>
      </c>
      <c r="AP224" s="449">
        <v>3000</v>
      </c>
      <c r="AQ224" s="453" t="s">
        <v>1519</v>
      </c>
      <c r="AR224" s="449">
        <v>3000</v>
      </c>
      <c r="AS224" s="449">
        <v>0</v>
      </c>
      <c r="AT224" s="426">
        <v>0</v>
      </c>
      <c r="AU224" s="421"/>
      <c r="AV224" s="449">
        <v>0</v>
      </c>
      <c r="AW224" s="449">
        <v>0</v>
      </c>
      <c r="AX224" s="449">
        <v>0</v>
      </c>
      <c r="AY224" s="449">
        <v>3000</v>
      </c>
      <c r="AZ224" s="449">
        <v>0</v>
      </c>
      <c r="BA224" s="449">
        <v>0</v>
      </c>
      <c r="BB224" s="449">
        <v>0</v>
      </c>
      <c r="BC224" s="449">
        <v>0</v>
      </c>
      <c r="BD224" s="449">
        <v>0</v>
      </c>
      <c r="BE224" s="449">
        <v>0</v>
      </c>
      <c r="BF224" s="449">
        <v>0</v>
      </c>
      <c r="BG224" s="449">
        <v>0</v>
      </c>
      <c r="BH224" s="400"/>
      <c r="BI224" s="449">
        <v>0</v>
      </c>
      <c r="BJ224" s="449">
        <v>0</v>
      </c>
      <c r="BK224" s="449">
        <v>0</v>
      </c>
      <c r="BL224" s="771">
        <v>3000</v>
      </c>
      <c r="BM224" s="449">
        <v>0</v>
      </c>
      <c r="BN224" s="449">
        <v>0</v>
      </c>
      <c r="BO224" s="449">
        <v>0</v>
      </c>
      <c r="BP224" s="449">
        <v>0</v>
      </c>
      <c r="BQ224" s="449">
        <v>0</v>
      </c>
      <c r="BR224" s="449">
        <v>0</v>
      </c>
      <c r="BS224" s="449">
        <v>0</v>
      </c>
      <c r="BT224" s="449">
        <v>0</v>
      </c>
    </row>
    <row r="225" spans="1:72" x14ac:dyDescent="0.25">
      <c r="A225" s="502" t="s">
        <v>377</v>
      </c>
      <c r="B225" s="502" t="s">
        <v>378</v>
      </c>
      <c r="C225" s="541"/>
      <c r="D225" s="500">
        <v>5508</v>
      </c>
      <c r="E225" s="449">
        <v>5797</v>
      </c>
      <c r="F225" s="449">
        <v>-289</v>
      </c>
      <c r="G225" s="421">
        <v>-4.9853372434017593E-2</v>
      </c>
      <c r="H225" s="449">
        <v>5508</v>
      </c>
      <c r="I225" s="449">
        <v>0</v>
      </c>
      <c r="J225" s="426">
        <v>0</v>
      </c>
      <c r="K225" s="421"/>
      <c r="L225" s="449">
        <v>5.84</v>
      </c>
      <c r="M225" s="449">
        <v>495.76000000000005</v>
      </c>
      <c r="N225" s="449">
        <v>316.26</v>
      </c>
      <c r="O225" s="449">
        <v>714.9899999999999</v>
      </c>
      <c r="P225" s="449">
        <v>321.24</v>
      </c>
      <c r="Q225" s="449">
        <v>336.54999999999995</v>
      </c>
      <c r="R225" s="449">
        <v>552.89333333333332</v>
      </c>
      <c r="S225" s="449">
        <v>552.89333333333332</v>
      </c>
      <c r="T225" s="449">
        <v>552.89333333333332</v>
      </c>
      <c r="U225" s="449">
        <v>552.89333333333332</v>
      </c>
      <c r="V225" s="449">
        <v>552.89333333333343</v>
      </c>
      <c r="W225" s="449">
        <v>552.89333333333343</v>
      </c>
      <c r="X225" s="449"/>
      <c r="Y225" s="449">
        <v>5508</v>
      </c>
      <c r="Z225" s="531"/>
      <c r="AA225" s="449">
        <v>459</v>
      </c>
      <c r="AB225" s="449">
        <v>459</v>
      </c>
      <c r="AC225" s="449">
        <v>459</v>
      </c>
      <c r="AD225" s="449">
        <v>459</v>
      </c>
      <c r="AE225" s="449">
        <v>459</v>
      </c>
      <c r="AF225" s="449">
        <v>459</v>
      </c>
      <c r="AG225" s="449">
        <v>459</v>
      </c>
      <c r="AH225" s="449">
        <v>459</v>
      </c>
      <c r="AI225" s="449">
        <v>459</v>
      </c>
      <c r="AJ225" s="449">
        <v>459</v>
      </c>
      <c r="AK225" s="449">
        <v>459</v>
      </c>
      <c r="AL225" s="449">
        <v>459</v>
      </c>
      <c r="AM225" s="400"/>
      <c r="AN225" s="500">
        <v>5508</v>
      </c>
      <c r="AO225" s="449">
        <v>4181.84</v>
      </c>
      <c r="AP225" s="449">
        <v>-1326.1599999999999</v>
      </c>
      <c r="AQ225" s="453">
        <v>-0.24076978939724036</v>
      </c>
      <c r="AR225" s="449">
        <v>4181.84</v>
      </c>
      <c r="AS225" s="449">
        <v>0</v>
      </c>
      <c r="AT225" s="426">
        <v>0</v>
      </c>
      <c r="AU225" s="421"/>
      <c r="AV225" s="449">
        <v>0</v>
      </c>
      <c r="AW225" s="449">
        <v>348.48666666666668</v>
      </c>
      <c r="AX225" s="449">
        <v>348.48666666666668</v>
      </c>
      <c r="AY225" s="449">
        <v>348.48666666666668</v>
      </c>
      <c r="AZ225" s="449">
        <v>348.48666666666668</v>
      </c>
      <c r="BA225" s="449">
        <v>348.48666666666668</v>
      </c>
      <c r="BB225" s="449">
        <v>348.48666666666668</v>
      </c>
      <c r="BC225" s="449">
        <v>348.48666666666668</v>
      </c>
      <c r="BD225" s="449">
        <v>348.48666666666668</v>
      </c>
      <c r="BE225" s="449">
        <v>348.48666666666668</v>
      </c>
      <c r="BF225" s="449">
        <v>348.48666666666668</v>
      </c>
      <c r="BG225" s="449">
        <v>696.97333333333336</v>
      </c>
      <c r="BH225" s="400"/>
      <c r="BI225" s="449">
        <v>0</v>
      </c>
      <c r="BJ225" s="449">
        <v>348.48666666666668</v>
      </c>
      <c r="BK225" s="449">
        <v>348.48666666666668</v>
      </c>
      <c r="BL225" s="771">
        <v>348.48666666666668</v>
      </c>
      <c r="BM225" s="449">
        <v>348.48666666666668</v>
      </c>
      <c r="BN225" s="449">
        <v>348.48666666666668</v>
      </c>
      <c r="BO225" s="449">
        <v>348.48666666666668</v>
      </c>
      <c r="BP225" s="449">
        <v>348.48666666666668</v>
      </c>
      <c r="BQ225" s="449">
        <v>348.48666666666668</v>
      </c>
      <c r="BR225" s="449">
        <v>348.48666666666668</v>
      </c>
      <c r="BS225" s="449">
        <v>348.48666666666668</v>
      </c>
      <c r="BT225" s="449">
        <v>696.97333333333336</v>
      </c>
    </row>
    <row r="226" spans="1:72" x14ac:dyDescent="0.25">
      <c r="A226" s="502" t="s">
        <v>379</v>
      </c>
      <c r="B226" s="502" t="s">
        <v>380</v>
      </c>
      <c r="C226" s="541"/>
      <c r="D226" s="500">
        <v>4171</v>
      </c>
      <c r="E226" s="449">
        <v>4916</v>
      </c>
      <c r="F226" s="449">
        <v>-745</v>
      </c>
      <c r="G226" s="421">
        <v>-0.1515459723352319</v>
      </c>
      <c r="H226" s="449">
        <v>4171</v>
      </c>
      <c r="I226" s="449">
        <v>0</v>
      </c>
      <c r="J226" s="426">
        <v>0</v>
      </c>
      <c r="K226" s="421"/>
      <c r="L226" s="449">
        <v>0</v>
      </c>
      <c r="M226" s="449">
        <v>542.71</v>
      </c>
      <c r="N226" s="449">
        <v>357.33999999999992</v>
      </c>
      <c r="O226" s="449">
        <v>362.94000000000005</v>
      </c>
      <c r="P226" s="449">
        <v>235.84999999999991</v>
      </c>
      <c r="Q226" s="449">
        <v>266.88000000000011</v>
      </c>
      <c r="R226" s="449">
        <v>400.87999999999994</v>
      </c>
      <c r="S226" s="449">
        <v>400.88</v>
      </c>
      <c r="T226" s="449">
        <v>400.88</v>
      </c>
      <c r="U226" s="449">
        <v>400.87999999999994</v>
      </c>
      <c r="V226" s="449">
        <v>400.87999999999988</v>
      </c>
      <c r="W226" s="449">
        <v>400.88000000000011</v>
      </c>
      <c r="X226" s="449"/>
      <c r="Y226" s="449">
        <v>4171</v>
      </c>
      <c r="Z226" s="531"/>
      <c r="AA226" s="449">
        <v>347.58333333333331</v>
      </c>
      <c r="AB226" s="449">
        <v>347.58333333333331</v>
      </c>
      <c r="AC226" s="449">
        <v>347.58333333333331</v>
      </c>
      <c r="AD226" s="449">
        <v>347.58333333333331</v>
      </c>
      <c r="AE226" s="449">
        <v>347.58333333333331</v>
      </c>
      <c r="AF226" s="449">
        <v>347.58333333333331</v>
      </c>
      <c r="AG226" s="449">
        <v>347.58333333333331</v>
      </c>
      <c r="AH226" s="449">
        <v>347.58333333333331</v>
      </c>
      <c r="AI226" s="449">
        <v>347.58333333333331</v>
      </c>
      <c r="AJ226" s="449">
        <v>347.58333333333331</v>
      </c>
      <c r="AK226" s="449">
        <v>347.58333333333331</v>
      </c>
      <c r="AL226" s="449">
        <v>347.58333333333331</v>
      </c>
      <c r="AM226" s="400"/>
      <c r="AN226" s="500">
        <v>4171</v>
      </c>
      <c r="AO226" s="449">
        <v>4479.7399999999989</v>
      </c>
      <c r="AP226" s="449">
        <v>308.73999999999887</v>
      </c>
      <c r="AQ226" s="453">
        <v>7.4020618556700765E-2</v>
      </c>
      <c r="AR226" s="449">
        <v>4479.7399999999989</v>
      </c>
      <c r="AS226" s="449">
        <v>0</v>
      </c>
      <c r="AT226" s="426">
        <v>0</v>
      </c>
      <c r="AU226" s="421"/>
      <c r="AV226" s="449">
        <v>0</v>
      </c>
      <c r="AW226" s="449">
        <v>373.31166666666667</v>
      </c>
      <c r="AX226" s="449">
        <v>373.31166666666667</v>
      </c>
      <c r="AY226" s="449">
        <v>373.31166666666667</v>
      </c>
      <c r="AZ226" s="449">
        <v>373.31166666666667</v>
      </c>
      <c r="BA226" s="449">
        <v>373.31166666666667</v>
      </c>
      <c r="BB226" s="449">
        <v>373.31166666666667</v>
      </c>
      <c r="BC226" s="449">
        <v>373.31166666666667</v>
      </c>
      <c r="BD226" s="449">
        <v>373.31166666666667</v>
      </c>
      <c r="BE226" s="449">
        <v>373.31166666666667</v>
      </c>
      <c r="BF226" s="449">
        <v>373.31166666666667</v>
      </c>
      <c r="BG226" s="449">
        <v>746.62333333333333</v>
      </c>
      <c r="BH226" s="400"/>
      <c r="BI226" s="449">
        <v>0</v>
      </c>
      <c r="BJ226" s="449">
        <v>373.31166666666667</v>
      </c>
      <c r="BK226" s="449">
        <v>373.31166666666667</v>
      </c>
      <c r="BL226" s="771">
        <v>373.31166666666667</v>
      </c>
      <c r="BM226" s="449">
        <v>373.31166666666667</v>
      </c>
      <c r="BN226" s="449">
        <v>373.31166666666667</v>
      </c>
      <c r="BO226" s="449">
        <v>373.31166666666667</v>
      </c>
      <c r="BP226" s="449">
        <v>373.31166666666667</v>
      </c>
      <c r="BQ226" s="449">
        <v>373.31166666666667</v>
      </c>
      <c r="BR226" s="449">
        <v>373.31166666666667</v>
      </c>
      <c r="BS226" s="449">
        <v>373.31166666666667</v>
      </c>
      <c r="BT226" s="449">
        <v>746.62333333333333</v>
      </c>
    </row>
    <row r="227" spans="1:72" x14ac:dyDescent="0.25">
      <c r="A227" s="502" t="s">
        <v>381</v>
      </c>
      <c r="B227" s="502" t="s">
        <v>382</v>
      </c>
      <c r="C227" s="541"/>
      <c r="D227" s="500">
        <v>5044</v>
      </c>
      <c r="E227" s="449">
        <v>5044</v>
      </c>
      <c r="F227" s="449">
        <v>0</v>
      </c>
      <c r="G227" s="421">
        <v>0</v>
      </c>
      <c r="H227" s="449">
        <v>5044</v>
      </c>
      <c r="I227" s="449">
        <v>0</v>
      </c>
      <c r="J227" s="426">
        <v>0</v>
      </c>
      <c r="K227" s="421"/>
      <c r="L227" s="449">
        <v>26.89</v>
      </c>
      <c r="M227" s="449">
        <v>511.89</v>
      </c>
      <c r="N227" s="449">
        <v>838.15000000000009</v>
      </c>
      <c r="O227" s="449">
        <v>2150.0500000000002</v>
      </c>
      <c r="P227" s="449">
        <v>817.17999999999938</v>
      </c>
      <c r="Q227" s="449">
        <v>567.13000000000011</v>
      </c>
      <c r="R227" s="449">
        <v>22.118333333333339</v>
      </c>
      <c r="S227" s="449">
        <v>22.118333333333432</v>
      </c>
      <c r="T227" s="449">
        <v>22.118333333333339</v>
      </c>
      <c r="U227" s="449">
        <v>22.118333333333187</v>
      </c>
      <c r="V227" s="449">
        <v>22.118333333333339</v>
      </c>
      <c r="W227" s="449">
        <v>22.118333333333794</v>
      </c>
      <c r="X227" s="449"/>
      <c r="Y227" s="449">
        <v>5044</v>
      </c>
      <c r="Z227" s="531"/>
      <c r="AA227" s="449">
        <v>420.33333333333331</v>
      </c>
      <c r="AB227" s="449">
        <v>420.33333333333331</v>
      </c>
      <c r="AC227" s="449">
        <v>420.33333333333331</v>
      </c>
      <c r="AD227" s="449">
        <v>420.33333333333331</v>
      </c>
      <c r="AE227" s="449">
        <v>420.33333333333331</v>
      </c>
      <c r="AF227" s="449">
        <v>420.33333333333331</v>
      </c>
      <c r="AG227" s="449">
        <v>420.33333333333331</v>
      </c>
      <c r="AH227" s="449">
        <v>420.33333333333331</v>
      </c>
      <c r="AI227" s="449">
        <v>420.33333333333331</v>
      </c>
      <c r="AJ227" s="449">
        <v>420.33333333333331</v>
      </c>
      <c r="AK227" s="449">
        <v>420.33333333333331</v>
      </c>
      <c r="AL227" s="449">
        <v>420.33333333333331</v>
      </c>
      <c r="AM227" s="400"/>
      <c r="AN227" s="500">
        <v>5044</v>
      </c>
      <c r="AO227" s="449">
        <v>5108.2850000000008</v>
      </c>
      <c r="AP227" s="449">
        <v>64.285000000000764</v>
      </c>
      <c r="AQ227" s="453">
        <v>1.2744845360824894E-2</v>
      </c>
      <c r="AR227" s="449">
        <v>5108.2850000000008</v>
      </c>
      <c r="AS227" s="449">
        <v>0</v>
      </c>
      <c r="AT227" s="426">
        <v>0</v>
      </c>
      <c r="AU227" s="421"/>
      <c r="AV227" s="449">
        <v>0</v>
      </c>
      <c r="AW227" s="449">
        <v>425.69041666666675</v>
      </c>
      <c r="AX227" s="449">
        <v>425.69041666666675</v>
      </c>
      <c r="AY227" s="449">
        <v>425.69041666666675</v>
      </c>
      <c r="AZ227" s="449">
        <v>425.69041666666675</v>
      </c>
      <c r="BA227" s="449">
        <v>425.69041666666675</v>
      </c>
      <c r="BB227" s="449">
        <v>425.69041666666675</v>
      </c>
      <c r="BC227" s="449">
        <v>425.69041666666675</v>
      </c>
      <c r="BD227" s="449">
        <v>425.69041666666675</v>
      </c>
      <c r="BE227" s="449">
        <v>425.69041666666675</v>
      </c>
      <c r="BF227" s="449">
        <v>425.69041666666675</v>
      </c>
      <c r="BG227" s="449">
        <v>851.3808333333335</v>
      </c>
      <c r="BH227" s="400"/>
      <c r="BI227" s="449">
        <v>0</v>
      </c>
      <c r="BJ227" s="449">
        <v>425.69041666666675</v>
      </c>
      <c r="BK227" s="449">
        <v>425.69041666666675</v>
      </c>
      <c r="BL227" s="771">
        <v>425.69041666666675</v>
      </c>
      <c r="BM227" s="449">
        <v>425.69041666666675</v>
      </c>
      <c r="BN227" s="449">
        <v>425.69041666666675</v>
      </c>
      <c r="BO227" s="449">
        <v>425.69041666666675</v>
      </c>
      <c r="BP227" s="449">
        <v>425.69041666666675</v>
      </c>
      <c r="BQ227" s="449">
        <v>425.69041666666675</v>
      </c>
      <c r="BR227" s="449">
        <v>425.69041666666675</v>
      </c>
      <c r="BS227" s="449">
        <v>425.69041666666675</v>
      </c>
      <c r="BT227" s="449">
        <v>851.3808333333335</v>
      </c>
    </row>
    <row r="228" spans="1:72" hidden="1" x14ac:dyDescent="0.25">
      <c r="A228" s="502" t="s">
        <v>383</v>
      </c>
      <c r="B228" s="502" t="s">
        <v>384</v>
      </c>
      <c r="C228" s="541"/>
      <c r="D228" s="500">
        <v>0</v>
      </c>
      <c r="E228" s="449">
        <v>0</v>
      </c>
      <c r="F228" s="449">
        <v>0</v>
      </c>
      <c r="G228" s="421">
        <v>0</v>
      </c>
      <c r="H228" s="449">
        <v>0</v>
      </c>
      <c r="I228" s="449">
        <v>0</v>
      </c>
      <c r="J228" s="426">
        <v>0</v>
      </c>
      <c r="K228" s="421"/>
      <c r="L228" s="449">
        <v>0</v>
      </c>
      <c r="M228" s="449">
        <v>0</v>
      </c>
      <c r="N228" s="449">
        <v>0</v>
      </c>
      <c r="O228" s="449">
        <v>0</v>
      </c>
      <c r="P228" s="449">
        <v>0</v>
      </c>
      <c r="Q228" s="449">
        <v>0</v>
      </c>
      <c r="R228" s="449">
        <v>0</v>
      </c>
      <c r="S228" s="449">
        <v>0</v>
      </c>
      <c r="T228" s="449">
        <v>0</v>
      </c>
      <c r="U228" s="449">
        <v>0</v>
      </c>
      <c r="V228" s="449">
        <v>0</v>
      </c>
      <c r="W228" s="449">
        <v>0</v>
      </c>
      <c r="X228" s="449"/>
      <c r="Y228" s="449">
        <v>0</v>
      </c>
      <c r="Z228" s="531"/>
      <c r="AA228" s="449">
        <v>0</v>
      </c>
      <c r="AB228" s="449">
        <v>0</v>
      </c>
      <c r="AC228" s="449">
        <v>0</v>
      </c>
      <c r="AD228" s="449">
        <v>0</v>
      </c>
      <c r="AE228" s="449">
        <v>0</v>
      </c>
      <c r="AF228" s="449">
        <v>0</v>
      </c>
      <c r="AG228" s="449">
        <v>0</v>
      </c>
      <c r="AH228" s="449">
        <v>0</v>
      </c>
      <c r="AI228" s="449">
        <v>0</v>
      </c>
      <c r="AJ228" s="449">
        <v>0</v>
      </c>
      <c r="AK228" s="449">
        <v>0</v>
      </c>
      <c r="AL228" s="449">
        <v>0</v>
      </c>
      <c r="AM228" s="400"/>
      <c r="AN228" s="500">
        <v>0</v>
      </c>
      <c r="AO228" s="449">
        <v>0</v>
      </c>
      <c r="AP228" s="449">
        <v>0</v>
      </c>
      <c r="AQ228" s="453" t="s">
        <v>1519</v>
      </c>
      <c r="AR228" s="449">
        <v>0</v>
      </c>
      <c r="AS228" s="449">
        <v>0</v>
      </c>
      <c r="AT228" s="426">
        <v>0</v>
      </c>
      <c r="AU228" s="421"/>
      <c r="AV228" s="449">
        <v>0</v>
      </c>
      <c r="AW228" s="449">
        <v>0</v>
      </c>
      <c r="AX228" s="449">
        <v>0</v>
      </c>
      <c r="AY228" s="449">
        <v>0</v>
      </c>
      <c r="AZ228" s="449">
        <v>0</v>
      </c>
      <c r="BA228" s="449">
        <v>0</v>
      </c>
      <c r="BB228" s="449">
        <v>0</v>
      </c>
      <c r="BC228" s="449">
        <v>0</v>
      </c>
      <c r="BD228" s="449">
        <v>0</v>
      </c>
      <c r="BE228" s="449">
        <v>0</v>
      </c>
      <c r="BF228" s="449">
        <v>0</v>
      </c>
      <c r="BG228" s="449">
        <v>0</v>
      </c>
      <c r="BH228" s="400"/>
      <c r="BI228" s="449">
        <v>0</v>
      </c>
      <c r="BJ228" s="449">
        <v>0</v>
      </c>
      <c r="BK228" s="449">
        <v>0</v>
      </c>
      <c r="BL228" s="771">
        <v>0</v>
      </c>
      <c r="BM228" s="449">
        <v>0</v>
      </c>
      <c r="BN228" s="449">
        <v>0</v>
      </c>
      <c r="BO228" s="449">
        <v>0</v>
      </c>
      <c r="BP228" s="449">
        <v>0</v>
      </c>
      <c r="BQ228" s="449">
        <v>0</v>
      </c>
      <c r="BR228" s="449">
        <v>0</v>
      </c>
      <c r="BS228" s="449">
        <v>0</v>
      </c>
      <c r="BT228" s="449">
        <v>0</v>
      </c>
    </row>
    <row r="229" spans="1:72" hidden="1" x14ac:dyDescent="0.25">
      <c r="A229" s="502" t="s">
        <v>385</v>
      </c>
      <c r="B229" s="502" t="s">
        <v>386</v>
      </c>
      <c r="C229" s="541"/>
      <c r="D229" s="500">
        <v>0</v>
      </c>
      <c r="E229" s="449">
        <v>0</v>
      </c>
      <c r="F229" s="449">
        <v>0</v>
      </c>
      <c r="G229" s="421">
        <v>0</v>
      </c>
      <c r="H229" s="449">
        <v>0</v>
      </c>
      <c r="I229" s="449">
        <v>0</v>
      </c>
      <c r="J229" s="426">
        <v>0</v>
      </c>
      <c r="K229" s="421"/>
      <c r="L229" s="449">
        <v>0</v>
      </c>
      <c r="M229" s="449">
        <v>0</v>
      </c>
      <c r="N229" s="449">
        <v>0</v>
      </c>
      <c r="O229" s="449">
        <v>0</v>
      </c>
      <c r="P229" s="449">
        <v>0</v>
      </c>
      <c r="Q229" s="449">
        <v>0</v>
      </c>
      <c r="R229" s="449">
        <v>0</v>
      </c>
      <c r="S229" s="449">
        <v>0</v>
      </c>
      <c r="T229" s="449">
        <v>0</v>
      </c>
      <c r="U229" s="449">
        <v>0</v>
      </c>
      <c r="V229" s="449">
        <v>0</v>
      </c>
      <c r="W229" s="449">
        <v>0</v>
      </c>
      <c r="X229" s="449"/>
      <c r="Y229" s="449">
        <v>0</v>
      </c>
      <c r="Z229" s="531"/>
      <c r="AA229" s="449">
        <v>0</v>
      </c>
      <c r="AB229" s="449">
        <v>0</v>
      </c>
      <c r="AC229" s="449">
        <v>0</v>
      </c>
      <c r="AD229" s="449">
        <v>0</v>
      </c>
      <c r="AE229" s="449">
        <v>0</v>
      </c>
      <c r="AF229" s="449">
        <v>0</v>
      </c>
      <c r="AG229" s="449">
        <v>0</v>
      </c>
      <c r="AH229" s="449">
        <v>0</v>
      </c>
      <c r="AI229" s="449">
        <v>0</v>
      </c>
      <c r="AJ229" s="449">
        <v>0</v>
      </c>
      <c r="AK229" s="449">
        <v>0</v>
      </c>
      <c r="AL229" s="449">
        <v>0</v>
      </c>
      <c r="AM229" s="400"/>
      <c r="AN229" s="500">
        <v>0</v>
      </c>
      <c r="AO229" s="449">
        <v>0</v>
      </c>
      <c r="AP229" s="449">
        <v>0</v>
      </c>
      <c r="AQ229" s="453" t="s">
        <v>1519</v>
      </c>
      <c r="AR229" s="449">
        <v>0</v>
      </c>
      <c r="AS229" s="449">
        <v>0</v>
      </c>
      <c r="AT229" s="426">
        <v>0</v>
      </c>
      <c r="AU229" s="421"/>
      <c r="AV229" s="449">
        <v>0</v>
      </c>
      <c r="AW229" s="449">
        <v>0</v>
      </c>
      <c r="AX229" s="449">
        <v>0</v>
      </c>
      <c r="AY229" s="449">
        <v>0</v>
      </c>
      <c r="AZ229" s="449">
        <v>0</v>
      </c>
      <c r="BA229" s="449">
        <v>0</v>
      </c>
      <c r="BB229" s="449">
        <v>0</v>
      </c>
      <c r="BC229" s="449">
        <v>0</v>
      </c>
      <c r="BD229" s="449">
        <v>0</v>
      </c>
      <c r="BE229" s="449">
        <v>0</v>
      </c>
      <c r="BF229" s="449">
        <v>0</v>
      </c>
      <c r="BG229" s="449">
        <v>0</v>
      </c>
      <c r="BH229" s="400"/>
      <c r="BI229" s="449">
        <v>0</v>
      </c>
      <c r="BJ229" s="449">
        <v>0</v>
      </c>
      <c r="BK229" s="449">
        <v>0</v>
      </c>
      <c r="BL229" s="771">
        <v>0</v>
      </c>
      <c r="BM229" s="449">
        <v>0</v>
      </c>
      <c r="BN229" s="449">
        <v>0</v>
      </c>
      <c r="BO229" s="449">
        <v>0</v>
      </c>
      <c r="BP229" s="449">
        <v>0</v>
      </c>
      <c r="BQ229" s="449">
        <v>0</v>
      </c>
      <c r="BR229" s="449">
        <v>0</v>
      </c>
      <c r="BS229" s="449">
        <v>0</v>
      </c>
      <c r="BT229" s="449">
        <v>0</v>
      </c>
    </row>
    <row r="230" spans="1:72" x14ac:dyDescent="0.25">
      <c r="A230" s="502" t="s">
        <v>387</v>
      </c>
      <c r="B230" s="502" t="s">
        <v>388</v>
      </c>
      <c r="C230" s="541"/>
      <c r="D230" s="500">
        <v>5044</v>
      </c>
      <c r="E230" s="449">
        <v>5885</v>
      </c>
      <c r="F230" s="449">
        <v>-841</v>
      </c>
      <c r="G230" s="421">
        <v>-0.14290569243840273</v>
      </c>
      <c r="H230" s="449">
        <v>5044</v>
      </c>
      <c r="I230" s="449">
        <v>0</v>
      </c>
      <c r="J230" s="426">
        <v>0</v>
      </c>
      <c r="K230" s="421"/>
      <c r="L230" s="449">
        <v>0</v>
      </c>
      <c r="M230" s="449">
        <v>0</v>
      </c>
      <c r="N230" s="449">
        <v>0</v>
      </c>
      <c r="O230" s="449">
        <v>1875.87</v>
      </c>
      <c r="P230" s="449">
        <v>607.82999999999993</v>
      </c>
      <c r="Q230" s="449">
        <v>511.39000000000033</v>
      </c>
      <c r="R230" s="449">
        <v>341.48499999999996</v>
      </c>
      <c r="S230" s="449">
        <v>341.48499999999996</v>
      </c>
      <c r="T230" s="449">
        <v>341.4849999999999</v>
      </c>
      <c r="U230" s="449">
        <v>341.48499999999996</v>
      </c>
      <c r="V230" s="449">
        <v>341.48500000000013</v>
      </c>
      <c r="W230" s="449">
        <v>341.48500000000058</v>
      </c>
      <c r="X230" s="449"/>
      <c r="Y230" s="449">
        <v>5044</v>
      </c>
      <c r="Z230" s="531"/>
      <c r="AA230" s="449">
        <v>420.33333333333331</v>
      </c>
      <c r="AB230" s="449">
        <v>420.33333333333331</v>
      </c>
      <c r="AC230" s="449">
        <v>420.33333333333331</v>
      </c>
      <c r="AD230" s="449">
        <v>420.33333333333331</v>
      </c>
      <c r="AE230" s="449">
        <v>420.33333333333331</v>
      </c>
      <c r="AF230" s="449">
        <v>420.33333333333331</v>
      </c>
      <c r="AG230" s="449">
        <v>420.33333333333331</v>
      </c>
      <c r="AH230" s="449">
        <v>420.33333333333331</v>
      </c>
      <c r="AI230" s="449">
        <v>420.33333333333331</v>
      </c>
      <c r="AJ230" s="449">
        <v>420.33333333333331</v>
      </c>
      <c r="AK230" s="449">
        <v>420.33333333333331</v>
      </c>
      <c r="AL230" s="449">
        <v>420.33333333333331</v>
      </c>
      <c r="AM230" s="400"/>
      <c r="AN230" s="500">
        <v>5044</v>
      </c>
      <c r="AO230" s="449">
        <v>5702.5310081600019</v>
      </c>
      <c r="AP230" s="449">
        <v>658.53100816000187</v>
      </c>
      <c r="AQ230" s="453">
        <v>0.13055729741475058</v>
      </c>
      <c r="AR230" s="449">
        <v>5702.5310081600019</v>
      </c>
      <c r="AS230" s="449">
        <v>0</v>
      </c>
      <c r="AT230" s="426">
        <v>0</v>
      </c>
      <c r="AU230" s="421"/>
      <c r="AV230" s="449">
        <v>0</v>
      </c>
      <c r="AW230" s="449">
        <v>475.21091734666675</v>
      </c>
      <c r="AX230" s="449">
        <v>475.21091734666675</v>
      </c>
      <c r="AY230" s="449">
        <v>475.21091734666675</v>
      </c>
      <c r="AZ230" s="449">
        <v>475.21091734666675</v>
      </c>
      <c r="BA230" s="449">
        <v>475.21091734666675</v>
      </c>
      <c r="BB230" s="449">
        <v>475.21091734666675</v>
      </c>
      <c r="BC230" s="449">
        <v>475.21091734666675</v>
      </c>
      <c r="BD230" s="449">
        <v>475.21091734666675</v>
      </c>
      <c r="BE230" s="449">
        <v>475.21091734666675</v>
      </c>
      <c r="BF230" s="449">
        <v>475.21091734666675</v>
      </c>
      <c r="BG230" s="449">
        <v>950.42183469333349</v>
      </c>
      <c r="BH230" s="400"/>
      <c r="BI230" s="449">
        <v>0</v>
      </c>
      <c r="BJ230" s="449">
        <v>475.21091734666675</v>
      </c>
      <c r="BK230" s="449">
        <v>475.21091734666675</v>
      </c>
      <c r="BL230" s="771">
        <v>475.21091734666675</v>
      </c>
      <c r="BM230" s="449">
        <v>475.21091734666675</v>
      </c>
      <c r="BN230" s="449">
        <v>475.21091734666675</v>
      </c>
      <c r="BO230" s="449">
        <v>475.21091734666675</v>
      </c>
      <c r="BP230" s="449">
        <v>475.21091734666675</v>
      </c>
      <c r="BQ230" s="449">
        <v>475.21091734666675</v>
      </c>
      <c r="BR230" s="449">
        <v>475.21091734666675</v>
      </c>
      <c r="BS230" s="449">
        <v>475.21091734666675</v>
      </c>
      <c r="BT230" s="449">
        <v>950.42183469333349</v>
      </c>
    </row>
    <row r="231" spans="1:72" ht="15" customHeight="1" x14ac:dyDescent="0.25">
      <c r="A231" s="502" t="s">
        <v>389</v>
      </c>
      <c r="B231" s="502" t="s">
        <v>390</v>
      </c>
      <c r="C231" s="541"/>
      <c r="D231" s="500">
        <v>1300</v>
      </c>
      <c r="E231" s="449">
        <v>1450</v>
      </c>
      <c r="F231" s="449">
        <v>-150</v>
      </c>
      <c r="G231" s="421">
        <v>-0.10344827586206896</v>
      </c>
      <c r="H231" s="449">
        <v>1300</v>
      </c>
      <c r="I231" s="449">
        <v>0</v>
      </c>
      <c r="J231" s="426">
        <v>0</v>
      </c>
      <c r="K231" s="421"/>
      <c r="L231" s="449">
        <v>0</v>
      </c>
      <c r="M231" s="449">
        <v>120</v>
      </c>
      <c r="N231" s="449">
        <v>105</v>
      </c>
      <c r="O231" s="449">
        <v>220</v>
      </c>
      <c r="P231" s="449">
        <v>100</v>
      </c>
      <c r="Q231" s="449">
        <v>125</v>
      </c>
      <c r="R231" s="449">
        <v>105</v>
      </c>
      <c r="S231" s="449">
        <v>105</v>
      </c>
      <c r="T231" s="449">
        <v>105</v>
      </c>
      <c r="U231" s="449">
        <v>105</v>
      </c>
      <c r="V231" s="449">
        <v>105</v>
      </c>
      <c r="W231" s="449">
        <v>105</v>
      </c>
      <c r="X231" s="449"/>
      <c r="Y231" s="449">
        <v>1300</v>
      </c>
      <c r="Z231" s="531"/>
      <c r="AA231" s="449">
        <v>108.33333333333333</v>
      </c>
      <c r="AB231" s="449">
        <v>108.33333333333333</v>
      </c>
      <c r="AC231" s="449">
        <v>108.33333333333333</v>
      </c>
      <c r="AD231" s="449">
        <v>108.33333333333333</v>
      </c>
      <c r="AE231" s="449">
        <v>108.33333333333333</v>
      </c>
      <c r="AF231" s="449">
        <v>108.33333333333333</v>
      </c>
      <c r="AG231" s="449">
        <v>108.33333333333333</v>
      </c>
      <c r="AH231" s="449">
        <v>108.33333333333333</v>
      </c>
      <c r="AI231" s="449">
        <v>108.33333333333333</v>
      </c>
      <c r="AJ231" s="449">
        <v>108.33333333333333</v>
      </c>
      <c r="AK231" s="449">
        <v>108.33333333333333</v>
      </c>
      <c r="AL231" s="449">
        <v>108.33333333333333</v>
      </c>
      <c r="AM231" s="400"/>
      <c r="AN231" s="500">
        <v>1300</v>
      </c>
      <c r="AO231" s="449">
        <v>1339.0000000000002</v>
      </c>
      <c r="AP231" s="449">
        <v>39.000000000000227</v>
      </c>
      <c r="AQ231" s="453">
        <v>3.0000000000000176E-2</v>
      </c>
      <c r="AR231" s="449">
        <v>1339.0000000000002</v>
      </c>
      <c r="AS231" s="449">
        <v>0</v>
      </c>
      <c r="AT231" s="426">
        <v>0</v>
      </c>
      <c r="AU231" s="421"/>
      <c r="AV231" s="449">
        <v>0</v>
      </c>
      <c r="AW231" s="449">
        <v>111.58333333333333</v>
      </c>
      <c r="AX231" s="449">
        <v>111.58333333333333</v>
      </c>
      <c r="AY231" s="449">
        <v>111.58333333333333</v>
      </c>
      <c r="AZ231" s="449">
        <v>111.58333333333333</v>
      </c>
      <c r="BA231" s="449">
        <v>111.58333333333333</v>
      </c>
      <c r="BB231" s="449">
        <v>111.58333333333333</v>
      </c>
      <c r="BC231" s="449">
        <v>111.58333333333333</v>
      </c>
      <c r="BD231" s="449">
        <v>111.58333333333333</v>
      </c>
      <c r="BE231" s="449">
        <v>111.58333333333333</v>
      </c>
      <c r="BF231" s="449">
        <v>111.58333333333333</v>
      </c>
      <c r="BG231" s="449">
        <v>223.16666666666666</v>
      </c>
      <c r="BH231" s="400"/>
      <c r="BI231" s="449">
        <v>0</v>
      </c>
      <c r="BJ231" s="449">
        <v>111.58333333333333</v>
      </c>
      <c r="BK231" s="449">
        <v>111.58333333333333</v>
      </c>
      <c r="BL231" s="771">
        <v>111.58333333333333</v>
      </c>
      <c r="BM231" s="449">
        <v>111.58333333333333</v>
      </c>
      <c r="BN231" s="449">
        <v>111.58333333333333</v>
      </c>
      <c r="BO231" s="449">
        <v>111.58333333333333</v>
      </c>
      <c r="BP231" s="449">
        <v>111.58333333333333</v>
      </c>
      <c r="BQ231" s="449">
        <v>111.58333333333333</v>
      </c>
      <c r="BR231" s="449">
        <v>111.58333333333333</v>
      </c>
      <c r="BS231" s="449">
        <v>111.58333333333333</v>
      </c>
      <c r="BT231" s="449">
        <v>223.16666666666666</v>
      </c>
    </row>
    <row r="232" spans="1:72" ht="15" customHeight="1" x14ac:dyDescent="0.25">
      <c r="A232" s="502" t="s">
        <v>391</v>
      </c>
      <c r="B232" s="502" t="s">
        <v>392</v>
      </c>
      <c r="C232" s="541"/>
      <c r="D232" s="500">
        <v>1451</v>
      </c>
      <c r="E232" s="449">
        <v>1693</v>
      </c>
      <c r="F232" s="449">
        <v>-242</v>
      </c>
      <c r="G232" s="421">
        <v>-0.14294152392203188</v>
      </c>
      <c r="H232" s="449">
        <v>1451</v>
      </c>
      <c r="I232" s="449">
        <v>0</v>
      </c>
      <c r="J232" s="426">
        <v>0</v>
      </c>
      <c r="K232" s="421"/>
      <c r="L232" s="449">
        <v>0</v>
      </c>
      <c r="M232" s="449">
        <v>133.97</v>
      </c>
      <c r="N232" s="449">
        <v>117.22</v>
      </c>
      <c r="O232" s="449">
        <v>111.63999999999999</v>
      </c>
      <c r="P232" s="449">
        <v>111.64000000000004</v>
      </c>
      <c r="Q232" s="449">
        <v>139.54999999999995</v>
      </c>
      <c r="R232" s="449">
        <v>139.49666666666667</v>
      </c>
      <c r="S232" s="449">
        <v>139.49666666666667</v>
      </c>
      <c r="T232" s="449">
        <v>139.49666666666667</v>
      </c>
      <c r="U232" s="449">
        <v>139.49666666666667</v>
      </c>
      <c r="V232" s="449">
        <v>139.49666666666667</v>
      </c>
      <c r="W232" s="449">
        <v>139.49666666666667</v>
      </c>
      <c r="X232" s="449"/>
      <c r="Y232" s="449">
        <v>1451</v>
      </c>
      <c r="Z232" s="531"/>
      <c r="AA232" s="449">
        <v>120.91666666666667</v>
      </c>
      <c r="AB232" s="449">
        <v>120.91666666666667</v>
      </c>
      <c r="AC232" s="449">
        <v>120.91666666666667</v>
      </c>
      <c r="AD232" s="449">
        <v>120.91666666666667</v>
      </c>
      <c r="AE232" s="449">
        <v>120.91666666666667</v>
      </c>
      <c r="AF232" s="449">
        <v>120.91666666666667</v>
      </c>
      <c r="AG232" s="449">
        <v>120.91666666666667</v>
      </c>
      <c r="AH232" s="449">
        <v>120.91666666666667</v>
      </c>
      <c r="AI232" s="449">
        <v>120.91666666666667</v>
      </c>
      <c r="AJ232" s="449">
        <v>120.91666666666667</v>
      </c>
      <c r="AK232" s="449">
        <v>120.91666666666667</v>
      </c>
      <c r="AL232" s="449">
        <v>120.91666666666667</v>
      </c>
      <c r="AM232" s="400"/>
      <c r="AN232" s="500">
        <v>1451</v>
      </c>
      <c r="AO232" s="449">
        <v>1494.7699999999998</v>
      </c>
      <c r="AP232" s="449">
        <v>43.769999999999754</v>
      </c>
      <c r="AQ232" s="453">
        <v>3.016540317022726E-2</v>
      </c>
      <c r="AR232" s="449">
        <v>1494.7699999999998</v>
      </c>
      <c r="AS232" s="449">
        <v>0</v>
      </c>
      <c r="AT232" s="426">
        <v>0</v>
      </c>
      <c r="AU232" s="421"/>
      <c r="AV232" s="449">
        <v>0</v>
      </c>
      <c r="AW232" s="449">
        <v>124.56416666666667</v>
      </c>
      <c r="AX232" s="449">
        <v>124.56416666666667</v>
      </c>
      <c r="AY232" s="449">
        <v>124.56416666666667</v>
      </c>
      <c r="AZ232" s="449">
        <v>124.56416666666667</v>
      </c>
      <c r="BA232" s="449">
        <v>124.56416666666667</v>
      </c>
      <c r="BB232" s="449">
        <v>124.56416666666667</v>
      </c>
      <c r="BC232" s="449">
        <v>124.56416666666667</v>
      </c>
      <c r="BD232" s="449">
        <v>124.56416666666667</v>
      </c>
      <c r="BE232" s="449">
        <v>124.56416666666667</v>
      </c>
      <c r="BF232" s="449">
        <v>124.56416666666667</v>
      </c>
      <c r="BG232" s="449">
        <v>249.12833333333333</v>
      </c>
      <c r="BH232" s="400"/>
      <c r="BI232" s="449">
        <v>0</v>
      </c>
      <c r="BJ232" s="449">
        <v>124.56416666666667</v>
      </c>
      <c r="BK232" s="449">
        <v>124.56416666666667</v>
      </c>
      <c r="BL232" s="771">
        <v>124.56416666666667</v>
      </c>
      <c r="BM232" s="449">
        <v>124.56416666666667</v>
      </c>
      <c r="BN232" s="449">
        <v>124.56416666666667</v>
      </c>
      <c r="BO232" s="449">
        <v>124.56416666666667</v>
      </c>
      <c r="BP232" s="449">
        <v>124.56416666666667</v>
      </c>
      <c r="BQ232" s="449">
        <v>124.56416666666667</v>
      </c>
      <c r="BR232" s="449">
        <v>124.56416666666667</v>
      </c>
      <c r="BS232" s="449">
        <v>124.56416666666667</v>
      </c>
      <c r="BT232" s="449">
        <v>249.12833333333333</v>
      </c>
    </row>
    <row r="233" spans="1:72" x14ac:dyDescent="0.25">
      <c r="A233" s="612" t="s">
        <v>393</v>
      </c>
      <c r="B233" s="612" t="s">
        <v>394</v>
      </c>
      <c r="C233" s="538"/>
      <c r="D233" s="500">
        <v>0</v>
      </c>
      <c r="E233" s="449">
        <v>0</v>
      </c>
      <c r="F233" s="449">
        <v>0</v>
      </c>
      <c r="G233" s="421">
        <v>0</v>
      </c>
      <c r="H233" s="449">
        <v>0</v>
      </c>
      <c r="I233" s="449">
        <v>0</v>
      </c>
      <c r="J233" s="426">
        <v>0</v>
      </c>
      <c r="K233" s="421"/>
      <c r="L233" s="449">
        <v>0</v>
      </c>
      <c r="M233" s="449">
        <v>0</v>
      </c>
      <c r="N233" s="449">
        <v>0</v>
      </c>
      <c r="O233" s="449">
        <v>0</v>
      </c>
      <c r="P233" s="449">
        <v>0</v>
      </c>
      <c r="Q233" s="449">
        <v>0</v>
      </c>
      <c r="R233" s="449">
        <v>0</v>
      </c>
      <c r="S233" s="449">
        <v>0</v>
      </c>
      <c r="T233" s="449">
        <v>0</v>
      </c>
      <c r="U233" s="449">
        <v>0</v>
      </c>
      <c r="V233" s="449">
        <v>0</v>
      </c>
      <c r="W233" s="449">
        <v>0</v>
      </c>
      <c r="X233" s="449"/>
      <c r="Y233" s="449">
        <v>0</v>
      </c>
      <c r="Z233" s="531"/>
      <c r="AA233" s="449">
        <v>0</v>
      </c>
      <c r="AB233" s="449">
        <v>0</v>
      </c>
      <c r="AC233" s="449">
        <v>0</v>
      </c>
      <c r="AD233" s="449">
        <v>0</v>
      </c>
      <c r="AE233" s="449">
        <v>0</v>
      </c>
      <c r="AF233" s="449">
        <v>0</v>
      </c>
      <c r="AG233" s="449">
        <v>0</v>
      </c>
      <c r="AH233" s="449">
        <v>0</v>
      </c>
      <c r="AI233" s="449">
        <v>0</v>
      </c>
      <c r="AJ233" s="449">
        <v>0</v>
      </c>
      <c r="AK233" s="449">
        <v>0</v>
      </c>
      <c r="AL233" s="449">
        <v>0</v>
      </c>
      <c r="AM233" s="400"/>
      <c r="AN233" s="500">
        <v>0</v>
      </c>
      <c r="AO233" s="449">
        <v>0</v>
      </c>
      <c r="AP233" s="449">
        <v>0</v>
      </c>
      <c r="AQ233" s="453" t="s">
        <v>1519</v>
      </c>
      <c r="AR233" s="449">
        <v>0</v>
      </c>
      <c r="AS233" s="449">
        <v>0</v>
      </c>
      <c r="AT233" s="426">
        <v>0</v>
      </c>
      <c r="AU233" s="421"/>
      <c r="AV233" s="449">
        <v>0</v>
      </c>
      <c r="AW233" s="449">
        <v>0</v>
      </c>
      <c r="AX233" s="449">
        <v>0</v>
      </c>
      <c r="AY233" s="449">
        <v>0</v>
      </c>
      <c r="AZ233" s="449">
        <v>0</v>
      </c>
      <c r="BA233" s="449">
        <v>0</v>
      </c>
      <c r="BB233" s="449">
        <v>0</v>
      </c>
      <c r="BC233" s="449">
        <v>0</v>
      </c>
      <c r="BD233" s="449">
        <v>0</v>
      </c>
      <c r="BE233" s="449">
        <v>0</v>
      </c>
      <c r="BF233" s="449">
        <v>0</v>
      </c>
      <c r="BG233" s="449">
        <v>0</v>
      </c>
      <c r="BH233" s="400"/>
      <c r="BI233" s="449">
        <v>0</v>
      </c>
      <c r="BJ233" s="449">
        <v>0</v>
      </c>
      <c r="BK233" s="449">
        <v>0</v>
      </c>
      <c r="BL233" s="771">
        <v>0</v>
      </c>
      <c r="BM233" s="449">
        <v>0</v>
      </c>
      <c r="BN233" s="449">
        <v>0</v>
      </c>
      <c r="BO233" s="449">
        <v>0</v>
      </c>
      <c r="BP233" s="449">
        <v>0</v>
      </c>
      <c r="BQ233" s="449">
        <v>0</v>
      </c>
      <c r="BR233" s="449">
        <v>0</v>
      </c>
      <c r="BS233" s="449">
        <v>0</v>
      </c>
      <c r="BT233" s="449">
        <v>0</v>
      </c>
    </row>
    <row r="234" spans="1:72" x14ac:dyDescent="0.25">
      <c r="A234" s="612" t="s">
        <v>395</v>
      </c>
      <c r="B234" s="612" t="s">
        <v>396</v>
      </c>
      <c r="C234" s="541"/>
      <c r="D234" s="500">
        <v>0</v>
      </c>
      <c r="E234" s="449">
        <v>0</v>
      </c>
      <c r="F234" s="449">
        <v>0</v>
      </c>
      <c r="G234" s="421">
        <v>0</v>
      </c>
      <c r="H234" s="449">
        <v>0</v>
      </c>
      <c r="I234" s="449">
        <v>0</v>
      </c>
      <c r="J234" s="426">
        <v>0</v>
      </c>
      <c r="K234" s="421"/>
      <c r="L234" s="449">
        <v>0</v>
      </c>
      <c r="M234" s="449">
        <v>0</v>
      </c>
      <c r="N234" s="449">
        <v>0</v>
      </c>
      <c r="O234" s="449">
        <v>0</v>
      </c>
      <c r="P234" s="449">
        <v>0</v>
      </c>
      <c r="Q234" s="449">
        <v>0</v>
      </c>
      <c r="R234" s="449">
        <v>0</v>
      </c>
      <c r="S234" s="449">
        <v>0</v>
      </c>
      <c r="T234" s="449">
        <v>0</v>
      </c>
      <c r="U234" s="449">
        <v>0</v>
      </c>
      <c r="V234" s="449">
        <v>0</v>
      </c>
      <c r="W234" s="449">
        <v>0</v>
      </c>
      <c r="X234" s="449"/>
      <c r="Y234" s="449">
        <v>0</v>
      </c>
      <c r="Z234" s="531"/>
      <c r="AA234" s="449">
        <v>0</v>
      </c>
      <c r="AB234" s="449">
        <v>0</v>
      </c>
      <c r="AC234" s="449">
        <v>0</v>
      </c>
      <c r="AD234" s="449">
        <v>0</v>
      </c>
      <c r="AE234" s="449">
        <v>0</v>
      </c>
      <c r="AF234" s="449">
        <v>0</v>
      </c>
      <c r="AG234" s="449">
        <v>0</v>
      </c>
      <c r="AH234" s="449">
        <v>0</v>
      </c>
      <c r="AI234" s="449">
        <v>0</v>
      </c>
      <c r="AJ234" s="449">
        <v>0</v>
      </c>
      <c r="AK234" s="449">
        <v>0</v>
      </c>
      <c r="AL234" s="449">
        <v>0</v>
      </c>
      <c r="AM234" s="400"/>
      <c r="AN234" s="500">
        <v>0</v>
      </c>
      <c r="AO234" s="449">
        <v>0</v>
      </c>
      <c r="AP234" s="449">
        <v>0</v>
      </c>
      <c r="AQ234" s="453" t="s">
        <v>1519</v>
      </c>
      <c r="AR234" s="449">
        <v>0</v>
      </c>
      <c r="AS234" s="449">
        <v>0</v>
      </c>
      <c r="AT234" s="426">
        <v>0</v>
      </c>
      <c r="AU234" s="421"/>
      <c r="AV234" s="449">
        <v>0</v>
      </c>
      <c r="AW234" s="449">
        <v>0</v>
      </c>
      <c r="AX234" s="449">
        <v>0</v>
      </c>
      <c r="AY234" s="449">
        <v>0</v>
      </c>
      <c r="AZ234" s="449">
        <v>0</v>
      </c>
      <c r="BA234" s="449">
        <v>0</v>
      </c>
      <c r="BB234" s="449">
        <v>0</v>
      </c>
      <c r="BC234" s="449">
        <v>0</v>
      </c>
      <c r="BD234" s="449">
        <v>0</v>
      </c>
      <c r="BE234" s="449">
        <v>0</v>
      </c>
      <c r="BF234" s="449">
        <v>0</v>
      </c>
      <c r="BG234" s="449">
        <v>0</v>
      </c>
      <c r="BH234" s="400"/>
      <c r="BI234" s="449">
        <v>0</v>
      </c>
      <c r="BJ234" s="449">
        <v>0</v>
      </c>
      <c r="BK234" s="449">
        <v>0</v>
      </c>
      <c r="BL234" s="771">
        <v>0</v>
      </c>
      <c r="BM234" s="449">
        <v>0</v>
      </c>
      <c r="BN234" s="449">
        <v>0</v>
      </c>
      <c r="BO234" s="449">
        <v>0</v>
      </c>
      <c r="BP234" s="449">
        <v>0</v>
      </c>
      <c r="BQ234" s="449">
        <v>0</v>
      </c>
      <c r="BR234" s="449">
        <v>0</v>
      </c>
      <c r="BS234" s="449">
        <v>0</v>
      </c>
      <c r="BT234" s="449">
        <v>0</v>
      </c>
    </row>
    <row r="235" spans="1:72" x14ac:dyDescent="0.25">
      <c r="A235" s="502" t="s">
        <v>397</v>
      </c>
      <c r="B235" s="502" t="s">
        <v>398</v>
      </c>
      <c r="C235" s="538"/>
      <c r="D235" s="500">
        <v>0</v>
      </c>
      <c r="E235" s="449">
        <v>6430</v>
      </c>
      <c r="F235" s="449">
        <v>-6430</v>
      </c>
      <c r="G235" s="421">
        <v>-1</v>
      </c>
      <c r="H235" s="449">
        <v>0</v>
      </c>
      <c r="I235" s="449">
        <v>0</v>
      </c>
      <c r="J235" s="426">
        <v>0</v>
      </c>
      <c r="K235" s="421"/>
      <c r="L235" s="449">
        <v>0</v>
      </c>
      <c r="M235" s="449">
        <v>0</v>
      </c>
      <c r="N235" s="449">
        <v>0</v>
      </c>
      <c r="O235" s="449">
        <v>0</v>
      </c>
      <c r="P235" s="449">
        <v>0</v>
      </c>
      <c r="Q235" s="449">
        <v>0</v>
      </c>
      <c r="R235" s="449">
        <v>0</v>
      </c>
      <c r="S235" s="449">
        <v>0</v>
      </c>
      <c r="T235" s="449">
        <v>0</v>
      </c>
      <c r="U235" s="449">
        <v>0</v>
      </c>
      <c r="V235" s="449">
        <v>0</v>
      </c>
      <c r="W235" s="449">
        <v>0</v>
      </c>
      <c r="X235" s="449"/>
      <c r="Y235" s="449">
        <v>0</v>
      </c>
      <c r="Z235" s="531"/>
      <c r="AA235" s="449">
        <v>0</v>
      </c>
      <c r="AB235" s="449">
        <v>0</v>
      </c>
      <c r="AC235" s="449">
        <v>0</v>
      </c>
      <c r="AD235" s="449">
        <v>0</v>
      </c>
      <c r="AE235" s="449">
        <v>0</v>
      </c>
      <c r="AF235" s="449">
        <v>0</v>
      </c>
      <c r="AG235" s="449">
        <v>0</v>
      </c>
      <c r="AH235" s="449">
        <v>0</v>
      </c>
      <c r="AI235" s="449">
        <v>0</v>
      </c>
      <c r="AJ235" s="449">
        <v>0</v>
      </c>
      <c r="AK235" s="449">
        <v>0</v>
      </c>
      <c r="AL235" s="449">
        <v>0</v>
      </c>
      <c r="AM235" s="400"/>
      <c r="AN235" s="500">
        <v>0</v>
      </c>
      <c r="AO235" s="449">
        <v>0</v>
      </c>
      <c r="AP235" s="449">
        <v>0</v>
      </c>
      <c r="AQ235" s="453" t="s">
        <v>1519</v>
      </c>
      <c r="AR235" s="449">
        <v>0</v>
      </c>
      <c r="AS235" s="449">
        <v>0</v>
      </c>
      <c r="AT235" s="426">
        <v>0</v>
      </c>
      <c r="AU235" s="421"/>
      <c r="AV235" s="449">
        <v>0</v>
      </c>
      <c r="AW235" s="449">
        <v>0</v>
      </c>
      <c r="AX235" s="449">
        <v>0</v>
      </c>
      <c r="AY235" s="449">
        <v>0</v>
      </c>
      <c r="AZ235" s="449">
        <v>0</v>
      </c>
      <c r="BA235" s="449">
        <v>0</v>
      </c>
      <c r="BB235" s="449">
        <v>0</v>
      </c>
      <c r="BC235" s="449">
        <v>0</v>
      </c>
      <c r="BD235" s="449">
        <v>0</v>
      </c>
      <c r="BE235" s="449">
        <v>0</v>
      </c>
      <c r="BF235" s="449">
        <v>0</v>
      </c>
      <c r="BG235" s="449">
        <v>0</v>
      </c>
      <c r="BH235" s="400"/>
      <c r="BI235" s="449">
        <v>0</v>
      </c>
      <c r="BJ235" s="449">
        <v>0</v>
      </c>
      <c r="BK235" s="449">
        <v>0</v>
      </c>
      <c r="BL235" s="771">
        <v>0</v>
      </c>
      <c r="BM235" s="449">
        <v>0</v>
      </c>
      <c r="BN235" s="449">
        <v>0</v>
      </c>
      <c r="BO235" s="449">
        <v>0</v>
      </c>
      <c r="BP235" s="449">
        <v>0</v>
      </c>
      <c r="BQ235" s="449">
        <v>0</v>
      </c>
      <c r="BR235" s="449">
        <v>0</v>
      </c>
      <c r="BS235" s="449">
        <v>0</v>
      </c>
      <c r="BT235" s="449">
        <v>0</v>
      </c>
    </row>
    <row r="236" spans="1:72" x14ac:dyDescent="0.25">
      <c r="A236" s="502" t="s">
        <v>399</v>
      </c>
      <c r="B236" s="502" t="s">
        <v>400</v>
      </c>
      <c r="C236" s="538"/>
      <c r="D236" s="500">
        <v>8000</v>
      </c>
      <c r="E236" s="449">
        <v>0</v>
      </c>
      <c r="F236" s="449">
        <v>8000</v>
      </c>
      <c r="G236" s="421">
        <v>0</v>
      </c>
      <c r="H236" s="449">
        <v>8000</v>
      </c>
      <c r="I236" s="449">
        <v>0</v>
      </c>
      <c r="J236" s="426">
        <v>0</v>
      </c>
      <c r="K236" s="421"/>
      <c r="L236" s="449">
        <v>0</v>
      </c>
      <c r="M236" s="449">
        <v>848</v>
      </c>
      <c r="N236" s="449">
        <v>1140</v>
      </c>
      <c r="O236" s="449">
        <v>2425</v>
      </c>
      <c r="P236" s="449">
        <v>75</v>
      </c>
      <c r="Q236" s="449">
        <v>2060</v>
      </c>
      <c r="R236" s="449">
        <v>242</v>
      </c>
      <c r="S236" s="449">
        <v>242</v>
      </c>
      <c r="T236" s="449">
        <v>242</v>
      </c>
      <c r="U236" s="449">
        <v>242</v>
      </c>
      <c r="V236" s="449">
        <v>242</v>
      </c>
      <c r="W236" s="449">
        <v>242</v>
      </c>
      <c r="X236" s="449"/>
      <c r="Y236" s="449">
        <v>8000</v>
      </c>
      <c r="Z236" s="531"/>
      <c r="AA236" s="449">
        <v>666.66666666666663</v>
      </c>
      <c r="AB236" s="449">
        <v>666.66666666666663</v>
      </c>
      <c r="AC236" s="449">
        <v>666.66666666666663</v>
      </c>
      <c r="AD236" s="449">
        <v>666.66666666666663</v>
      </c>
      <c r="AE236" s="449">
        <v>666.66666666666663</v>
      </c>
      <c r="AF236" s="449">
        <v>666.66666666666663</v>
      </c>
      <c r="AG236" s="449">
        <v>666.66666666666663</v>
      </c>
      <c r="AH236" s="449">
        <v>666.66666666666663</v>
      </c>
      <c r="AI236" s="449">
        <v>666.66666666666663</v>
      </c>
      <c r="AJ236" s="449">
        <v>666.66666666666663</v>
      </c>
      <c r="AK236" s="449">
        <v>666.66666666666663</v>
      </c>
      <c r="AL236" s="449">
        <v>666.66666666666663</v>
      </c>
      <c r="AM236" s="400"/>
      <c r="AN236" s="500">
        <v>8000</v>
      </c>
      <c r="AO236" s="449">
        <v>12000</v>
      </c>
      <c r="AP236" s="449">
        <v>4000</v>
      </c>
      <c r="AQ236" s="453">
        <v>0.5</v>
      </c>
      <c r="AR236" s="449">
        <v>12000</v>
      </c>
      <c r="AS236" s="449">
        <v>0</v>
      </c>
      <c r="AT236" s="426">
        <v>0</v>
      </c>
      <c r="AU236" s="421"/>
      <c r="AV236" s="449">
        <v>1000</v>
      </c>
      <c r="AW236" s="449">
        <v>1000</v>
      </c>
      <c r="AX236" s="449">
        <v>1000</v>
      </c>
      <c r="AY236" s="449">
        <v>1000</v>
      </c>
      <c r="AZ236" s="449">
        <v>1000</v>
      </c>
      <c r="BA236" s="449">
        <v>1000</v>
      </c>
      <c r="BB236" s="449">
        <v>1000</v>
      </c>
      <c r="BC236" s="449">
        <v>1000</v>
      </c>
      <c r="BD236" s="449">
        <v>1000</v>
      </c>
      <c r="BE236" s="449">
        <v>1000</v>
      </c>
      <c r="BF236" s="449">
        <v>1000</v>
      </c>
      <c r="BG236" s="449">
        <v>1000</v>
      </c>
      <c r="BH236" s="400"/>
      <c r="BI236" s="449">
        <v>1000</v>
      </c>
      <c r="BJ236" s="449">
        <v>1000</v>
      </c>
      <c r="BK236" s="449">
        <v>1000</v>
      </c>
      <c r="BL236" s="771">
        <v>1000</v>
      </c>
      <c r="BM236" s="449">
        <v>1000</v>
      </c>
      <c r="BN236" s="449">
        <v>1000</v>
      </c>
      <c r="BO236" s="449">
        <v>1000</v>
      </c>
      <c r="BP236" s="449">
        <v>1000</v>
      </c>
      <c r="BQ236" s="449">
        <v>1000</v>
      </c>
      <c r="BR236" s="449">
        <v>1000</v>
      </c>
      <c r="BS236" s="449">
        <v>1000</v>
      </c>
      <c r="BT236" s="449">
        <v>1000</v>
      </c>
    </row>
    <row r="237" spans="1:72" x14ac:dyDescent="0.25">
      <c r="A237" s="502" t="s">
        <v>401</v>
      </c>
      <c r="B237" s="502" t="s">
        <v>402</v>
      </c>
      <c r="C237" s="538"/>
      <c r="D237" s="500">
        <v>5000</v>
      </c>
      <c r="E237" s="449">
        <v>0</v>
      </c>
      <c r="F237" s="449">
        <v>5000</v>
      </c>
      <c r="G237" s="421">
        <v>0</v>
      </c>
      <c r="H237" s="449">
        <v>5000</v>
      </c>
      <c r="I237" s="449">
        <v>0</v>
      </c>
      <c r="J237" s="426">
        <v>0</v>
      </c>
      <c r="K237" s="421"/>
      <c r="L237" s="449">
        <v>0</v>
      </c>
      <c r="M237" s="449">
        <v>3500.75</v>
      </c>
      <c r="N237" s="449">
        <v>0</v>
      </c>
      <c r="O237" s="449">
        <v>0</v>
      </c>
      <c r="P237" s="449">
        <v>0</v>
      </c>
      <c r="Q237" s="449">
        <v>0</v>
      </c>
      <c r="R237" s="449">
        <v>249.875</v>
      </c>
      <c r="S237" s="449">
        <v>249.875</v>
      </c>
      <c r="T237" s="449">
        <v>249.875</v>
      </c>
      <c r="U237" s="449">
        <v>249.875</v>
      </c>
      <c r="V237" s="449">
        <v>249.875</v>
      </c>
      <c r="W237" s="449">
        <v>249.875</v>
      </c>
      <c r="X237" s="449"/>
      <c r="Y237" s="449">
        <v>5000</v>
      </c>
      <c r="Z237" s="531"/>
      <c r="AA237" s="449">
        <v>416.66666666666669</v>
      </c>
      <c r="AB237" s="449">
        <v>416.66666666666669</v>
      </c>
      <c r="AC237" s="449">
        <v>416.66666666666669</v>
      </c>
      <c r="AD237" s="449">
        <v>416.66666666666669</v>
      </c>
      <c r="AE237" s="449">
        <v>416.66666666666669</v>
      </c>
      <c r="AF237" s="449">
        <v>416.66666666666669</v>
      </c>
      <c r="AG237" s="449">
        <v>416.66666666666669</v>
      </c>
      <c r="AH237" s="449">
        <v>416.66666666666669</v>
      </c>
      <c r="AI237" s="449">
        <v>416.66666666666669</v>
      </c>
      <c r="AJ237" s="449">
        <v>416.66666666666669</v>
      </c>
      <c r="AK237" s="449">
        <v>416.66666666666669</v>
      </c>
      <c r="AL237" s="449">
        <v>416.66666666666669</v>
      </c>
      <c r="AM237" s="400"/>
      <c r="AN237" s="500">
        <v>5000</v>
      </c>
      <c r="AO237" s="449">
        <v>2000.0000000000002</v>
      </c>
      <c r="AP237" s="449">
        <v>-3000</v>
      </c>
      <c r="AQ237" s="453">
        <v>-0.6</v>
      </c>
      <c r="AR237" s="449">
        <v>2000.0000000000002</v>
      </c>
      <c r="AS237" s="449">
        <v>0</v>
      </c>
      <c r="AT237" s="426">
        <v>0</v>
      </c>
      <c r="AU237" s="421"/>
      <c r="AV237" s="449">
        <v>166.66666666666666</v>
      </c>
      <c r="AW237" s="449">
        <v>166.66666666666666</v>
      </c>
      <c r="AX237" s="449">
        <v>166.66666666666666</v>
      </c>
      <c r="AY237" s="449">
        <v>166.66666666666666</v>
      </c>
      <c r="AZ237" s="449">
        <v>166.66666666666666</v>
      </c>
      <c r="BA237" s="449">
        <v>166.66666666666666</v>
      </c>
      <c r="BB237" s="449">
        <v>166.66666666666666</v>
      </c>
      <c r="BC237" s="449">
        <v>166.66666666666666</v>
      </c>
      <c r="BD237" s="449">
        <v>166.66666666666666</v>
      </c>
      <c r="BE237" s="449">
        <v>166.66666666666666</v>
      </c>
      <c r="BF237" s="449">
        <v>166.66666666666666</v>
      </c>
      <c r="BG237" s="449">
        <v>166.66666666666666</v>
      </c>
      <c r="BH237" s="400"/>
      <c r="BI237" s="449">
        <v>166.66666666666666</v>
      </c>
      <c r="BJ237" s="449">
        <v>166.66666666666666</v>
      </c>
      <c r="BK237" s="449">
        <v>166.66666666666666</v>
      </c>
      <c r="BL237" s="771">
        <v>166.66666666666666</v>
      </c>
      <c r="BM237" s="449">
        <v>166.66666666666666</v>
      </c>
      <c r="BN237" s="449">
        <v>166.66666666666666</v>
      </c>
      <c r="BO237" s="449">
        <v>166.66666666666666</v>
      </c>
      <c r="BP237" s="449">
        <v>166.66666666666666</v>
      </c>
      <c r="BQ237" s="449">
        <v>166.66666666666666</v>
      </c>
      <c r="BR237" s="449">
        <v>166.66666666666666</v>
      </c>
      <c r="BS237" s="449">
        <v>166.66666666666666</v>
      </c>
      <c r="BT237" s="449">
        <v>166.66666666666666</v>
      </c>
    </row>
    <row r="238" spans="1:72" x14ac:dyDescent="0.25">
      <c r="A238" s="502" t="s">
        <v>403</v>
      </c>
      <c r="B238" s="502" t="s">
        <v>1431</v>
      </c>
      <c r="C238" s="538"/>
      <c r="D238" s="500">
        <v>7000</v>
      </c>
      <c r="E238" s="449">
        <v>0</v>
      </c>
      <c r="F238" s="449">
        <v>7000</v>
      </c>
      <c r="G238" s="421">
        <v>0</v>
      </c>
      <c r="H238" s="449">
        <v>7000</v>
      </c>
      <c r="I238" s="449">
        <v>0</v>
      </c>
      <c r="J238" s="426">
        <v>0</v>
      </c>
      <c r="K238" s="421"/>
      <c r="L238" s="449">
        <v>0</v>
      </c>
      <c r="M238" s="449">
        <v>5320.35</v>
      </c>
      <c r="N238" s="449">
        <v>0</v>
      </c>
      <c r="O238" s="449">
        <v>0</v>
      </c>
      <c r="P238" s="449">
        <v>0</v>
      </c>
      <c r="Q238" s="449">
        <v>0</v>
      </c>
      <c r="R238" s="449">
        <v>279.94166666666661</v>
      </c>
      <c r="S238" s="449">
        <v>279.94166666666661</v>
      </c>
      <c r="T238" s="449">
        <v>279.94166666666661</v>
      </c>
      <c r="U238" s="449">
        <v>279.94166666666661</v>
      </c>
      <c r="V238" s="449">
        <v>279.94166666666661</v>
      </c>
      <c r="W238" s="449">
        <v>279.94166666666661</v>
      </c>
      <c r="X238" s="449"/>
      <c r="Y238" s="449">
        <v>7000</v>
      </c>
      <c r="Z238" s="531"/>
      <c r="AA238" s="449">
        <v>583.33333333333337</v>
      </c>
      <c r="AB238" s="449">
        <v>583.33333333333337</v>
      </c>
      <c r="AC238" s="449">
        <v>583.33333333333337</v>
      </c>
      <c r="AD238" s="449">
        <v>583.33333333333337</v>
      </c>
      <c r="AE238" s="449">
        <v>583.33333333333337</v>
      </c>
      <c r="AF238" s="449">
        <v>583.33333333333337</v>
      </c>
      <c r="AG238" s="449">
        <v>583.33333333333337</v>
      </c>
      <c r="AH238" s="449">
        <v>583.33333333333337</v>
      </c>
      <c r="AI238" s="449">
        <v>583.33333333333337</v>
      </c>
      <c r="AJ238" s="449">
        <v>583.33333333333337</v>
      </c>
      <c r="AK238" s="449">
        <v>583.33333333333337</v>
      </c>
      <c r="AL238" s="449">
        <v>583.33333333333337</v>
      </c>
      <c r="AM238" s="400"/>
      <c r="AN238" s="500">
        <v>7000</v>
      </c>
      <c r="AO238" s="449">
        <v>6999.9999999999991</v>
      </c>
      <c r="AP238" s="449">
        <v>-9.0949470177292824E-13</v>
      </c>
      <c r="AQ238" s="453">
        <v>-1.2992781453898976E-16</v>
      </c>
      <c r="AR238" s="449">
        <v>6999.9999999999991</v>
      </c>
      <c r="AS238" s="449">
        <v>0</v>
      </c>
      <c r="AT238" s="426">
        <v>0</v>
      </c>
      <c r="AU238" s="421"/>
      <c r="AV238" s="449">
        <v>583.33333333333337</v>
      </c>
      <c r="AW238" s="449">
        <v>583.33333333333337</v>
      </c>
      <c r="AX238" s="449">
        <v>583.33333333333337</v>
      </c>
      <c r="AY238" s="449">
        <v>583.33333333333337</v>
      </c>
      <c r="AZ238" s="449">
        <v>583.33333333333337</v>
      </c>
      <c r="BA238" s="449">
        <v>583.33333333333337</v>
      </c>
      <c r="BB238" s="449">
        <v>583.33333333333337</v>
      </c>
      <c r="BC238" s="449">
        <v>583.33333333333337</v>
      </c>
      <c r="BD238" s="449">
        <v>583.33333333333337</v>
      </c>
      <c r="BE238" s="449">
        <v>583.33333333333337</v>
      </c>
      <c r="BF238" s="449">
        <v>583.33333333333337</v>
      </c>
      <c r="BG238" s="449">
        <v>583.33333333333337</v>
      </c>
      <c r="BH238" s="400"/>
      <c r="BI238" s="449">
        <v>583.33333333333337</v>
      </c>
      <c r="BJ238" s="449">
        <v>583.33333333333337</v>
      </c>
      <c r="BK238" s="449">
        <v>583.33333333333337</v>
      </c>
      <c r="BL238" s="771">
        <v>583.33333333333337</v>
      </c>
      <c r="BM238" s="449">
        <v>583.33333333333337</v>
      </c>
      <c r="BN238" s="449">
        <v>583.33333333333337</v>
      </c>
      <c r="BO238" s="449">
        <v>583.33333333333337</v>
      </c>
      <c r="BP238" s="449">
        <v>583.33333333333337</v>
      </c>
      <c r="BQ238" s="449">
        <v>583.33333333333337</v>
      </c>
      <c r="BR238" s="449">
        <v>583.33333333333337</v>
      </c>
      <c r="BS238" s="449">
        <v>583.33333333333337</v>
      </c>
      <c r="BT238" s="449">
        <v>583.33333333333337</v>
      </c>
    </row>
    <row r="239" spans="1:72" x14ac:dyDescent="0.25">
      <c r="A239" s="502" t="s">
        <v>404</v>
      </c>
      <c r="B239" s="502" t="s">
        <v>1430</v>
      </c>
      <c r="C239" s="538"/>
      <c r="D239" s="500">
        <v>28000</v>
      </c>
      <c r="E239" s="449">
        <v>0</v>
      </c>
      <c r="F239" s="449">
        <v>28000</v>
      </c>
      <c r="G239" s="421">
        <v>0</v>
      </c>
      <c r="H239" s="449">
        <v>28000</v>
      </c>
      <c r="I239" s="449">
        <v>0</v>
      </c>
      <c r="J239" s="426">
        <v>0</v>
      </c>
      <c r="K239" s="421"/>
      <c r="L239" s="449">
        <v>10293.34</v>
      </c>
      <c r="M239" s="449">
        <v>508.01000000000022</v>
      </c>
      <c r="N239" s="449">
        <v>-7430.1900000000005</v>
      </c>
      <c r="O239" s="449">
        <v>407.5</v>
      </c>
      <c r="P239" s="449">
        <v>9908.3700000000008</v>
      </c>
      <c r="Q239" s="449">
        <v>112.95999999999913</v>
      </c>
      <c r="R239" s="449">
        <v>2366.6683333333335</v>
      </c>
      <c r="S239" s="449">
        <v>2366.6683333333335</v>
      </c>
      <c r="T239" s="449">
        <v>2366.6683333333331</v>
      </c>
      <c r="U239" s="449">
        <v>2366.6683333333326</v>
      </c>
      <c r="V239" s="449">
        <v>2366.6683333333331</v>
      </c>
      <c r="W239" s="449">
        <v>2366.6683333333349</v>
      </c>
      <c r="X239" s="449"/>
      <c r="Y239" s="449">
        <v>28000</v>
      </c>
      <c r="Z239" s="531"/>
      <c r="AA239" s="449">
        <v>2333.3333333333335</v>
      </c>
      <c r="AB239" s="449">
        <v>2333.3333333333335</v>
      </c>
      <c r="AC239" s="449">
        <v>2333.3333333333335</v>
      </c>
      <c r="AD239" s="449">
        <v>2333.3333333333335</v>
      </c>
      <c r="AE239" s="449">
        <v>2333.3333333333335</v>
      </c>
      <c r="AF239" s="449">
        <v>2333.3333333333335</v>
      </c>
      <c r="AG239" s="449">
        <v>2333.3333333333335</v>
      </c>
      <c r="AH239" s="449">
        <v>2333.3333333333335</v>
      </c>
      <c r="AI239" s="449">
        <v>2333.3333333333335</v>
      </c>
      <c r="AJ239" s="449">
        <v>2333.3333333333335</v>
      </c>
      <c r="AK239" s="449">
        <v>2333.3333333333335</v>
      </c>
      <c r="AL239" s="449">
        <v>2333.3333333333335</v>
      </c>
      <c r="AM239" s="400"/>
      <c r="AN239" s="500">
        <v>28000</v>
      </c>
      <c r="AO239" s="449">
        <v>60000</v>
      </c>
      <c r="AP239" s="449">
        <v>32000</v>
      </c>
      <c r="AQ239" s="453">
        <v>1.1428571428571428</v>
      </c>
      <c r="AR239" s="449">
        <v>60000</v>
      </c>
      <c r="AS239" s="449">
        <v>0</v>
      </c>
      <c r="AT239" s="426">
        <v>0</v>
      </c>
      <c r="AU239" s="421"/>
      <c r="AV239" s="449">
        <v>5000</v>
      </c>
      <c r="AW239" s="449">
        <v>5000</v>
      </c>
      <c r="AX239" s="449">
        <v>5000</v>
      </c>
      <c r="AY239" s="449">
        <v>5000</v>
      </c>
      <c r="AZ239" s="449">
        <v>5000</v>
      </c>
      <c r="BA239" s="449">
        <v>5000</v>
      </c>
      <c r="BB239" s="449">
        <v>5000</v>
      </c>
      <c r="BC239" s="449">
        <v>5000</v>
      </c>
      <c r="BD239" s="449">
        <v>5000</v>
      </c>
      <c r="BE239" s="449">
        <v>5000</v>
      </c>
      <c r="BF239" s="449">
        <v>5000</v>
      </c>
      <c r="BG239" s="449">
        <v>5000</v>
      </c>
      <c r="BH239" s="400"/>
      <c r="BI239" s="449">
        <v>5000</v>
      </c>
      <c r="BJ239" s="449">
        <v>5000</v>
      </c>
      <c r="BK239" s="449">
        <v>5000</v>
      </c>
      <c r="BL239" s="771">
        <v>5000</v>
      </c>
      <c r="BM239" s="449">
        <v>5000</v>
      </c>
      <c r="BN239" s="449">
        <v>5000</v>
      </c>
      <c r="BO239" s="449">
        <v>5000</v>
      </c>
      <c r="BP239" s="449">
        <v>5000</v>
      </c>
      <c r="BQ239" s="449">
        <v>5000</v>
      </c>
      <c r="BR239" s="449">
        <v>5000</v>
      </c>
      <c r="BS239" s="449">
        <v>5000</v>
      </c>
      <c r="BT239" s="449">
        <v>5000</v>
      </c>
    </row>
    <row r="240" spans="1:72" x14ac:dyDescent="0.25">
      <c r="A240" s="502" t="s">
        <v>406</v>
      </c>
      <c r="B240" s="502" t="s">
        <v>405</v>
      </c>
      <c r="C240" s="538"/>
      <c r="D240" s="500">
        <v>5000</v>
      </c>
      <c r="E240" s="449">
        <v>40000</v>
      </c>
      <c r="F240" s="449">
        <v>-35000</v>
      </c>
      <c r="G240" s="421">
        <v>-0.875</v>
      </c>
      <c r="H240" s="449">
        <v>5000</v>
      </c>
      <c r="I240" s="449">
        <v>0</v>
      </c>
      <c r="J240" s="426">
        <v>0</v>
      </c>
      <c r="K240" s="421"/>
      <c r="L240" s="449">
        <v>465.33</v>
      </c>
      <c r="M240" s="449">
        <v>0</v>
      </c>
      <c r="N240" s="449">
        <v>0</v>
      </c>
      <c r="O240" s="449">
        <v>90.000000000000057</v>
      </c>
      <c r="P240" s="449">
        <v>0</v>
      </c>
      <c r="Q240" s="449">
        <v>0</v>
      </c>
      <c r="R240" s="449">
        <v>740.77833333333331</v>
      </c>
      <c r="S240" s="449">
        <v>740.77833333333331</v>
      </c>
      <c r="T240" s="449">
        <v>740.77833333333331</v>
      </c>
      <c r="U240" s="449">
        <v>740.77833333333331</v>
      </c>
      <c r="V240" s="449">
        <v>740.77833333333342</v>
      </c>
      <c r="W240" s="449">
        <v>740.77833333333365</v>
      </c>
      <c r="X240" s="449"/>
      <c r="Y240" s="449">
        <v>5000</v>
      </c>
      <c r="Z240" s="531"/>
      <c r="AA240" s="449">
        <v>416.66666666666669</v>
      </c>
      <c r="AB240" s="449">
        <v>416.66666666666669</v>
      </c>
      <c r="AC240" s="449">
        <v>416.66666666666669</v>
      </c>
      <c r="AD240" s="449">
        <v>416.66666666666669</v>
      </c>
      <c r="AE240" s="449">
        <v>416.66666666666669</v>
      </c>
      <c r="AF240" s="449">
        <v>416.66666666666669</v>
      </c>
      <c r="AG240" s="449">
        <v>416.66666666666669</v>
      </c>
      <c r="AH240" s="449">
        <v>416.66666666666669</v>
      </c>
      <c r="AI240" s="449">
        <v>416.66666666666669</v>
      </c>
      <c r="AJ240" s="449">
        <v>416.66666666666669</v>
      </c>
      <c r="AK240" s="449">
        <v>416.66666666666669</v>
      </c>
      <c r="AL240" s="449">
        <v>416.66666666666669</v>
      </c>
      <c r="AM240" s="400"/>
      <c r="AN240" s="500">
        <v>5000</v>
      </c>
      <c r="AO240" s="449">
        <v>0</v>
      </c>
      <c r="AP240" s="449">
        <v>-5000</v>
      </c>
      <c r="AQ240" s="453">
        <v>-1</v>
      </c>
      <c r="AR240" s="449">
        <v>0</v>
      </c>
      <c r="AS240" s="449">
        <v>0</v>
      </c>
      <c r="AT240" s="426">
        <v>0</v>
      </c>
      <c r="AU240" s="421"/>
      <c r="AV240" s="449">
        <v>0</v>
      </c>
      <c r="AW240" s="449">
        <v>0</v>
      </c>
      <c r="AX240" s="449">
        <v>0</v>
      </c>
      <c r="AY240" s="449">
        <v>0</v>
      </c>
      <c r="AZ240" s="449">
        <v>0</v>
      </c>
      <c r="BA240" s="449">
        <v>0</v>
      </c>
      <c r="BB240" s="449">
        <v>0</v>
      </c>
      <c r="BC240" s="449">
        <v>0</v>
      </c>
      <c r="BD240" s="449">
        <v>0</v>
      </c>
      <c r="BE240" s="449">
        <v>0</v>
      </c>
      <c r="BF240" s="449">
        <v>0</v>
      </c>
      <c r="BG240" s="449">
        <v>0</v>
      </c>
      <c r="BH240" s="400"/>
      <c r="BI240" s="449">
        <v>0</v>
      </c>
      <c r="BJ240" s="449">
        <v>0</v>
      </c>
      <c r="BK240" s="449">
        <v>0</v>
      </c>
      <c r="BL240" s="771">
        <v>0</v>
      </c>
      <c r="BM240" s="449">
        <v>0</v>
      </c>
      <c r="BN240" s="449">
        <v>0</v>
      </c>
      <c r="BO240" s="449">
        <v>0</v>
      </c>
      <c r="BP240" s="449">
        <v>0</v>
      </c>
      <c r="BQ240" s="449">
        <v>0</v>
      </c>
      <c r="BR240" s="449">
        <v>0</v>
      </c>
      <c r="BS240" s="449">
        <v>0</v>
      </c>
      <c r="BT240" s="449">
        <v>0</v>
      </c>
    </row>
    <row r="241" spans="1:74" ht="9.75" customHeight="1" x14ac:dyDescent="0.25">
      <c r="A241" s="502"/>
      <c r="B241" s="502"/>
      <c r="C241" s="541"/>
      <c r="D241" s="500"/>
      <c r="E241" s="449"/>
      <c r="F241" s="449"/>
      <c r="G241" s="421"/>
      <c r="H241" s="449"/>
      <c r="I241" s="449"/>
      <c r="J241" s="426"/>
      <c r="K241" s="421"/>
      <c r="L241" s="449"/>
      <c r="M241" s="449"/>
      <c r="N241" s="449"/>
      <c r="O241" s="449"/>
      <c r="P241" s="449"/>
      <c r="Q241" s="449"/>
      <c r="R241" s="449"/>
      <c r="S241" s="449"/>
      <c r="T241" s="449"/>
      <c r="U241" s="449"/>
      <c r="V241" s="449"/>
      <c r="W241" s="449"/>
      <c r="X241" s="449"/>
      <c r="Y241" s="449"/>
      <c r="Z241" s="531"/>
      <c r="AA241" s="449"/>
      <c r="AB241" s="449"/>
      <c r="AC241" s="449"/>
      <c r="AD241" s="449"/>
      <c r="AE241" s="449"/>
      <c r="AF241" s="449"/>
      <c r="AG241" s="449"/>
      <c r="AH241" s="449"/>
      <c r="AI241" s="449"/>
      <c r="AJ241" s="449"/>
      <c r="AK241" s="449"/>
      <c r="AL241" s="449"/>
      <c r="AM241" s="400"/>
      <c r="AN241" s="500"/>
      <c r="AO241" s="449"/>
      <c r="AP241" s="449"/>
      <c r="AQ241" s="453"/>
      <c r="AR241" s="449"/>
      <c r="AS241" s="449"/>
      <c r="AT241" s="426"/>
      <c r="AU241" s="421"/>
      <c r="AV241" s="449"/>
      <c r="AW241" s="449"/>
      <c r="AX241" s="449"/>
      <c r="AY241" s="449"/>
      <c r="AZ241" s="449"/>
      <c r="BA241" s="449"/>
      <c r="BB241" s="449"/>
      <c r="BC241" s="449"/>
      <c r="BD241" s="449"/>
      <c r="BE241" s="449"/>
      <c r="BF241" s="449"/>
      <c r="BG241" s="449"/>
      <c r="BH241" s="531"/>
      <c r="BI241" s="449"/>
      <c r="BJ241" s="449"/>
      <c r="BK241" s="449"/>
      <c r="BL241" s="771"/>
      <c r="BM241" s="449"/>
      <c r="BN241" s="449"/>
      <c r="BO241" s="449"/>
      <c r="BP241" s="449"/>
      <c r="BQ241" s="449"/>
      <c r="BR241" s="449"/>
      <c r="BS241" s="449"/>
      <c r="BT241" s="449"/>
      <c r="BU241" s="400"/>
      <c r="BV241" s="400"/>
    </row>
    <row r="242" spans="1:74" s="536" customFormat="1" ht="15" customHeight="1" thickBot="1" x14ac:dyDescent="0.3">
      <c r="A242" s="524"/>
      <c r="B242" s="524" t="s">
        <v>407</v>
      </c>
      <c r="C242" s="539"/>
      <c r="D242" s="532">
        <v>1153198.18</v>
      </c>
      <c r="E242" s="533">
        <v>1018157</v>
      </c>
      <c r="F242" s="533">
        <v>135041.17999999993</v>
      </c>
      <c r="G242" s="520">
        <v>0.13263296328562288</v>
      </c>
      <c r="H242" s="533">
        <v>1098858</v>
      </c>
      <c r="I242" s="533">
        <v>54340.179999999935</v>
      </c>
      <c r="J242" s="521">
        <v>4.9451503287958894E-2</v>
      </c>
      <c r="K242" s="507"/>
      <c r="L242" s="533">
        <v>116313.13</v>
      </c>
      <c r="M242" s="533">
        <v>92756.52</v>
      </c>
      <c r="N242" s="533">
        <v>39029.919999999998</v>
      </c>
      <c r="O242" s="533">
        <v>131938.66000000003</v>
      </c>
      <c r="P242" s="533">
        <v>74352.770000000033</v>
      </c>
      <c r="Q242" s="533">
        <v>46001.899999999994</v>
      </c>
      <c r="R242" s="533">
        <v>108800.88000000002</v>
      </c>
      <c r="S242" s="533">
        <v>108800.88000000002</v>
      </c>
      <c r="T242" s="533">
        <v>108800.88</v>
      </c>
      <c r="U242" s="533">
        <v>108800.88</v>
      </c>
      <c r="V242" s="533">
        <v>108800.88</v>
      </c>
      <c r="W242" s="533">
        <v>108800.88</v>
      </c>
      <c r="X242" s="533"/>
      <c r="Y242" s="533">
        <v>1153198.1800000002</v>
      </c>
      <c r="Z242" s="508"/>
      <c r="AA242" s="533">
        <v>91571.499999999971</v>
      </c>
      <c r="AB242" s="533">
        <v>91571.499999999971</v>
      </c>
      <c r="AC242" s="533">
        <v>91571.499999999971</v>
      </c>
      <c r="AD242" s="533">
        <v>91571.499999999971</v>
      </c>
      <c r="AE242" s="533">
        <v>91571.499999999971</v>
      </c>
      <c r="AF242" s="533">
        <v>91571.499999999971</v>
      </c>
      <c r="AG242" s="533">
        <v>91571.499999999971</v>
      </c>
      <c r="AH242" s="533">
        <v>91571.499999999971</v>
      </c>
      <c r="AI242" s="533">
        <v>91571.499999999971</v>
      </c>
      <c r="AJ242" s="533">
        <v>91571.499999999971</v>
      </c>
      <c r="AK242" s="533">
        <v>91571.499999999971</v>
      </c>
      <c r="AL242" s="533">
        <v>91571.499999999971</v>
      </c>
      <c r="AN242" s="532">
        <v>1153198.18</v>
      </c>
      <c r="AO242" s="533">
        <v>1259728.99501975</v>
      </c>
      <c r="AP242" s="533">
        <v>106530.81501975004</v>
      </c>
      <c r="AQ242" s="523">
        <v>9.2378584069348804E-2</v>
      </c>
      <c r="AR242" s="533">
        <v>1259728.99501975</v>
      </c>
      <c r="AS242" s="533">
        <v>0</v>
      </c>
      <c r="AT242" s="521">
        <v>0</v>
      </c>
      <c r="AU242" s="507"/>
      <c r="AV242" s="533">
        <v>28993.954771619818</v>
      </c>
      <c r="AW242" s="533">
        <v>104150.70050987875</v>
      </c>
      <c r="AX242" s="533">
        <v>98173.633314698032</v>
      </c>
      <c r="AY242" s="533">
        <v>186893.13331469812</v>
      </c>
      <c r="AZ242" s="533">
        <v>98173.633314698032</v>
      </c>
      <c r="BA242" s="533">
        <v>88781.099150842609</v>
      </c>
      <c r="BB242" s="533">
        <v>88781.099150842609</v>
      </c>
      <c r="BC242" s="533">
        <v>88781.099150842609</v>
      </c>
      <c r="BD242" s="533">
        <v>88781.099150842609</v>
      </c>
      <c r="BE242" s="533">
        <v>135500.59915084258</v>
      </c>
      <c r="BF242" s="533">
        <v>88781.099150842609</v>
      </c>
      <c r="BG242" s="533">
        <v>163937.84488910154</v>
      </c>
      <c r="BH242" s="508"/>
      <c r="BI242" s="533">
        <v>28993.954771619818</v>
      </c>
      <c r="BJ242" s="533">
        <v>104150.70050987875</v>
      </c>
      <c r="BK242" s="533">
        <v>98173.633314698032</v>
      </c>
      <c r="BL242" s="777">
        <v>186893.13331469812</v>
      </c>
      <c r="BM242" s="533">
        <v>98173.633314698032</v>
      </c>
      <c r="BN242" s="533">
        <v>88781.099150842609</v>
      </c>
      <c r="BO242" s="533">
        <v>88781.099150842609</v>
      </c>
      <c r="BP242" s="533">
        <v>88781.099150842609</v>
      </c>
      <c r="BQ242" s="533">
        <v>88781.099150842609</v>
      </c>
      <c r="BR242" s="533">
        <v>135500.59915084258</v>
      </c>
      <c r="BS242" s="533">
        <v>88781.099150842609</v>
      </c>
      <c r="BT242" s="533">
        <v>163937.84488910154</v>
      </c>
      <c r="BV242" s="400"/>
    </row>
    <row r="243" spans="1:74" ht="15" customHeight="1" thickTop="1" x14ac:dyDescent="0.25">
      <c r="A243" s="502"/>
      <c r="B243" s="502"/>
      <c r="C243" s="541"/>
      <c r="D243" s="500"/>
      <c r="E243" s="449"/>
      <c r="F243" s="449"/>
      <c r="G243" s="421"/>
      <c r="H243" s="449"/>
      <c r="I243" s="449"/>
      <c r="J243" s="426"/>
      <c r="K243" s="421"/>
      <c r="L243" s="449"/>
      <c r="M243" s="449"/>
      <c r="N243" s="449"/>
      <c r="O243" s="449"/>
      <c r="P243" s="449"/>
      <c r="Q243" s="449"/>
      <c r="R243" s="449"/>
      <c r="S243" s="449"/>
      <c r="T243" s="449"/>
      <c r="U243" s="449"/>
      <c r="V243" s="449"/>
      <c r="W243" s="449"/>
      <c r="X243" s="449"/>
      <c r="Y243" s="449"/>
      <c r="Z243" s="531"/>
      <c r="AA243" s="449"/>
      <c r="AB243" s="449"/>
      <c r="AC243" s="449"/>
      <c r="AD243" s="449"/>
      <c r="AE243" s="449"/>
      <c r="AF243" s="449"/>
      <c r="AG243" s="449"/>
      <c r="AH243" s="449"/>
      <c r="AI243" s="449"/>
      <c r="AJ243" s="449"/>
      <c r="AK243" s="449"/>
      <c r="AL243" s="449"/>
      <c r="AM243" s="400"/>
      <c r="AN243" s="500"/>
      <c r="AO243" s="449"/>
      <c r="AP243" s="449">
        <v>81000</v>
      </c>
      <c r="AQ243" s="453"/>
      <c r="AR243" s="449"/>
      <c r="AS243" s="449"/>
      <c r="AT243" s="426"/>
      <c r="AU243" s="421"/>
      <c r="AV243" s="449"/>
      <c r="AW243" s="449"/>
      <c r="AX243" s="449"/>
      <c r="AY243" s="449"/>
      <c r="AZ243" s="449"/>
      <c r="BA243" s="449"/>
      <c r="BB243" s="449"/>
      <c r="BC243" s="449"/>
      <c r="BD243" s="449"/>
      <c r="BE243" s="449"/>
      <c r="BF243" s="449"/>
      <c r="BG243" s="449"/>
      <c r="BH243" s="531"/>
      <c r="BI243" s="449"/>
      <c r="BJ243" s="449"/>
      <c r="BK243" s="449"/>
      <c r="BL243" s="771"/>
      <c r="BM243" s="449"/>
      <c r="BN243" s="449"/>
      <c r="BO243" s="449"/>
      <c r="BP243" s="449"/>
      <c r="BQ243" s="449"/>
      <c r="BR243" s="449"/>
      <c r="BS243" s="449"/>
      <c r="BT243" s="449"/>
      <c r="BU243" s="400"/>
      <c r="BV243" s="400"/>
    </row>
    <row r="244" spans="1:74" ht="15" customHeight="1" x14ac:dyDescent="0.25">
      <c r="A244" s="502"/>
      <c r="B244" s="525" t="s">
        <v>408</v>
      </c>
      <c r="C244" s="541"/>
      <c r="D244" s="500"/>
      <c r="E244" s="449"/>
      <c r="F244" s="449"/>
      <c r="G244" s="421"/>
      <c r="H244" s="449"/>
      <c r="I244" s="449"/>
      <c r="J244" s="426"/>
      <c r="K244" s="421"/>
      <c r="L244" s="449"/>
      <c r="M244" s="449"/>
      <c r="N244" s="449"/>
      <c r="O244" s="449"/>
      <c r="P244" s="449"/>
      <c r="Q244" s="449"/>
      <c r="R244" s="449"/>
      <c r="S244" s="449"/>
      <c r="T244" s="449"/>
      <c r="U244" s="449"/>
      <c r="V244" s="449"/>
      <c r="W244" s="449"/>
      <c r="X244" s="449"/>
      <c r="Y244" s="449"/>
      <c r="Z244" s="531"/>
      <c r="AA244" s="449"/>
      <c r="AB244" s="449"/>
      <c r="AC244" s="449"/>
      <c r="AD244" s="449"/>
      <c r="AE244" s="449"/>
      <c r="AF244" s="449"/>
      <c r="AG244" s="449"/>
      <c r="AH244" s="449"/>
      <c r="AI244" s="449"/>
      <c r="AJ244" s="449"/>
      <c r="AK244" s="449"/>
      <c r="AL244" s="449"/>
      <c r="AM244" s="400"/>
      <c r="AN244" s="500"/>
      <c r="AO244" s="449"/>
      <c r="AP244" s="449"/>
      <c r="AQ244" s="453"/>
      <c r="AR244" s="449"/>
      <c r="AS244" s="449"/>
      <c r="AT244" s="426"/>
      <c r="AU244" s="421"/>
      <c r="AV244" s="449"/>
      <c r="AW244" s="449"/>
      <c r="AX244" s="449"/>
      <c r="AY244" s="449"/>
      <c r="AZ244" s="449"/>
      <c r="BA244" s="449"/>
      <c r="BB244" s="449"/>
      <c r="BC244" s="449"/>
      <c r="BD244" s="449"/>
      <c r="BE244" s="449"/>
      <c r="BF244" s="449"/>
      <c r="BG244" s="449"/>
      <c r="BH244" s="531"/>
      <c r="BI244" s="449"/>
      <c r="BJ244" s="449"/>
      <c r="BK244" s="449"/>
      <c r="BL244" s="771"/>
      <c r="BM244" s="449"/>
      <c r="BN244" s="449"/>
      <c r="BO244" s="449"/>
      <c r="BP244" s="449"/>
      <c r="BQ244" s="449"/>
      <c r="BR244" s="449"/>
      <c r="BS244" s="449"/>
      <c r="BT244" s="449"/>
      <c r="BU244" s="400"/>
      <c r="BV244" s="400"/>
    </row>
    <row r="245" spans="1:74" ht="6" customHeight="1" x14ac:dyDescent="0.25">
      <c r="A245" s="502"/>
      <c r="B245" s="502"/>
      <c r="C245" s="541"/>
      <c r="D245" s="500"/>
      <c r="E245" s="449"/>
      <c r="F245" s="449"/>
      <c r="G245" s="421"/>
      <c r="H245" s="449"/>
      <c r="I245" s="449"/>
      <c r="J245" s="426"/>
      <c r="K245" s="421"/>
      <c r="L245" s="449"/>
      <c r="M245" s="449"/>
      <c r="N245" s="449"/>
      <c r="O245" s="449"/>
      <c r="P245" s="449"/>
      <c r="Q245" s="449"/>
      <c r="R245" s="449"/>
      <c r="S245" s="449"/>
      <c r="T245" s="449"/>
      <c r="U245" s="449"/>
      <c r="V245" s="449"/>
      <c r="W245" s="449"/>
      <c r="X245" s="449"/>
      <c r="Y245" s="449"/>
      <c r="Z245" s="531"/>
      <c r="AA245" s="449"/>
      <c r="AB245" s="449"/>
      <c r="AC245" s="449"/>
      <c r="AD245" s="449"/>
      <c r="AE245" s="449"/>
      <c r="AF245" s="449"/>
      <c r="AG245" s="449"/>
      <c r="AH245" s="449"/>
      <c r="AI245" s="449"/>
      <c r="AJ245" s="449"/>
      <c r="AK245" s="449"/>
      <c r="AL245" s="449"/>
      <c r="AM245" s="400"/>
      <c r="AN245" s="500"/>
      <c r="AO245" s="449"/>
      <c r="AP245" s="449"/>
      <c r="AQ245" s="453"/>
      <c r="AR245" s="449"/>
      <c r="AS245" s="449"/>
      <c r="AT245" s="426"/>
      <c r="AU245" s="421"/>
      <c r="AV245" s="449"/>
      <c r="AW245" s="449"/>
      <c r="AX245" s="449"/>
      <c r="AY245" s="449"/>
      <c r="AZ245" s="449"/>
      <c r="BA245" s="449"/>
      <c r="BB245" s="449"/>
      <c r="BC245" s="449"/>
      <c r="BD245" s="449"/>
      <c r="BE245" s="449"/>
      <c r="BF245" s="449"/>
      <c r="BG245" s="449"/>
      <c r="BH245" s="531"/>
      <c r="BI245" s="449"/>
      <c r="BJ245" s="449"/>
      <c r="BK245" s="449"/>
      <c r="BL245" s="771"/>
      <c r="BM245" s="449"/>
      <c r="BN245" s="449"/>
      <c r="BO245" s="449"/>
      <c r="BP245" s="449"/>
      <c r="BQ245" s="449"/>
      <c r="BR245" s="449"/>
      <c r="BS245" s="449"/>
      <c r="BT245" s="449"/>
      <c r="BU245" s="400"/>
      <c r="BV245" s="400"/>
    </row>
    <row r="246" spans="1:74" s="536" customFormat="1" hidden="1" x14ac:dyDescent="0.25">
      <c r="A246" s="524" t="s">
        <v>409</v>
      </c>
      <c r="B246" s="524" t="s">
        <v>410</v>
      </c>
      <c r="C246" s="595"/>
      <c r="D246" s="527"/>
      <c r="E246" s="528">
        <v>0</v>
      </c>
      <c r="F246" s="528"/>
      <c r="G246" s="507"/>
      <c r="H246" s="528">
        <v>0</v>
      </c>
      <c r="I246" s="528"/>
      <c r="J246" s="529"/>
      <c r="K246" s="507"/>
      <c r="L246" s="528"/>
      <c r="M246" s="528"/>
      <c r="N246" s="528"/>
      <c r="O246" s="528"/>
      <c r="P246" s="528"/>
      <c r="Q246" s="528"/>
      <c r="R246" s="528"/>
      <c r="S246" s="528"/>
      <c r="T246" s="528"/>
      <c r="U246" s="528"/>
      <c r="V246" s="528"/>
      <c r="W246" s="528"/>
      <c r="X246" s="528"/>
      <c r="Y246" s="528">
        <v>0</v>
      </c>
      <c r="Z246" s="530"/>
      <c r="AA246" s="528"/>
      <c r="AB246" s="528"/>
      <c r="AC246" s="528"/>
      <c r="AD246" s="528"/>
      <c r="AE246" s="528"/>
      <c r="AF246" s="528"/>
      <c r="AG246" s="528"/>
      <c r="AH246" s="528"/>
      <c r="AI246" s="528"/>
      <c r="AJ246" s="528"/>
      <c r="AK246" s="528"/>
      <c r="AL246" s="528"/>
      <c r="AN246" s="527"/>
      <c r="AO246" s="528"/>
      <c r="AP246" s="528"/>
      <c r="AQ246" s="499"/>
      <c r="AR246" s="528">
        <v>0</v>
      </c>
      <c r="AS246" s="528"/>
      <c r="AT246" s="529"/>
      <c r="AU246" s="507"/>
      <c r="AV246" s="528"/>
      <c r="AW246" s="528"/>
      <c r="AX246" s="528"/>
      <c r="AY246" s="528"/>
      <c r="AZ246" s="528"/>
      <c r="BA246" s="528"/>
      <c r="BB246" s="528"/>
      <c r="BC246" s="528"/>
      <c r="BD246" s="528"/>
      <c r="BE246" s="528"/>
      <c r="BF246" s="528"/>
      <c r="BG246" s="528"/>
      <c r="BH246" s="530"/>
      <c r="BI246" s="528"/>
      <c r="BJ246" s="528"/>
      <c r="BK246" s="528"/>
      <c r="BL246" s="778"/>
      <c r="BM246" s="528"/>
      <c r="BN246" s="528"/>
      <c r="BO246" s="528"/>
      <c r="BP246" s="528"/>
      <c r="BQ246" s="528"/>
      <c r="BR246" s="528"/>
      <c r="BS246" s="528"/>
      <c r="BT246" s="528"/>
      <c r="BV246" s="400"/>
    </row>
    <row r="247" spans="1:74" s="536" customFormat="1" hidden="1" x14ac:dyDescent="0.25">
      <c r="A247" s="524" t="s">
        <v>411</v>
      </c>
      <c r="B247" s="524" t="s">
        <v>412</v>
      </c>
      <c r="C247" s="595"/>
      <c r="D247" s="527"/>
      <c r="E247" s="528">
        <v>0</v>
      </c>
      <c r="F247" s="528"/>
      <c r="G247" s="507"/>
      <c r="H247" s="528">
        <v>0</v>
      </c>
      <c r="I247" s="528"/>
      <c r="J247" s="529"/>
      <c r="K247" s="507"/>
      <c r="L247" s="528"/>
      <c r="M247" s="528"/>
      <c r="N247" s="528"/>
      <c r="O247" s="528"/>
      <c r="P247" s="528"/>
      <c r="Q247" s="528"/>
      <c r="R247" s="528"/>
      <c r="S247" s="528"/>
      <c r="T247" s="528"/>
      <c r="U247" s="528"/>
      <c r="V247" s="528"/>
      <c r="W247" s="528"/>
      <c r="X247" s="528"/>
      <c r="Y247" s="528">
        <v>0</v>
      </c>
      <c r="Z247" s="530"/>
      <c r="AA247" s="528"/>
      <c r="AB247" s="528"/>
      <c r="AC247" s="528"/>
      <c r="AD247" s="528"/>
      <c r="AE247" s="528"/>
      <c r="AF247" s="528"/>
      <c r="AG247" s="528"/>
      <c r="AH247" s="528"/>
      <c r="AI247" s="528"/>
      <c r="AJ247" s="528"/>
      <c r="AK247" s="528"/>
      <c r="AL247" s="528"/>
      <c r="AN247" s="527"/>
      <c r="AO247" s="528"/>
      <c r="AP247" s="528"/>
      <c r="AQ247" s="499"/>
      <c r="AR247" s="528">
        <v>0</v>
      </c>
      <c r="AS247" s="528"/>
      <c r="AT247" s="529"/>
      <c r="AU247" s="507"/>
      <c r="AV247" s="528"/>
      <c r="AW247" s="528"/>
      <c r="AX247" s="528"/>
      <c r="AY247" s="528"/>
      <c r="AZ247" s="528"/>
      <c r="BA247" s="528"/>
      <c r="BB247" s="528"/>
      <c r="BC247" s="528"/>
      <c r="BD247" s="528"/>
      <c r="BE247" s="528"/>
      <c r="BF247" s="528"/>
      <c r="BG247" s="528"/>
      <c r="BH247" s="530"/>
      <c r="BI247" s="528"/>
      <c r="BJ247" s="528"/>
      <c r="BK247" s="528"/>
      <c r="BL247" s="778"/>
      <c r="BM247" s="528"/>
      <c r="BN247" s="528"/>
      <c r="BO247" s="528"/>
      <c r="BP247" s="528"/>
      <c r="BQ247" s="528"/>
      <c r="BR247" s="528"/>
      <c r="BS247" s="528"/>
      <c r="BT247" s="528"/>
      <c r="BV247" s="400"/>
    </row>
    <row r="248" spans="1:74" hidden="1" x14ac:dyDescent="0.25">
      <c r="A248" s="502" t="s">
        <v>413</v>
      </c>
      <c r="B248" s="502" t="s">
        <v>414</v>
      </c>
      <c r="C248" s="541"/>
      <c r="D248" s="500"/>
      <c r="E248" s="449">
        <v>0</v>
      </c>
      <c r="F248" s="449"/>
      <c r="G248" s="421"/>
      <c r="H248" s="449">
        <v>0</v>
      </c>
      <c r="I248" s="449"/>
      <c r="J248" s="426"/>
      <c r="K248" s="421"/>
      <c r="L248" s="449"/>
      <c r="M248" s="449"/>
      <c r="N248" s="449"/>
      <c r="O248" s="449"/>
      <c r="P248" s="449"/>
      <c r="Q248" s="449"/>
      <c r="R248" s="449"/>
      <c r="S248" s="449"/>
      <c r="T248" s="449"/>
      <c r="U248" s="449"/>
      <c r="V248" s="449"/>
      <c r="W248" s="449"/>
      <c r="X248" s="449"/>
      <c r="Y248" s="449">
        <v>0</v>
      </c>
      <c r="Z248" s="531"/>
      <c r="AA248" s="449"/>
      <c r="AB248" s="449"/>
      <c r="AC248" s="449"/>
      <c r="AD248" s="449"/>
      <c r="AE248" s="449"/>
      <c r="AF248" s="449"/>
      <c r="AG248" s="449"/>
      <c r="AH248" s="449"/>
      <c r="AI248" s="449"/>
      <c r="AJ248" s="449"/>
      <c r="AK248" s="449"/>
      <c r="AL248" s="449"/>
      <c r="AM248" s="400"/>
      <c r="AN248" s="500"/>
      <c r="AO248" s="449"/>
      <c r="AP248" s="449"/>
      <c r="AQ248" s="453"/>
      <c r="AR248" s="449">
        <v>0</v>
      </c>
      <c r="AS248" s="449"/>
      <c r="AT248" s="426"/>
      <c r="AU248" s="421"/>
      <c r="AV248" s="449"/>
      <c r="AW248" s="449"/>
      <c r="AX248" s="449"/>
      <c r="AY248" s="449"/>
      <c r="AZ248" s="449"/>
      <c r="BA248" s="449"/>
      <c r="BB248" s="449"/>
      <c r="BC248" s="449"/>
      <c r="BD248" s="449"/>
      <c r="BE248" s="449"/>
      <c r="BF248" s="449"/>
      <c r="BG248" s="449"/>
      <c r="BH248" s="531"/>
      <c r="BI248" s="449"/>
      <c r="BJ248" s="449"/>
      <c r="BK248" s="449"/>
      <c r="BL248" s="771"/>
      <c r="BM248" s="449"/>
      <c r="BN248" s="449"/>
      <c r="BO248" s="449"/>
      <c r="BP248" s="449"/>
      <c r="BQ248" s="449"/>
      <c r="BR248" s="449"/>
      <c r="BS248" s="449"/>
      <c r="BT248" s="449"/>
      <c r="BU248" s="400"/>
      <c r="BV248" s="400"/>
    </row>
    <row r="249" spans="1:74" hidden="1" x14ac:dyDescent="0.25">
      <c r="A249" s="502" t="s">
        <v>415</v>
      </c>
      <c r="B249" s="502" t="s">
        <v>416</v>
      </c>
      <c r="C249" s="541"/>
      <c r="D249" s="500"/>
      <c r="E249" s="449">
        <v>0</v>
      </c>
      <c r="F249" s="449"/>
      <c r="G249" s="421"/>
      <c r="H249" s="449">
        <v>0</v>
      </c>
      <c r="I249" s="449"/>
      <c r="J249" s="426"/>
      <c r="K249" s="421"/>
      <c r="L249" s="449"/>
      <c r="M249" s="449"/>
      <c r="N249" s="449"/>
      <c r="O249" s="449"/>
      <c r="P249" s="449"/>
      <c r="Q249" s="449"/>
      <c r="R249" s="449"/>
      <c r="S249" s="449"/>
      <c r="T249" s="449"/>
      <c r="U249" s="449"/>
      <c r="V249" s="449"/>
      <c r="W249" s="449"/>
      <c r="X249" s="449"/>
      <c r="Y249" s="449">
        <v>0</v>
      </c>
      <c r="Z249" s="531"/>
      <c r="AA249" s="449"/>
      <c r="AB249" s="449"/>
      <c r="AC249" s="449"/>
      <c r="AD249" s="449"/>
      <c r="AE249" s="449"/>
      <c r="AF249" s="449"/>
      <c r="AG249" s="449"/>
      <c r="AH249" s="449"/>
      <c r="AI249" s="449"/>
      <c r="AJ249" s="449"/>
      <c r="AK249" s="449"/>
      <c r="AL249" s="449"/>
      <c r="AM249" s="400"/>
      <c r="AN249" s="500"/>
      <c r="AO249" s="449"/>
      <c r="AP249" s="449"/>
      <c r="AQ249" s="453"/>
      <c r="AR249" s="449">
        <v>0</v>
      </c>
      <c r="AS249" s="449"/>
      <c r="AT249" s="426"/>
      <c r="AU249" s="421"/>
      <c r="AV249" s="449"/>
      <c r="AW249" s="449"/>
      <c r="AX249" s="449"/>
      <c r="AY249" s="449"/>
      <c r="AZ249" s="449"/>
      <c r="BA249" s="449"/>
      <c r="BB249" s="449"/>
      <c r="BC249" s="449"/>
      <c r="BD249" s="449"/>
      <c r="BE249" s="449"/>
      <c r="BF249" s="449"/>
      <c r="BG249" s="449"/>
      <c r="BH249" s="531"/>
      <c r="BI249" s="449"/>
      <c r="BJ249" s="449"/>
      <c r="BK249" s="449"/>
      <c r="BL249" s="771"/>
      <c r="BM249" s="449"/>
      <c r="BN249" s="449"/>
      <c r="BO249" s="449"/>
      <c r="BP249" s="449"/>
      <c r="BQ249" s="449"/>
      <c r="BR249" s="449"/>
      <c r="BS249" s="449"/>
      <c r="BT249" s="449"/>
      <c r="BU249" s="400"/>
      <c r="BV249" s="400"/>
    </row>
    <row r="250" spans="1:74" hidden="1" x14ac:dyDescent="0.25">
      <c r="A250" s="502" t="s">
        <v>417</v>
      </c>
      <c r="B250" s="502" t="s">
        <v>418</v>
      </c>
      <c r="C250" s="541"/>
      <c r="D250" s="500"/>
      <c r="E250" s="449">
        <v>0</v>
      </c>
      <c r="F250" s="449"/>
      <c r="G250" s="421"/>
      <c r="H250" s="449">
        <v>0</v>
      </c>
      <c r="I250" s="449"/>
      <c r="J250" s="426"/>
      <c r="K250" s="421"/>
      <c r="L250" s="449"/>
      <c r="M250" s="449"/>
      <c r="N250" s="449"/>
      <c r="O250" s="449"/>
      <c r="P250" s="449"/>
      <c r="Q250" s="449"/>
      <c r="R250" s="449"/>
      <c r="S250" s="449"/>
      <c r="T250" s="449"/>
      <c r="U250" s="449"/>
      <c r="V250" s="449"/>
      <c r="W250" s="449"/>
      <c r="X250" s="449"/>
      <c r="Y250" s="449">
        <v>0</v>
      </c>
      <c r="Z250" s="531"/>
      <c r="AA250" s="449"/>
      <c r="AB250" s="449"/>
      <c r="AC250" s="449"/>
      <c r="AD250" s="449"/>
      <c r="AE250" s="449"/>
      <c r="AF250" s="449"/>
      <c r="AG250" s="449"/>
      <c r="AH250" s="449"/>
      <c r="AI250" s="449"/>
      <c r="AJ250" s="449"/>
      <c r="AK250" s="449"/>
      <c r="AL250" s="449"/>
      <c r="AM250" s="400"/>
      <c r="AN250" s="500"/>
      <c r="AO250" s="449"/>
      <c r="AP250" s="449"/>
      <c r="AQ250" s="453"/>
      <c r="AR250" s="449">
        <v>0</v>
      </c>
      <c r="AS250" s="449"/>
      <c r="AT250" s="426"/>
      <c r="AU250" s="421"/>
      <c r="AV250" s="449"/>
      <c r="AW250" s="449"/>
      <c r="AX250" s="449"/>
      <c r="AY250" s="449"/>
      <c r="AZ250" s="449"/>
      <c r="BA250" s="449"/>
      <c r="BB250" s="449"/>
      <c r="BC250" s="449"/>
      <c r="BD250" s="449"/>
      <c r="BE250" s="449"/>
      <c r="BF250" s="449"/>
      <c r="BG250" s="449"/>
      <c r="BH250" s="531"/>
      <c r="BI250" s="449"/>
      <c r="BJ250" s="449"/>
      <c r="BK250" s="449"/>
      <c r="BL250" s="771"/>
      <c r="BM250" s="449"/>
      <c r="BN250" s="449"/>
      <c r="BO250" s="449"/>
      <c r="BP250" s="449"/>
      <c r="BQ250" s="449"/>
      <c r="BR250" s="449"/>
      <c r="BS250" s="449"/>
      <c r="BT250" s="449"/>
      <c r="BU250" s="400"/>
      <c r="BV250" s="400"/>
    </row>
    <row r="251" spans="1:74" hidden="1" x14ac:dyDescent="0.25">
      <c r="A251" s="502" t="s">
        <v>419</v>
      </c>
      <c r="B251" s="502" t="s">
        <v>420</v>
      </c>
      <c r="C251" s="541"/>
      <c r="D251" s="500"/>
      <c r="E251" s="449">
        <v>0</v>
      </c>
      <c r="F251" s="449"/>
      <c r="G251" s="421"/>
      <c r="H251" s="449">
        <v>0</v>
      </c>
      <c r="I251" s="449"/>
      <c r="J251" s="426"/>
      <c r="K251" s="421"/>
      <c r="L251" s="449"/>
      <c r="M251" s="449"/>
      <c r="N251" s="449"/>
      <c r="O251" s="449"/>
      <c r="P251" s="449"/>
      <c r="Q251" s="449"/>
      <c r="R251" s="449"/>
      <c r="S251" s="449"/>
      <c r="T251" s="449"/>
      <c r="U251" s="449"/>
      <c r="V251" s="449"/>
      <c r="W251" s="449"/>
      <c r="X251" s="449"/>
      <c r="Y251" s="449">
        <v>0</v>
      </c>
      <c r="Z251" s="531"/>
      <c r="AA251" s="449"/>
      <c r="AB251" s="449"/>
      <c r="AC251" s="449"/>
      <c r="AD251" s="449"/>
      <c r="AE251" s="449"/>
      <c r="AF251" s="449"/>
      <c r="AG251" s="449"/>
      <c r="AH251" s="449"/>
      <c r="AI251" s="449"/>
      <c r="AJ251" s="449"/>
      <c r="AK251" s="449"/>
      <c r="AL251" s="449"/>
      <c r="AM251" s="400"/>
      <c r="AN251" s="500"/>
      <c r="AO251" s="449"/>
      <c r="AP251" s="449"/>
      <c r="AQ251" s="453"/>
      <c r="AR251" s="449">
        <v>0</v>
      </c>
      <c r="AS251" s="449"/>
      <c r="AT251" s="426"/>
      <c r="AU251" s="421"/>
      <c r="AV251" s="449"/>
      <c r="AW251" s="449"/>
      <c r="AX251" s="449"/>
      <c r="AY251" s="449"/>
      <c r="AZ251" s="449"/>
      <c r="BA251" s="449"/>
      <c r="BB251" s="449"/>
      <c r="BC251" s="449"/>
      <c r="BD251" s="449"/>
      <c r="BE251" s="449"/>
      <c r="BF251" s="449"/>
      <c r="BG251" s="449"/>
      <c r="BH251" s="531"/>
      <c r="BI251" s="449"/>
      <c r="BJ251" s="449"/>
      <c r="BK251" s="449"/>
      <c r="BL251" s="771"/>
      <c r="BM251" s="449"/>
      <c r="BN251" s="449"/>
      <c r="BO251" s="449"/>
      <c r="BP251" s="449"/>
      <c r="BQ251" s="449"/>
      <c r="BR251" s="449"/>
      <c r="BS251" s="449"/>
      <c r="BT251" s="449"/>
      <c r="BU251" s="400"/>
      <c r="BV251" s="400"/>
    </row>
    <row r="252" spans="1:74" hidden="1" x14ac:dyDescent="0.25">
      <c r="A252" s="587" t="s">
        <v>421</v>
      </c>
      <c r="B252" s="502" t="s">
        <v>422</v>
      </c>
      <c r="C252" s="541"/>
      <c r="D252" s="500"/>
      <c r="E252" s="449">
        <v>0</v>
      </c>
      <c r="F252" s="449"/>
      <c r="G252" s="421"/>
      <c r="H252" s="449">
        <v>0</v>
      </c>
      <c r="I252" s="449"/>
      <c r="J252" s="426"/>
      <c r="K252" s="421"/>
      <c r="L252" s="449"/>
      <c r="M252" s="449"/>
      <c r="N252" s="449"/>
      <c r="O252" s="449"/>
      <c r="P252" s="449"/>
      <c r="Q252" s="449"/>
      <c r="R252" s="449"/>
      <c r="S252" s="449"/>
      <c r="T252" s="449"/>
      <c r="U252" s="449"/>
      <c r="V252" s="449"/>
      <c r="W252" s="449"/>
      <c r="X252" s="449"/>
      <c r="Y252" s="449">
        <v>0</v>
      </c>
      <c r="Z252" s="531"/>
      <c r="AA252" s="449"/>
      <c r="AB252" s="449"/>
      <c r="AC252" s="449"/>
      <c r="AD252" s="449"/>
      <c r="AE252" s="449"/>
      <c r="AF252" s="449"/>
      <c r="AG252" s="449"/>
      <c r="AH252" s="449"/>
      <c r="AI252" s="449"/>
      <c r="AJ252" s="449"/>
      <c r="AK252" s="449"/>
      <c r="AL252" s="449"/>
      <c r="AM252" s="400"/>
      <c r="AN252" s="500"/>
      <c r="AO252" s="449"/>
      <c r="AP252" s="449"/>
      <c r="AQ252" s="453"/>
      <c r="AR252" s="449">
        <v>0</v>
      </c>
      <c r="AS252" s="449"/>
      <c r="AT252" s="426"/>
      <c r="AU252" s="421"/>
      <c r="AV252" s="449"/>
      <c r="AW252" s="449"/>
      <c r="AX252" s="449"/>
      <c r="AY252" s="449"/>
      <c r="AZ252" s="449"/>
      <c r="BA252" s="449"/>
      <c r="BB252" s="449"/>
      <c r="BC252" s="449"/>
      <c r="BD252" s="449"/>
      <c r="BE252" s="449"/>
      <c r="BF252" s="449"/>
      <c r="BG252" s="449"/>
      <c r="BH252" s="531"/>
      <c r="BI252" s="449"/>
      <c r="BJ252" s="449"/>
      <c r="BK252" s="449"/>
      <c r="BL252" s="771"/>
      <c r="BM252" s="449"/>
      <c r="BN252" s="449"/>
      <c r="BO252" s="449"/>
      <c r="BP252" s="449"/>
      <c r="BQ252" s="449"/>
      <c r="BR252" s="449"/>
      <c r="BS252" s="449"/>
      <c r="BT252" s="449"/>
      <c r="BU252" s="400"/>
      <c r="BV252" s="400"/>
    </row>
    <row r="253" spans="1:74" hidden="1" x14ac:dyDescent="0.25">
      <c r="A253" s="587" t="s">
        <v>423</v>
      </c>
      <c r="B253" s="502" t="s">
        <v>424</v>
      </c>
      <c r="C253" s="541"/>
      <c r="D253" s="500"/>
      <c r="E253" s="449">
        <v>0</v>
      </c>
      <c r="F253" s="449"/>
      <c r="G253" s="421"/>
      <c r="H253" s="449">
        <v>0</v>
      </c>
      <c r="I253" s="449"/>
      <c r="J253" s="426"/>
      <c r="K253" s="421"/>
      <c r="L253" s="449"/>
      <c r="M253" s="449"/>
      <c r="N253" s="449"/>
      <c r="O253" s="449"/>
      <c r="P253" s="449"/>
      <c r="Q253" s="449"/>
      <c r="R253" s="449"/>
      <c r="S253" s="449"/>
      <c r="T253" s="449"/>
      <c r="U253" s="449"/>
      <c r="V253" s="449"/>
      <c r="W253" s="449"/>
      <c r="X253" s="449"/>
      <c r="Y253" s="449">
        <v>0</v>
      </c>
      <c r="Z253" s="531"/>
      <c r="AA253" s="449"/>
      <c r="AB253" s="449"/>
      <c r="AC253" s="449"/>
      <c r="AD253" s="449"/>
      <c r="AE253" s="449"/>
      <c r="AF253" s="449"/>
      <c r="AG253" s="449"/>
      <c r="AH253" s="449"/>
      <c r="AI253" s="449"/>
      <c r="AJ253" s="449"/>
      <c r="AK253" s="449"/>
      <c r="AL253" s="449"/>
      <c r="AM253" s="400"/>
      <c r="AN253" s="500"/>
      <c r="AO253" s="449"/>
      <c r="AP253" s="449"/>
      <c r="AQ253" s="453"/>
      <c r="AR253" s="449">
        <v>0</v>
      </c>
      <c r="AS253" s="449"/>
      <c r="AT253" s="426"/>
      <c r="AU253" s="421"/>
      <c r="AV253" s="449"/>
      <c r="AW253" s="449"/>
      <c r="AX253" s="449"/>
      <c r="AY253" s="449"/>
      <c r="AZ253" s="449"/>
      <c r="BA253" s="449"/>
      <c r="BB253" s="449"/>
      <c r="BC253" s="449"/>
      <c r="BD253" s="449"/>
      <c r="BE253" s="449"/>
      <c r="BF253" s="449"/>
      <c r="BG253" s="449"/>
      <c r="BH253" s="531"/>
      <c r="BI253" s="449"/>
      <c r="BJ253" s="449"/>
      <c r="BK253" s="449"/>
      <c r="BL253" s="771"/>
      <c r="BM253" s="449"/>
      <c r="BN253" s="449"/>
      <c r="BO253" s="449"/>
      <c r="BP253" s="449"/>
      <c r="BQ253" s="449"/>
      <c r="BR253" s="449"/>
      <c r="BS253" s="449"/>
      <c r="BT253" s="449"/>
      <c r="BU253" s="400"/>
      <c r="BV253" s="400"/>
    </row>
    <row r="254" spans="1:74" hidden="1" x14ac:dyDescent="0.25">
      <c r="A254" s="502" t="s">
        <v>425</v>
      </c>
      <c r="B254" s="502" t="s">
        <v>426</v>
      </c>
      <c r="C254" s="541"/>
      <c r="D254" s="500"/>
      <c r="E254" s="449">
        <v>0</v>
      </c>
      <c r="F254" s="449"/>
      <c r="G254" s="421"/>
      <c r="H254" s="449">
        <v>0</v>
      </c>
      <c r="I254" s="449"/>
      <c r="J254" s="426"/>
      <c r="K254" s="421"/>
      <c r="L254" s="449"/>
      <c r="M254" s="449"/>
      <c r="N254" s="449"/>
      <c r="O254" s="449"/>
      <c r="P254" s="449"/>
      <c r="Q254" s="449"/>
      <c r="R254" s="449"/>
      <c r="S254" s="449"/>
      <c r="T254" s="449"/>
      <c r="U254" s="449"/>
      <c r="V254" s="449"/>
      <c r="W254" s="449"/>
      <c r="X254" s="449"/>
      <c r="Y254" s="449">
        <v>0</v>
      </c>
      <c r="Z254" s="531"/>
      <c r="AA254" s="449"/>
      <c r="AB254" s="449"/>
      <c r="AC254" s="449"/>
      <c r="AD254" s="449"/>
      <c r="AE254" s="449"/>
      <c r="AF254" s="449"/>
      <c r="AG254" s="449"/>
      <c r="AH254" s="449"/>
      <c r="AI254" s="449"/>
      <c r="AJ254" s="449"/>
      <c r="AK254" s="449"/>
      <c r="AL254" s="449"/>
      <c r="AM254" s="400"/>
      <c r="AN254" s="500"/>
      <c r="AO254" s="449"/>
      <c r="AP254" s="449"/>
      <c r="AQ254" s="453"/>
      <c r="AR254" s="449">
        <v>0</v>
      </c>
      <c r="AS254" s="449"/>
      <c r="AT254" s="426"/>
      <c r="AU254" s="421"/>
      <c r="AV254" s="449"/>
      <c r="AW254" s="449"/>
      <c r="AX254" s="449"/>
      <c r="AY254" s="449"/>
      <c r="AZ254" s="449"/>
      <c r="BA254" s="449"/>
      <c r="BB254" s="449"/>
      <c r="BC254" s="449"/>
      <c r="BD254" s="449"/>
      <c r="BE254" s="449"/>
      <c r="BF254" s="449"/>
      <c r="BG254" s="449"/>
      <c r="BH254" s="531"/>
      <c r="BI254" s="449"/>
      <c r="BJ254" s="449"/>
      <c r="BK254" s="449"/>
      <c r="BL254" s="771"/>
      <c r="BM254" s="449"/>
      <c r="BN254" s="449"/>
      <c r="BO254" s="449"/>
      <c r="BP254" s="449"/>
      <c r="BQ254" s="449"/>
      <c r="BR254" s="449"/>
      <c r="BS254" s="449"/>
      <c r="BT254" s="449"/>
      <c r="BU254" s="400"/>
      <c r="BV254" s="400"/>
    </row>
    <row r="255" spans="1:74" hidden="1" x14ac:dyDescent="0.25">
      <c r="A255" s="502" t="s">
        <v>427</v>
      </c>
      <c r="B255" s="502" t="s">
        <v>428</v>
      </c>
      <c r="C255" s="541"/>
      <c r="D255" s="500"/>
      <c r="E255" s="449">
        <v>0</v>
      </c>
      <c r="F255" s="449"/>
      <c r="G255" s="421"/>
      <c r="H255" s="449">
        <v>0</v>
      </c>
      <c r="I255" s="449"/>
      <c r="J255" s="426"/>
      <c r="K255" s="421"/>
      <c r="L255" s="449"/>
      <c r="M255" s="449"/>
      <c r="N255" s="449"/>
      <c r="O255" s="449"/>
      <c r="P255" s="449"/>
      <c r="Q255" s="449"/>
      <c r="R255" s="449"/>
      <c r="S255" s="449"/>
      <c r="T255" s="449"/>
      <c r="U255" s="449"/>
      <c r="V255" s="449"/>
      <c r="W255" s="449"/>
      <c r="X255" s="449"/>
      <c r="Y255" s="449">
        <v>0</v>
      </c>
      <c r="Z255" s="531"/>
      <c r="AA255" s="449"/>
      <c r="AB255" s="449"/>
      <c r="AC255" s="449"/>
      <c r="AD255" s="449"/>
      <c r="AE255" s="449"/>
      <c r="AF255" s="449"/>
      <c r="AG255" s="449"/>
      <c r="AH255" s="449"/>
      <c r="AI255" s="449"/>
      <c r="AJ255" s="449"/>
      <c r="AK255" s="449"/>
      <c r="AL255" s="449"/>
      <c r="AM255" s="400"/>
      <c r="AN255" s="500"/>
      <c r="AO255" s="449"/>
      <c r="AP255" s="449"/>
      <c r="AQ255" s="453"/>
      <c r="AR255" s="449">
        <v>0</v>
      </c>
      <c r="AS255" s="449"/>
      <c r="AT255" s="426"/>
      <c r="AU255" s="421"/>
      <c r="AV255" s="449"/>
      <c r="AW255" s="449"/>
      <c r="AX255" s="449"/>
      <c r="AY255" s="449"/>
      <c r="AZ255" s="449"/>
      <c r="BA255" s="449"/>
      <c r="BB255" s="449"/>
      <c r="BC255" s="449"/>
      <c r="BD255" s="449"/>
      <c r="BE255" s="449"/>
      <c r="BF255" s="449"/>
      <c r="BG255" s="449"/>
      <c r="BH255" s="531"/>
      <c r="BI255" s="449"/>
      <c r="BJ255" s="449"/>
      <c r="BK255" s="449"/>
      <c r="BL255" s="771"/>
      <c r="BM255" s="449"/>
      <c r="BN255" s="449"/>
      <c r="BO255" s="449"/>
      <c r="BP255" s="449"/>
      <c r="BQ255" s="449"/>
      <c r="BR255" s="449"/>
      <c r="BS255" s="449"/>
      <c r="BT255" s="449"/>
      <c r="BU255" s="400"/>
      <c r="BV255" s="400"/>
    </row>
    <row r="256" spans="1:74" hidden="1" x14ac:dyDescent="0.25">
      <c r="A256" s="502" t="s">
        <v>429</v>
      </c>
      <c r="B256" s="502" t="s">
        <v>430</v>
      </c>
      <c r="C256" s="541"/>
      <c r="D256" s="500"/>
      <c r="E256" s="449">
        <v>0</v>
      </c>
      <c r="F256" s="449"/>
      <c r="G256" s="421"/>
      <c r="H256" s="449">
        <v>0</v>
      </c>
      <c r="I256" s="449"/>
      <c r="J256" s="426"/>
      <c r="K256" s="421"/>
      <c r="L256" s="449"/>
      <c r="M256" s="449"/>
      <c r="N256" s="449"/>
      <c r="O256" s="449"/>
      <c r="P256" s="449"/>
      <c r="Q256" s="449"/>
      <c r="R256" s="449"/>
      <c r="S256" s="449"/>
      <c r="T256" s="449"/>
      <c r="U256" s="449"/>
      <c r="V256" s="449"/>
      <c r="W256" s="449"/>
      <c r="X256" s="449"/>
      <c r="Y256" s="449">
        <v>0</v>
      </c>
      <c r="Z256" s="531"/>
      <c r="AA256" s="449"/>
      <c r="AB256" s="449"/>
      <c r="AC256" s="449"/>
      <c r="AD256" s="449"/>
      <c r="AE256" s="449"/>
      <c r="AF256" s="449"/>
      <c r="AG256" s="449"/>
      <c r="AH256" s="449"/>
      <c r="AI256" s="449"/>
      <c r="AJ256" s="449"/>
      <c r="AK256" s="449"/>
      <c r="AL256" s="449"/>
      <c r="AM256" s="400"/>
      <c r="AN256" s="500"/>
      <c r="AO256" s="449"/>
      <c r="AP256" s="449"/>
      <c r="AQ256" s="453"/>
      <c r="AR256" s="449">
        <v>0</v>
      </c>
      <c r="AS256" s="449"/>
      <c r="AT256" s="426"/>
      <c r="AU256" s="421"/>
      <c r="AV256" s="449"/>
      <c r="AW256" s="449"/>
      <c r="AX256" s="449"/>
      <c r="AY256" s="449"/>
      <c r="AZ256" s="449"/>
      <c r="BA256" s="449"/>
      <c r="BB256" s="449"/>
      <c r="BC256" s="449"/>
      <c r="BD256" s="449"/>
      <c r="BE256" s="449"/>
      <c r="BF256" s="449"/>
      <c r="BG256" s="449"/>
      <c r="BH256" s="531"/>
      <c r="BI256" s="449"/>
      <c r="BJ256" s="449"/>
      <c r="BK256" s="449"/>
      <c r="BL256" s="771"/>
      <c r="BM256" s="449"/>
      <c r="BN256" s="449"/>
      <c r="BO256" s="449"/>
      <c r="BP256" s="449"/>
      <c r="BQ256" s="449"/>
      <c r="BR256" s="449"/>
      <c r="BS256" s="449"/>
      <c r="BT256" s="449"/>
      <c r="BU256" s="400"/>
      <c r="BV256" s="400"/>
    </row>
    <row r="257" spans="1:74" hidden="1" x14ac:dyDescent="0.25">
      <c r="A257" s="502" t="s">
        <v>431</v>
      </c>
      <c r="B257" s="502" t="s">
        <v>432</v>
      </c>
      <c r="C257" s="541"/>
      <c r="D257" s="500"/>
      <c r="E257" s="449">
        <v>0</v>
      </c>
      <c r="F257" s="449"/>
      <c r="G257" s="421"/>
      <c r="H257" s="449">
        <v>0</v>
      </c>
      <c r="I257" s="449"/>
      <c r="J257" s="426"/>
      <c r="K257" s="421"/>
      <c r="L257" s="449"/>
      <c r="M257" s="449"/>
      <c r="N257" s="449"/>
      <c r="O257" s="449"/>
      <c r="P257" s="449"/>
      <c r="Q257" s="449"/>
      <c r="R257" s="449"/>
      <c r="S257" s="449"/>
      <c r="T257" s="449"/>
      <c r="U257" s="449"/>
      <c r="V257" s="449"/>
      <c r="W257" s="449"/>
      <c r="X257" s="449"/>
      <c r="Y257" s="449">
        <v>0</v>
      </c>
      <c r="Z257" s="531"/>
      <c r="AA257" s="449"/>
      <c r="AB257" s="449"/>
      <c r="AC257" s="449"/>
      <c r="AD257" s="449"/>
      <c r="AE257" s="449"/>
      <c r="AF257" s="449"/>
      <c r="AG257" s="449"/>
      <c r="AH257" s="449"/>
      <c r="AI257" s="449"/>
      <c r="AJ257" s="449"/>
      <c r="AK257" s="449"/>
      <c r="AL257" s="449"/>
      <c r="AM257" s="400"/>
      <c r="AN257" s="500"/>
      <c r="AO257" s="449"/>
      <c r="AP257" s="449"/>
      <c r="AQ257" s="453"/>
      <c r="AR257" s="449">
        <v>0</v>
      </c>
      <c r="AS257" s="449"/>
      <c r="AT257" s="426"/>
      <c r="AU257" s="421"/>
      <c r="AV257" s="449"/>
      <c r="AW257" s="449"/>
      <c r="AX257" s="449"/>
      <c r="AY257" s="449"/>
      <c r="AZ257" s="449"/>
      <c r="BA257" s="449"/>
      <c r="BB257" s="449"/>
      <c r="BC257" s="449"/>
      <c r="BD257" s="449"/>
      <c r="BE257" s="449"/>
      <c r="BF257" s="449"/>
      <c r="BG257" s="449"/>
      <c r="BH257" s="531"/>
      <c r="BI257" s="449"/>
      <c r="BJ257" s="449"/>
      <c r="BK257" s="449"/>
      <c r="BL257" s="771"/>
      <c r="BM257" s="449"/>
      <c r="BN257" s="449"/>
      <c r="BO257" s="449"/>
      <c r="BP257" s="449"/>
      <c r="BQ257" s="449"/>
      <c r="BR257" s="449"/>
      <c r="BS257" s="449"/>
      <c r="BT257" s="449"/>
      <c r="BU257" s="400"/>
      <c r="BV257" s="400"/>
    </row>
    <row r="258" spans="1:74" hidden="1" x14ac:dyDescent="0.25">
      <c r="A258" s="502" t="s">
        <v>433</v>
      </c>
      <c r="B258" s="502" t="s">
        <v>434</v>
      </c>
      <c r="C258" s="541"/>
      <c r="D258" s="500"/>
      <c r="E258" s="449">
        <v>0</v>
      </c>
      <c r="F258" s="449"/>
      <c r="G258" s="421"/>
      <c r="H258" s="449">
        <v>0</v>
      </c>
      <c r="I258" s="449"/>
      <c r="J258" s="426"/>
      <c r="K258" s="421"/>
      <c r="L258" s="449"/>
      <c r="M258" s="449"/>
      <c r="N258" s="449"/>
      <c r="O258" s="449"/>
      <c r="P258" s="449"/>
      <c r="Q258" s="449"/>
      <c r="R258" s="449"/>
      <c r="S258" s="449"/>
      <c r="T258" s="449"/>
      <c r="U258" s="449"/>
      <c r="V258" s="449"/>
      <c r="W258" s="449"/>
      <c r="X258" s="449"/>
      <c r="Y258" s="449">
        <v>0</v>
      </c>
      <c r="Z258" s="531"/>
      <c r="AA258" s="449"/>
      <c r="AB258" s="449"/>
      <c r="AC258" s="449"/>
      <c r="AD258" s="449"/>
      <c r="AE258" s="449"/>
      <c r="AF258" s="449"/>
      <c r="AG258" s="449"/>
      <c r="AH258" s="449"/>
      <c r="AI258" s="449"/>
      <c r="AJ258" s="449"/>
      <c r="AK258" s="449"/>
      <c r="AL258" s="449"/>
      <c r="AM258" s="400"/>
      <c r="AN258" s="500"/>
      <c r="AO258" s="449"/>
      <c r="AP258" s="449"/>
      <c r="AQ258" s="453"/>
      <c r="AR258" s="449">
        <v>0</v>
      </c>
      <c r="AS258" s="449"/>
      <c r="AT258" s="426"/>
      <c r="AU258" s="421"/>
      <c r="AV258" s="449"/>
      <c r="AW258" s="449"/>
      <c r="AX258" s="449"/>
      <c r="AY258" s="449"/>
      <c r="AZ258" s="449"/>
      <c r="BA258" s="449"/>
      <c r="BB258" s="449"/>
      <c r="BC258" s="449"/>
      <c r="BD258" s="449"/>
      <c r="BE258" s="449"/>
      <c r="BF258" s="449"/>
      <c r="BG258" s="449"/>
      <c r="BH258" s="531"/>
      <c r="BI258" s="449"/>
      <c r="BJ258" s="449"/>
      <c r="BK258" s="449"/>
      <c r="BL258" s="771"/>
      <c r="BM258" s="449"/>
      <c r="BN258" s="449"/>
      <c r="BO258" s="449"/>
      <c r="BP258" s="449"/>
      <c r="BQ258" s="449"/>
      <c r="BR258" s="449"/>
      <c r="BS258" s="449"/>
      <c r="BT258" s="449"/>
      <c r="BU258" s="400"/>
      <c r="BV258" s="400"/>
    </row>
    <row r="259" spans="1:74" hidden="1" x14ac:dyDescent="0.25">
      <c r="A259" s="502" t="s">
        <v>435</v>
      </c>
      <c r="B259" s="502" t="s">
        <v>436</v>
      </c>
      <c r="C259" s="541"/>
      <c r="D259" s="500"/>
      <c r="E259" s="449">
        <v>0</v>
      </c>
      <c r="F259" s="449"/>
      <c r="G259" s="421"/>
      <c r="H259" s="449">
        <v>0</v>
      </c>
      <c r="I259" s="449"/>
      <c r="J259" s="426"/>
      <c r="K259" s="421"/>
      <c r="L259" s="449"/>
      <c r="M259" s="449"/>
      <c r="N259" s="449"/>
      <c r="O259" s="449"/>
      <c r="P259" s="449"/>
      <c r="Q259" s="449"/>
      <c r="R259" s="449"/>
      <c r="S259" s="449"/>
      <c r="T259" s="449"/>
      <c r="U259" s="449"/>
      <c r="V259" s="449"/>
      <c r="W259" s="449"/>
      <c r="X259" s="449"/>
      <c r="Y259" s="449">
        <v>0</v>
      </c>
      <c r="Z259" s="531"/>
      <c r="AA259" s="449"/>
      <c r="AB259" s="449"/>
      <c r="AC259" s="449"/>
      <c r="AD259" s="449"/>
      <c r="AE259" s="449"/>
      <c r="AF259" s="449"/>
      <c r="AG259" s="449"/>
      <c r="AH259" s="449"/>
      <c r="AI259" s="449"/>
      <c r="AJ259" s="449"/>
      <c r="AK259" s="449"/>
      <c r="AL259" s="449"/>
      <c r="AM259" s="400"/>
      <c r="AN259" s="500"/>
      <c r="AO259" s="449"/>
      <c r="AP259" s="449"/>
      <c r="AQ259" s="453"/>
      <c r="AR259" s="449">
        <v>0</v>
      </c>
      <c r="AS259" s="449"/>
      <c r="AT259" s="426"/>
      <c r="AU259" s="421"/>
      <c r="AV259" s="449"/>
      <c r="AW259" s="449"/>
      <c r="AX259" s="449"/>
      <c r="AY259" s="449"/>
      <c r="AZ259" s="449"/>
      <c r="BA259" s="449"/>
      <c r="BB259" s="449"/>
      <c r="BC259" s="449"/>
      <c r="BD259" s="449"/>
      <c r="BE259" s="449"/>
      <c r="BF259" s="449"/>
      <c r="BG259" s="449"/>
      <c r="BH259" s="531"/>
      <c r="BI259" s="449"/>
      <c r="BJ259" s="449"/>
      <c r="BK259" s="449"/>
      <c r="BL259" s="771"/>
      <c r="BM259" s="449"/>
      <c r="BN259" s="449"/>
      <c r="BO259" s="449"/>
      <c r="BP259" s="449"/>
      <c r="BQ259" s="449"/>
      <c r="BR259" s="449"/>
      <c r="BS259" s="449"/>
      <c r="BT259" s="449"/>
      <c r="BU259" s="400"/>
      <c r="BV259" s="400"/>
    </row>
    <row r="260" spans="1:74" x14ac:dyDescent="0.25">
      <c r="A260" s="502" t="s">
        <v>437</v>
      </c>
      <c r="B260" s="502" t="s">
        <v>438</v>
      </c>
      <c r="C260" s="538"/>
      <c r="D260" s="500">
        <v>0</v>
      </c>
      <c r="E260" s="449">
        <v>0</v>
      </c>
      <c r="F260" s="449">
        <v>0</v>
      </c>
      <c r="G260" s="421">
        <v>0</v>
      </c>
      <c r="H260" s="449">
        <v>0</v>
      </c>
      <c r="I260" s="449">
        <v>0</v>
      </c>
      <c r="J260" s="426">
        <v>0</v>
      </c>
      <c r="K260" s="421"/>
      <c r="L260" s="449">
        <v>0</v>
      </c>
      <c r="M260" s="449">
        <v>0</v>
      </c>
      <c r="N260" s="449">
        <v>0</v>
      </c>
      <c r="O260" s="449">
        <v>0</v>
      </c>
      <c r="P260" s="449">
        <v>0</v>
      </c>
      <c r="Q260" s="449">
        <v>0</v>
      </c>
      <c r="R260" s="449">
        <v>0</v>
      </c>
      <c r="S260" s="449">
        <v>0</v>
      </c>
      <c r="T260" s="449">
        <v>0</v>
      </c>
      <c r="U260" s="449">
        <v>0</v>
      </c>
      <c r="V260" s="449">
        <v>0</v>
      </c>
      <c r="W260" s="449">
        <v>0</v>
      </c>
      <c r="X260" s="449"/>
      <c r="Y260" s="449">
        <v>0</v>
      </c>
      <c r="Z260" s="531"/>
      <c r="AA260" s="449">
        <v>0</v>
      </c>
      <c r="AB260" s="449">
        <v>0</v>
      </c>
      <c r="AC260" s="449">
        <v>0</v>
      </c>
      <c r="AD260" s="449">
        <v>0</v>
      </c>
      <c r="AE260" s="449">
        <v>0</v>
      </c>
      <c r="AF260" s="449">
        <v>0</v>
      </c>
      <c r="AG260" s="449">
        <v>0</v>
      </c>
      <c r="AH260" s="449">
        <v>0</v>
      </c>
      <c r="AI260" s="449">
        <v>0</v>
      </c>
      <c r="AJ260" s="449">
        <v>0</v>
      </c>
      <c r="AK260" s="449">
        <v>0</v>
      </c>
      <c r="AL260" s="449">
        <v>0</v>
      </c>
      <c r="AM260" s="400"/>
      <c r="AN260" s="500">
        <v>0</v>
      </c>
      <c r="AO260" s="449">
        <v>0</v>
      </c>
      <c r="AP260" s="449">
        <v>0</v>
      </c>
      <c r="AQ260" s="453" t="s">
        <v>1519</v>
      </c>
      <c r="AR260" s="449">
        <v>0</v>
      </c>
      <c r="AS260" s="449">
        <v>0</v>
      </c>
      <c r="AT260" s="426">
        <v>0</v>
      </c>
      <c r="AU260" s="421"/>
      <c r="AV260" s="449">
        <v>0</v>
      </c>
      <c r="AW260" s="449">
        <v>0</v>
      </c>
      <c r="AX260" s="449">
        <v>0</v>
      </c>
      <c r="AY260" s="449">
        <v>0</v>
      </c>
      <c r="AZ260" s="449">
        <v>0</v>
      </c>
      <c r="BA260" s="449">
        <v>0</v>
      </c>
      <c r="BB260" s="449">
        <v>0</v>
      </c>
      <c r="BC260" s="449">
        <v>0</v>
      </c>
      <c r="BD260" s="449">
        <v>0</v>
      </c>
      <c r="BE260" s="449">
        <v>0</v>
      </c>
      <c r="BF260" s="449">
        <v>0</v>
      </c>
      <c r="BG260" s="449">
        <v>0</v>
      </c>
      <c r="BH260" s="400"/>
      <c r="BI260" s="449">
        <v>0</v>
      </c>
      <c r="BJ260" s="449">
        <v>0</v>
      </c>
      <c r="BK260" s="449">
        <v>0</v>
      </c>
      <c r="BL260" s="771">
        <v>0</v>
      </c>
      <c r="BM260" s="449">
        <v>0</v>
      </c>
      <c r="BN260" s="449">
        <v>0</v>
      </c>
      <c r="BO260" s="449">
        <v>0</v>
      </c>
      <c r="BP260" s="449">
        <v>0</v>
      </c>
      <c r="BQ260" s="449">
        <v>0</v>
      </c>
      <c r="BR260" s="449">
        <v>0</v>
      </c>
      <c r="BS260" s="449">
        <v>0</v>
      </c>
      <c r="BT260" s="449">
        <v>0</v>
      </c>
      <c r="BU260" s="400"/>
      <c r="BV260" s="400"/>
    </row>
    <row r="261" spans="1:74" x14ac:dyDescent="0.25">
      <c r="A261" s="615" t="s">
        <v>439</v>
      </c>
      <c r="B261" s="502" t="s">
        <v>440</v>
      </c>
      <c r="C261" s="538" t="s">
        <v>441</v>
      </c>
      <c r="D261" s="500">
        <v>731800</v>
      </c>
      <c r="E261" s="449">
        <v>722424.58169999986</v>
      </c>
      <c r="F261" s="449">
        <v>9375.4183000001358</v>
      </c>
      <c r="G261" s="421">
        <v>1.2977712189607428E-2</v>
      </c>
      <c r="H261" s="449">
        <v>731800</v>
      </c>
      <c r="I261" s="449">
        <v>0</v>
      </c>
      <c r="J261" s="426">
        <v>0</v>
      </c>
      <c r="K261" s="421"/>
      <c r="L261" s="449">
        <v>58221.4</v>
      </c>
      <c r="M261" s="449">
        <v>58221.4</v>
      </c>
      <c r="N261" s="449">
        <v>66502.749999999985</v>
      </c>
      <c r="O261" s="449">
        <v>67135.97</v>
      </c>
      <c r="P261" s="449">
        <v>59755.98000000001</v>
      </c>
      <c r="Q261" s="449">
        <v>61166.119999999995</v>
      </c>
      <c r="R261" s="449">
        <v>60132.73</v>
      </c>
      <c r="S261" s="449">
        <v>60132.73</v>
      </c>
      <c r="T261" s="449">
        <v>60132.73000000001</v>
      </c>
      <c r="U261" s="449">
        <v>60132.730000000018</v>
      </c>
      <c r="V261" s="449">
        <v>60132.73000000004</v>
      </c>
      <c r="W261" s="449">
        <v>60132.729999999981</v>
      </c>
      <c r="X261" s="449"/>
      <c r="Y261" s="449">
        <v>731800</v>
      </c>
      <c r="Z261" s="531"/>
      <c r="AA261" s="449">
        <v>60983.333333333336</v>
      </c>
      <c r="AB261" s="449">
        <v>60983.333333333336</v>
      </c>
      <c r="AC261" s="449">
        <v>60983.333333333336</v>
      </c>
      <c r="AD261" s="449">
        <v>60983.333333333336</v>
      </c>
      <c r="AE261" s="449">
        <v>60983.333333333336</v>
      </c>
      <c r="AF261" s="449">
        <v>60983.333333333336</v>
      </c>
      <c r="AG261" s="449">
        <v>60983.333333333336</v>
      </c>
      <c r="AH261" s="449">
        <v>60983.333333333336</v>
      </c>
      <c r="AI261" s="449">
        <v>60983.333333333336</v>
      </c>
      <c r="AJ261" s="449">
        <v>60983.333333333336</v>
      </c>
      <c r="AK261" s="449">
        <v>60983.333333333336</v>
      </c>
      <c r="AL261" s="449">
        <v>60983.333333333336</v>
      </c>
      <c r="AM261" s="400"/>
      <c r="AN261" s="500">
        <v>731800</v>
      </c>
      <c r="AO261" s="449">
        <v>804686.10441767098</v>
      </c>
      <c r="AP261" s="449">
        <v>72886.104417670984</v>
      </c>
      <c r="AQ261" s="453">
        <v>9.9598393574297603E-2</v>
      </c>
      <c r="AR261" s="449">
        <v>804686.10441767098</v>
      </c>
      <c r="AS261" s="449">
        <v>0</v>
      </c>
      <c r="AT261" s="426">
        <v>0</v>
      </c>
      <c r="AU261" s="421"/>
      <c r="AV261" s="449">
        <v>67057.175368139229</v>
      </c>
      <c r="AW261" s="449">
        <v>67057.175368139229</v>
      </c>
      <c r="AX261" s="449">
        <v>67057.175368139229</v>
      </c>
      <c r="AY261" s="449">
        <v>67057.175368139229</v>
      </c>
      <c r="AZ261" s="449">
        <v>67057.175368139229</v>
      </c>
      <c r="BA261" s="449">
        <v>67057.175368139229</v>
      </c>
      <c r="BB261" s="449">
        <v>67057.175368139229</v>
      </c>
      <c r="BC261" s="449">
        <v>67057.175368139229</v>
      </c>
      <c r="BD261" s="449">
        <v>67057.175368139229</v>
      </c>
      <c r="BE261" s="449">
        <v>67057.175368139229</v>
      </c>
      <c r="BF261" s="449">
        <v>67057.175368139229</v>
      </c>
      <c r="BG261" s="449">
        <v>67057.175368139229</v>
      </c>
      <c r="BH261" s="400"/>
      <c r="BI261" s="449">
        <v>67057.175368139229</v>
      </c>
      <c r="BJ261" s="449">
        <v>67057.175368139229</v>
      </c>
      <c r="BK261" s="449">
        <v>67057.175368139229</v>
      </c>
      <c r="BL261" s="771">
        <v>67057.175368139229</v>
      </c>
      <c r="BM261" s="449">
        <v>67057.175368139229</v>
      </c>
      <c r="BN261" s="449">
        <v>67057.175368139229</v>
      </c>
      <c r="BO261" s="449">
        <v>67057.175368139229</v>
      </c>
      <c r="BP261" s="449">
        <v>67057.175368139229</v>
      </c>
      <c r="BQ261" s="449">
        <v>67057.175368139229</v>
      </c>
      <c r="BR261" s="449">
        <v>67057.175368139229</v>
      </c>
      <c r="BS261" s="449">
        <v>67057.175368139229</v>
      </c>
      <c r="BT261" s="449">
        <v>67057.175368139229</v>
      </c>
      <c r="BU261" s="400"/>
      <c r="BV261" s="400"/>
    </row>
    <row r="262" spans="1:74" x14ac:dyDescent="0.25">
      <c r="A262" s="502" t="s">
        <v>442</v>
      </c>
      <c r="B262" s="612" t="s">
        <v>443</v>
      </c>
      <c r="C262" s="596"/>
      <c r="D262" s="500">
        <v>0</v>
      </c>
      <c r="E262" s="449">
        <v>0</v>
      </c>
      <c r="F262" s="449">
        <v>0</v>
      </c>
      <c r="G262" s="421">
        <v>0</v>
      </c>
      <c r="H262" s="449">
        <v>0</v>
      </c>
      <c r="I262" s="449">
        <v>0</v>
      </c>
      <c r="J262" s="426">
        <v>0</v>
      </c>
      <c r="K262" s="421"/>
      <c r="L262" s="449">
        <v>0</v>
      </c>
      <c r="M262" s="449">
        <v>0</v>
      </c>
      <c r="N262" s="449">
        <v>0</v>
      </c>
      <c r="O262" s="449">
        <v>0</v>
      </c>
      <c r="P262" s="449">
        <v>0</v>
      </c>
      <c r="Q262" s="449">
        <v>0</v>
      </c>
      <c r="R262" s="449">
        <v>0</v>
      </c>
      <c r="S262" s="449">
        <v>0</v>
      </c>
      <c r="T262" s="449">
        <v>0</v>
      </c>
      <c r="U262" s="449">
        <v>0</v>
      </c>
      <c r="V262" s="449">
        <v>0</v>
      </c>
      <c r="W262" s="449">
        <v>0</v>
      </c>
      <c r="X262" s="449"/>
      <c r="Y262" s="449">
        <v>0</v>
      </c>
      <c r="Z262" s="531"/>
      <c r="AA262" s="449">
        <v>0</v>
      </c>
      <c r="AB262" s="449">
        <v>0</v>
      </c>
      <c r="AC262" s="449">
        <v>0</v>
      </c>
      <c r="AD262" s="449">
        <v>0</v>
      </c>
      <c r="AE262" s="449">
        <v>0</v>
      </c>
      <c r="AF262" s="449">
        <v>0</v>
      </c>
      <c r="AG262" s="449">
        <v>0</v>
      </c>
      <c r="AH262" s="449">
        <v>0</v>
      </c>
      <c r="AI262" s="449">
        <v>0</v>
      </c>
      <c r="AJ262" s="449">
        <v>0</v>
      </c>
      <c r="AK262" s="449">
        <v>0</v>
      </c>
      <c r="AL262" s="449">
        <v>0</v>
      </c>
      <c r="AM262" s="400"/>
      <c r="AN262" s="500">
        <v>0</v>
      </c>
      <c r="AO262" s="449">
        <v>0</v>
      </c>
      <c r="AP262" s="449">
        <v>0</v>
      </c>
      <c r="AQ262" s="453" t="s">
        <v>1519</v>
      </c>
      <c r="AR262" s="449">
        <v>0</v>
      </c>
      <c r="AS262" s="449">
        <v>0</v>
      </c>
      <c r="AT262" s="426">
        <v>0</v>
      </c>
      <c r="AU262" s="421"/>
      <c r="AV262" s="449">
        <v>0</v>
      </c>
      <c r="AW262" s="449">
        <v>0</v>
      </c>
      <c r="AX262" s="449">
        <v>0</v>
      </c>
      <c r="AY262" s="449">
        <v>0</v>
      </c>
      <c r="AZ262" s="449">
        <v>0</v>
      </c>
      <c r="BA262" s="449">
        <v>0</v>
      </c>
      <c r="BB262" s="449">
        <v>0</v>
      </c>
      <c r="BC262" s="449">
        <v>0</v>
      </c>
      <c r="BD262" s="449">
        <v>0</v>
      </c>
      <c r="BE262" s="449">
        <v>0</v>
      </c>
      <c r="BF262" s="449">
        <v>0</v>
      </c>
      <c r="BG262" s="449">
        <v>0</v>
      </c>
      <c r="BH262" s="400"/>
      <c r="BI262" s="449">
        <v>0</v>
      </c>
      <c r="BJ262" s="449">
        <v>0</v>
      </c>
      <c r="BK262" s="449">
        <v>0</v>
      </c>
      <c r="BL262" s="771">
        <v>0</v>
      </c>
      <c r="BM262" s="449">
        <v>0</v>
      </c>
      <c r="BN262" s="449">
        <v>0</v>
      </c>
      <c r="BO262" s="449">
        <v>0</v>
      </c>
      <c r="BP262" s="449">
        <v>0</v>
      </c>
      <c r="BQ262" s="449">
        <v>0</v>
      </c>
      <c r="BR262" s="449">
        <v>0</v>
      </c>
      <c r="BS262" s="449">
        <v>0</v>
      </c>
      <c r="BT262" s="449">
        <v>0</v>
      </c>
      <c r="BU262" s="400"/>
      <c r="BV262" s="400"/>
    </row>
    <row r="263" spans="1:74" ht="10.5" customHeight="1" x14ac:dyDescent="0.25">
      <c r="A263" s="587"/>
      <c r="B263" s="612"/>
      <c r="C263" s="596"/>
      <c r="D263" s="500"/>
      <c r="E263" s="449"/>
      <c r="F263" s="449"/>
      <c r="G263" s="421"/>
      <c r="H263" s="449"/>
      <c r="I263" s="449"/>
      <c r="J263" s="426"/>
      <c r="K263" s="421"/>
      <c r="L263" s="449"/>
      <c r="M263" s="449"/>
      <c r="N263" s="449"/>
      <c r="O263" s="449"/>
      <c r="P263" s="449"/>
      <c r="Q263" s="449"/>
      <c r="R263" s="449"/>
      <c r="S263" s="449"/>
      <c r="T263" s="449"/>
      <c r="U263" s="449"/>
      <c r="V263" s="449"/>
      <c r="W263" s="449"/>
      <c r="X263" s="449"/>
      <c r="Y263" s="449"/>
      <c r="Z263" s="531"/>
      <c r="AA263" s="449"/>
      <c r="AB263" s="449"/>
      <c r="AC263" s="449"/>
      <c r="AD263" s="449"/>
      <c r="AE263" s="449"/>
      <c r="AF263" s="449"/>
      <c r="AG263" s="449"/>
      <c r="AH263" s="449"/>
      <c r="AI263" s="449"/>
      <c r="AJ263" s="449"/>
      <c r="AK263" s="449"/>
      <c r="AL263" s="449"/>
      <c r="AM263" s="400"/>
      <c r="AN263" s="500"/>
      <c r="AO263" s="449"/>
      <c r="AP263" s="449"/>
      <c r="AQ263" s="453"/>
      <c r="AR263" s="449"/>
      <c r="AS263" s="449"/>
      <c r="AT263" s="426"/>
      <c r="AU263" s="421"/>
      <c r="AV263" s="449"/>
      <c r="AW263" s="449"/>
      <c r="AX263" s="449"/>
      <c r="AY263" s="449"/>
      <c r="AZ263" s="449"/>
      <c r="BA263" s="449"/>
      <c r="BB263" s="449"/>
      <c r="BC263" s="449"/>
      <c r="BD263" s="449"/>
      <c r="BE263" s="449"/>
      <c r="BF263" s="449"/>
      <c r="BG263" s="449"/>
      <c r="BH263" s="531"/>
      <c r="BI263" s="449"/>
      <c r="BJ263" s="449"/>
      <c r="BK263" s="449"/>
      <c r="BL263" s="771"/>
      <c r="BM263" s="449"/>
      <c r="BN263" s="449"/>
      <c r="BO263" s="449"/>
      <c r="BP263" s="449"/>
      <c r="BQ263" s="449"/>
      <c r="BR263" s="449"/>
      <c r="BS263" s="449"/>
      <c r="BT263" s="449"/>
      <c r="BU263" s="400"/>
      <c r="BV263" s="400"/>
    </row>
    <row r="264" spans="1:74" s="536" customFormat="1" ht="15.75" thickBot="1" x14ac:dyDescent="0.3">
      <c r="A264" s="526"/>
      <c r="B264" s="611" t="s">
        <v>444</v>
      </c>
      <c r="C264" s="598"/>
      <c r="D264" s="532">
        <v>731800</v>
      </c>
      <c r="E264" s="533">
        <v>722424.58169999986</v>
      </c>
      <c r="F264" s="533">
        <v>9375.4183000001358</v>
      </c>
      <c r="G264" s="520">
        <v>1.2977712189607428E-2</v>
      </c>
      <c r="H264" s="533">
        <v>731800</v>
      </c>
      <c r="I264" s="533">
        <v>0</v>
      </c>
      <c r="J264" s="521">
        <v>0</v>
      </c>
      <c r="K264" s="507"/>
      <c r="L264" s="533">
        <v>58221.4</v>
      </c>
      <c r="M264" s="533">
        <v>58221.4</v>
      </c>
      <c r="N264" s="533">
        <v>66502.749999999985</v>
      </c>
      <c r="O264" s="533">
        <v>67135.97</v>
      </c>
      <c r="P264" s="533">
        <v>59755.98000000001</v>
      </c>
      <c r="Q264" s="533">
        <v>61166.119999999995</v>
      </c>
      <c r="R264" s="533">
        <v>60132.73</v>
      </c>
      <c r="S264" s="533">
        <v>60132.73</v>
      </c>
      <c r="T264" s="533">
        <v>60132.73000000001</v>
      </c>
      <c r="U264" s="533">
        <v>60132.730000000018</v>
      </c>
      <c r="V264" s="533">
        <v>60132.73000000004</v>
      </c>
      <c r="W264" s="533">
        <v>60132.729999999981</v>
      </c>
      <c r="X264" s="533"/>
      <c r="Y264" s="533">
        <v>731800</v>
      </c>
      <c r="Z264" s="508"/>
      <c r="AA264" s="533">
        <v>60983.333333333336</v>
      </c>
      <c r="AB264" s="533">
        <v>60983.333333333336</v>
      </c>
      <c r="AC264" s="533">
        <v>60983.333333333336</v>
      </c>
      <c r="AD264" s="533">
        <v>60983.333333333336</v>
      </c>
      <c r="AE264" s="533">
        <v>60983.333333333336</v>
      </c>
      <c r="AF264" s="533">
        <v>60983.333333333336</v>
      </c>
      <c r="AG264" s="533">
        <v>60983.333333333336</v>
      </c>
      <c r="AH264" s="533">
        <v>60983.333333333336</v>
      </c>
      <c r="AI264" s="533">
        <v>60983.333333333336</v>
      </c>
      <c r="AJ264" s="533">
        <v>60983.333333333336</v>
      </c>
      <c r="AK264" s="533">
        <v>60983.333333333336</v>
      </c>
      <c r="AL264" s="533">
        <v>60983.333333333336</v>
      </c>
      <c r="AN264" s="532">
        <v>731800</v>
      </c>
      <c r="AO264" s="533">
        <v>804686.10441767098</v>
      </c>
      <c r="AP264" s="533">
        <v>72886.104417670984</v>
      </c>
      <c r="AQ264" s="523">
        <v>9.9598393574297603E-2</v>
      </c>
      <c r="AR264" s="533">
        <v>804686.10441767098</v>
      </c>
      <c r="AS264" s="533">
        <v>0</v>
      </c>
      <c r="AT264" s="521">
        <v>0</v>
      </c>
      <c r="AU264" s="507"/>
      <c r="AV264" s="533">
        <v>67057.175368139229</v>
      </c>
      <c r="AW264" s="533">
        <v>67057.175368139229</v>
      </c>
      <c r="AX264" s="533">
        <v>67057.175368139229</v>
      </c>
      <c r="AY264" s="533">
        <v>67057.175368139229</v>
      </c>
      <c r="AZ264" s="533">
        <v>67057.175368139229</v>
      </c>
      <c r="BA264" s="533">
        <v>67057.175368139229</v>
      </c>
      <c r="BB264" s="533">
        <v>67057.175368139229</v>
      </c>
      <c r="BC264" s="533">
        <v>67057.175368139229</v>
      </c>
      <c r="BD264" s="533">
        <v>67057.175368139229</v>
      </c>
      <c r="BE264" s="533">
        <v>67057.175368139229</v>
      </c>
      <c r="BF264" s="533">
        <v>67057.175368139229</v>
      </c>
      <c r="BG264" s="533">
        <v>67057.175368139229</v>
      </c>
      <c r="BH264" s="508"/>
      <c r="BI264" s="533">
        <v>67057.175368139229</v>
      </c>
      <c r="BJ264" s="533">
        <v>67057.175368139229</v>
      </c>
      <c r="BK264" s="533">
        <v>67057.175368139229</v>
      </c>
      <c r="BL264" s="777">
        <v>67057.175368139229</v>
      </c>
      <c r="BM264" s="533">
        <v>67057.175368139229</v>
      </c>
      <c r="BN264" s="533">
        <v>67057.175368139229</v>
      </c>
      <c r="BO264" s="533">
        <v>67057.175368139229</v>
      </c>
      <c r="BP264" s="533">
        <v>67057.175368139229</v>
      </c>
      <c r="BQ264" s="533">
        <v>67057.175368139229</v>
      </c>
      <c r="BR264" s="533">
        <v>67057.175368139229</v>
      </c>
      <c r="BS264" s="533">
        <v>67057.175368139229</v>
      </c>
      <c r="BT264" s="533">
        <v>67057.175368139229</v>
      </c>
      <c r="BV264" s="400"/>
    </row>
    <row r="265" spans="1:74" ht="15.75" thickTop="1" x14ac:dyDescent="0.25">
      <c r="A265" s="587"/>
      <c r="B265" s="612"/>
      <c r="C265" s="596"/>
      <c r="D265" s="500"/>
      <c r="E265" s="449"/>
      <c r="F265" s="449"/>
      <c r="G265" s="421"/>
      <c r="H265" s="449"/>
      <c r="I265" s="449"/>
      <c r="J265" s="426"/>
      <c r="K265" s="421"/>
      <c r="L265" s="449"/>
      <c r="M265" s="449"/>
      <c r="N265" s="449"/>
      <c r="O265" s="449"/>
      <c r="P265" s="449"/>
      <c r="Q265" s="449"/>
      <c r="R265" s="449"/>
      <c r="S265" s="449"/>
      <c r="T265" s="449"/>
      <c r="U265" s="449"/>
      <c r="V265" s="449"/>
      <c r="W265" s="449"/>
      <c r="X265" s="449"/>
      <c r="Y265" s="449"/>
      <c r="Z265" s="531"/>
      <c r="AA265" s="449"/>
      <c r="AB265" s="449"/>
      <c r="AC265" s="449"/>
      <c r="AD265" s="449"/>
      <c r="AE265" s="449"/>
      <c r="AF265" s="449"/>
      <c r="AG265" s="449"/>
      <c r="AH265" s="449"/>
      <c r="AI265" s="449"/>
      <c r="AJ265" s="449"/>
      <c r="AK265" s="449"/>
      <c r="AL265" s="449"/>
      <c r="AM265" s="400"/>
      <c r="AN265" s="500"/>
      <c r="AO265" s="449"/>
      <c r="AP265" s="449"/>
      <c r="AQ265" s="453"/>
      <c r="AR265" s="449"/>
      <c r="AS265" s="449"/>
      <c r="AT265" s="426"/>
      <c r="AU265" s="421"/>
      <c r="AV265" s="449"/>
      <c r="AW265" s="449"/>
      <c r="AX265" s="449"/>
      <c r="AY265" s="449"/>
      <c r="AZ265" s="449"/>
      <c r="BA265" s="449"/>
      <c r="BB265" s="449"/>
      <c r="BC265" s="449"/>
      <c r="BD265" s="449"/>
      <c r="BE265" s="449"/>
      <c r="BF265" s="449"/>
      <c r="BG265" s="449"/>
      <c r="BH265" s="531"/>
      <c r="BI265" s="449"/>
      <c r="BJ265" s="449"/>
      <c r="BK265" s="449"/>
      <c r="BL265" s="771"/>
      <c r="BM265" s="449"/>
      <c r="BN265" s="449"/>
      <c r="BO265" s="449"/>
      <c r="BP265" s="449"/>
      <c r="BQ265" s="449"/>
      <c r="BR265" s="449"/>
      <c r="BS265" s="449"/>
      <c r="BT265" s="449"/>
      <c r="BU265" s="400"/>
      <c r="BV265" s="400"/>
    </row>
    <row r="266" spans="1:74" ht="15.75" x14ac:dyDescent="0.25">
      <c r="A266" s="587"/>
      <c r="B266" s="525" t="s">
        <v>445</v>
      </c>
      <c r="C266" s="538"/>
      <c r="D266" s="500"/>
      <c r="E266" s="449"/>
      <c r="F266" s="449"/>
      <c r="G266" s="421"/>
      <c r="H266" s="449"/>
      <c r="I266" s="449"/>
      <c r="J266" s="426"/>
      <c r="K266" s="421"/>
      <c r="L266" s="449"/>
      <c r="M266" s="449"/>
      <c r="N266" s="449"/>
      <c r="O266" s="449"/>
      <c r="P266" s="449"/>
      <c r="Q266" s="449"/>
      <c r="R266" s="449"/>
      <c r="S266" s="449"/>
      <c r="T266" s="449"/>
      <c r="U266" s="449"/>
      <c r="V266" s="449"/>
      <c r="W266" s="449"/>
      <c r="X266" s="449"/>
      <c r="Y266" s="449"/>
      <c r="Z266" s="531"/>
      <c r="AA266" s="449"/>
      <c r="AB266" s="449"/>
      <c r="AC266" s="449"/>
      <c r="AD266" s="449"/>
      <c r="AE266" s="449"/>
      <c r="AF266" s="449"/>
      <c r="AG266" s="449"/>
      <c r="AH266" s="449"/>
      <c r="AI266" s="449"/>
      <c r="AJ266" s="449"/>
      <c r="AK266" s="449"/>
      <c r="AL266" s="449"/>
      <c r="AM266" s="400"/>
      <c r="AN266" s="500"/>
      <c r="AO266" s="449"/>
      <c r="AP266" s="449"/>
      <c r="AQ266" s="453"/>
      <c r="AR266" s="449"/>
      <c r="AS266" s="449"/>
      <c r="AT266" s="426"/>
      <c r="AU266" s="421"/>
      <c r="AV266" s="449"/>
      <c r="AW266" s="449"/>
      <c r="AX266" s="449"/>
      <c r="AY266" s="449"/>
      <c r="AZ266" s="449"/>
      <c r="BA266" s="449"/>
      <c r="BB266" s="449"/>
      <c r="BC266" s="449"/>
      <c r="BD266" s="449"/>
      <c r="BE266" s="449"/>
      <c r="BF266" s="449"/>
      <c r="BG266" s="449"/>
      <c r="BH266" s="531"/>
      <c r="BI266" s="449"/>
      <c r="BJ266" s="449"/>
      <c r="BK266" s="449"/>
      <c r="BL266" s="771"/>
      <c r="BM266" s="449"/>
      <c r="BN266" s="449"/>
      <c r="BO266" s="449"/>
      <c r="BP266" s="449"/>
      <c r="BQ266" s="449"/>
      <c r="BR266" s="449"/>
      <c r="BS266" s="449"/>
      <c r="BT266" s="449"/>
      <c r="BU266" s="400"/>
      <c r="BV266" s="400"/>
    </row>
    <row r="267" spans="1:74" ht="6.75" customHeight="1" x14ac:dyDescent="0.25">
      <c r="A267" s="587"/>
      <c r="B267" s="502"/>
      <c r="C267" s="538"/>
      <c r="D267" s="500"/>
      <c r="E267" s="449"/>
      <c r="F267" s="449"/>
      <c r="G267" s="421"/>
      <c r="H267" s="449"/>
      <c r="I267" s="449"/>
      <c r="J267" s="426"/>
      <c r="K267" s="421"/>
      <c r="L267" s="449"/>
      <c r="M267" s="449"/>
      <c r="N267" s="449"/>
      <c r="O267" s="449"/>
      <c r="P267" s="449"/>
      <c r="Q267" s="449"/>
      <c r="R267" s="449"/>
      <c r="S267" s="449"/>
      <c r="T267" s="449"/>
      <c r="U267" s="449"/>
      <c r="V267" s="449"/>
      <c r="W267" s="449"/>
      <c r="X267" s="449"/>
      <c r="Y267" s="449"/>
      <c r="Z267" s="531"/>
      <c r="AA267" s="449"/>
      <c r="AB267" s="449"/>
      <c r="AC267" s="449"/>
      <c r="AD267" s="449"/>
      <c r="AE267" s="449"/>
      <c r="AF267" s="449"/>
      <c r="AG267" s="449"/>
      <c r="AH267" s="449"/>
      <c r="AI267" s="449"/>
      <c r="AJ267" s="449"/>
      <c r="AK267" s="449"/>
      <c r="AL267" s="449"/>
      <c r="AM267" s="400"/>
      <c r="AN267" s="500"/>
      <c r="AO267" s="449"/>
      <c r="AP267" s="449"/>
      <c r="AQ267" s="453"/>
      <c r="AR267" s="449"/>
      <c r="AS267" s="449"/>
      <c r="AT267" s="426"/>
      <c r="AU267" s="421"/>
      <c r="AV267" s="449"/>
      <c r="AW267" s="449"/>
      <c r="AX267" s="449"/>
      <c r="AY267" s="449"/>
      <c r="AZ267" s="449"/>
      <c r="BA267" s="449"/>
      <c r="BB267" s="449"/>
      <c r="BC267" s="449"/>
      <c r="BD267" s="449"/>
      <c r="BE267" s="449"/>
      <c r="BF267" s="449"/>
      <c r="BG267" s="449"/>
      <c r="BH267" s="531"/>
      <c r="BI267" s="449"/>
      <c r="BJ267" s="449"/>
      <c r="BK267" s="449"/>
      <c r="BL267" s="771"/>
      <c r="BM267" s="449"/>
      <c r="BN267" s="449"/>
      <c r="BO267" s="449"/>
      <c r="BP267" s="449"/>
      <c r="BQ267" s="449"/>
      <c r="BR267" s="449"/>
      <c r="BS267" s="449"/>
      <c r="BT267" s="449"/>
      <c r="BU267" s="400"/>
      <c r="BV267" s="400"/>
    </row>
    <row r="268" spans="1:74" x14ac:dyDescent="0.25">
      <c r="A268" s="502" t="s">
        <v>446</v>
      </c>
      <c r="B268" s="502" t="s">
        <v>447</v>
      </c>
      <c r="C268" s="630"/>
      <c r="D268" s="500">
        <v>39923</v>
      </c>
      <c r="E268" s="449">
        <v>39923</v>
      </c>
      <c r="F268" s="449">
        <v>0</v>
      </c>
      <c r="G268" s="421">
        <v>0</v>
      </c>
      <c r="H268" s="449">
        <v>39923</v>
      </c>
      <c r="I268" s="449">
        <v>0</v>
      </c>
      <c r="J268" s="426">
        <v>0</v>
      </c>
      <c r="K268" s="421"/>
      <c r="L268" s="449">
        <v>0.01</v>
      </c>
      <c r="M268" s="449">
        <v>8116.34</v>
      </c>
      <c r="N268" s="449">
        <v>7101.91</v>
      </c>
      <c r="O268" s="449">
        <v>6763.7199999999993</v>
      </c>
      <c r="P268" s="449">
        <v>6763.7200000000012</v>
      </c>
      <c r="Q268" s="449">
        <v>8454.6499999999978</v>
      </c>
      <c r="R268" s="449">
        <v>453.77500000000026</v>
      </c>
      <c r="S268" s="449">
        <v>453.77499999999998</v>
      </c>
      <c r="T268" s="449">
        <v>453.77499999999964</v>
      </c>
      <c r="U268" s="449">
        <v>453.77499999999901</v>
      </c>
      <c r="V268" s="449">
        <v>453.77499999999782</v>
      </c>
      <c r="W268" s="449">
        <v>453.77499999999418</v>
      </c>
      <c r="X268" s="449"/>
      <c r="Y268" s="449">
        <v>39923</v>
      </c>
      <c r="Z268" s="531"/>
      <c r="AA268" s="449">
        <v>3326.9166666666665</v>
      </c>
      <c r="AB268" s="449">
        <v>3326.9166666666665</v>
      </c>
      <c r="AC268" s="449">
        <v>3326.9166666666665</v>
      </c>
      <c r="AD268" s="449">
        <v>3326.9166666666665</v>
      </c>
      <c r="AE268" s="449">
        <v>3326.9166666666665</v>
      </c>
      <c r="AF268" s="449">
        <v>3326.9166666666665</v>
      </c>
      <c r="AG268" s="449">
        <v>3326.9166666666665</v>
      </c>
      <c r="AH268" s="449">
        <v>3326.9166666666665</v>
      </c>
      <c r="AI268" s="449">
        <v>3326.9166666666665</v>
      </c>
      <c r="AJ268" s="449">
        <v>3326.9166666666665</v>
      </c>
      <c r="AK268" s="449">
        <v>3326.9166666666665</v>
      </c>
      <c r="AL268" s="449">
        <v>3326.9166666666665</v>
      </c>
      <c r="AM268" s="400"/>
      <c r="AN268" s="500">
        <v>39923</v>
      </c>
      <c r="AO268" s="449">
        <v>41119.660000000003</v>
      </c>
      <c r="AP268" s="449">
        <v>1196.6600000000035</v>
      </c>
      <c r="AQ268" s="453">
        <v>2.9974200335646205E-2</v>
      </c>
      <c r="AR268" s="449">
        <v>41119.660000000003</v>
      </c>
      <c r="AS268" s="449">
        <v>0</v>
      </c>
      <c r="AT268" s="426">
        <v>0</v>
      </c>
      <c r="AU268" s="421"/>
      <c r="AV268" s="449">
        <v>3426.6383333333338</v>
      </c>
      <c r="AW268" s="449">
        <v>3426.6383333333338</v>
      </c>
      <c r="AX268" s="449">
        <v>3426.6383333333338</v>
      </c>
      <c r="AY268" s="449">
        <v>3426.6383333333338</v>
      </c>
      <c r="AZ268" s="449">
        <v>3426.6383333333338</v>
      </c>
      <c r="BA268" s="449">
        <v>3426.6383333333338</v>
      </c>
      <c r="BB268" s="449">
        <v>3426.6383333333338</v>
      </c>
      <c r="BC268" s="449">
        <v>3426.6383333333338</v>
      </c>
      <c r="BD268" s="449">
        <v>3426.6383333333338</v>
      </c>
      <c r="BE268" s="449">
        <v>3426.6383333333338</v>
      </c>
      <c r="BF268" s="449">
        <v>3426.6383333333338</v>
      </c>
      <c r="BG268" s="449">
        <v>3426.6383333333338</v>
      </c>
      <c r="BH268" s="400"/>
      <c r="BI268" s="449">
        <v>3426.6383333333338</v>
      </c>
      <c r="BJ268" s="449">
        <v>3426.6383333333338</v>
      </c>
      <c r="BK268" s="449">
        <v>3426.6383333333338</v>
      </c>
      <c r="BL268" s="771">
        <v>3426.6383333333338</v>
      </c>
      <c r="BM268" s="449">
        <v>3426.6383333333338</v>
      </c>
      <c r="BN268" s="449">
        <v>3426.6383333333338</v>
      </c>
      <c r="BO268" s="449">
        <v>3426.6383333333338</v>
      </c>
      <c r="BP268" s="449">
        <v>3426.6383333333338</v>
      </c>
      <c r="BQ268" s="449">
        <v>3426.6383333333338</v>
      </c>
      <c r="BR268" s="449">
        <v>3426.6383333333338</v>
      </c>
      <c r="BS268" s="449">
        <v>3426.6383333333338</v>
      </c>
      <c r="BT268" s="449">
        <v>3426.6383333333338</v>
      </c>
      <c r="BU268" s="400"/>
      <c r="BV268" s="400"/>
    </row>
    <row r="269" spans="1:74" x14ac:dyDescent="0.25">
      <c r="A269" s="502" t="s">
        <v>448</v>
      </c>
      <c r="B269" s="502" t="s">
        <v>449</v>
      </c>
      <c r="C269" s="630"/>
      <c r="D269" s="500">
        <v>48000</v>
      </c>
      <c r="E269" s="449">
        <v>94880</v>
      </c>
      <c r="F269" s="449">
        <v>-46880</v>
      </c>
      <c r="G269" s="421">
        <v>-0.49409780775716694</v>
      </c>
      <c r="H269" s="449">
        <v>48000</v>
      </c>
      <c r="I269" s="449">
        <v>0</v>
      </c>
      <c r="J269" s="426">
        <v>0</v>
      </c>
      <c r="K269" s="421"/>
      <c r="L269" s="449">
        <v>0</v>
      </c>
      <c r="M269" s="449">
        <v>4384.6099999999997</v>
      </c>
      <c r="N269" s="449">
        <v>3836.5299999999997</v>
      </c>
      <c r="O269" s="449">
        <v>3653.84</v>
      </c>
      <c r="P269" s="449">
        <v>3653.84</v>
      </c>
      <c r="Q269" s="449">
        <v>4567.2999999999993</v>
      </c>
      <c r="R269" s="449">
        <v>4650.6466666666665</v>
      </c>
      <c r="S269" s="449">
        <v>4650.6466666666665</v>
      </c>
      <c r="T269" s="449">
        <v>4650.6466666666665</v>
      </c>
      <c r="U269" s="449">
        <v>4650.6466666666674</v>
      </c>
      <c r="V269" s="449">
        <v>4650.6466666666674</v>
      </c>
      <c r="W269" s="449">
        <v>4650.6466666666674</v>
      </c>
      <c r="X269" s="449"/>
      <c r="Y269" s="449">
        <v>48000</v>
      </c>
      <c r="Z269" s="531"/>
      <c r="AA269" s="449">
        <v>4000</v>
      </c>
      <c r="AB269" s="449">
        <v>4000</v>
      </c>
      <c r="AC269" s="449">
        <v>4000</v>
      </c>
      <c r="AD269" s="449">
        <v>4000</v>
      </c>
      <c r="AE269" s="449">
        <v>4000</v>
      </c>
      <c r="AF269" s="449">
        <v>4000</v>
      </c>
      <c r="AG269" s="449">
        <v>4000</v>
      </c>
      <c r="AH269" s="449">
        <v>4000</v>
      </c>
      <c r="AI269" s="449">
        <v>4000</v>
      </c>
      <c r="AJ269" s="449">
        <v>4000</v>
      </c>
      <c r="AK269" s="449">
        <v>4000</v>
      </c>
      <c r="AL269" s="449">
        <v>4000</v>
      </c>
      <c r="AM269" s="400"/>
      <c r="AN269" s="500">
        <v>48000</v>
      </c>
      <c r="AO269" s="449">
        <v>95934.886666666658</v>
      </c>
      <c r="AP269" s="449">
        <v>47934.886666666658</v>
      </c>
      <c r="AQ269" s="453">
        <v>0.99864347222222205</v>
      </c>
      <c r="AR269" s="449">
        <v>95934.886666666658</v>
      </c>
      <c r="AS269" s="449">
        <v>0</v>
      </c>
      <c r="AT269" s="426">
        <v>0</v>
      </c>
      <c r="AU269" s="421"/>
      <c r="AV269" s="449">
        <v>7994.5738888888882</v>
      </c>
      <c r="AW269" s="449">
        <v>7994.5738888888882</v>
      </c>
      <c r="AX269" s="449">
        <v>7994.5738888888882</v>
      </c>
      <c r="AY269" s="449">
        <v>7994.5738888888882</v>
      </c>
      <c r="AZ269" s="449">
        <v>7994.5738888888882</v>
      </c>
      <c r="BA269" s="449">
        <v>7994.5738888888882</v>
      </c>
      <c r="BB269" s="449">
        <v>7994.5738888888882</v>
      </c>
      <c r="BC269" s="449">
        <v>7994.5738888888882</v>
      </c>
      <c r="BD269" s="449">
        <v>7994.5738888888882</v>
      </c>
      <c r="BE269" s="449">
        <v>7994.5738888888882</v>
      </c>
      <c r="BF269" s="449">
        <v>7994.5738888888882</v>
      </c>
      <c r="BG269" s="449">
        <v>7994.5738888888882</v>
      </c>
      <c r="BH269" s="400"/>
      <c r="BI269" s="449">
        <v>7994.5738888888882</v>
      </c>
      <c r="BJ269" s="449">
        <v>7994.5738888888882</v>
      </c>
      <c r="BK269" s="449">
        <v>7994.5738888888882</v>
      </c>
      <c r="BL269" s="771">
        <v>7994.5738888888882</v>
      </c>
      <c r="BM269" s="449">
        <v>7994.5738888888882</v>
      </c>
      <c r="BN269" s="449">
        <v>7994.5738888888882</v>
      </c>
      <c r="BO269" s="449">
        <v>7994.5738888888882</v>
      </c>
      <c r="BP269" s="449">
        <v>7994.5738888888882</v>
      </c>
      <c r="BQ269" s="449">
        <v>7994.5738888888882</v>
      </c>
      <c r="BR269" s="449">
        <v>7994.5738888888882</v>
      </c>
      <c r="BS269" s="449">
        <v>7994.5738888888882</v>
      </c>
      <c r="BT269" s="449">
        <v>7994.5738888888882</v>
      </c>
      <c r="BU269" s="400"/>
      <c r="BV269" s="400"/>
    </row>
    <row r="270" spans="1:74" x14ac:dyDescent="0.25">
      <c r="A270" s="537" t="s">
        <v>450</v>
      </c>
      <c r="B270" s="537" t="s">
        <v>451</v>
      </c>
      <c r="C270" s="630"/>
      <c r="D270" s="500">
        <v>47500</v>
      </c>
      <c r="E270" s="449">
        <v>0</v>
      </c>
      <c r="F270" s="449">
        <v>47500</v>
      </c>
      <c r="G270" s="421">
        <v>0</v>
      </c>
      <c r="H270" s="449">
        <v>47500</v>
      </c>
      <c r="I270" s="449">
        <v>0</v>
      </c>
      <c r="J270" s="426">
        <v>0</v>
      </c>
      <c r="K270" s="421"/>
      <c r="L270" s="449">
        <v>0</v>
      </c>
      <c r="M270" s="449">
        <v>0</v>
      </c>
      <c r="N270" s="449">
        <v>0</v>
      </c>
      <c r="O270" s="449">
        <v>0</v>
      </c>
      <c r="P270" s="449">
        <v>0</v>
      </c>
      <c r="Q270" s="449">
        <v>0</v>
      </c>
      <c r="R270" s="449">
        <v>7916.666666666667</v>
      </c>
      <c r="S270" s="449">
        <v>7916.666666666667</v>
      </c>
      <c r="T270" s="449">
        <v>7916.6666666666661</v>
      </c>
      <c r="U270" s="449">
        <v>7916.666666666667</v>
      </c>
      <c r="V270" s="449">
        <v>7916.6666666666661</v>
      </c>
      <c r="W270" s="449">
        <v>7916.6666666666642</v>
      </c>
      <c r="X270" s="449"/>
      <c r="Y270" s="449">
        <v>47500</v>
      </c>
      <c r="Z270" s="531"/>
      <c r="AA270" s="449">
        <v>3958.3333333333335</v>
      </c>
      <c r="AB270" s="449">
        <v>3958.3333333333335</v>
      </c>
      <c r="AC270" s="449">
        <v>3958.3333333333335</v>
      </c>
      <c r="AD270" s="449">
        <v>3958.3333333333335</v>
      </c>
      <c r="AE270" s="449">
        <v>3958.3333333333335</v>
      </c>
      <c r="AF270" s="449">
        <v>3958.3333333333335</v>
      </c>
      <c r="AG270" s="449">
        <v>3958.3333333333335</v>
      </c>
      <c r="AH270" s="449">
        <v>3958.3333333333335</v>
      </c>
      <c r="AI270" s="449">
        <v>3958.3333333333335</v>
      </c>
      <c r="AJ270" s="449">
        <v>3958.3333333333335</v>
      </c>
      <c r="AK270" s="449">
        <v>3958.3333333333335</v>
      </c>
      <c r="AL270" s="449">
        <v>3958.3333333333335</v>
      </c>
      <c r="AM270" s="400"/>
      <c r="AN270" s="500">
        <v>47500</v>
      </c>
      <c r="AO270" s="449">
        <v>48925.000000000007</v>
      </c>
      <c r="AP270" s="449">
        <v>1425.0000000000073</v>
      </c>
      <c r="AQ270" s="453">
        <v>3.0000000000000152E-2</v>
      </c>
      <c r="AR270" s="449">
        <v>48925.000000000007</v>
      </c>
      <c r="AS270" s="449">
        <v>0</v>
      </c>
      <c r="AT270" s="426">
        <v>0</v>
      </c>
      <c r="AU270" s="421"/>
      <c r="AV270" s="449">
        <v>4077.0833333333335</v>
      </c>
      <c r="AW270" s="449">
        <v>4077.0833333333335</v>
      </c>
      <c r="AX270" s="449">
        <v>4077.0833333333335</v>
      </c>
      <c r="AY270" s="449">
        <v>4077.0833333333335</v>
      </c>
      <c r="AZ270" s="449">
        <v>4077.0833333333335</v>
      </c>
      <c r="BA270" s="449">
        <v>4077.0833333333335</v>
      </c>
      <c r="BB270" s="449">
        <v>4077.0833333333335</v>
      </c>
      <c r="BC270" s="449">
        <v>4077.0833333333335</v>
      </c>
      <c r="BD270" s="449">
        <v>4077.0833333333335</v>
      </c>
      <c r="BE270" s="449">
        <v>4077.0833333333335</v>
      </c>
      <c r="BF270" s="449">
        <v>4077.0833333333335</v>
      </c>
      <c r="BG270" s="449">
        <v>4077.0833333333335</v>
      </c>
      <c r="BH270" s="400"/>
      <c r="BI270" s="449">
        <v>4077.0833333333335</v>
      </c>
      <c r="BJ270" s="449">
        <v>4077.0833333333335</v>
      </c>
      <c r="BK270" s="449">
        <v>4077.0833333333335</v>
      </c>
      <c r="BL270" s="771">
        <v>4077.0833333333335</v>
      </c>
      <c r="BM270" s="449">
        <v>4077.0833333333335</v>
      </c>
      <c r="BN270" s="449">
        <v>4077.0833333333335</v>
      </c>
      <c r="BO270" s="449">
        <v>4077.0833333333335</v>
      </c>
      <c r="BP270" s="449">
        <v>4077.0833333333335</v>
      </c>
      <c r="BQ270" s="449">
        <v>4077.0833333333335</v>
      </c>
      <c r="BR270" s="449">
        <v>4077.0833333333335</v>
      </c>
      <c r="BS270" s="449">
        <v>4077.0833333333335</v>
      </c>
      <c r="BT270" s="449">
        <v>4077.0833333333335</v>
      </c>
      <c r="BU270" s="400"/>
      <c r="BV270" s="400"/>
    </row>
    <row r="271" spans="1:74" x14ac:dyDescent="0.25">
      <c r="A271" s="502" t="s">
        <v>452</v>
      </c>
      <c r="B271" s="502" t="s">
        <v>453</v>
      </c>
      <c r="C271" s="630"/>
      <c r="D271" s="500">
        <v>0</v>
      </c>
      <c r="E271" s="449">
        <v>0</v>
      </c>
      <c r="F271" s="449">
        <v>0</v>
      </c>
      <c r="G271" s="421">
        <v>0</v>
      </c>
      <c r="H271" s="449">
        <v>0</v>
      </c>
      <c r="I271" s="449">
        <v>0</v>
      </c>
      <c r="J271" s="426">
        <v>0</v>
      </c>
      <c r="K271" s="421"/>
      <c r="L271" s="449">
        <v>0</v>
      </c>
      <c r="M271" s="449">
        <v>0</v>
      </c>
      <c r="N271" s="449">
        <v>0</v>
      </c>
      <c r="O271" s="449">
        <v>0</v>
      </c>
      <c r="P271" s="449">
        <v>0</v>
      </c>
      <c r="Q271" s="449">
        <v>0</v>
      </c>
      <c r="R271" s="449">
        <v>0</v>
      </c>
      <c r="S271" s="449">
        <v>0</v>
      </c>
      <c r="T271" s="449">
        <v>0</v>
      </c>
      <c r="U271" s="449">
        <v>0</v>
      </c>
      <c r="V271" s="449">
        <v>0</v>
      </c>
      <c r="W271" s="449">
        <v>0</v>
      </c>
      <c r="X271" s="449"/>
      <c r="Y271" s="449">
        <v>0</v>
      </c>
      <c r="Z271" s="531"/>
      <c r="AA271" s="449">
        <v>0</v>
      </c>
      <c r="AB271" s="449">
        <v>0</v>
      </c>
      <c r="AC271" s="449">
        <v>0</v>
      </c>
      <c r="AD271" s="449">
        <v>0</v>
      </c>
      <c r="AE271" s="449">
        <v>0</v>
      </c>
      <c r="AF271" s="449">
        <v>0</v>
      </c>
      <c r="AG271" s="449">
        <v>0</v>
      </c>
      <c r="AH271" s="449">
        <v>0</v>
      </c>
      <c r="AI271" s="449">
        <v>0</v>
      </c>
      <c r="AJ271" s="449">
        <v>0</v>
      </c>
      <c r="AK271" s="449">
        <v>0</v>
      </c>
      <c r="AL271" s="449">
        <v>0</v>
      </c>
      <c r="AM271" s="400"/>
      <c r="AN271" s="500">
        <v>0</v>
      </c>
      <c r="AO271" s="449">
        <v>0</v>
      </c>
      <c r="AP271" s="449">
        <v>0</v>
      </c>
      <c r="AQ271" s="453" t="s">
        <v>1519</v>
      </c>
      <c r="AR271" s="449">
        <v>0</v>
      </c>
      <c r="AS271" s="449">
        <v>0</v>
      </c>
      <c r="AT271" s="426">
        <v>0</v>
      </c>
      <c r="AU271" s="421"/>
      <c r="AV271" s="449">
        <v>0</v>
      </c>
      <c r="AW271" s="449">
        <v>0</v>
      </c>
      <c r="AX271" s="449">
        <v>0</v>
      </c>
      <c r="AY271" s="449">
        <v>0</v>
      </c>
      <c r="AZ271" s="449">
        <v>0</v>
      </c>
      <c r="BA271" s="449">
        <v>0</v>
      </c>
      <c r="BB271" s="449">
        <v>0</v>
      </c>
      <c r="BC271" s="449">
        <v>0</v>
      </c>
      <c r="BD271" s="449">
        <v>0</v>
      </c>
      <c r="BE271" s="449">
        <v>0</v>
      </c>
      <c r="BF271" s="449">
        <v>0</v>
      </c>
      <c r="BG271" s="449">
        <v>0</v>
      </c>
      <c r="BH271" s="400"/>
      <c r="BI271" s="449">
        <v>0</v>
      </c>
      <c r="BJ271" s="449">
        <v>0</v>
      </c>
      <c r="BK271" s="449">
        <v>0</v>
      </c>
      <c r="BL271" s="771">
        <v>0</v>
      </c>
      <c r="BM271" s="449">
        <v>0</v>
      </c>
      <c r="BN271" s="449">
        <v>0</v>
      </c>
      <c r="BO271" s="449">
        <v>0</v>
      </c>
      <c r="BP271" s="449">
        <v>0</v>
      </c>
      <c r="BQ271" s="449">
        <v>0</v>
      </c>
      <c r="BR271" s="449">
        <v>0</v>
      </c>
      <c r="BS271" s="449">
        <v>0</v>
      </c>
      <c r="BT271" s="449">
        <v>0</v>
      </c>
      <c r="BU271" s="400"/>
      <c r="BV271" s="400"/>
    </row>
    <row r="272" spans="1:74" x14ac:dyDescent="0.25">
      <c r="A272" s="502" t="s">
        <v>454</v>
      </c>
      <c r="B272" s="502" t="s">
        <v>455</v>
      </c>
      <c r="C272" s="630"/>
      <c r="D272" s="500">
        <v>30900</v>
      </c>
      <c r="E272" s="449">
        <v>34027</v>
      </c>
      <c r="F272" s="449">
        <v>-3127</v>
      </c>
      <c r="G272" s="421">
        <v>-9.189761072089811E-2</v>
      </c>
      <c r="H272" s="449">
        <v>30900</v>
      </c>
      <c r="I272" s="449">
        <v>0</v>
      </c>
      <c r="J272" s="426">
        <v>0</v>
      </c>
      <c r="K272" s="421"/>
      <c r="L272" s="449">
        <v>0</v>
      </c>
      <c r="M272" s="449">
        <v>2819.19</v>
      </c>
      <c r="N272" s="449">
        <v>2459.4900000000002</v>
      </c>
      <c r="O272" s="449">
        <v>2347.79</v>
      </c>
      <c r="P272" s="449">
        <v>2244.6400000000003</v>
      </c>
      <c r="Q272" s="449">
        <v>2971.3199999999997</v>
      </c>
      <c r="R272" s="449">
        <v>3009.5949999999998</v>
      </c>
      <c r="S272" s="449">
        <v>3009.5950000000003</v>
      </c>
      <c r="T272" s="449">
        <v>3009.5950000000003</v>
      </c>
      <c r="U272" s="449">
        <v>3009.5949999999998</v>
      </c>
      <c r="V272" s="449">
        <v>3009.5949999999993</v>
      </c>
      <c r="W272" s="449">
        <v>3009.5950000000012</v>
      </c>
      <c r="X272" s="449"/>
      <c r="Y272" s="449">
        <v>30900</v>
      </c>
      <c r="Z272" s="531"/>
      <c r="AA272" s="449">
        <v>2575</v>
      </c>
      <c r="AB272" s="449">
        <v>2575</v>
      </c>
      <c r="AC272" s="449">
        <v>2575</v>
      </c>
      <c r="AD272" s="449">
        <v>2575</v>
      </c>
      <c r="AE272" s="449">
        <v>2575</v>
      </c>
      <c r="AF272" s="449">
        <v>2575</v>
      </c>
      <c r="AG272" s="449">
        <v>2575</v>
      </c>
      <c r="AH272" s="449">
        <v>2575</v>
      </c>
      <c r="AI272" s="449">
        <v>2575</v>
      </c>
      <c r="AJ272" s="449">
        <v>2575</v>
      </c>
      <c r="AK272" s="449">
        <v>2575</v>
      </c>
      <c r="AL272" s="449">
        <v>2575</v>
      </c>
      <c r="AM272" s="400"/>
      <c r="AN272" s="500">
        <v>30900</v>
      </c>
      <c r="AO272" s="449">
        <v>34669.80000000001</v>
      </c>
      <c r="AP272" s="449">
        <v>3769.8000000000102</v>
      </c>
      <c r="AQ272" s="453">
        <v>0.12200000000000033</v>
      </c>
      <c r="AR272" s="449">
        <v>34669.80000000001</v>
      </c>
      <c r="AS272" s="449">
        <v>0</v>
      </c>
      <c r="AT272" s="426">
        <v>0</v>
      </c>
      <c r="AU272" s="421"/>
      <c r="AV272" s="449">
        <v>2889.15</v>
      </c>
      <c r="AW272" s="449">
        <v>2889.15</v>
      </c>
      <c r="AX272" s="449">
        <v>2889.15</v>
      </c>
      <c r="AY272" s="449">
        <v>2889.15</v>
      </c>
      <c r="AZ272" s="449">
        <v>2889.15</v>
      </c>
      <c r="BA272" s="449">
        <v>2889.15</v>
      </c>
      <c r="BB272" s="449">
        <v>2889.15</v>
      </c>
      <c r="BC272" s="449">
        <v>2889.15</v>
      </c>
      <c r="BD272" s="449">
        <v>2889.15</v>
      </c>
      <c r="BE272" s="449">
        <v>2889.15</v>
      </c>
      <c r="BF272" s="449">
        <v>2889.15</v>
      </c>
      <c r="BG272" s="449">
        <v>2889.15</v>
      </c>
      <c r="BH272" s="400"/>
      <c r="BI272" s="449">
        <v>2889.15</v>
      </c>
      <c r="BJ272" s="449">
        <v>2889.15</v>
      </c>
      <c r="BK272" s="449">
        <v>2889.15</v>
      </c>
      <c r="BL272" s="771">
        <v>2889.15</v>
      </c>
      <c r="BM272" s="449">
        <v>2889.15</v>
      </c>
      <c r="BN272" s="449">
        <v>2889.15</v>
      </c>
      <c r="BO272" s="449">
        <v>2889.15</v>
      </c>
      <c r="BP272" s="449">
        <v>2889.15</v>
      </c>
      <c r="BQ272" s="449">
        <v>2889.15</v>
      </c>
      <c r="BR272" s="449">
        <v>2889.15</v>
      </c>
      <c r="BS272" s="449">
        <v>2889.15</v>
      </c>
      <c r="BT272" s="449">
        <v>2889.15</v>
      </c>
      <c r="BU272" s="400"/>
      <c r="BV272" s="400"/>
    </row>
    <row r="273" spans="1:72" x14ac:dyDescent="0.25">
      <c r="A273" s="502" t="s">
        <v>456</v>
      </c>
      <c r="B273" s="502" t="s">
        <v>457</v>
      </c>
      <c r="C273" s="630"/>
      <c r="D273" s="500">
        <v>3000</v>
      </c>
      <c r="E273" s="449">
        <v>34027</v>
      </c>
      <c r="F273" s="449">
        <v>-31027</v>
      </c>
      <c r="G273" s="421">
        <v>-0.91183471948746586</v>
      </c>
      <c r="H273" s="449">
        <v>3000</v>
      </c>
      <c r="I273" s="449">
        <v>0</v>
      </c>
      <c r="J273" s="426">
        <v>0</v>
      </c>
      <c r="K273" s="421"/>
      <c r="L273" s="449">
        <v>0</v>
      </c>
      <c r="M273" s="449">
        <v>0</v>
      </c>
      <c r="N273" s="449">
        <v>0</v>
      </c>
      <c r="O273" s="449">
        <v>0</v>
      </c>
      <c r="P273" s="449">
        <v>0</v>
      </c>
      <c r="Q273" s="449">
        <v>0</v>
      </c>
      <c r="R273" s="449">
        <v>500</v>
      </c>
      <c r="S273" s="449">
        <v>500</v>
      </c>
      <c r="T273" s="449">
        <v>500</v>
      </c>
      <c r="U273" s="449">
        <v>500</v>
      </c>
      <c r="V273" s="449">
        <v>500</v>
      </c>
      <c r="W273" s="449">
        <v>500</v>
      </c>
      <c r="X273" s="449"/>
      <c r="Y273" s="449">
        <v>3000</v>
      </c>
      <c r="Z273" s="531"/>
      <c r="AA273" s="449">
        <v>250</v>
      </c>
      <c r="AB273" s="449">
        <v>250</v>
      </c>
      <c r="AC273" s="449">
        <v>250</v>
      </c>
      <c r="AD273" s="449">
        <v>250</v>
      </c>
      <c r="AE273" s="449">
        <v>250</v>
      </c>
      <c r="AF273" s="449">
        <v>250</v>
      </c>
      <c r="AG273" s="449">
        <v>250</v>
      </c>
      <c r="AH273" s="449">
        <v>250</v>
      </c>
      <c r="AI273" s="449">
        <v>250</v>
      </c>
      <c r="AJ273" s="449">
        <v>250</v>
      </c>
      <c r="AK273" s="449">
        <v>250</v>
      </c>
      <c r="AL273" s="449">
        <v>250</v>
      </c>
      <c r="AM273" s="400"/>
      <c r="AN273" s="500">
        <v>3000</v>
      </c>
      <c r="AO273" s="449">
        <v>0</v>
      </c>
      <c r="AP273" s="449">
        <v>-3000</v>
      </c>
      <c r="AQ273" s="453">
        <v>-1</v>
      </c>
      <c r="AR273" s="449">
        <v>0</v>
      </c>
      <c r="AS273" s="449">
        <v>0</v>
      </c>
      <c r="AT273" s="426">
        <v>0</v>
      </c>
      <c r="AU273" s="421"/>
      <c r="AV273" s="449">
        <v>0</v>
      </c>
      <c r="AW273" s="449">
        <v>0</v>
      </c>
      <c r="AX273" s="449">
        <v>0</v>
      </c>
      <c r="AY273" s="449">
        <v>0</v>
      </c>
      <c r="AZ273" s="449">
        <v>0</v>
      </c>
      <c r="BA273" s="449">
        <v>0</v>
      </c>
      <c r="BB273" s="449">
        <v>0</v>
      </c>
      <c r="BC273" s="449">
        <v>0</v>
      </c>
      <c r="BD273" s="449">
        <v>0</v>
      </c>
      <c r="BE273" s="449">
        <v>0</v>
      </c>
      <c r="BF273" s="449">
        <v>0</v>
      </c>
      <c r="BG273" s="449">
        <v>0</v>
      </c>
      <c r="BH273" s="400"/>
      <c r="BI273" s="449">
        <v>0</v>
      </c>
      <c r="BJ273" s="449">
        <v>0</v>
      </c>
      <c r="BK273" s="449">
        <v>0</v>
      </c>
      <c r="BL273" s="771">
        <v>0</v>
      </c>
      <c r="BM273" s="449">
        <v>0</v>
      </c>
      <c r="BN273" s="449">
        <v>0</v>
      </c>
      <c r="BO273" s="449">
        <v>0</v>
      </c>
      <c r="BP273" s="449">
        <v>0</v>
      </c>
      <c r="BQ273" s="449">
        <v>0</v>
      </c>
      <c r="BR273" s="449">
        <v>0</v>
      </c>
      <c r="BS273" s="449">
        <v>0</v>
      </c>
      <c r="BT273" s="449">
        <v>0</v>
      </c>
    </row>
    <row r="274" spans="1:72" x14ac:dyDescent="0.25">
      <c r="A274" s="502" t="s">
        <v>458</v>
      </c>
      <c r="B274" s="502" t="s">
        <v>459</v>
      </c>
      <c r="C274" s="630"/>
      <c r="D274" s="500">
        <v>0</v>
      </c>
      <c r="E274" s="449">
        <v>0</v>
      </c>
      <c r="F274" s="449">
        <v>0</v>
      </c>
      <c r="G274" s="421">
        <v>0</v>
      </c>
      <c r="H274" s="449">
        <v>0</v>
      </c>
      <c r="I274" s="449">
        <v>0</v>
      </c>
      <c r="J274" s="426">
        <v>0</v>
      </c>
      <c r="K274" s="421"/>
      <c r="L274" s="449">
        <v>0</v>
      </c>
      <c r="M274" s="449">
        <v>0</v>
      </c>
      <c r="N274" s="449">
        <v>0</v>
      </c>
      <c r="O274" s="449">
        <v>0</v>
      </c>
      <c r="P274" s="449">
        <v>0</v>
      </c>
      <c r="Q274" s="449">
        <v>0</v>
      </c>
      <c r="R274" s="449">
        <v>0</v>
      </c>
      <c r="S274" s="449">
        <v>0</v>
      </c>
      <c r="T274" s="449">
        <v>0</v>
      </c>
      <c r="U274" s="449">
        <v>0</v>
      </c>
      <c r="V274" s="449">
        <v>0</v>
      </c>
      <c r="W274" s="449">
        <v>0</v>
      </c>
      <c r="X274" s="449"/>
      <c r="Y274" s="449">
        <v>0</v>
      </c>
      <c r="Z274" s="531"/>
      <c r="AA274" s="449">
        <v>0</v>
      </c>
      <c r="AB274" s="449">
        <v>0</v>
      </c>
      <c r="AC274" s="449">
        <v>0</v>
      </c>
      <c r="AD274" s="449">
        <v>0</v>
      </c>
      <c r="AE274" s="449">
        <v>0</v>
      </c>
      <c r="AF274" s="449">
        <v>0</v>
      </c>
      <c r="AG274" s="449">
        <v>0</v>
      </c>
      <c r="AH274" s="449">
        <v>0</v>
      </c>
      <c r="AI274" s="449">
        <v>0</v>
      </c>
      <c r="AJ274" s="449">
        <v>0</v>
      </c>
      <c r="AK274" s="449">
        <v>0</v>
      </c>
      <c r="AL274" s="449">
        <v>0</v>
      </c>
      <c r="AM274" s="400"/>
      <c r="AN274" s="500">
        <v>0</v>
      </c>
      <c r="AO274" s="449">
        <v>0</v>
      </c>
      <c r="AP274" s="449">
        <v>0</v>
      </c>
      <c r="AQ274" s="453" t="s">
        <v>1519</v>
      </c>
      <c r="AR274" s="449">
        <v>0</v>
      </c>
      <c r="AS274" s="449">
        <v>0</v>
      </c>
      <c r="AT274" s="426">
        <v>0</v>
      </c>
      <c r="AU274" s="421"/>
      <c r="AV274" s="449">
        <v>0</v>
      </c>
      <c r="AW274" s="449">
        <v>0</v>
      </c>
      <c r="AX274" s="449">
        <v>0</v>
      </c>
      <c r="AY274" s="449">
        <v>0</v>
      </c>
      <c r="AZ274" s="449">
        <v>0</v>
      </c>
      <c r="BA274" s="449">
        <v>0</v>
      </c>
      <c r="BB274" s="449">
        <v>0</v>
      </c>
      <c r="BC274" s="449">
        <v>0</v>
      </c>
      <c r="BD274" s="449">
        <v>0</v>
      </c>
      <c r="BE274" s="449">
        <v>0</v>
      </c>
      <c r="BF274" s="449">
        <v>0</v>
      </c>
      <c r="BG274" s="449">
        <v>0</v>
      </c>
      <c r="BH274" s="400"/>
      <c r="BI274" s="449">
        <v>0</v>
      </c>
      <c r="BJ274" s="449">
        <v>0</v>
      </c>
      <c r="BK274" s="449">
        <v>0</v>
      </c>
      <c r="BL274" s="771">
        <v>0</v>
      </c>
      <c r="BM274" s="449">
        <v>0</v>
      </c>
      <c r="BN274" s="449">
        <v>0</v>
      </c>
      <c r="BO274" s="449">
        <v>0</v>
      </c>
      <c r="BP274" s="449">
        <v>0</v>
      </c>
      <c r="BQ274" s="449">
        <v>0</v>
      </c>
      <c r="BR274" s="449">
        <v>0</v>
      </c>
      <c r="BS274" s="449">
        <v>0</v>
      </c>
      <c r="BT274" s="449">
        <v>0</v>
      </c>
    </row>
    <row r="275" spans="1:72" x14ac:dyDescent="0.25">
      <c r="A275" s="537" t="s">
        <v>460</v>
      </c>
      <c r="B275" s="537" t="s">
        <v>461</v>
      </c>
      <c r="C275" s="630"/>
      <c r="D275" s="500">
        <v>0</v>
      </c>
      <c r="E275" s="449">
        <v>0</v>
      </c>
      <c r="F275" s="449">
        <v>0</v>
      </c>
      <c r="G275" s="421">
        <v>0</v>
      </c>
      <c r="H275" s="449">
        <v>0</v>
      </c>
      <c r="I275" s="449">
        <v>0</v>
      </c>
      <c r="J275" s="426">
        <v>0</v>
      </c>
      <c r="K275" s="421"/>
      <c r="L275" s="449">
        <v>0</v>
      </c>
      <c r="M275" s="449">
        <v>0</v>
      </c>
      <c r="N275" s="449">
        <v>0</v>
      </c>
      <c r="O275" s="449">
        <v>0</v>
      </c>
      <c r="P275" s="449">
        <v>0</v>
      </c>
      <c r="Q275" s="449">
        <v>0</v>
      </c>
      <c r="R275" s="449">
        <v>0</v>
      </c>
      <c r="S275" s="449">
        <v>0</v>
      </c>
      <c r="T275" s="449">
        <v>0</v>
      </c>
      <c r="U275" s="449">
        <v>0</v>
      </c>
      <c r="V275" s="449">
        <v>0</v>
      </c>
      <c r="W275" s="449">
        <v>0</v>
      </c>
      <c r="X275" s="449"/>
      <c r="Y275" s="449">
        <v>0</v>
      </c>
      <c r="Z275" s="531"/>
      <c r="AA275" s="449">
        <v>0</v>
      </c>
      <c r="AB275" s="449">
        <v>0</v>
      </c>
      <c r="AC275" s="449">
        <v>0</v>
      </c>
      <c r="AD275" s="449">
        <v>0</v>
      </c>
      <c r="AE275" s="449">
        <v>0</v>
      </c>
      <c r="AF275" s="449">
        <v>0</v>
      </c>
      <c r="AG275" s="449">
        <v>0</v>
      </c>
      <c r="AH275" s="449">
        <v>0</v>
      </c>
      <c r="AI275" s="449">
        <v>0</v>
      </c>
      <c r="AJ275" s="449">
        <v>0</v>
      </c>
      <c r="AK275" s="449">
        <v>0</v>
      </c>
      <c r="AL275" s="449">
        <v>0</v>
      </c>
      <c r="AM275" s="400"/>
      <c r="AN275" s="500">
        <v>0</v>
      </c>
      <c r="AO275" s="449">
        <v>0</v>
      </c>
      <c r="AP275" s="449">
        <v>0</v>
      </c>
      <c r="AQ275" s="453" t="s">
        <v>1519</v>
      </c>
      <c r="AR275" s="449">
        <v>0</v>
      </c>
      <c r="AS275" s="449">
        <v>0</v>
      </c>
      <c r="AT275" s="426">
        <v>0</v>
      </c>
      <c r="AU275" s="421"/>
      <c r="AV275" s="449">
        <v>0</v>
      </c>
      <c r="AW275" s="449">
        <v>0</v>
      </c>
      <c r="AX275" s="449">
        <v>0</v>
      </c>
      <c r="AY275" s="449">
        <v>0</v>
      </c>
      <c r="AZ275" s="449">
        <v>0</v>
      </c>
      <c r="BA275" s="449">
        <v>0</v>
      </c>
      <c r="BB275" s="449">
        <v>0</v>
      </c>
      <c r="BC275" s="449">
        <v>0</v>
      </c>
      <c r="BD275" s="449">
        <v>0</v>
      </c>
      <c r="BE275" s="449">
        <v>0</v>
      </c>
      <c r="BF275" s="449">
        <v>0</v>
      </c>
      <c r="BG275" s="449">
        <v>0</v>
      </c>
      <c r="BH275" s="400"/>
      <c r="BI275" s="449">
        <v>0</v>
      </c>
      <c r="BJ275" s="449">
        <v>0</v>
      </c>
      <c r="BK275" s="449">
        <v>0</v>
      </c>
      <c r="BL275" s="771">
        <v>0</v>
      </c>
      <c r="BM275" s="449">
        <v>0</v>
      </c>
      <c r="BN275" s="449">
        <v>0</v>
      </c>
      <c r="BO275" s="449">
        <v>0</v>
      </c>
      <c r="BP275" s="449">
        <v>0</v>
      </c>
      <c r="BQ275" s="449">
        <v>0</v>
      </c>
      <c r="BR275" s="449">
        <v>0</v>
      </c>
      <c r="BS275" s="449">
        <v>0</v>
      </c>
      <c r="BT275" s="449">
        <v>0</v>
      </c>
    </row>
    <row r="276" spans="1:72" x14ac:dyDescent="0.25">
      <c r="A276" s="502" t="s">
        <v>462</v>
      </c>
      <c r="B276" s="502" t="s">
        <v>463</v>
      </c>
      <c r="C276" s="630"/>
      <c r="D276" s="500">
        <v>6000</v>
      </c>
      <c r="E276" s="449">
        <v>6000</v>
      </c>
      <c r="F276" s="449">
        <v>0</v>
      </c>
      <c r="G276" s="421">
        <v>0</v>
      </c>
      <c r="H276" s="449">
        <v>6000</v>
      </c>
      <c r="I276" s="449">
        <v>0</v>
      </c>
      <c r="J276" s="426">
        <v>0</v>
      </c>
      <c r="K276" s="421"/>
      <c r="L276" s="449">
        <v>0</v>
      </c>
      <c r="M276" s="449">
        <v>0</v>
      </c>
      <c r="N276" s="449">
        <v>0</v>
      </c>
      <c r="O276" s="449">
        <v>6000</v>
      </c>
      <c r="P276" s="449">
        <v>0</v>
      </c>
      <c r="Q276" s="449">
        <v>0</v>
      </c>
      <c r="R276" s="449">
        <v>0</v>
      </c>
      <c r="S276" s="449">
        <v>0</v>
      </c>
      <c r="T276" s="449">
        <v>0</v>
      </c>
      <c r="U276" s="449">
        <v>0</v>
      </c>
      <c r="V276" s="449">
        <v>0</v>
      </c>
      <c r="W276" s="449">
        <v>0</v>
      </c>
      <c r="X276" s="449"/>
      <c r="Y276" s="449">
        <v>6000</v>
      </c>
      <c r="Z276" s="531"/>
      <c r="AA276" s="449">
        <v>500</v>
      </c>
      <c r="AB276" s="449">
        <v>500</v>
      </c>
      <c r="AC276" s="449">
        <v>500</v>
      </c>
      <c r="AD276" s="449">
        <v>500</v>
      </c>
      <c r="AE276" s="449">
        <v>500</v>
      </c>
      <c r="AF276" s="449">
        <v>500</v>
      </c>
      <c r="AG276" s="449">
        <v>500</v>
      </c>
      <c r="AH276" s="449">
        <v>500</v>
      </c>
      <c r="AI276" s="449">
        <v>500</v>
      </c>
      <c r="AJ276" s="449">
        <v>500</v>
      </c>
      <c r="AK276" s="449">
        <v>500</v>
      </c>
      <c r="AL276" s="449">
        <v>500</v>
      </c>
      <c r="AM276" s="400"/>
      <c r="AN276" s="500">
        <v>6000</v>
      </c>
      <c r="AO276" s="449">
        <v>3000</v>
      </c>
      <c r="AP276" s="449">
        <v>-3000</v>
      </c>
      <c r="AQ276" s="453">
        <v>-0.5</v>
      </c>
      <c r="AR276" s="449">
        <v>3000</v>
      </c>
      <c r="AS276" s="449">
        <v>0</v>
      </c>
      <c r="AT276" s="426">
        <v>0</v>
      </c>
      <c r="AU276" s="421"/>
      <c r="AV276" s="449">
        <v>0</v>
      </c>
      <c r="AW276" s="449">
        <v>0</v>
      </c>
      <c r="AX276" s="449">
        <v>0</v>
      </c>
      <c r="AY276" s="449">
        <v>3000</v>
      </c>
      <c r="AZ276" s="449">
        <v>0</v>
      </c>
      <c r="BA276" s="449">
        <v>0</v>
      </c>
      <c r="BB276" s="449">
        <v>0</v>
      </c>
      <c r="BC276" s="449">
        <v>0</v>
      </c>
      <c r="BD276" s="449">
        <v>0</v>
      </c>
      <c r="BE276" s="449">
        <v>0</v>
      </c>
      <c r="BF276" s="449">
        <v>0</v>
      </c>
      <c r="BG276" s="449">
        <v>0</v>
      </c>
      <c r="BH276" s="400"/>
      <c r="BI276" s="449">
        <v>0</v>
      </c>
      <c r="BJ276" s="449">
        <v>0</v>
      </c>
      <c r="BK276" s="449">
        <v>0</v>
      </c>
      <c r="BL276" s="771">
        <v>3000</v>
      </c>
      <c r="BM276" s="449">
        <v>0</v>
      </c>
      <c r="BN276" s="449">
        <v>0</v>
      </c>
      <c r="BO276" s="449">
        <v>0</v>
      </c>
      <c r="BP276" s="449">
        <v>0</v>
      </c>
      <c r="BQ276" s="449">
        <v>0</v>
      </c>
      <c r="BR276" s="449">
        <v>0</v>
      </c>
      <c r="BS276" s="449">
        <v>0</v>
      </c>
      <c r="BT276" s="449">
        <v>0</v>
      </c>
    </row>
    <row r="277" spans="1:72" x14ac:dyDescent="0.25">
      <c r="A277" s="537" t="s">
        <v>464</v>
      </c>
      <c r="B277" s="537" t="s">
        <v>465</v>
      </c>
      <c r="C277" s="630"/>
      <c r="D277" s="500">
        <v>0</v>
      </c>
      <c r="E277" s="449">
        <v>0</v>
      </c>
      <c r="F277" s="449">
        <v>0</v>
      </c>
      <c r="G277" s="421">
        <v>0</v>
      </c>
      <c r="H277" s="449">
        <v>0</v>
      </c>
      <c r="I277" s="449">
        <v>0</v>
      </c>
      <c r="J277" s="426">
        <v>0</v>
      </c>
      <c r="K277" s="421"/>
      <c r="L277" s="449">
        <v>0</v>
      </c>
      <c r="M277" s="449">
        <v>0</v>
      </c>
      <c r="N277" s="449">
        <v>0</v>
      </c>
      <c r="O277" s="449">
        <v>0</v>
      </c>
      <c r="P277" s="449">
        <v>0</v>
      </c>
      <c r="Q277" s="449">
        <v>0</v>
      </c>
      <c r="R277" s="449">
        <v>0</v>
      </c>
      <c r="S277" s="449">
        <v>0</v>
      </c>
      <c r="T277" s="449">
        <v>0</v>
      </c>
      <c r="U277" s="449">
        <v>0</v>
      </c>
      <c r="V277" s="449">
        <v>0</v>
      </c>
      <c r="W277" s="449">
        <v>0</v>
      </c>
      <c r="X277" s="449"/>
      <c r="Y277" s="449">
        <v>0</v>
      </c>
      <c r="Z277" s="531"/>
      <c r="AA277" s="449">
        <v>0</v>
      </c>
      <c r="AB277" s="449">
        <v>0</v>
      </c>
      <c r="AC277" s="449">
        <v>0</v>
      </c>
      <c r="AD277" s="449">
        <v>0</v>
      </c>
      <c r="AE277" s="449">
        <v>0</v>
      </c>
      <c r="AF277" s="449">
        <v>0</v>
      </c>
      <c r="AG277" s="449">
        <v>0</v>
      </c>
      <c r="AH277" s="449">
        <v>0</v>
      </c>
      <c r="AI277" s="449">
        <v>0</v>
      </c>
      <c r="AJ277" s="449">
        <v>0</v>
      </c>
      <c r="AK277" s="449">
        <v>0</v>
      </c>
      <c r="AL277" s="449">
        <v>0</v>
      </c>
      <c r="AM277" s="400"/>
      <c r="AN277" s="500">
        <v>0</v>
      </c>
      <c r="AO277" s="449">
        <v>3000</v>
      </c>
      <c r="AP277" s="449">
        <v>3000</v>
      </c>
      <c r="AQ277" s="453" t="s">
        <v>1519</v>
      </c>
      <c r="AR277" s="449">
        <v>3000</v>
      </c>
      <c r="AS277" s="449">
        <v>0</v>
      </c>
      <c r="AT277" s="426">
        <v>0</v>
      </c>
      <c r="AU277" s="421"/>
      <c r="AV277" s="449">
        <v>0</v>
      </c>
      <c r="AW277" s="449">
        <v>0</v>
      </c>
      <c r="AX277" s="449">
        <v>0</v>
      </c>
      <c r="AY277" s="449">
        <v>3000</v>
      </c>
      <c r="AZ277" s="449">
        <v>0</v>
      </c>
      <c r="BA277" s="449">
        <v>0</v>
      </c>
      <c r="BB277" s="449">
        <v>0</v>
      </c>
      <c r="BC277" s="449">
        <v>0</v>
      </c>
      <c r="BD277" s="449">
        <v>0</v>
      </c>
      <c r="BE277" s="449">
        <v>0</v>
      </c>
      <c r="BF277" s="449">
        <v>0</v>
      </c>
      <c r="BG277" s="449">
        <v>0</v>
      </c>
      <c r="BH277" s="400"/>
      <c r="BI277" s="449">
        <v>0</v>
      </c>
      <c r="BJ277" s="449">
        <v>0</v>
      </c>
      <c r="BK277" s="449">
        <v>0</v>
      </c>
      <c r="BL277" s="771">
        <v>3000</v>
      </c>
      <c r="BM277" s="449">
        <v>0</v>
      </c>
      <c r="BN277" s="449">
        <v>0</v>
      </c>
      <c r="BO277" s="449">
        <v>0</v>
      </c>
      <c r="BP277" s="449">
        <v>0</v>
      </c>
      <c r="BQ277" s="449">
        <v>0</v>
      </c>
      <c r="BR277" s="449">
        <v>0</v>
      </c>
      <c r="BS277" s="449">
        <v>0</v>
      </c>
      <c r="BT277" s="449">
        <v>0</v>
      </c>
    </row>
    <row r="278" spans="1:72" x14ac:dyDescent="0.25">
      <c r="A278" s="537" t="s">
        <v>466</v>
      </c>
      <c r="B278" s="537" t="s">
        <v>467</v>
      </c>
      <c r="C278" s="630"/>
      <c r="D278" s="500">
        <v>0</v>
      </c>
      <c r="E278" s="449">
        <v>0</v>
      </c>
      <c r="F278" s="449">
        <v>0</v>
      </c>
      <c r="G278" s="421">
        <v>0</v>
      </c>
      <c r="H278" s="449">
        <v>0</v>
      </c>
      <c r="I278" s="449">
        <v>0</v>
      </c>
      <c r="J278" s="426">
        <v>0</v>
      </c>
      <c r="K278" s="421"/>
      <c r="L278" s="449">
        <v>0</v>
      </c>
      <c r="M278" s="449">
        <v>0</v>
      </c>
      <c r="N278" s="449">
        <v>0</v>
      </c>
      <c r="O278" s="449">
        <v>0</v>
      </c>
      <c r="P278" s="449">
        <v>0</v>
      </c>
      <c r="Q278" s="449">
        <v>0</v>
      </c>
      <c r="R278" s="449">
        <v>0</v>
      </c>
      <c r="S278" s="449">
        <v>0</v>
      </c>
      <c r="T278" s="449">
        <v>0</v>
      </c>
      <c r="U278" s="449">
        <v>0</v>
      </c>
      <c r="V278" s="449">
        <v>0</v>
      </c>
      <c r="W278" s="449">
        <v>0</v>
      </c>
      <c r="X278" s="449"/>
      <c r="Y278" s="449">
        <v>0</v>
      </c>
      <c r="Z278" s="531"/>
      <c r="AA278" s="449">
        <v>0</v>
      </c>
      <c r="AB278" s="449">
        <v>0</v>
      </c>
      <c r="AC278" s="449">
        <v>0</v>
      </c>
      <c r="AD278" s="449">
        <v>0</v>
      </c>
      <c r="AE278" s="449">
        <v>0</v>
      </c>
      <c r="AF278" s="449">
        <v>0</v>
      </c>
      <c r="AG278" s="449">
        <v>0</v>
      </c>
      <c r="AH278" s="449">
        <v>0</v>
      </c>
      <c r="AI278" s="449">
        <v>0</v>
      </c>
      <c r="AJ278" s="449">
        <v>0</v>
      </c>
      <c r="AK278" s="449">
        <v>0</v>
      </c>
      <c r="AL278" s="449">
        <v>0</v>
      </c>
      <c r="AM278" s="400"/>
      <c r="AN278" s="500">
        <v>0</v>
      </c>
      <c r="AO278" s="449">
        <v>3000</v>
      </c>
      <c r="AP278" s="449">
        <v>3000</v>
      </c>
      <c r="AQ278" s="453" t="s">
        <v>1519</v>
      </c>
      <c r="AR278" s="449">
        <v>3000</v>
      </c>
      <c r="AS278" s="449">
        <v>0</v>
      </c>
      <c r="AT278" s="426">
        <v>0</v>
      </c>
      <c r="AU278" s="421"/>
      <c r="AV278" s="449">
        <v>0</v>
      </c>
      <c r="AW278" s="449">
        <v>0</v>
      </c>
      <c r="AX278" s="449">
        <v>0</v>
      </c>
      <c r="AY278" s="449">
        <v>3000</v>
      </c>
      <c r="AZ278" s="449">
        <v>0</v>
      </c>
      <c r="BA278" s="449">
        <v>0</v>
      </c>
      <c r="BB278" s="449">
        <v>0</v>
      </c>
      <c r="BC278" s="449">
        <v>0</v>
      </c>
      <c r="BD278" s="449">
        <v>0</v>
      </c>
      <c r="BE278" s="449">
        <v>0</v>
      </c>
      <c r="BF278" s="449">
        <v>0</v>
      </c>
      <c r="BG278" s="449">
        <v>0</v>
      </c>
      <c r="BH278" s="400"/>
      <c r="BI278" s="449">
        <v>0</v>
      </c>
      <c r="BJ278" s="449">
        <v>0</v>
      </c>
      <c r="BK278" s="449">
        <v>0</v>
      </c>
      <c r="BL278" s="771">
        <v>3000</v>
      </c>
      <c r="BM278" s="449">
        <v>0</v>
      </c>
      <c r="BN278" s="449">
        <v>0</v>
      </c>
      <c r="BO278" s="449">
        <v>0</v>
      </c>
      <c r="BP278" s="449">
        <v>0</v>
      </c>
      <c r="BQ278" s="449">
        <v>0</v>
      </c>
      <c r="BR278" s="449">
        <v>0</v>
      </c>
      <c r="BS278" s="449">
        <v>0</v>
      </c>
      <c r="BT278" s="449">
        <v>0</v>
      </c>
    </row>
    <row r="279" spans="1:72" x14ac:dyDescent="0.25">
      <c r="A279" s="502" t="s">
        <v>468</v>
      </c>
      <c r="B279" s="502" t="s">
        <v>469</v>
      </c>
      <c r="C279" s="630"/>
      <c r="D279" s="500">
        <v>0</v>
      </c>
      <c r="E279" s="449">
        <v>0</v>
      </c>
      <c r="F279" s="449">
        <v>0</v>
      </c>
      <c r="G279" s="421">
        <v>0</v>
      </c>
      <c r="H279" s="449">
        <v>0</v>
      </c>
      <c r="I279" s="449">
        <v>0</v>
      </c>
      <c r="J279" s="426">
        <v>0</v>
      </c>
      <c r="K279" s="421"/>
      <c r="L279" s="449">
        <v>0</v>
      </c>
      <c r="M279" s="449">
        <v>0</v>
      </c>
      <c r="N279" s="449">
        <v>0</v>
      </c>
      <c r="O279" s="449">
        <v>0</v>
      </c>
      <c r="P279" s="449">
        <v>0</v>
      </c>
      <c r="Q279" s="449">
        <v>0</v>
      </c>
      <c r="R279" s="449">
        <v>0</v>
      </c>
      <c r="S279" s="449">
        <v>0</v>
      </c>
      <c r="T279" s="449">
        <v>0</v>
      </c>
      <c r="U279" s="449">
        <v>0</v>
      </c>
      <c r="V279" s="449">
        <v>0</v>
      </c>
      <c r="W279" s="449">
        <v>0</v>
      </c>
      <c r="X279" s="449"/>
      <c r="Y279" s="449">
        <v>0</v>
      </c>
      <c r="Z279" s="531"/>
      <c r="AA279" s="449">
        <v>0</v>
      </c>
      <c r="AB279" s="449">
        <v>0</v>
      </c>
      <c r="AC279" s="449">
        <v>0</v>
      </c>
      <c r="AD279" s="449">
        <v>0</v>
      </c>
      <c r="AE279" s="449">
        <v>0</v>
      </c>
      <c r="AF279" s="449">
        <v>0</v>
      </c>
      <c r="AG279" s="449">
        <v>0</v>
      </c>
      <c r="AH279" s="449">
        <v>0</v>
      </c>
      <c r="AI279" s="449">
        <v>0</v>
      </c>
      <c r="AJ279" s="449">
        <v>0</v>
      </c>
      <c r="AK279" s="449">
        <v>0</v>
      </c>
      <c r="AL279" s="449">
        <v>0</v>
      </c>
      <c r="AM279" s="400"/>
      <c r="AN279" s="500">
        <v>0</v>
      </c>
      <c r="AO279" s="449">
        <v>0</v>
      </c>
      <c r="AP279" s="449">
        <v>0</v>
      </c>
      <c r="AQ279" s="453" t="s">
        <v>1519</v>
      </c>
      <c r="AR279" s="449">
        <v>0</v>
      </c>
      <c r="AS279" s="449">
        <v>0</v>
      </c>
      <c r="AT279" s="426">
        <v>0</v>
      </c>
      <c r="AU279" s="421"/>
      <c r="AV279" s="449">
        <v>0</v>
      </c>
      <c r="AW279" s="449">
        <v>0</v>
      </c>
      <c r="AX279" s="449">
        <v>0</v>
      </c>
      <c r="AY279" s="449">
        <v>0</v>
      </c>
      <c r="AZ279" s="449">
        <v>0</v>
      </c>
      <c r="BA279" s="449">
        <v>0</v>
      </c>
      <c r="BB279" s="449">
        <v>0</v>
      </c>
      <c r="BC279" s="449">
        <v>0</v>
      </c>
      <c r="BD279" s="449">
        <v>0</v>
      </c>
      <c r="BE279" s="449">
        <v>0</v>
      </c>
      <c r="BF279" s="449">
        <v>0</v>
      </c>
      <c r="BG279" s="449">
        <v>0</v>
      </c>
      <c r="BH279" s="400"/>
      <c r="BI279" s="449">
        <v>0</v>
      </c>
      <c r="BJ279" s="449">
        <v>0</v>
      </c>
      <c r="BK279" s="449">
        <v>0</v>
      </c>
      <c r="BL279" s="771">
        <v>0</v>
      </c>
      <c r="BM279" s="449">
        <v>0</v>
      </c>
      <c r="BN279" s="449">
        <v>0</v>
      </c>
      <c r="BO279" s="449">
        <v>0</v>
      </c>
      <c r="BP279" s="449">
        <v>0</v>
      </c>
      <c r="BQ279" s="449">
        <v>0</v>
      </c>
      <c r="BR279" s="449">
        <v>0</v>
      </c>
      <c r="BS279" s="449">
        <v>0</v>
      </c>
      <c r="BT279" s="449">
        <v>0</v>
      </c>
    </row>
    <row r="280" spans="1:72" x14ac:dyDescent="0.25">
      <c r="A280" s="502" t="s">
        <v>470</v>
      </c>
      <c r="B280" s="502" t="s">
        <v>471</v>
      </c>
      <c r="C280" s="630"/>
      <c r="D280" s="500">
        <v>3000</v>
      </c>
      <c r="E280" s="449">
        <v>3000</v>
      </c>
      <c r="F280" s="449">
        <v>0</v>
      </c>
      <c r="G280" s="421">
        <v>0</v>
      </c>
      <c r="H280" s="449">
        <v>3000</v>
      </c>
      <c r="I280" s="449">
        <v>0</v>
      </c>
      <c r="J280" s="426">
        <v>0</v>
      </c>
      <c r="K280" s="421"/>
      <c r="L280" s="449">
        <v>0</v>
      </c>
      <c r="M280" s="449">
        <v>0</v>
      </c>
      <c r="N280" s="449">
        <v>0</v>
      </c>
      <c r="O280" s="449">
        <v>0</v>
      </c>
      <c r="P280" s="449">
        <v>0</v>
      </c>
      <c r="Q280" s="449">
        <v>0</v>
      </c>
      <c r="R280" s="449">
        <v>500</v>
      </c>
      <c r="S280" s="449">
        <v>500</v>
      </c>
      <c r="T280" s="449">
        <v>500</v>
      </c>
      <c r="U280" s="449">
        <v>500</v>
      </c>
      <c r="V280" s="449">
        <v>500</v>
      </c>
      <c r="W280" s="449">
        <v>500</v>
      </c>
      <c r="X280" s="449"/>
      <c r="Y280" s="449">
        <v>3000</v>
      </c>
      <c r="Z280" s="531"/>
      <c r="AA280" s="449">
        <v>250</v>
      </c>
      <c r="AB280" s="449">
        <v>250</v>
      </c>
      <c r="AC280" s="449">
        <v>250</v>
      </c>
      <c r="AD280" s="449">
        <v>250</v>
      </c>
      <c r="AE280" s="449">
        <v>250</v>
      </c>
      <c r="AF280" s="449">
        <v>250</v>
      </c>
      <c r="AG280" s="449">
        <v>250</v>
      </c>
      <c r="AH280" s="449">
        <v>250</v>
      </c>
      <c r="AI280" s="449">
        <v>250</v>
      </c>
      <c r="AJ280" s="449">
        <v>250</v>
      </c>
      <c r="AK280" s="449">
        <v>250</v>
      </c>
      <c r="AL280" s="449">
        <v>250</v>
      </c>
      <c r="AM280" s="400"/>
      <c r="AN280" s="500">
        <v>3000</v>
      </c>
      <c r="AO280" s="449">
        <v>3000</v>
      </c>
      <c r="AP280" s="449">
        <v>0</v>
      </c>
      <c r="AQ280" s="453">
        <v>0</v>
      </c>
      <c r="AR280" s="449">
        <v>3000</v>
      </c>
      <c r="AS280" s="449">
        <v>0</v>
      </c>
      <c r="AT280" s="426">
        <v>0</v>
      </c>
      <c r="AU280" s="421"/>
      <c r="AV280" s="449">
        <v>0</v>
      </c>
      <c r="AW280" s="449">
        <v>0</v>
      </c>
      <c r="AX280" s="449">
        <v>0</v>
      </c>
      <c r="AY280" s="449">
        <v>3000</v>
      </c>
      <c r="AZ280" s="449">
        <v>0</v>
      </c>
      <c r="BA280" s="449">
        <v>0</v>
      </c>
      <c r="BB280" s="449">
        <v>0</v>
      </c>
      <c r="BC280" s="449">
        <v>0</v>
      </c>
      <c r="BD280" s="449">
        <v>0</v>
      </c>
      <c r="BE280" s="449">
        <v>0</v>
      </c>
      <c r="BF280" s="449">
        <v>0</v>
      </c>
      <c r="BG280" s="449">
        <v>0</v>
      </c>
      <c r="BH280" s="400"/>
      <c r="BI280" s="449">
        <v>0</v>
      </c>
      <c r="BJ280" s="449">
        <v>0</v>
      </c>
      <c r="BK280" s="449">
        <v>0</v>
      </c>
      <c r="BL280" s="771">
        <v>3000</v>
      </c>
      <c r="BM280" s="449">
        <v>0</v>
      </c>
      <c r="BN280" s="449">
        <v>0</v>
      </c>
      <c r="BO280" s="449">
        <v>0</v>
      </c>
      <c r="BP280" s="449">
        <v>0</v>
      </c>
      <c r="BQ280" s="449">
        <v>0</v>
      </c>
      <c r="BR280" s="449">
        <v>0</v>
      </c>
      <c r="BS280" s="449">
        <v>0</v>
      </c>
      <c r="BT280" s="449">
        <v>0</v>
      </c>
    </row>
    <row r="281" spans="1:72" x14ac:dyDescent="0.25">
      <c r="A281" s="537" t="s">
        <v>472</v>
      </c>
      <c r="B281" s="537" t="s">
        <v>473</v>
      </c>
      <c r="C281" s="630"/>
      <c r="D281" s="500">
        <v>0</v>
      </c>
      <c r="E281" s="449">
        <v>0</v>
      </c>
      <c r="F281" s="449">
        <v>0</v>
      </c>
      <c r="G281" s="421">
        <v>0</v>
      </c>
      <c r="H281" s="449">
        <v>0</v>
      </c>
      <c r="I281" s="449">
        <v>0</v>
      </c>
      <c r="J281" s="426">
        <v>0</v>
      </c>
      <c r="K281" s="421"/>
      <c r="L281" s="449">
        <v>0</v>
      </c>
      <c r="M281" s="449">
        <v>0</v>
      </c>
      <c r="N281" s="449">
        <v>0</v>
      </c>
      <c r="O281" s="449">
        <v>0</v>
      </c>
      <c r="P281" s="449">
        <v>0</v>
      </c>
      <c r="Q281" s="449">
        <v>0</v>
      </c>
      <c r="R281" s="449">
        <v>0</v>
      </c>
      <c r="S281" s="449">
        <v>0</v>
      </c>
      <c r="T281" s="449">
        <v>0</v>
      </c>
      <c r="U281" s="449">
        <v>0</v>
      </c>
      <c r="V281" s="449">
        <v>0</v>
      </c>
      <c r="W281" s="449">
        <v>0</v>
      </c>
      <c r="X281" s="449"/>
      <c r="Y281" s="449">
        <v>0</v>
      </c>
      <c r="Z281" s="531"/>
      <c r="AA281" s="449">
        <v>0</v>
      </c>
      <c r="AB281" s="449">
        <v>0</v>
      </c>
      <c r="AC281" s="449">
        <v>0</v>
      </c>
      <c r="AD281" s="449">
        <v>0</v>
      </c>
      <c r="AE281" s="449">
        <v>0</v>
      </c>
      <c r="AF281" s="449">
        <v>0</v>
      </c>
      <c r="AG281" s="449">
        <v>0</v>
      </c>
      <c r="AH281" s="449">
        <v>0</v>
      </c>
      <c r="AI281" s="449">
        <v>0</v>
      </c>
      <c r="AJ281" s="449">
        <v>0</v>
      </c>
      <c r="AK281" s="449">
        <v>0</v>
      </c>
      <c r="AL281" s="449">
        <v>0</v>
      </c>
      <c r="AM281" s="400"/>
      <c r="AN281" s="500">
        <v>0</v>
      </c>
      <c r="AO281" s="449">
        <v>0</v>
      </c>
      <c r="AP281" s="449">
        <v>0</v>
      </c>
      <c r="AQ281" s="453" t="s">
        <v>1519</v>
      </c>
      <c r="AR281" s="449">
        <v>0</v>
      </c>
      <c r="AS281" s="449">
        <v>0</v>
      </c>
      <c r="AT281" s="426">
        <v>0</v>
      </c>
      <c r="AU281" s="421"/>
      <c r="AV281" s="449">
        <v>0</v>
      </c>
      <c r="AW281" s="449">
        <v>0</v>
      </c>
      <c r="AX281" s="449">
        <v>0</v>
      </c>
      <c r="AY281" s="449">
        <v>0</v>
      </c>
      <c r="AZ281" s="449">
        <v>0</v>
      </c>
      <c r="BA281" s="449">
        <v>0</v>
      </c>
      <c r="BB281" s="449">
        <v>0</v>
      </c>
      <c r="BC281" s="449">
        <v>0</v>
      </c>
      <c r="BD281" s="449">
        <v>0</v>
      </c>
      <c r="BE281" s="449">
        <v>0</v>
      </c>
      <c r="BF281" s="449">
        <v>0</v>
      </c>
      <c r="BG281" s="449">
        <v>0</v>
      </c>
      <c r="BH281" s="400"/>
      <c r="BI281" s="449">
        <v>0</v>
      </c>
      <c r="BJ281" s="449">
        <v>0</v>
      </c>
      <c r="BK281" s="449">
        <v>0</v>
      </c>
      <c r="BL281" s="771">
        <v>0</v>
      </c>
      <c r="BM281" s="449">
        <v>0</v>
      </c>
      <c r="BN281" s="449">
        <v>0</v>
      </c>
      <c r="BO281" s="449">
        <v>0</v>
      </c>
      <c r="BP281" s="449">
        <v>0</v>
      </c>
      <c r="BQ281" s="449">
        <v>0</v>
      </c>
      <c r="BR281" s="449">
        <v>0</v>
      </c>
      <c r="BS281" s="449">
        <v>0</v>
      </c>
      <c r="BT281" s="449">
        <v>0</v>
      </c>
    </row>
    <row r="282" spans="1:72" x14ac:dyDescent="0.25">
      <c r="A282" s="502" t="s">
        <v>474</v>
      </c>
      <c r="B282" s="502" t="s">
        <v>475</v>
      </c>
      <c r="C282" s="541"/>
      <c r="D282" s="500">
        <v>4909</v>
      </c>
      <c r="E282" s="449">
        <v>4909</v>
      </c>
      <c r="F282" s="449">
        <v>0</v>
      </c>
      <c r="G282" s="421">
        <v>0</v>
      </c>
      <c r="H282" s="449">
        <v>4909</v>
      </c>
      <c r="I282" s="449">
        <v>0</v>
      </c>
      <c r="J282" s="426">
        <v>0</v>
      </c>
      <c r="K282" s="421"/>
      <c r="L282" s="449">
        <v>11.67</v>
      </c>
      <c r="M282" s="449">
        <v>1276.1699999999998</v>
      </c>
      <c r="N282" s="449">
        <v>873.75000000000023</v>
      </c>
      <c r="O282" s="449">
        <v>1485.6099999999997</v>
      </c>
      <c r="P282" s="449">
        <v>517.42000000000007</v>
      </c>
      <c r="Q282" s="449">
        <v>646.77999999999975</v>
      </c>
      <c r="R282" s="449">
        <v>16.266666666666726</v>
      </c>
      <c r="S282" s="449">
        <v>16.266666666666787</v>
      </c>
      <c r="T282" s="449">
        <v>16.266666666666879</v>
      </c>
      <c r="U282" s="449">
        <v>16.266666666667032</v>
      </c>
      <c r="V282" s="449">
        <v>16.266666666666879</v>
      </c>
      <c r="W282" s="449">
        <v>16.266666666666424</v>
      </c>
      <c r="X282" s="449"/>
      <c r="Y282" s="449">
        <v>4909</v>
      </c>
      <c r="Z282" s="531"/>
      <c r="AA282" s="449">
        <v>409.08333333333331</v>
      </c>
      <c r="AB282" s="449">
        <v>409.08333333333331</v>
      </c>
      <c r="AC282" s="449">
        <v>409.08333333333331</v>
      </c>
      <c r="AD282" s="449">
        <v>409.08333333333331</v>
      </c>
      <c r="AE282" s="449">
        <v>409.08333333333331</v>
      </c>
      <c r="AF282" s="449">
        <v>409.08333333333331</v>
      </c>
      <c r="AG282" s="449">
        <v>409.08333333333331</v>
      </c>
      <c r="AH282" s="449">
        <v>409.08333333333331</v>
      </c>
      <c r="AI282" s="449">
        <v>409.08333333333331</v>
      </c>
      <c r="AJ282" s="449">
        <v>409.08333333333331</v>
      </c>
      <c r="AK282" s="449">
        <v>409.08333333333331</v>
      </c>
      <c r="AL282" s="449">
        <v>409.08333333333331</v>
      </c>
      <c r="AM282" s="400"/>
      <c r="AN282" s="500">
        <v>4909</v>
      </c>
      <c r="AO282" s="449">
        <v>4766.66</v>
      </c>
      <c r="AP282" s="449">
        <v>-142.34000000000015</v>
      </c>
      <c r="AQ282" s="453">
        <v>-2.8995722143002677E-2</v>
      </c>
      <c r="AR282" s="449">
        <v>4766.66</v>
      </c>
      <c r="AS282" s="449">
        <v>0</v>
      </c>
      <c r="AT282" s="426">
        <v>0</v>
      </c>
      <c r="AU282" s="421"/>
      <c r="AV282" s="449">
        <v>397.22166666666664</v>
      </c>
      <c r="AW282" s="449">
        <v>397.22166666666664</v>
      </c>
      <c r="AX282" s="449">
        <v>397.22166666666664</v>
      </c>
      <c r="AY282" s="449">
        <v>397.22166666666664</v>
      </c>
      <c r="AZ282" s="449">
        <v>397.22166666666664</v>
      </c>
      <c r="BA282" s="449">
        <v>397.22166666666664</v>
      </c>
      <c r="BB282" s="449">
        <v>397.22166666666664</v>
      </c>
      <c r="BC282" s="449">
        <v>397.22166666666664</v>
      </c>
      <c r="BD282" s="449">
        <v>397.22166666666664</v>
      </c>
      <c r="BE282" s="449">
        <v>397.22166666666664</v>
      </c>
      <c r="BF282" s="449">
        <v>397.22166666666664</v>
      </c>
      <c r="BG282" s="449">
        <v>397.22166666666664</v>
      </c>
      <c r="BH282" s="400"/>
      <c r="BI282" s="449">
        <v>397.22166666666664</v>
      </c>
      <c r="BJ282" s="449">
        <v>397.22166666666664</v>
      </c>
      <c r="BK282" s="449">
        <v>397.22166666666664</v>
      </c>
      <c r="BL282" s="771">
        <v>397.22166666666664</v>
      </c>
      <c r="BM282" s="449">
        <v>397.22166666666664</v>
      </c>
      <c r="BN282" s="449">
        <v>397.22166666666664</v>
      </c>
      <c r="BO282" s="449">
        <v>397.22166666666664</v>
      </c>
      <c r="BP282" s="449">
        <v>397.22166666666664</v>
      </c>
      <c r="BQ282" s="449">
        <v>397.22166666666664</v>
      </c>
      <c r="BR282" s="449">
        <v>397.22166666666664</v>
      </c>
      <c r="BS282" s="449">
        <v>397.22166666666664</v>
      </c>
      <c r="BT282" s="449">
        <v>397.22166666666664</v>
      </c>
    </row>
    <row r="283" spans="1:72" x14ac:dyDescent="0.25">
      <c r="A283" s="502" t="s">
        <v>476</v>
      </c>
      <c r="B283" s="502" t="s">
        <v>477</v>
      </c>
      <c r="C283" s="541"/>
      <c r="D283" s="500">
        <v>11494</v>
      </c>
      <c r="E283" s="449">
        <v>11446</v>
      </c>
      <c r="F283" s="449">
        <v>48</v>
      </c>
      <c r="G283" s="421">
        <v>4.1936047527520535E-3</v>
      </c>
      <c r="H283" s="449">
        <v>11494</v>
      </c>
      <c r="I283" s="449">
        <v>0</v>
      </c>
      <c r="J283" s="426">
        <v>0</v>
      </c>
      <c r="K283" s="421"/>
      <c r="L283" s="449">
        <v>0</v>
      </c>
      <c r="M283" s="449">
        <v>682</v>
      </c>
      <c r="N283" s="449">
        <v>471.8900000000001</v>
      </c>
      <c r="O283" s="449">
        <v>469.52</v>
      </c>
      <c r="P283" s="449">
        <v>312.02</v>
      </c>
      <c r="Q283" s="449">
        <v>349.39999999999986</v>
      </c>
      <c r="R283" s="449">
        <v>1534.8616666666667</v>
      </c>
      <c r="S283" s="449">
        <v>1534.8616666666667</v>
      </c>
      <c r="T283" s="449">
        <v>1534.8616666666667</v>
      </c>
      <c r="U283" s="449">
        <v>1534.8616666666667</v>
      </c>
      <c r="V283" s="449">
        <v>1534.8616666666667</v>
      </c>
      <c r="W283" s="449">
        <v>1534.8616666666676</v>
      </c>
      <c r="X283" s="449"/>
      <c r="Y283" s="449">
        <v>11494</v>
      </c>
      <c r="Z283" s="531"/>
      <c r="AA283" s="449">
        <v>957.83333333333337</v>
      </c>
      <c r="AB283" s="449">
        <v>957.83333333333337</v>
      </c>
      <c r="AC283" s="449">
        <v>957.83333333333337</v>
      </c>
      <c r="AD283" s="449">
        <v>957.83333333333337</v>
      </c>
      <c r="AE283" s="449">
        <v>957.83333333333337</v>
      </c>
      <c r="AF283" s="449">
        <v>957.83333333333337</v>
      </c>
      <c r="AG283" s="449">
        <v>957.83333333333337</v>
      </c>
      <c r="AH283" s="449">
        <v>957.83333333333337</v>
      </c>
      <c r="AI283" s="449">
        <v>957.83333333333337</v>
      </c>
      <c r="AJ283" s="449">
        <v>957.83333333333337</v>
      </c>
      <c r="AK283" s="449">
        <v>957.83333333333337</v>
      </c>
      <c r="AL283" s="449">
        <v>957.83333333333337</v>
      </c>
      <c r="AM283" s="400"/>
      <c r="AN283" s="500">
        <v>11494</v>
      </c>
      <c r="AO283" s="449">
        <v>12202.019999999997</v>
      </c>
      <c r="AP283" s="449">
        <v>708.0199999999968</v>
      </c>
      <c r="AQ283" s="453">
        <v>6.1599095180093683E-2</v>
      </c>
      <c r="AR283" s="449">
        <v>12202.019999999997</v>
      </c>
      <c r="AS283" s="449">
        <v>0</v>
      </c>
      <c r="AT283" s="426">
        <v>0</v>
      </c>
      <c r="AU283" s="421"/>
      <c r="AV283" s="449">
        <v>1016.835</v>
      </c>
      <c r="AW283" s="449">
        <v>1016.835</v>
      </c>
      <c r="AX283" s="449">
        <v>1016.835</v>
      </c>
      <c r="AY283" s="449">
        <v>1016.835</v>
      </c>
      <c r="AZ283" s="449">
        <v>1016.835</v>
      </c>
      <c r="BA283" s="449">
        <v>1016.835</v>
      </c>
      <c r="BB283" s="449">
        <v>1016.835</v>
      </c>
      <c r="BC283" s="449">
        <v>1016.835</v>
      </c>
      <c r="BD283" s="449">
        <v>1016.835</v>
      </c>
      <c r="BE283" s="449">
        <v>1016.835</v>
      </c>
      <c r="BF283" s="449">
        <v>1016.835</v>
      </c>
      <c r="BG283" s="449">
        <v>1016.835</v>
      </c>
      <c r="BH283" s="400"/>
      <c r="BI283" s="449">
        <v>1016.835</v>
      </c>
      <c r="BJ283" s="449">
        <v>1016.835</v>
      </c>
      <c r="BK283" s="449">
        <v>1016.835</v>
      </c>
      <c r="BL283" s="771">
        <v>1016.835</v>
      </c>
      <c r="BM283" s="449">
        <v>1016.835</v>
      </c>
      <c r="BN283" s="449">
        <v>1016.835</v>
      </c>
      <c r="BO283" s="449">
        <v>1016.835</v>
      </c>
      <c r="BP283" s="449">
        <v>1016.835</v>
      </c>
      <c r="BQ283" s="449">
        <v>1016.835</v>
      </c>
      <c r="BR283" s="449">
        <v>1016.835</v>
      </c>
      <c r="BS283" s="449">
        <v>1016.835</v>
      </c>
      <c r="BT283" s="449">
        <v>1016.835</v>
      </c>
    </row>
    <row r="284" spans="1:72" x14ac:dyDescent="0.25">
      <c r="A284" s="537" t="s">
        <v>478</v>
      </c>
      <c r="B284" s="502" t="s">
        <v>479</v>
      </c>
      <c r="C284" s="541"/>
      <c r="D284" s="500">
        <v>0</v>
      </c>
      <c r="E284" s="449">
        <v>0</v>
      </c>
      <c r="F284" s="449">
        <v>0</v>
      </c>
      <c r="G284" s="421">
        <v>0</v>
      </c>
      <c r="H284" s="449">
        <v>0</v>
      </c>
      <c r="I284" s="449">
        <v>0</v>
      </c>
      <c r="J284" s="426">
        <v>0</v>
      </c>
      <c r="K284" s="421"/>
      <c r="L284" s="449">
        <v>0</v>
      </c>
      <c r="M284" s="449">
        <v>0</v>
      </c>
      <c r="N284" s="449">
        <v>0</v>
      </c>
      <c r="O284" s="449">
        <v>0</v>
      </c>
      <c r="P284" s="449">
        <v>0</v>
      </c>
      <c r="Q284" s="449">
        <v>0</v>
      </c>
      <c r="R284" s="449">
        <v>0</v>
      </c>
      <c r="S284" s="449">
        <v>0</v>
      </c>
      <c r="T284" s="449">
        <v>0</v>
      </c>
      <c r="U284" s="449">
        <v>0</v>
      </c>
      <c r="V284" s="449">
        <v>0</v>
      </c>
      <c r="W284" s="449">
        <v>0</v>
      </c>
      <c r="X284" s="449"/>
      <c r="Y284" s="449">
        <v>0</v>
      </c>
      <c r="Z284" s="531"/>
      <c r="AA284" s="449">
        <v>0</v>
      </c>
      <c r="AB284" s="449">
        <v>0</v>
      </c>
      <c r="AC284" s="449">
        <v>0</v>
      </c>
      <c r="AD284" s="449">
        <v>0</v>
      </c>
      <c r="AE284" s="449">
        <v>0</v>
      </c>
      <c r="AF284" s="449">
        <v>0</v>
      </c>
      <c r="AG284" s="449">
        <v>0</v>
      </c>
      <c r="AH284" s="449">
        <v>0</v>
      </c>
      <c r="AI284" s="449">
        <v>0</v>
      </c>
      <c r="AJ284" s="449">
        <v>0</v>
      </c>
      <c r="AK284" s="449">
        <v>0</v>
      </c>
      <c r="AL284" s="449">
        <v>0</v>
      </c>
      <c r="AM284" s="400"/>
      <c r="AN284" s="500">
        <v>0</v>
      </c>
      <c r="AO284" s="449">
        <v>5363.76</v>
      </c>
      <c r="AP284" s="449">
        <v>5363.76</v>
      </c>
      <c r="AQ284" s="453" t="s">
        <v>1519</v>
      </c>
      <c r="AR284" s="449">
        <v>5363.76</v>
      </c>
      <c r="AS284" s="449">
        <v>0</v>
      </c>
      <c r="AT284" s="426">
        <v>0</v>
      </c>
      <c r="AU284" s="421"/>
      <c r="AV284" s="449">
        <v>446.98</v>
      </c>
      <c r="AW284" s="449">
        <v>446.98</v>
      </c>
      <c r="AX284" s="449">
        <v>446.98</v>
      </c>
      <c r="AY284" s="449">
        <v>446.98</v>
      </c>
      <c r="AZ284" s="449">
        <v>446.98</v>
      </c>
      <c r="BA284" s="449">
        <v>446.98</v>
      </c>
      <c r="BB284" s="449">
        <v>446.98</v>
      </c>
      <c r="BC284" s="449">
        <v>446.98</v>
      </c>
      <c r="BD284" s="449">
        <v>446.98</v>
      </c>
      <c r="BE284" s="449">
        <v>446.98</v>
      </c>
      <c r="BF284" s="449">
        <v>446.98</v>
      </c>
      <c r="BG284" s="449">
        <v>446.98</v>
      </c>
      <c r="BH284" s="400"/>
      <c r="BI284" s="449">
        <v>446.98</v>
      </c>
      <c r="BJ284" s="449">
        <v>446.98</v>
      </c>
      <c r="BK284" s="449">
        <v>446.98</v>
      </c>
      <c r="BL284" s="771">
        <v>446.98</v>
      </c>
      <c r="BM284" s="449">
        <v>446.98</v>
      </c>
      <c r="BN284" s="449">
        <v>446.98</v>
      </c>
      <c r="BO284" s="449">
        <v>446.98</v>
      </c>
      <c r="BP284" s="449">
        <v>446.98</v>
      </c>
      <c r="BQ284" s="449">
        <v>446.98</v>
      </c>
      <c r="BR284" s="449">
        <v>446.98</v>
      </c>
      <c r="BS284" s="449">
        <v>446.98</v>
      </c>
      <c r="BT284" s="449">
        <v>446.98</v>
      </c>
    </row>
    <row r="285" spans="1:72" x14ac:dyDescent="0.25">
      <c r="A285" s="502" t="s">
        <v>480</v>
      </c>
      <c r="B285" s="502" t="s">
        <v>481</v>
      </c>
      <c r="C285" s="541"/>
      <c r="D285" s="500">
        <v>11.69</v>
      </c>
      <c r="E285" s="449">
        <v>0</v>
      </c>
      <c r="F285" s="449">
        <v>11.69</v>
      </c>
      <c r="G285" s="421">
        <v>0</v>
      </c>
      <c r="H285" s="449">
        <v>0</v>
      </c>
      <c r="I285" s="449">
        <v>11.69</v>
      </c>
      <c r="J285" s="426">
        <v>0</v>
      </c>
      <c r="K285" s="421"/>
      <c r="L285" s="449">
        <v>11.69</v>
      </c>
      <c r="M285" s="449">
        <v>0</v>
      </c>
      <c r="N285" s="449">
        <v>0</v>
      </c>
      <c r="O285" s="449">
        <v>0</v>
      </c>
      <c r="P285" s="449">
        <v>0</v>
      </c>
      <c r="Q285" s="449">
        <v>0</v>
      </c>
      <c r="R285" s="449">
        <v>0</v>
      </c>
      <c r="S285" s="449">
        <v>0</v>
      </c>
      <c r="T285" s="449">
        <v>0</v>
      </c>
      <c r="U285" s="449">
        <v>0</v>
      </c>
      <c r="V285" s="449">
        <v>0</v>
      </c>
      <c r="W285" s="449">
        <v>0</v>
      </c>
      <c r="X285" s="449"/>
      <c r="Y285" s="449">
        <v>11.69</v>
      </c>
      <c r="Z285" s="531"/>
      <c r="AA285" s="449">
        <v>0</v>
      </c>
      <c r="AB285" s="449">
        <v>0</v>
      </c>
      <c r="AC285" s="449">
        <v>0</v>
      </c>
      <c r="AD285" s="449">
        <v>0</v>
      </c>
      <c r="AE285" s="449">
        <v>0</v>
      </c>
      <c r="AF285" s="449">
        <v>0</v>
      </c>
      <c r="AG285" s="449">
        <v>0</v>
      </c>
      <c r="AH285" s="449">
        <v>0</v>
      </c>
      <c r="AI285" s="449">
        <v>0</v>
      </c>
      <c r="AJ285" s="449">
        <v>0</v>
      </c>
      <c r="AK285" s="449">
        <v>0</v>
      </c>
      <c r="AL285" s="449">
        <v>0</v>
      </c>
      <c r="AM285" s="400"/>
      <c r="AN285" s="500">
        <v>11.69</v>
      </c>
      <c r="AO285" s="449">
        <v>0</v>
      </c>
      <c r="AP285" s="449">
        <v>-11.69</v>
      </c>
      <c r="AQ285" s="453">
        <v>-1</v>
      </c>
      <c r="AR285" s="449">
        <v>0</v>
      </c>
      <c r="AS285" s="449">
        <v>0</v>
      </c>
      <c r="AT285" s="426">
        <v>0</v>
      </c>
      <c r="AU285" s="421"/>
      <c r="AV285" s="449">
        <v>0</v>
      </c>
      <c r="AW285" s="449">
        <v>0</v>
      </c>
      <c r="AX285" s="449">
        <v>0</v>
      </c>
      <c r="AY285" s="449">
        <v>0</v>
      </c>
      <c r="AZ285" s="449">
        <v>0</v>
      </c>
      <c r="BA285" s="449">
        <v>0</v>
      </c>
      <c r="BB285" s="449">
        <v>0</v>
      </c>
      <c r="BC285" s="449">
        <v>0</v>
      </c>
      <c r="BD285" s="449">
        <v>0</v>
      </c>
      <c r="BE285" s="449">
        <v>0</v>
      </c>
      <c r="BF285" s="449">
        <v>0</v>
      </c>
      <c r="BG285" s="449">
        <v>0</v>
      </c>
      <c r="BH285" s="400"/>
      <c r="BI285" s="449">
        <v>0</v>
      </c>
      <c r="BJ285" s="449">
        <v>0</v>
      </c>
      <c r="BK285" s="449">
        <v>0</v>
      </c>
      <c r="BL285" s="771">
        <v>0</v>
      </c>
      <c r="BM285" s="449">
        <v>0</v>
      </c>
      <c r="BN285" s="449">
        <v>0</v>
      </c>
      <c r="BO285" s="449">
        <v>0</v>
      </c>
      <c r="BP285" s="449">
        <v>0</v>
      </c>
      <c r="BQ285" s="449">
        <v>0</v>
      </c>
      <c r="BR285" s="449">
        <v>0</v>
      </c>
      <c r="BS285" s="449">
        <v>0</v>
      </c>
      <c r="BT285" s="449">
        <v>0</v>
      </c>
    </row>
    <row r="286" spans="1:72" x14ac:dyDescent="0.25">
      <c r="A286" s="502" t="s">
        <v>482</v>
      </c>
      <c r="B286" s="502" t="s">
        <v>483</v>
      </c>
      <c r="C286" s="541"/>
      <c r="D286" s="500">
        <v>3989</v>
      </c>
      <c r="E286" s="449">
        <v>4229</v>
      </c>
      <c r="F286" s="449">
        <v>-240</v>
      </c>
      <c r="G286" s="421">
        <v>-5.6751004965712934E-2</v>
      </c>
      <c r="H286" s="449">
        <v>3989</v>
      </c>
      <c r="I286" s="449">
        <v>0</v>
      </c>
      <c r="J286" s="426">
        <v>0</v>
      </c>
      <c r="K286" s="421"/>
      <c r="L286" s="449">
        <v>0</v>
      </c>
      <c r="M286" s="449">
        <v>477.28</v>
      </c>
      <c r="N286" s="449">
        <v>291.84000000000003</v>
      </c>
      <c r="O286" s="449">
        <v>301.69999999999993</v>
      </c>
      <c r="P286" s="449">
        <v>218.74</v>
      </c>
      <c r="Q286" s="449">
        <v>227.28999999999996</v>
      </c>
      <c r="R286" s="449">
        <v>412.02500000000003</v>
      </c>
      <c r="S286" s="449">
        <v>412.02499999999998</v>
      </c>
      <c r="T286" s="449">
        <v>412.02499999999998</v>
      </c>
      <c r="U286" s="449">
        <v>412.02499999999992</v>
      </c>
      <c r="V286" s="449">
        <v>412.02499999999986</v>
      </c>
      <c r="W286" s="449">
        <v>412.02499999999964</v>
      </c>
      <c r="X286" s="449"/>
      <c r="Y286" s="449">
        <v>3989</v>
      </c>
      <c r="Z286" s="531"/>
      <c r="AA286" s="449">
        <v>332.41666666666669</v>
      </c>
      <c r="AB286" s="449">
        <v>332.41666666666669</v>
      </c>
      <c r="AC286" s="449">
        <v>332.41666666666669</v>
      </c>
      <c r="AD286" s="449">
        <v>332.41666666666669</v>
      </c>
      <c r="AE286" s="449">
        <v>332.41666666666669</v>
      </c>
      <c r="AF286" s="449">
        <v>332.41666666666669</v>
      </c>
      <c r="AG286" s="449">
        <v>332.41666666666669</v>
      </c>
      <c r="AH286" s="449">
        <v>332.41666666666669</v>
      </c>
      <c r="AI286" s="449">
        <v>332.41666666666669</v>
      </c>
      <c r="AJ286" s="449">
        <v>332.41666666666669</v>
      </c>
      <c r="AK286" s="449">
        <v>332.41666666666669</v>
      </c>
      <c r="AL286" s="449">
        <v>332.41666666666669</v>
      </c>
      <c r="AM286" s="400"/>
      <c r="AN286" s="500">
        <v>3989</v>
      </c>
      <c r="AO286" s="449">
        <v>4273.2400000000007</v>
      </c>
      <c r="AP286" s="449">
        <v>284.24000000000069</v>
      </c>
      <c r="AQ286" s="453">
        <v>7.125595387315134E-2</v>
      </c>
      <c r="AR286" s="449">
        <v>4273.2400000000007</v>
      </c>
      <c r="AS286" s="449">
        <v>0</v>
      </c>
      <c r="AT286" s="426">
        <v>0</v>
      </c>
      <c r="AU286" s="421"/>
      <c r="AV286" s="449">
        <v>356.1033333333333</v>
      </c>
      <c r="AW286" s="449">
        <v>356.1033333333333</v>
      </c>
      <c r="AX286" s="449">
        <v>356.1033333333333</v>
      </c>
      <c r="AY286" s="449">
        <v>356.1033333333333</v>
      </c>
      <c r="AZ286" s="449">
        <v>356.1033333333333</v>
      </c>
      <c r="BA286" s="449">
        <v>356.1033333333333</v>
      </c>
      <c r="BB286" s="449">
        <v>356.1033333333333</v>
      </c>
      <c r="BC286" s="449">
        <v>356.1033333333333</v>
      </c>
      <c r="BD286" s="449">
        <v>356.1033333333333</v>
      </c>
      <c r="BE286" s="449">
        <v>356.1033333333333</v>
      </c>
      <c r="BF286" s="449">
        <v>356.1033333333333</v>
      </c>
      <c r="BG286" s="449">
        <v>356.1033333333333</v>
      </c>
      <c r="BH286" s="400"/>
      <c r="BI286" s="449">
        <v>356.1033333333333</v>
      </c>
      <c r="BJ286" s="449">
        <v>356.1033333333333</v>
      </c>
      <c r="BK286" s="449">
        <v>356.1033333333333</v>
      </c>
      <c r="BL286" s="771">
        <v>356.1033333333333</v>
      </c>
      <c r="BM286" s="449">
        <v>356.1033333333333</v>
      </c>
      <c r="BN286" s="449">
        <v>356.1033333333333</v>
      </c>
      <c r="BO286" s="449">
        <v>356.1033333333333</v>
      </c>
      <c r="BP286" s="449">
        <v>356.1033333333333</v>
      </c>
      <c r="BQ286" s="449">
        <v>356.1033333333333</v>
      </c>
      <c r="BR286" s="449">
        <v>356.1033333333333</v>
      </c>
      <c r="BS286" s="449">
        <v>356.1033333333333</v>
      </c>
      <c r="BT286" s="449">
        <v>356.1033333333333</v>
      </c>
    </row>
    <row r="287" spans="1:72" x14ac:dyDescent="0.25">
      <c r="A287" s="502" t="s">
        <v>484</v>
      </c>
      <c r="B287" s="502" t="s">
        <v>485</v>
      </c>
      <c r="C287" s="541"/>
      <c r="D287" s="500">
        <v>1070</v>
      </c>
      <c r="E287" s="449">
        <v>5395</v>
      </c>
      <c r="F287" s="449">
        <v>-4325</v>
      </c>
      <c r="G287" s="421">
        <v>-0.80166821130676558</v>
      </c>
      <c r="H287" s="449">
        <v>1070</v>
      </c>
      <c r="I287" s="449">
        <v>0</v>
      </c>
      <c r="J287" s="426">
        <v>0</v>
      </c>
      <c r="K287" s="421"/>
      <c r="L287" s="449">
        <v>0</v>
      </c>
      <c r="M287" s="449">
        <v>0</v>
      </c>
      <c r="N287" s="449">
        <v>0</v>
      </c>
      <c r="O287" s="449">
        <v>0</v>
      </c>
      <c r="P287" s="449">
        <v>0</v>
      </c>
      <c r="Q287" s="449">
        <v>0</v>
      </c>
      <c r="R287" s="449">
        <v>178.33333333333334</v>
      </c>
      <c r="S287" s="449">
        <v>178.33333333333331</v>
      </c>
      <c r="T287" s="449">
        <v>178.33333333333334</v>
      </c>
      <c r="U287" s="449">
        <v>178.33333333333334</v>
      </c>
      <c r="V287" s="449">
        <v>178.33333333333331</v>
      </c>
      <c r="W287" s="449">
        <v>178.33333333333326</v>
      </c>
      <c r="X287" s="449"/>
      <c r="Y287" s="449">
        <v>1070</v>
      </c>
      <c r="Z287" s="531"/>
      <c r="AA287" s="449">
        <v>89.166666666666671</v>
      </c>
      <c r="AB287" s="449">
        <v>89.166666666666671</v>
      </c>
      <c r="AC287" s="449">
        <v>89.166666666666671</v>
      </c>
      <c r="AD287" s="449">
        <v>89.166666666666671</v>
      </c>
      <c r="AE287" s="449">
        <v>89.166666666666671</v>
      </c>
      <c r="AF287" s="449">
        <v>89.166666666666671</v>
      </c>
      <c r="AG287" s="449">
        <v>89.166666666666671</v>
      </c>
      <c r="AH287" s="449">
        <v>89.166666666666671</v>
      </c>
      <c r="AI287" s="449">
        <v>89.166666666666671</v>
      </c>
      <c r="AJ287" s="449">
        <v>89.166666666666671</v>
      </c>
      <c r="AK287" s="449">
        <v>89.166666666666671</v>
      </c>
      <c r="AL287" s="449">
        <v>89.166666666666671</v>
      </c>
      <c r="AM287" s="400"/>
      <c r="AN287" s="500">
        <v>1070</v>
      </c>
      <c r="AO287" s="449">
        <v>0</v>
      </c>
      <c r="AP287" s="449">
        <v>-1070</v>
      </c>
      <c r="AQ287" s="453">
        <v>-1</v>
      </c>
      <c r="AR287" s="449">
        <v>0</v>
      </c>
      <c r="AS287" s="449">
        <v>0</v>
      </c>
      <c r="AT287" s="426">
        <v>0</v>
      </c>
      <c r="AU287" s="421"/>
      <c r="AV287" s="449">
        <v>0</v>
      </c>
      <c r="AW287" s="449">
        <v>0</v>
      </c>
      <c r="AX287" s="449">
        <v>0</v>
      </c>
      <c r="AY287" s="449">
        <v>0</v>
      </c>
      <c r="AZ287" s="449">
        <v>0</v>
      </c>
      <c r="BA287" s="449">
        <v>0</v>
      </c>
      <c r="BB287" s="449">
        <v>0</v>
      </c>
      <c r="BC287" s="449">
        <v>0</v>
      </c>
      <c r="BD287" s="449">
        <v>0</v>
      </c>
      <c r="BE287" s="449">
        <v>0</v>
      </c>
      <c r="BF287" s="449">
        <v>0</v>
      </c>
      <c r="BG287" s="449">
        <v>0</v>
      </c>
      <c r="BH287" s="400"/>
      <c r="BI287" s="449">
        <v>0</v>
      </c>
      <c r="BJ287" s="449">
        <v>0</v>
      </c>
      <c r="BK287" s="449">
        <v>0</v>
      </c>
      <c r="BL287" s="771">
        <v>0</v>
      </c>
      <c r="BM287" s="449">
        <v>0</v>
      </c>
      <c r="BN287" s="449">
        <v>0</v>
      </c>
      <c r="BO287" s="449">
        <v>0</v>
      </c>
      <c r="BP287" s="449">
        <v>0</v>
      </c>
      <c r="BQ287" s="449">
        <v>0</v>
      </c>
      <c r="BR287" s="449">
        <v>0</v>
      </c>
      <c r="BS287" s="449">
        <v>0</v>
      </c>
      <c r="BT287" s="449">
        <v>0</v>
      </c>
    </row>
    <row r="288" spans="1:72" x14ac:dyDescent="0.25">
      <c r="A288" s="502" t="s">
        <v>486</v>
      </c>
      <c r="B288" s="502" t="s">
        <v>487</v>
      </c>
      <c r="C288" s="541"/>
      <c r="D288" s="500">
        <v>15244</v>
      </c>
      <c r="E288" s="449">
        <v>5244</v>
      </c>
      <c r="F288" s="449">
        <v>10000</v>
      </c>
      <c r="G288" s="421">
        <v>1.9069412662090008</v>
      </c>
      <c r="H288" s="449">
        <v>15244</v>
      </c>
      <c r="I288" s="449">
        <v>0</v>
      </c>
      <c r="J288" s="426">
        <v>0</v>
      </c>
      <c r="K288" s="421"/>
      <c r="L288" s="449">
        <v>68.650000000000006</v>
      </c>
      <c r="M288" s="449">
        <v>1304.4499999999998</v>
      </c>
      <c r="N288" s="449">
        <v>2135.87</v>
      </c>
      <c r="O288" s="449">
        <v>2401.0099999999998</v>
      </c>
      <c r="P288" s="449">
        <v>1589.6500000000005</v>
      </c>
      <c r="Q288" s="449">
        <v>1194.1999999999998</v>
      </c>
      <c r="R288" s="449">
        <v>1091.6949999999999</v>
      </c>
      <c r="S288" s="449">
        <v>1091.6950000000002</v>
      </c>
      <c r="T288" s="449">
        <v>1091.6950000000002</v>
      </c>
      <c r="U288" s="449">
        <v>1091.6950000000004</v>
      </c>
      <c r="V288" s="449">
        <v>1091.6950000000006</v>
      </c>
      <c r="W288" s="449">
        <v>1091.6949999999997</v>
      </c>
      <c r="X288" s="449"/>
      <c r="Y288" s="449">
        <v>15244</v>
      </c>
      <c r="Z288" s="531"/>
      <c r="AA288" s="449">
        <v>1270.3333333333333</v>
      </c>
      <c r="AB288" s="449">
        <v>1270.3333333333333</v>
      </c>
      <c r="AC288" s="449">
        <v>1270.3333333333333</v>
      </c>
      <c r="AD288" s="449">
        <v>1270.3333333333333</v>
      </c>
      <c r="AE288" s="449">
        <v>1270.3333333333333</v>
      </c>
      <c r="AF288" s="449">
        <v>1270.3333333333333</v>
      </c>
      <c r="AG288" s="449">
        <v>1270.3333333333333</v>
      </c>
      <c r="AH288" s="449">
        <v>1270.3333333333333</v>
      </c>
      <c r="AI288" s="449">
        <v>1270.3333333333333</v>
      </c>
      <c r="AJ288" s="449">
        <v>1270.3333333333333</v>
      </c>
      <c r="AK288" s="449">
        <v>1270.3333333333333</v>
      </c>
      <c r="AL288" s="449">
        <v>1270.3333333333333</v>
      </c>
      <c r="AM288" s="400"/>
      <c r="AN288" s="500">
        <v>15244</v>
      </c>
      <c r="AO288" s="449">
        <v>6274.8601160000026</v>
      </c>
      <c r="AP288" s="449">
        <v>-8969.1398839999965</v>
      </c>
      <c r="AQ288" s="453">
        <v>-0.58837181081081058</v>
      </c>
      <c r="AR288" s="449">
        <v>6274.8601160000026</v>
      </c>
      <c r="AS288" s="449">
        <v>0</v>
      </c>
      <c r="AT288" s="426">
        <v>0</v>
      </c>
      <c r="AU288" s="421"/>
      <c r="AV288" s="449">
        <v>522.90500966666673</v>
      </c>
      <c r="AW288" s="449">
        <v>522.90500966666673</v>
      </c>
      <c r="AX288" s="449">
        <v>522.90500966666673</v>
      </c>
      <c r="AY288" s="449">
        <v>522.90500966666673</v>
      </c>
      <c r="AZ288" s="449">
        <v>522.90500966666673</v>
      </c>
      <c r="BA288" s="449">
        <v>522.90500966666673</v>
      </c>
      <c r="BB288" s="449">
        <v>522.90500966666673</v>
      </c>
      <c r="BC288" s="449">
        <v>522.90500966666673</v>
      </c>
      <c r="BD288" s="449">
        <v>522.90500966666673</v>
      </c>
      <c r="BE288" s="449">
        <v>522.90500966666673</v>
      </c>
      <c r="BF288" s="449">
        <v>522.90500966666673</v>
      </c>
      <c r="BG288" s="449">
        <v>522.90500966666673</v>
      </c>
      <c r="BH288" s="400"/>
      <c r="BI288" s="449">
        <v>522.90500966666673</v>
      </c>
      <c r="BJ288" s="449">
        <v>522.90500966666673</v>
      </c>
      <c r="BK288" s="449">
        <v>522.90500966666673</v>
      </c>
      <c r="BL288" s="771">
        <v>522.90500966666673</v>
      </c>
      <c r="BM288" s="449">
        <v>522.90500966666673</v>
      </c>
      <c r="BN288" s="449">
        <v>522.90500966666673</v>
      </c>
      <c r="BO288" s="449">
        <v>522.90500966666673</v>
      </c>
      <c r="BP288" s="449">
        <v>522.90500966666673</v>
      </c>
      <c r="BQ288" s="449">
        <v>522.90500966666673</v>
      </c>
      <c r="BR288" s="449">
        <v>522.90500966666673</v>
      </c>
      <c r="BS288" s="449">
        <v>522.90500966666673</v>
      </c>
      <c r="BT288" s="449">
        <v>522.90500966666673</v>
      </c>
    </row>
    <row r="289" spans="1:72" x14ac:dyDescent="0.25">
      <c r="A289" s="502" t="s">
        <v>488</v>
      </c>
      <c r="B289" s="502" t="s">
        <v>489</v>
      </c>
      <c r="C289" s="541"/>
      <c r="D289" s="500">
        <v>5216</v>
      </c>
      <c r="E289" s="449">
        <v>15216</v>
      </c>
      <c r="F289" s="449">
        <v>-10000</v>
      </c>
      <c r="G289" s="421">
        <v>-0.65720294426919035</v>
      </c>
      <c r="H289" s="449">
        <v>5216</v>
      </c>
      <c r="I289" s="449">
        <v>0</v>
      </c>
      <c r="J289" s="426">
        <v>0</v>
      </c>
      <c r="K289" s="421"/>
      <c r="L289" s="449">
        <v>0</v>
      </c>
      <c r="M289" s="449">
        <v>0</v>
      </c>
      <c r="N289" s="449">
        <v>0</v>
      </c>
      <c r="O289" s="449">
        <v>0</v>
      </c>
      <c r="P289" s="449">
        <v>0</v>
      </c>
      <c r="Q289" s="449">
        <v>0</v>
      </c>
      <c r="R289" s="449">
        <v>869.33333333333337</v>
      </c>
      <c r="S289" s="449">
        <v>869.33333333333337</v>
      </c>
      <c r="T289" s="449">
        <v>869.33333333333326</v>
      </c>
      <c r="U289" s="449">
        <v>869.33333333333337</v>
      </c>
      <c r="V289" s="449">
        <v>869.33333333333326</v>
      </c>
      <c r="W289" s="449">
        <v>869.33333333333303</v>
      </c>
      <c r="X289" s="449"/>
      <c r="Y289" s="449">
        <v>5216</v>
      </c>
      <c r="Z289" s="531"/>
      <c r="AA289" s="449">
        <v>434.66666666666669</v>
      </c>
      <c r="AB289" s="449">
        <v>434.66666666666669</v>
      </c>
      <c r="AC289" s="449">
        <v>434.66666666666669</v>
      </c>
      <c r="AD289" s="449">
        <v>434.66666666666669</v>
      </c>
      <c r="AE289" s="449">
        <v>434.66666666666669</v>
      </c>
      <c r="AF289" s="449">
        <v>434.66666666666669</v>
      </c>
      <c r="AG289" s="449">
        <v>434.66666666666669</v>
      </c>
      <c r="AH289" s="449">
        <v>434.66666666666669</v>
      </c>
      <c r="AI289" s="449">
        <v>434.66666666666669</v>
      </c>
      <c r="AJ289" s="449">
        <v>434.66666666666669</v>
      </c>
      <c r="AK289" s="449">
        <v>434.66666666666669</v>
      </c>
      <c r="AL289" s="449">
        <v>434.66666666666669</v>
      </c>
      <c r="AM289" s="400"/>
      <c r="AN289" s="500">
        <v>5216</v>
      </c>
      <c r="AO289" s="449">
        <v>14639.663705333338</v>
      </c>
      <c r="AP289" s="449">
        <v>9423.6637053333379</v>
      </c>
      <c r="AQ289" s="453">
        <v>1.8066839925869129</v>
      </c>
      <c r="AR289" s="449">
        <v>14639.663705333338</v>
      </c>
      <c r="AS289" s="449">
        <v>0</v>
      </c>
      <c r="AT289" s="426">
        <v>0</v>
      </c>
      <c r="AU289" s="421"/>
      <c r="AV289" s="449">
        <v>1219.9719754444445</v>
      </c>
      <c r="AW289" s="449">
        <v>1219.9719754444445</v>
      </c>
      <c r="AX289" s="449">
        <v>1219.9719754444445</v>
      </c>
      <c r="AY289" s="449">
        <v>1219.9719754444445</v>
      </c>
      <c r="AZ289" s="449">
        <v>1219.9719754444445</v>
      </c>
      <c r="BA289" s="449">
        <v>1219.9719754444445</v>
      </c>
      <c r="BB289" s="449">
        <v>1219.9719754444445</v>
      </c>
      <c r="BC289" s="449">
        <v>1219.9719754444445</v>
      </c>
      <c r="BD289" s="449">
        <v>1219.9719754444445</v>
      </c>
      <c r="BE289" s="449">
        <v>1219.9719754444445</v>
      </c>
      <c r="BF289" s="449">
        <v>1219.9719754444445</v>
      </c>
      <c r="BG289" s="449">
        <v>1219.9719754444445</v>
      </c>
      <c r="BH289" s="400"/>
      <c r="BI289" s="449">
        <v>1219.9719754444445</v>
      </c>
      <c r="BJ289" s="449">
        <v>1219.9719754444445</v>
      </c>
      <c r="BK289" s="449">
        <v>1219.9719754444445</v>
      </c>
      <c r="BL289" s="771">
        <v>1219.9719754444445</v>
      </c>
      <c r="BM289" s="449">
        <v>1219.9719754444445</v>
      </c>
      <c r="BN289" s="449">
        <v>1219.9719754444445</v>
      </c>
      <c r="BO289" s="449">
        <v>1219.9719754444445</v>
      </c>
      <c r="BP289" s="449">
        <v>1219.9719754444445</v>
      </c>
      <c r="BQ289" s="449">
        <v>1219.9719754444445</v>
      </c>
      <c r="BR289" s="449">
        <v>1219.9719754444445</v>
      </c>
      <c r="BS289" s="449">
        <v>1219.9719754444445</v>
      </c>
      <c r="BT289" s="449">
        <v>1219.9719754444445</v>
      </c>
    </row>
    <row r="290" spans="1:72" x14ac:dyDescent="0.25">
      <c r="A290" s="502" t="s">
        <v>490</v>
      </c>
      <c r="B290" s="502" t="s">
        <v>491</v>
      </c>
      <c r="C290" s="541"/>
      <c r="D290" s="500">
        <v>455.46</v>
      </c>
      <c r="E290" s="449">
        <v>0</v>
      </c>
      <c r="F290" s="449">
        <v>455.46</v>
      </c>
      <c r="G290" s="421">
        <v>0</v>
      </c>
      <c r="H290" s="449">
        <v>0</v>
      </c>
      <c r="I290" s="449">
        <v>455.46</v>
      </c>
      <c r="J290" s="426">
        <v>0</v>
      </c>
      <c r="K290" s="421"/>
      <c r="L290" s="449">
        <v>0</v>
      </c>
      <c r="M290" s="449">
        <v>0</v>
      </c>
      <c r="N290" s="449">
        <v>0</v>
      </c>
      <c r="O290" s="449">
        <v>201.65</v>
      </c>
      <c r="P290" s="449">
        <v>115.4</v>
      </c>
      <c r="Q290" s="449">
        <v>138.40999999999997</v>
      </c>
      <c r="R290" s="449">
        <v>0</v>
      </c>
      <c r="S290" s="449">
        <v>0</v>
      </c>
      <c r="T290" s="449">
        <v>0</v>
      </c>
      <c r="U290" s="449">
        <v>0</v>
      </c>
      <c r="V290" s="449">
        <v>0</v>
      </c>
      <c r="W290" s="449">
        <v>0</v>
      </c>
      <c r="X290" s="449"/>
      <c r="Y290" s="449">
        <v>455.46</v>
      </c>
      <c r="Z290" s="531"/>
      <c r="AA290" s="449">
        <v>0</v>
      </c>
      <c r="AB290" s="449">
        <v>0</v>
      </c>
      <c r="AC290" s="449">
        <v>0</v>
      </c>
      <c r="AD290" s="449">
        <v>0</v>
      </c>
      <c r="AE290" s="449">
        <v>0</v>
      </c>
      <c r="AF290" s="449">
        <v>0</v>
      </c>
      <c r="AG290" s="449">
        <v>0</v>
      </c>
      <c r="AH290" s="449">
        <v>0</v>
      </c>
      <c r="AI290" s="449">
        <v>0</v>
      </c>
      <c r="AJ290" s="449">
        <v>0</v>
      </c>
      <c r="AK290" s="449">
        <v>0</v>
      </c>
      <c r="AL290" s="449">
        <v>0</v>
      </c>
      <c r="AM290" s="400"/>
      <c r="AN290" s="500">
        <v>455.46</v>
      </c>
      <c r="AO290" s="449">
        <v>7465.9550000000027</v>
      </c>
      <c r="AP290" s="449">
        <v>7010.4950000000026</v>
      </c>
      <c r="AQ290" s="453">
        <v>15.392120054450452</v>
      </c>
      <c r="AR290" s="449">
        <v>7465.9550000000027</v>
      </c>
      <c r="AS290" s="449">
        <v>0</v>
      </c>
      <c r="AT290" s="426">
        <v>0</v>
      </c>
      <c r="AU290" s="421"/>
      <c r="AV290" s="449">
        <v>622.16291666666677</v>
      </c>
      <c r="AW290" s="449">
        <v>622.16291666666677</v>
      </c>
      <c r="AX290" s="449">
        <v>622.16291666666677</v>
      </c>
      <c r="AY290" s="449">
        <v>622.16291666666677</v>
      </c>
      <c r="AZ290" s="449">
        <v>622.16291666666677</v>
      </c>
      <c r="BA290" s="449">
        <v>622.16291666666677</v>
      </c>
      <c r="BB290" s="449">
        <v>622.16291666666677</v>
      </c>
      <c r="BC290" s="449">
        <v>622.16291666666677</v>
      </c>
      <c r="BD290" s="449">
        <v>622.16291666666677</v>
      </c>
      <c r="BE290" s="449">
        <v>622.16291666666677</v>
      </c>
      <c r="BF290" s="449">
        <v>622.16291666666677</v>
      </c>
      <c r="BG290" s="449">
        <v>622.16291666666677</v>
      </c>
      <c r="BH290" s="400"/>
      <c r="BI290" s="449">
        <v>622.16291666666677</v>
      </c>
      <c r="BJ290" s="449">
        <v>622.16291666666677</v>
      </c>
      <c r="BK290" s="449">
        <v>622.16291666666677</v>
      </c>
      <c r="BL290" s="771">
        <v>622.16291666666677</v>
      </c>
      <c r="BM290" s="449">
        <v>622.16291666666677</v>
      </c>
      <c r="BN290" s="449">
        <v>622.16291666666677</v>
      </c>
      <c r="BO290" s="449">
        <v>622.16291666666677</v>
      </c>
      <c r="BP290" s="449">
        <v>622.16291666666677</v>
      </c>
      <c r="BQ290" s="449">
        <v>622.16291666666677</v>
      </c>
      <c r="BR290" s="449">
        <v>622.16291666666677</v>
      </c>
      <c r="BS290" s="449">
        <v>622.16291666666677</v>
      </c>
      <c r="BT290" s="449">
        <v>622.16291666666677</v>
      </c>
    </row>
    <row r="291" spans="1:72" x14ac:dyDescent="0.25">
      <c r="A291" s="502" t="s">
        <v>492</v>
      </c>
      <c r="B291" s="502" t="s">
        <v>493</v>
      </c>
      <c r="C291" s="541"/>
      <c r="D291" s="500">
        <v>55.84</v>
      </c>
      <c r="E291" s="449">
        <v>0</v>
      </c>
      <c r="F291" s="449">
        <v>55.84</v>
      </c>
      <c r="G291" s="421">
        <v>0</v>
      </c>
      <c r="H291" s="449">
        <v>0</v>
      </c>
      <c r="I291" s="449">
        <v>55.84</v>
      </c>
      <c r="J291" s="426">
        <v>0</v>
      </c>
      <c r="K291" s="421"/>
      <c r="L291" s="449">
        <v>55.84</v>
      </c>
      <c r="M291" s="449">
        <v>1071.94</v>
      </c>
      <c r="N291" s="449">
        <v>1755.16</v>
      </c>
      <c r="O291" s="449">
        <v>-2827.1</v>
      </c>
      <c r="P291" s="449">
        <v>-1.4210854715202004E-13</v>
      </c>
      <c r="Q291" s="449">
        <v>0</v>
      </c>
      <c r="R291" s="449">
        <v>0</v>
      </c>
      <c r="S291" s="449">
        <v>0</v>
      </c>
      <c r="T291" s="449">
        <v>0</v>
      </c>
      <c r="U291" s="449">
        <v>0</v>
      </c>
      <c r="V291" s="449">
        <v>0</v>
      </c>
      <c r="W291" s="449">
        <v>0</v>
      </c>
      <c r="X291" s="449"/>
      <c r="Y291" s="449">
        <v>55.84</v>
      </c>
      <c r="Z291" s="531"/>
      <c r="AA291" s="449">
        <v>0</v>
      </c>
      <c r="AB291" s="449">
        <v>0</v>
      </c>
      <c r="AC291" s="449">
        <v>0</v>
      </c>
      <c r="AD291" s="449">
        <v>0</v>
      </c>
      <c r="AE291" s="449">
        <v>0</v>
      </c>
      <c r="AF291" s="449">
        <v>0</v>
      </c>
      <c r="AG291" s="449">
        <v>0</v>
      </c>
      <c r="AH291" s="449">
        <v>0</v>
      </c>
      <c r="AI291" s="449">
        <v>0</v>
      </c>
      <c r="AJ291" s="449">
        <v>0</v>
      </c>
      <c r="AK291" s="449">
        <v>0</v>
      </c>
      <c r="AL291" s="449">
        <v>0</v>
      </c>
      <c r="AM291" s="400"/>
      <c r="AN291" s="500">
        <v>55.84</v>
      </c>
      <c r="AO291" s="449">
        <v>0</v>
      </c>
      <c r="AP291" s="449">
        <v>-55.84</v>
      </c>
      <c r="AQ291" s="453">
        <v>-1</v>
      </c>
      <c r="AR291" s="449">
        <v>0</v>
      </c>
      <c r="AS291" s="449">
        <v>0</v>
      </c>
      <c r="AT291" s="426">
        <v>0</v>
      </c>
      <c r="AU291" s="421"/>
      <c r="AV291" s="449">
        <v>0</v>
      </c>
      <c r="AW291" s="449">
        <v>0</v>
      </c>
      <c r="AX291" s="449">
        <v>0</v>
      </c>
      <c r="AY291" s="449">
        <v>0</v>
      </c>
      <c r="AZ291" s="449">
        <v>0</v>
      </c>
      <c r="BA291" s="449">
        <v>0</v>
      </c>
      <c r="BB291" s="449">
        <v>0</v>
      </c>
      <c r="BC291" s="449">
        <v>0</v>
      </c>
      <c r="BD291" s="449">
        <v>0</v>
      </c>
      <c r="BE291" s="449">
        <v>0</v>
      </c>
      <c r="BF291" s="449">
        <v>0</v>
      </c>
      <c r="BG291" s="449">
        <v>0</v>
      </c>
      <c r="BH291" s="400"/>
      <c r="BI291" s="449">
        <v>0</v>
      </c>
      <c r="BJ291" s="449">
        <v>0</v>
      </c>
      <c r="BK291" s="449">
        <v>0</v>
      </c>
      <c r="BL291" s="771">
        <v>0</v>
      </c>
      <c r="BM291" s="449">
        <v>0</v>
      </c>
      <c r="BN291" s="449">
        <v>0</v>
      </c>
      <c r="BO291" s="449">
        <v>0</v>
      </c>
      <c r="BP291" s="449">
        <v>0</v>
      </c>
      <c r="BQ291" s="449">
        <v>0</v>
      </c>
      <c r="BR291" s="449">
        <v>0</v>
      </c>
      <c r="BS291" s="449">
        <v>0</v>
      </c>
      <c r="BT291" s="449">
        <v>0</v>
      </c>
    </row>
    <row r="292" spans="1:72" ht="15" customHeight="1" x14ac:dyDescent="0.25">
      <c r="A292" s="502" t="s">
        <v>494</v>
      </c>
      <c r="B292" s="502" t="s">
        <v>495</v>
      </c>
      <c r="C292" s="541"/>
      <c r="D292" s="500">
        <v>5225</v>
      </c>
      <c r="E292" s="449">
        <v>5225</v>
      </c>
      <c r="F292" s="449">
        <v>0</v>
      </c>
      <c r="G292" s="421">
        <v>0</v>
      </c>
      <c r="H292" s="449">
        <v>5225</v>
      </c>
      <c r="I292" s="449">
        <v>0</v>
      </c>
      <c r="J292" s="426">
        <v>0</v>
      </c>
      <c r="K292" s="421"/>
      <c r="L292" s="449">
        <v>0</v>
      </c>
      <c r="M292" s="449">
        <v>0</v>
      </c>
      <c r="N292" s="449">
        <v>0</v>
      </c>
      <c r="O292" s="449">
        <v>-209.6</v>
      </c>
      <c r="P292" s="449">
        <v>-366.95999999999992</v>
      </c>
      <c r="Q292" s="449">
        <v>-521.92000000000007</v>
      </c>
      <c r="R292" s="449">
        <v>1053.9133333333332</v>
      </c>
      <c r="S292" s="449">
        <v>1053.9133333333334</v>
      </c>
      <c r="T292" s="449">
        <v>1053.9133333333334</v>
      </c>
      <c r="U292" s="449">
        <v>1053.9133333333332</v>
      </c>
      <c r="V292" s="449">
        <v>1053.9133333333334</v>
      </c>
      <c r="W292" s="449">
        <v>1053.9133333333339</v>
      </c>
      <c r="X292" s="449"/>
      <c r="Y292" s="449">
        <v>5225</v>
      </c>
      <c r="Z292" s="531"/>
      <c r="AA292" s="449">
        <v>435.41666666666669</v>
      </c>
      <c r="AB292" s="449">
        <v>435.41666666666669</v>
      </c>
      <c r="AC292" s="449">
        <v>435.41666666666669</v>
      </c>
      <c r="AD292" s="449">
        <v>435.41666666666669</v>
      </c>
      <c r="AE292" s="449">
        <v>435.41666666666669</v>
      </c>
      <c r="AF292" s="449">
        <v>435.41666666666669</v>
      </c>
      <c r="AG292" s="449">
        <v>435.41666666666669</v>
      </c>
      <c r="AH292" s="449">
        <v>435.41666666666669</v>
      </c>
      <c r="AI292" s="449">
        <v>435.41666666666669</v>
      </c>
      <c r="AJ292" s="449">
        <v>435.41666666666669</v>
      </c>
      <c r="AK292" s="449">
        <v>435.41666666666669</v>
      </c>
      <c r="AL292" s="449">
        <v>435.41666666666669</v>
      </c>
      <c r="AM292" s="400"/>
      <c r="AN292" s="500">
        <v>5225</v>
      </c>
      <c r="AO292" s="449">
        <v>5290.6114800000005</v>
      </c>
      <c r="AP292" s="449">
        <v>65.611480000000483</v>
      </c>
      <c r="AQ292" s="453">
        <v>1.2557221052631672E-2</v>
      </c>
      <c r="AR292" s="449">
        <v>5290.6114800000005</v>
      </c>
      <c r="AS292" s="449">
        <v>0</v>
      </c>
      <c r="AT292" s="426">
        <v>0</v>
      </c>
      <c r="AU292" s="421"/>
      <c r="AV292" s="449">
        <v>440.88429000000002</v>
      </c>
      <c r="AW292" s="449">
        <v>440.88429000000002</v>
      </c>
      <c r="AX292" s="449">
        <v>440.88429000000002</v>
      </c>
      <c r="AY292" s="449">
        <v>440.88429000000002</v>
      </c>
      <c r="AZ292" s="449">
        <v>440.88429000000002</v>
      </c>
      <c r="BA292" s="449">
        <v>440.88429000000002</v>
      </c>
      <c r="BB292" s="449">
        <v>440.88429000000002</v>
      </c>
      <c r="BC292" s="449">
        <v>440.88429000000002</v>
      </c>
      <c r="BD292" s="449">
        <v>440.88429000000002</v>
      </c>
      <c r="BE292" s="449">
        <v>440.88429000000002</v>
      </c>
      <c r="BF292" s="449">
        <v>440.88429000000002</v>
      </c>
      <c r="BG292" s="449">
        <v>440.88429000000002</v>
      </c>
      <c r="BH292" s="400"/>
      <c r="BI292" s="449">
        <v>440.88429000000002</v>
      </c>
      <c r="BJ292" s="449">
        <v>440.88429000000002</v>
      </c>
      <c r="BK292" s="449">
        <v>440.88429000000002</v>
      </c>
      <c r="BL292" s="771">
        <v>440.88429000000002</v>
      </c>
      <c r="BM292" s="449">
        <v>440.88429000000002</v>
      </c>
      <c r="BN292" s="449">
        <v>440.88429000000002</v>
      </c>
      <c r="BO292" s="449">
        <v>440.88429000000002</v>
      </c>
      <c r="BP292" s="449">
        <v>440.88429000000002</v>
      </c>
      <c r="BQ292" s="449">
        <v>440.88429000000002</v>
      </c>
      <c r="BR292" s="449">
        <v>440.88429000000002</v>
      </c>
      <c r="BS292" s="449">
        <v>440.88429000000002</v>
      </c>
      <c r="BT292" s="449">
        <v>440.88429000000002</v>
      </c>
    </row>
    <row r="293" spans="1:72" hidden="1" x14ac:dyDescent="0.25">
      <c r="A293" s="502" t="s">
        <v>496</v>
      </c>
      <c r="B293" s="502" t="s">
        <v>497</v>
      </c>
      <c r="C293" s="541"/>
      <c r="D293" s="500">
        <v>0</v>
      </c>
      <c r="E293" s="449">
        <v>0</v>
      </c>
      <c r="F293" s="449">
        <v>0</v>
      </c>
      <c r="G293" s="421">
        <v>0</v>
      </c>
      <c r="H293" s="449">
        <v>0</v>
      </c>
      <c r="I293" s="449">
        <v>0</v>
      </c>
      <c r="J293" s="426">
        <v>0</v>
      </c>
      <c r="K293" s="421"/>
      <c r="L293" s="449">
        <v>0</v>
      </c>
      <c r="M293" s="449">
        <v>0</v>
      </c>
      <c r="N293" s="449">
        <v>0</v>
      </c>
      <c r="O293" s="449">
        <v>0</v>
      </c>
      <c r="P293" s="449">
        <v>0</v>
      </c>
      <c r="Q293" s="449">
        <v>0</v>
      </c>
      <c r="R293" s="449">
        <v>0</v>
      </c>
      <c r="S293" s="449">
        <v>0</v>
      </c>
      <c r="T293" s="449">
        <v>0</v>
      </c>
      <c r="U293" s="449">
        <v>0</v>
      </c>
      <c r="V293" s="449">
        <v>0</v>
      </c>
      <c r="W293" s="449">
        <v>0</v>
      </c>
      <c r="X293" s="449"/>
      <c r="Y293" s="449">
        <v>0</v>
      </c>
      <c r="Z293" s="531"/>
      <c r="AA293" s="449">
        <v>0</v>
      </c>
      <c r="AB293" s="449">
        <v>0</v>
      </c>
      <c r="AC293" s="449">
        <v>0</v>
      </c>
      <c r="AD293" s="449">
        <v>0</v>
      </c>
      <c r="AE293" s="449">
        <v>0</v>
      </c>
      <c r="AF293" s="449">
        <v>0</v>
      </c>
      <c r="AG293" s="449">
        <v>0</v>
      </c>
      <c r="AH293" s="449">
        <v>0</v>
      </c>
      <c r="AI293" s="449">
        <v>0</v>
      </c>
      <c r="AJ293" s="449">
        <v>0</v>
      </c>
      <c r="AK293" s="449">
        <v>0</v>
      </c>
      <c r="AL293" s="449">
        <v>0</v>
      </c>
      <c r="AM293" s="400"/>
      <c r="AN293" s="500">
        <v>0</v>
      </c>
      <c r="AO293" s="449">
        <v>0</v>
      </c>
      <c r="AP293" s="449">
        <v>0</v>
      </c>
      <c r="AQ293" s="453" t="s">
        <v>1519</v>
      </c>
      <c r="AR293" s="449">
        <v>0</v>
      </c>
      <c r="AS293" s="449">
        <v>0</v>
      </c>
      <c r="AT293" s="426">
        <v>0</v>
      </c>
      <c r="AU293" s="421"/>
      <c r="AV293" s="449">
        <v>0</v>
      </c>
      <c r="AW293" s="449">
        <v>0</v>
      </c>
      <c r="AX293" s="449">
        <v>0</v>
      </c>
      <c r="AY293" s="449">
        <v>0</v>
      </c>
      <c r="AZ293" s="449">
        <v>0</v>
      </c>
      <c r="BA293" s="449">
        <v>0</v>
      </c>
      <c r="BB293" s="449">
        <v>0</v>
      </c>
      <c r="BC293" s="449">
        <v>0</v>
      </c>
      <c r="BD293" s="449">
        <v>0</v>
      </c>
      <c r="BE293" s="449">
        <v>0</v>
      </c>
      <c r="BF293" s="449">
        <v>0</v>
      </c>
      <c r="BG293" s="449">
        <v>0</v>
      </c>
      <c r="BH293" s="400"/>
      <c r="BI293" s="449">
        <v>0</v>
      </c>
      <c r="BJ293" s="449">
        <v>0</v>
      </c>
      <c r="BK293" s="449">
        <v>0</v>
      </c>
      <c r="BL293" s="771">
        <v>0</v>
      </c>
      <c r="BM293" s="449">
        <v>0</v>
      </c>
      <c r="BN293" s="449">
        <v>0</v>
      </c>
      <c r="BO293" s="449">
        <v>0</v>
      </c>
      <c r="BP293" s="449">
        <v>0</v>
      </c>
      <c r="BQ293" s="449">
        <v>0</v>
      </c>
      <c r="BR293" s="449">
        <v>0</v>
      </c>
      <c r="BS293" s="449">
        <v>0</v>
      </c>
      <c r="BT293" s="449">
        <v>0</v>
      </c>
    </row>
    <row r="294" spans="1:72" hidden="1" x14ac:dyDescent="0.25">
      <c r="A294" s="502" t="s">
        <v>498</v>
      </c>
      <c r="B294" s="502" t="s">
        <v>499</v>
      </c>
      <c r="C294" s="541"/>
      <c r="D294" s="500">
        <v>0</v>
      </c>
      <c r="E294" s="449">
        <v>0</v>
      </c>
      <c r="F294" s="449">
        <v>0</v>
      </c>
      <c r="G294" s="421">
        <v>0</v>
      </c>
      <c r="H294" s="449">
        <v>0</v>
      </c>
      <c r="I294" s="449">
        <v>0</v>
      </c>
      <c r="J294" s="426">
        <v>0</v>
      </c>
      <c r="K294" s="421"/>
      <c r="L294" s="449">
        <v>0</v>
      </c>
      <c r="M294" s="449">
        <v>0</v>
      </c>
      <c r="N294" s="449">
        <v>0</v>
      </c>
      <c r="O294" s="449">
        <v>0</v>
      </c>
      <c r="P294" s="449">
        <v>0</v>
      </c>
      <c r="Q294" s="449">
        <v>0</v>
      </c>
      <c r="R294" s="449">
        <v>0</v>
      </c>
      <c r="S294" s="449">
        <v>0</v>
      </c>
      <c r="T294" s="449">
        <v>0</v>
      </c>
      <c r="U294" s="449">
        <v>0</v>
      </c>
      <c r="V294" s="449">
        <v>0</v>
      </c>
      <c r="W294" s="449">
        <v>0</v>
      </c>
      <c r="X294" s="449"/>
      <c r="Y294" s="449">
        <v>0</v>
      </c>
      <c r="Z294" s="531"/>
      <c r="AA294" s="449">
        <v>0</v>
      </c>
      <c r="AB294" s="449">
        <v>0</v>
      </c>
      <c r="AC294" s="449">
        <v>0</v>
      </c>
      <c r="AD294" s="449">
        <v>0</v>
      </c>
      <c r="AE294" s="449">
        <v>0</v>
      </c>
      <c r="AF294" s="449">
        <v>0</v>
      </c>
      <c r="AG294" s="449">
        <v>0</v>
      </c>
      <c r="AH294" s="449">
        <v>0</v>
      </c>
      <c r="AI294" s="449">
        <v>0</v>
      </c>
      <c r="AJ294" s="449">
        <v>0</v>
      </c>
      <c r="AK294" s="449">
        <v>0</v>
      </c>
      <c r="AL294" s="449">
        <v>0</v>
      </c>
      <c r="AM294" s="400"/>
      <c r="AN294" s="500">
        <v>0</v>
      </c>
      <c r="AO294" s="449">
        <v>0</v>
      </c>
      <c r="AP294" s="449">
        <v>0</v>
      </c>
      <c r="AQ294" s="453" t="s">
        <v>1519</v>
      </c>
      <c r="AR294" s="449">
        <v>0</v>
      </c>
      <c r="AS294" s="449">
        <v>0</v>
      </c>
      <c r="AT294" s="426">
        <v>0</v>
      </c>
      <c r="AU294" s="421"/>
      <c r="AV294" s="449">
        <v>0</v>
      </c>
      <c r="AW294" s="449">
        <v>0</v>
      </c>
      <c r="AX294" s="449">
        <v>0</v>
      </c>
      <c r="AY294" s="449">
        <v>0</v>
      </c>
      <c r="AZ294" s="449">
        <v>0</v>
      </c>
      <c r="BA294" s="449">
        <v>0</v>
      </c>
      <c r="BB294" s="449">
        <v>0</v>
      </c>
      <c r="BC294" s="449">
        <v>0</v>
      </c>
      <c r="BD294" s="449">
        <v>0</v>
      </c>
      <c r="BE294" s="449">
        <v>0</v>
      </c>
      <c r="BF294" s="449">
        <v>0</v>
      </c>
      <c r="BG294" s="449">
        <v>0</v>
      </c>
      <c r="BH294" s="400"/>
      <c r="BI294" s="449">
        <v>0</v>
      </c>
      <c r="BJ294" s="449">
        <v>0</v>
      </c>
      <c r="BK294" s="449">
        <v>0</v>
      </c>
      <c r="BL294" s="771">
        <v>0</v>
      </c>
      <c r="BM294" s="449">
        <v>0</v>
      </c>
      <c r="BN294" s="449">
        <v>0</v>
      </c>
      <c r="BO294" s="449">
        <v>0</v>
      </c>
      <c r="BP294" s="449">
        <v>0</v>
      </c>
      <c r="BQ294" s="449">
        <v>0</v>
      </c>
      <c r="BR294" s="449">
        <v>0</v>
      </c>
      <c r="BS294" s="449">
        <v>0</v>
      </c>
      <c r="BT294" s="449">
        <v>0</v>
      </c>
    </row>
    <row r="295" spans="1:72" hidden="1" x14ac:dyDescent="0.25">
      <c r="A295" s="502" t="s">
        <v>500</v>
      </c>
      <c r="B295" s="502" t="s">
        <v>501</v>
      </c>
      <c r="C295" s="541"/>
      <c r="D295" s="500">
        <v>0</v>
      </c>
      <c r="E295" s="449">
        <v>0</v>
      </c>
      <c r="F295" s="449">
        <v>0</v>
      </c>
      <c r="G295" s="421">
        <v>0</v>
      </c>
      <c r="H295" s="449">
        <v>0</v>
      </c>
      <c r="I295" s="449">
        <v>0</v>
      </c>
      <c r="J295" s="426">
        <v>0</v>
      </c>
      <c r="K295" s="421"/>
      <c r="L295" s="449">
        <v>0</v>
      </c>
      <c r="M295" s="449">
        <v>0</v>
      </c>
      <c r="N295" s="449">
        <v>0</v>
      </c>
      <c r="O295" s="449">
        <v>0</v>
      </c>
      <c r="P295" s="449">
        <v>0</v>
      </c>
      <c r="Q295" s="449">
        <v>0</v>
      </c>
      <c r="R295" s="449">
        <v>0</v>
      </c>
      <c r="S295" s="449">
        <v>0</v>
      </c>
      <c r="T295" s="449">
        <v>0</v>
      </c>
      <c r="U295" s="449">
        <v>0</v>
      </c>
      <c r="V295" s="449">
        <v>0</v>
      </c>
      <c r="W295" s="449">
        <v>0</v>
      </c>
      <c r="X295" s="449"/>
      <c r="Y295" s="449">
        <v>0</v>
      </c>
      <c r="Z295" s="531"/>
      <c r="AA295" s="449">
        <v>0</v>
      </c>
      <c r="AB295" s="449">
        <v>0</v>
      </c>
      <c r="AC295" s="449">
        <v>0</v>
      </c>
      <c r="AD295" s="449">
        <v>0</v>
      </c>
      <c r="AE295" s="449">
        <v>0</v>
      </c>
      <c r="AF295" s="449">
        <v>0</v>
      </c>
      <c r="AG295" s="449">
        <v>0</v>
      </c>
      <c r="AH295" s="449">
        <v>0</v>
      </c>
      <c r="AI295" s="449">
        <v>0</v>
      </c>
      <c r="AJ295" s="449">
        <v>0</v>
      </c>
      <c r="AK295" s="449">
        <v>0</v>
      </c>
      <c r="AL295" s="449">
        <v>0</v>
      </c>
      <c r="AM295" s="400"/>
      <c r="AN295" s="500">
        <v>0</v>
      </c>
      <c r="AO295" s="449">
        <v>0</v>
      </c>
      <c r="AP295" s="449">
        <v>0</v>
      </c>
      <c r="AQ295" s="453" t="s">
        <v>1519</v>
      </c>
      <c r="AR295" s="449">
        <v>0</v>
      </c>
      <c r="AS295" s="449">
        <v>0</v>
      </c>
      <c r="AT295" s="426">
        <v>0</v>
      </c>
      <c r="AU295" s="421"/>
      <c r="AV295" s="449">
        <v>0</v>
      </c>
      <c r="AW295" s="449">
        <v>0</v>
      </c>
      <c r="AX295" s="449">
        <v>0</v>
      </c>
      <c r="AY295" s="449">
        <v>0</v>
      </c>
      <c r="AZ295" s="449">
        <v>0</v>
      </c>
      <c r="BA295" s="449">
        <v>0</v>
      </c>
      <c r="BB295" s="449">
        <v>0</v>
      </c>
      <c r="BC295" s="449">
        <v>0</v>
      </c>
      <c r="BD295" s="449">
        <v>0</v>
      </c>
      <c r="BE295" s="449">
        <v>0</v>
      </c>
      <c r="BF295" s="449">
        <v>0</v>
      </c>
      <c r="BG295" s="449">
        <v>0</v>
      </c>
      <c r="BH295" s="400"/>
      <c r="BI295" s="449">
        <v>0</v>
      </c>
      <c r="BJ295" s="449">
        <v>0</v>
      </c>
      <c r="BK295" s="449">
        <v>0</v>
      </c>
      <c r="BL295" s="771">
        <v>0</v>
      </c>
      <c r="BM295" s="449">
        <v>0</v>
      </c>
      <c r="BN295" s="449">
        <v>0</v>
      </c>
      <c r="BO295" s="449">
        <v>0</v>
      </c>
      <c r="BP295" s="449">
        <v>0</v>
      </c>
      <c r="BQ295" s="449">
        <v>0</v>
      </c>
      <c r="BR295" s="449">
        <v>0</v>
      </c>
      <c r="BS295" s="449">
        <v>0</v>
      </c>
      <c r="BT295" s="449">
        <v>0</v>
      </c>
    </row>
    <row r="296" spans="1:72" hidden="1" x14ac:dyDescent="0.25">
      <c r="A296" s="502" t="s">
        <v>502</v>
      </c>
      <c r="B296" s="502" t="s">
        <v>503</v>
      </c>
      <c r="C296" s="541"/>
      <c r="D296" s="500">
        <v>0</v>
      </c>
      <c r="E296" s="449">
        <v>0</v>
      </c>
      <c r="F296" s="449">
        <v>0</v>
      </c>
      <c r="G296" s="421">
        <v>0</v>
      </c>
      <c r="H296" s="449">
        <v>0</v>
      </c>
      <c r="I296" s="449">
        <v>0</v>
      </c>
      <c r="J296" s="426">
        <v>0</v>
      </c>
      <c r="K296" s="421"/>
      <c r="L296" s="449">
        <v>0</v>
      </c>
      <c r="M296" s="449">
        <v>0</v>
      </c>
      <c r="N296" s="449">
        <v>0</v>
      </c>
      <c r="O296" s="449">
        <v>0</v>
      </c>
      <c r="P296" s="449">
        <v>0</v>
      </c>
      <c r="Q296" s="449">
        <v>0</v>
      </c>
      <c r="R296" s="449">
        <v>0</v>
      </c>
      <c r="S296" s="449">
        <v>0</v>
      </c>
      <c r="T296" s="449">
        <v>0</v>
      </c>
      <c r="U296" s="449">
        <v>0</v>
      </c>
      <c r="V296" s="449">
        <v>0</v>
      </c>
      <c r="W296" s="449">
        <v>0</v>
      </c>
      <c r="X296" s="449"/>
      <c r="Y296" s="449">
        <v>0</v>
      </c>
      <c r="Z296" s="531"/>
      <c r="AA296" s="449">
        <v>0</v>
      </c>
      <c r="AB296" s="449">
        <v>0</v>
      </c>
      <c r="AC296" s="449">
        <v>0</v>
      </c>
      <c r="AD296" s="449">
        <v>0</v>
      </c>
      <c r="AE296" s="449">
        <v>0</v>
      </c>
      <c r="AF296" s="449">
        <v>0</v>
      </c>
      <c r="AG296" s="449">
        <v>0</v>
      </c>
      <c r="AH296" s="449">
        <v>0</v>
      </c>
      <c r="AI296" s="449">
        <v>0</v>
      </c>
      <c r="AJ296" s="449">
        <v>0</v>
      </c>
      <c r="AK296" s="449">
        <v>0</v>
      </c>
      <c r="AL296" s="449">
        <v>0</v>
      </c>
      <c r="AM296" s="400"/>
      <c r="AN296" s="500">
        <v>0</v>
      </c>
      <c r="AO296" s="449">
        <v>0</v>
      </c>
      <c r="AP296" s="449">
        <v>0</v>
      </c>
      <c r="AQ296" s="453" t="s">
        <v>1519</v>
      </c>
      <c r="AR296" s="449">
        <v>0</v>
      </c>
      <c r="AS296" s="449">
        <v>0</v>
      </c>
      <c r="AT296" s="426">
        <v>0</v>
      </c>
      <c r="AU296" s="421"/>
      <c r="AV296" s="449">
        <v>0</v>
      </c>
      <c r="AW296" s="449">
        <v>0</v>
      </c>
      <c r="AX296" s="449">
        <v>0</v>
      </c>
      <c r="AY296" s="449">
        <v>0</v>
      </c>
      <c r="AZ296" s="449">
        <v>0</v>
      </c>
      <c r="BA296" s="449">
        <v>0</v>
      </c>
      <c r="BB296" s="449">
        <v>0</v>
      </c>
      <c r="BC296" s="449">
        <v>0</v>
      </c>
      <c r="BD296" s="449">
        <v>0</v>
      </c>
      <c r="BE296" s="449">
        <v>0</v>
      </c>
      <c r="BF296" s="449">
        <v>0</v>
      </c>
      <c r="BG296" s="449">
        <v>0</v>
      </c>
      <c r="BH296" s="400"/>
      <c r="BI296" s="449">
        <v>0</v>
      </c>
      <c r="BJ296" s="449">
        <v>0</v>
      </c>
      <c r="BK296" s="449">
        <v>0</v>
      </c>
      <c r="BL296" s="771">
        <v>0</v>
      </c>
      <c r="BM296" s="449">
        <v>0</v>
      </c>
      <c r="BN296" s="449">
        <v>0</v>
      </c>
      <c r="BO296" s="449">
        <v>0</v>
      </c>
      <c r="BP296" s="449">
        <v>0</v>
      </c>
      <c r="BQ296" s="449">
        <v>0</v>
      </c>
      <c r="BR296" s="449">
        <v>0</v>
      </c>
      <c r="BS296" s="449">
        <v>0</v>
      </c>
      <c r="BT296" s="449">
        <v>0</v>
      </c>
    </row>
    <row r="297" spans="1:72" hidden="1" x14ac:dyDescent="0.25">
      <c r="A297" s="502" t="s">
        <v>504</v>
      </c>
      <c r="B297" s="502" t="s">
        <v>505</v>
      </c>
      <c r="C297" s="541"/>
      <c r="D297" s="500">
        <v>0</v>
      </c>
      <c r="E297" s="449">
        <v>0</v>
      </c>
      <c r="F297" s="449">
        <v>0</v>
      </c>
      <c r="G297" s="421">
        <v>0</v>
      </c>
      <c r="H297" s="449">
        <v>0</v>
      </c>
      <c r="I297" s="449">
        <v>0</v>
      </c>
      <c r="J297" s="426">
        <v>0</v>
      </c>
      <c r="K297" s="421"/>
      <c r="L297" s="449">
        <v>0</v>
      </c>
      <c r="M297" s="449">
        <v>0</v>
      </c>
      <c r="N297" s="449">
        <v>0</v>
      </c>
      <c r="O297" s="449">
        <v>0</v>
      </c>
      <c r="P297" s="449">
        <v>0</v>
      </c>
      <c r="Q297" s="449">
        <v>0</v>
      </c>
      <c r="R297" s="449">
        <v>0</v>
      </c>
      <c r="S297" s="449">
        <v>0</v>
      </c>
      <c r="T297" s="449">
        <v>0</v>
      </c>
      <c r="U297" s="449">
        <v>0</v>
      </c>
      <c r="V297" s="449">
        <v>0</v>
      </c>
      <c r="W297" s="449">
        <v>0</v>
      </c>
      <c r="X297" s="449"/>
      <c r="Y297" s="449">
        <v>0</v>
      </c>
      <c r="Z297" s="531"/>
      <c r="AA297" s="449">
        <v>0</v>
      </c>
      <c r="AB297" s="449">
        <v>0</v>
      </c>
      <c r="AC297" s="449">
        <v>0</v>
      </c>
      <c r="AD297" s="449">
        <v>0</v>
      </c>
      <c r="AE297" s="449">
        <v>0</v>
      </c>
      <c r="AF297" s="449">
        <v>0</v>
      </c>
      <c r="AG297" s="449">
        <v>0</v>
      </c>
      <c r="AH297" s="449">
        <v>0</v>
      </c>
      <c r="AI297" s="449">
        <v>0</v>
      </c>
      <c r="AJ297" s="449">
        <v>0</v>
      </c>
      <c r="AK297" s="449">
        <v>0</v>
      </c>
      <c r="AL297" s="449">
        <v>0</v>
      </c>
      <c r="AM297" s="400"/>
      <c r="AN297" s="500">
        <v>0</v>
      </c>
      <c r="AO297" s="449">
        <v>0</v>
      </c>
      <c r="AP297" s="449">
        <v>0</v>
      </c>
      <c r="AQ297" s="453" t="s">
        <v>1519</v>
      </c>
      <c r="AR297" s="449">
        <v>0</v>
      </c>
      <c r="AS297" s="449">
        <v>0</v>
      </c>
      <c r="AT297" s="426">
        <v>0</v>
      </c>
      <c r="AU297" s="421"/>
      <c r="AV297" s="449">
        <v>0</v>
      </c>
      <c r="AW297" s="449">
        <v>0</v>
      </c>
      <c r="AX297" s="449">
        <v>0</v>
      </c>
      <c r="AY297" s="449">
        <v>0</v>
      </c>
      <c r="AZ297" s="449">
        <v>0</v>
      </c>
      <c r="BA297" s="449">
        <v>0</v>
      </c>
      <c r="BB297" s="449">
        <v>0</v>
      </c>
      <c r="BC297" s="449">
        <v>0</v>
      </c>
      <c r="BD297" s="449">
        <v>0</v>
      </c>
      <c r="BE297" s="449">
        <v>0</v>
      </c>
      <c r="BF297" s="449">
        <v>0</v>
      </c>
      <c r="BG297" s="449">
        <v>0</v>
      </c>
      <c r="BH297" s="400"/>
      <c r="BI297" s="449">
        <v>0</v>
      </c>
      <c r="BJ297" s="449">
        <v>0</v>
      </c>
      <c r="BK297" s="449">
        <v>0</v>
      </c>
      <c r="BL297" s="771">
        <v>0</v>
      </c>
      <c r="BM297" s="449">
        <v>0</v>
      </c>
      <c r="BN297" s="449">
        <v>0</v>
      </c>
      <c r="BO297" s="449">
        <v>0</v>
      </c>
      <c r="BP297" s="449">
        <v>0</v>
      </c>
      <c r="BQ297" s="449">
        <v>0</v>
      </c>
      <c r="BR297" s="449">
        <v>0</v>
      </c>
      <c r="BS297" s="449">
        <v>0</v>
      </c>
      <c r="BT297" s="449">
        <v>0</v>
      </c>
    </row>
    <row r="298" spans="1:72" hidden="1" x14ac:dyDescent="0.25">
      <c r="A298" s="502" t="s">
        <v>506</v>
      </c>
      <c r="B298" s="502" t="s">
        <v>507</v>
      </c>
      <c r="C298" s="541"/>
      <c r="D298" s="500">
        <v>5225</v>
      </c>
      <c r="E298" s="449">
        <v>5225</v>
      </c>
      <c r="F298" s="449">
        <v>0</v>
      </c>
      <c r="G298" s="421">
        <v>0</v>
      </c>
      <c r="H298" s="449">
        <v>5225</v>
      </c>
      <c r="I298" s="449">
        <v>0</v>
      </c>
      <c r="J298" s="426">
        <v>0</v>
      </c>
      <c r="K298" s="421"/>
      <c r="L298" s="449">
        <v>0</v>
      </c>
      <c r="M298" s="449">
        <v>0</v>
      </c>
      <c r="N298" s="449">
        <v>0</v>
      </c>
      <c r="O298" s="449">
        <v>0</v>
      </c>
      <c r="P298" s="449">
        <v>0</v>
      </c>
      <c r="Q298" s="449">
        <v>0</v>
      </c>
      <c r="R298" s="449">
        <v>870.83333333333337</v>
      </c>
      <c r="S298" s="449">
        <v>870.83333333333337</v>
      </c>
      <c r="T298" s="449">
        <v>870.83333333333326</v>
      </c>
      <c r="U298" s="449">
        <v>870.83333333333337</v>
      </c>
      <c r="V298" s="449">
        <v>870.83333333333326</v>
      </c>
      <c r="W298" s="449">
        <v>870.83333333333303</v>
      </c>
      <c r="X298" s="449"/>
      <c r="Y298" s="449">
        <v>5225</v>
      </c>
      <c r="Z298" s="531"/>
      <c r="AA298" s="449">
        <v>435.41666666666669</v>
      </c>
      <c r="AB298" s="449">
        <v>435.41666666666669</v>
      </c>
      <c r="AC298" s="449">
        <v>435.41666666666669</v>
      </c>
      <c r="AD298" s="449">
        <v>435.41666666666669</v>
      </c>
      <c r="AE298" s="449">
        <v>435.41666666666669</v>
      </c>
      <c r="AF298" s="449">
        <v>435.41666666666669</v>
      </c>
      <c r="AG298" s="449">
        <v>435.41666666666669</v>
      </c>
      <c r="AH298" s="449">
        <v>435.41666666666669</v>
      </c>
      <c r="AI298" s="449">
        <v>435.41666666666669</v>
      </c>
      <c r="AJ298" s="449">
        <v>435.41666666666669</v>
      </c>
      <c r="AK298" s="449">
        <v>435.41666666666669</v>
      </c>
      <c r="AL298" s="449">
        <v>435.41666666666669</v>
      </c>
      <c r="AM298" s="400"/>
      <c r="AN298" s="500">
        <v>5225</v>
      </c>
      <c r="AO298" s="449">
        <v>0</v>
      </c>
      <c r="AP298" s="449">
        <v>-5225</v>
      </c>
      <c r="AQ298" s="453">
        <v>-1</v>
      </c>
      <c r="AR298" s="449">
        <v>0</v>
      </c>
      <c r="AS298" s="449">
        <v>0</v>
      </c>
      <c r="AT298" s="426">
        <v>0</v>
      </c>
      <c r="AU298" s="421"/>
      <c r="AV298" s="449">
        <v>0</v>
      </c>
      <c r="AW298" s="449">
        <v>0</v>
      </c>
      <c r="AX298" s="449">
        <v>0</v>
      </c>
      <c r="AY298" s="449">
        <v>0</v>
      </c>
      <c r="AZ298" s="449">
        <v>0</v>
      </c>
      <c r="BA298" s="449">
        <v>0</v>
      </c>
      <c r="BB298" s="449">
        <v>0</v>
      </c>
      <c r="BC298" s="449">
        <v>0</v>
      </c>
      <c r="BD298" s="449">
        <v>0</v>
      </c>
      <c r="BE298" s="449">
        <v>0</v>
      </c>
      <c r="BF298" s="449">
        <v>0</v>
      </c>
      <c r="BG298" s="449">
        <v>0</v>
      </c>
      <c r="BH298" s="400"/>
      <c r="BI298" s="449">
        <v>0</v>
      </c>
      <c r="BJ298" s="449">
        <v>0</v>
      </c>
      <c r="BK298" s="449">
        <v>0</v>
      </c>
      <c r="BL298" s="771">
        <v>0</v>
      </c>
      <c r="BM298" s="449">
        <v>0</v>
      </c>
      <c r="BN298" s="449">
        <v>0</v>
      </c>
      <c r="BO298" s="449">
        <v>0</v>
      </c>
      <c r="BP298" s="449">
        <v>0</v>
      </c>
      <c r="BQ298" s="449">
        <v>0</v>
      </c>
      <c r="BR298" s="449">
        <v>0</v>
      </c>
      <c r="BS298" s="449">
        <v>0</v>
      </c>
      <c r="BT298" s="449">
        <v>0</v>
      </c>
    </row>
    <row r="299" spans="1:72" x14ac:dyDescent="0.25">
      <c r="A299" s="502" t="s">
        <v>508</v>
      </c>
      <c r="B299" s="502" t="s">
        <v>509</v>
      </c>
      <c r="C299" s="541"/>
      <c r="D299" s="500">
        <v>3597</v>
      </c>
      <c r="E299" s="449">
        <v>1597</v>
      </c>
      <c r="F299" s="449">
        <v>2000</v>
      </c>
      <c r="G299" s="421">
        <v>1.2523481527864746</v>
      </c>
      <c r="H299" s="449">
        <v>3597</v>
      </c>
      <c r="I299" s="449">
        <v>0</v>
      </c>
      <c r="J299" s="426">
        <v>0</v>
      </c>
      <c r="K299" s="421"/>
      <c r="L299" s="449">
        <v>0</v>
      </c>
      <c r="M299" s="449">
        <v>324.66000000000003</v>
      </c>
      <c r="N299" s="449">
        <v>284.08999999999997</v>
      </c>
      <c r="O299" s="449">
        <v>510.55999999999995</v>
      </c>
      <c r="P299" s="449">
        <v>270.55999999999995</v>
      </c>
      <c r="Q299" s="449">
        <v>338.20000000000005</v>
      </c>
      <c r="R299" s="449">
        <v>311.48833333333334</v>
      </c>
      <c r="S299" s="449">
        <v>311.48833333333334</v>
      </c>
      <c r="T299" s="449">
        <v>311.48833333333334</v>
      </c>
      <c r="U299" s="449">
        <v>311.4883333333334</v>
      </c>
      <c r="V299" s="449">
        <v>311.48833333333346</v>
      </c>
      <c r="W299" s="449">
        <v>311.48833333333369</v>
      </c>
      <c r="X299" s="449"/>
      <c r="Y299" s="449">
        <v>3597</v>
      </c>
      <c r="Z299" s="531"/>
      <c r="AA299" s="449">
        <v>299.75</v>
      </c>
      <c r="AB299" s="449">
        <v>299.75</v>
      </c>
      <c r="AC299" s="449">
        <v>299.75</v>
      </c>
      <c r="AD299" s="449">
        <v>299.75</v>
      </c>
      <c r="AE299" s="449">
        <v>299.75</v>
      </c>
      <c r="AF299" s="449">
        <v>299.75</v>
      </c>
      <c r="AG299" s="449">
        <v>299.75</v>
      </c>
      <c r="AH299" s="449">
        <v>299.75</v>
      </c>
      <c r="AI299" s="449">
        <v>299.75</v>
      </c>
      <c r="AJ299" s="449">
        <v>299.75</v>
      </c>
      <c r="AK299" s="449">
        <v>299.75</v>
      </c>
      <c r="AL299" s="449">
        <v>299.75</v>
      </c>
      <c r="AM299" s="400"/>
      <c r="AN299" s="500">
        <v>3597</v>
      </c>
      <c r="AO299" s="449">
        <v>1644.79</v>
      </c>
      <c r="AP299" s="449">
        <v>-1952.21</v>
      </c>
      <c r="AQ299" s="453">
        <v>-0.54273283291631913</v>
      </c>
      <c r="AR299" s="449">
        <v>1644.79</v>
      </c>
      <c r="AS299" s="449">
        <v>0</v>
      </c>
      <c r="AT299" s="426">
        <v>0</v>
      </c>
      <c r="AU299" s="421"/>
      <c r="AV299" s="449">
        <v>137.06583333333333</v>
      </c>
      <c r="AW299" s="449">
        <v>137.06583333333333</v>
      </c>
      <c r="AX299" s="449">
        <v>137.06583333333333</v>
      </c>
      <c r="AY299" s="449">
        <v>137.06583333333333</v>
      </c>
      <c r="AZ299" s="449">
        <v>137.06583333333333</v>
      </c>
      <c r="BA299" s="449">
        <v>137.06583333333333</v>
      </c>
      <c r="BB299" s="449">
        <v>137.06583333333333</v>
      </c>
      <c r="BC299" s="449">
        <v>137.06583333333333</v>
      </c>
      <c r="BD299" s="449">
        <v>137.06583333333333</v>
      </c>
      <c r="BE299" s="449">
        <v>137.06583333333333</v>
      </c>
      <c r="BF299" s="449">
        <v>137.06583333333333</v>
      </c>
      <c r="BG299" s="449">
        <v>137.06583333333333</v>
      </c>
      <c r="BH299" s="400"/>
      <c r="BI299" s="449">
        <v>137.06583333333333</v>
      </c>
      <c r="BJ299" s="449">
        <v>137.06583333333333</v>
      </c>
      <c r="BK299" s="449">
        <v>137.06583333333333</v>
      </c>
      <c r="BL299" s="771">
        <v>137.06583333333333</v>
      </c>
      <c r="BM299" s="449">
        <v>137.06583333333333</v>
      </c>
      <c r="BN299" s="449">
        <v>137.06583333333333</v>
      </c>
      <c r="BO299" s="449">
        <v>137.06583333333333</v>
      </c>
      <c r="BP299" s="449">
        <v>137.06583333333333</v>
      </c>
      <c r="BQ299" s="449">
        <v>137.06583333333333</v>
      </c>
      <c r="BR299" s="449">
        <v>137.06583333333333</v>
      </c>
      <c r="BS299" s="449">
        <v>137.06583333333333</v>
      </c>
      <c r="BT299" s="449">
        <v>137.06583333333333</v>
      </c>
    </row>
    <row r="300" spans="1:72" x14ac:dyDescent="0.25">
      <c r="A300" s="502" t="s">
        <v>510</v>
      </c>
      <c r="B300" s="502" t="s">
        <v>509</v>
      </c>
      <c r="C300" s="541"/>
      <c r="D300" s="500">
        <v>1820</v>
      </c>
      <c r="E300" s="449">
        <v>3795</v>
      </c>
      <c r="F300" s="449">
        <v>-1975</v>
      </c>
      <c r="G300" s="421">
        <v>-0.52042160737812915</v>
      </c>
      <c r="H300" s="449">
        <v>1820</v>
      </c>
      <c r="I300" s="449">
        <v>0</v>
      </c>
      <c r="J300" s="426">
        <v>0</v>
      </c>
      <c r="K300" s="421"/>
      <c r="L300" s="449">
        <v>0</v>
      </c>
      <c r="M300" s="449">
        <v>0</v>
      </c>
      <c r="N300" s="449">
        <v>0</v>
      </c>
      <c r="O300" s="449">
        <v>0</v>
      </c>
      <c r="P300" s="449">
        <v>0</v>
      </c>
      <c r="Q300" s="449">
        <v>0</v>
      </c>
      <c r="R300" s="449">
        <v>303.33333333333331</v>
      </c>
      <c r="S300" s="449">
        <v>303.33333333333337</v>
      </c>
      <c r="T300" s="449">
        <v>303.33333333333331</v>
      </c>
      <c r="U300" s="449">
        <v>303.33333333333331</v>
      </c>
      <c r="V300" s="449">
        <v>303.33333333333337</v>
      </c>
      <c r="W300" s="449">
        <v>303.33333333333348</v>
      </c>
      <c r="X300" s="449"/>
      <c r="Y300" s="449">
        <v>1820</v>
      </c>
      <c r="Z300" s="531"/>
      <c r="AA300" s="449">
        <v>151.66666666666666</v>
      </c>
      <c r="AB300" s="449">
        <v>151.66666666666666</v>
      </c>
      <c r="AC300" s="449">
        <v>151.66666666666666</v>
      </c>
      <c r="AD300" s="449">
        <v>151.66666666666666</v>
      </c>
      <c r="AE300" s="449">
        <v>151.66666666666666</v>
      </c>
      <c r="AF300" s="449">
        <v>151.66666666666666</v>
      </c>
      <c r="AG300" s="449">
        <v>151.66666666666666</v>
      </c>
      <c r="AH300" s="449">
        <v>151.66666666666666</v>
      </c>
      <c r="AI300" s="449">
        <v>151.66666666666666</v>
      </c>
      <c r="AJ300" s="449">
        <v>151.66666666666666</v>
      </c>
      <c r="AK300" s="449">
        <v>151.66666666666666</v>
      </c>
      <c r="AL300" s="449">
        <v>151.66666666666666</v>
      </c>
      <c r="AM300" s="400"/>
      <c r="AN300" s="500">
        <v>1820</v>
      </c>
      <c r="AO300" s="449">
        <v>3837.3999999999996</v>
      </c>
      <c r="AP300" s="449">
        <v>2017.3999999999996</v>
      </c>
      <c r="AQ300" s="453">
        <v>1.1084615384615382</v>
      </c>
      <c r="AR300" s="449">
        <v>3837.3999999999996</v>
      </c>
      <c r="AS300" s="449">
        <v>0</v>
      </c>
      <c r="AT300" s="426">
        <v>0</v>
      </c>
      <c r="AU300" s="421"/>
      <c r="AV300" s="449">
        <v>319.7833333333333</v>
      </c>
      <c r="AW300" s="449">
        <v>319.7833333333333</v>
      </c>
      <c r="AX300" s="449">
        <v>319.7833333333333</v>
      </c>
      <c r="AY300" s="449">
        <v>319.7833333333333</v>
      </c>
      <c r="AZ300" s="449">
        <v>319.7833333333333</v>
      </c>
      <c r="BA300" s="449">
        <v>319.7833333333333</v>
      </c>
      <c r="BB300" s="449">
        <v>319.7833333333333</v>
      </c>
      <c r="BC300" s="449">
        <v>319.7833333333333</v>
      </c>
      <c r="BD300" s="449">
        <v>319.7833333333333</v>
      </c>
      <c r="BE300" s="449">
        <v>319.7833333333333</v>
      </c>
      <c r="BF300" s="449">
        <v>319.7833333333333</v>
      </c>
      <c r="BG300" s="449">
        <v>319.7833333333333</v>
      </c>
      <c r="BH300" s="400"/>
      <c r="BI300" s="449">
        <v>319.7833333333333</v>
      </c>
      <c r="BJ300" s="449">
        <v>319.7833333333333</v>
      </c>
      <c r="BK300" s="449">
        <v>319.7833333333333</v>
      </c>
      <c r="BL300" s="771">
        <v>319.7833333333333</v>
      </c>
      <c r="BM300" s="449">
        <v>319.7833333333333</v>
      </c>
      <c r="BN300" s="449">
        <v>319.7833333333333</v>
      </c>
      <c r="BO300" s="449">
        <v>319.7833333333333</v>
      </c>
      <c r="BP300" s="449">
        <v>319.7833333333333</v>
      </c>
      <c r="BQ300" s="449">
        <v>319.7833333333333</v>
      </c>
      <c r="BR300" s="449">
        <v>319.7833333333333</v>
      </c>
      <c r="BS300" s="449">
        <v>319.7833333333333</v>
      </c>
      <c r="BT300" s="449">
        <v>319.7833333333333</v>
      </c>
    </row>
    <row r="301" spans="1:72" x14ac:dyDescent="0.25">
      <c r="A301" s="537" t="s">
        <v>511</v>
      </c>
      <c r="B301" s="537" t="s">
        <v>512</v>
      </c>
      <c r="C301" s="541"/>
      <c r="D301" s="500">
        <v>0</v>
      </c>
      <c r="E301" s="449">
        <v>0</v>
      </c>
      <c r="F301" s="449">
        <v>0</v>
      </c>
      <c r="G301" s="421">
        <v>0</v>
      </c>
      <c r="H301" s="449">
        <v>0</v>
      </c>
      <c r="I301" s="449">
        <v>0</v>
      </c>
      <c r="J301" s="426">
        <v>0</v>
      </c>
      <c r="K301" s="421"/>
      <c r="L301" s="449">
        <v>0</v>
      </c>
      <c r="M301" s="449">
        <v>0</v>
      </c>
      <c r="N301" s="449">
        <v>0</v>
      </c>
      <c r="O301" s="449">
        <v>0</v>
      </c>
      <c r="P301" s="449">
        <v>0</v>
      </c>
      <c r="Q301" s="449">
        <v>0</v>
      </c>
      <c r="R301" s="449">
        <v>0</v>
      </c>
      <c r="S301" s="449">
        <v>0</v>
      </c>
      <c r="T301" s="449">
        <v>0</v>
      </c>
      <c r="U301" s="449">
        <v>0</v>
      </c>
      <c r="V301" s="449">
        <v>0</v>
      </c>
      <c r="W301" s="449">
        <v>0</v>
      </c>
      <c r="X301" s="449"/>
      <c r="Y301" s="449">
        <v>0</v>
      </c>
      <c r="Z301" s="531"/>
      <c r="AA301" s="449">
        <v>0</v>
      </c>
      <c r="AB301" s="449">
        <v>0</v>
      </c>
      <c r="AC301" s="449">
        <v>0</v>
      </c>
      <c r="AD301" s="449">
        <v>0</v>
      </c>
      <c r="AE301" s="449">
        <v>0</v>
      </c>
      <c r="AF301" s="449">
        <v>0</v>
      </c>
      <c r="AG301" s="449">
        <v>0</v>
      </c>
      <c r="AH301" s="449">
        <v>0</v>
      </c>
      <c r="AI301" s="449">
        <v>0</v>
      </c>
      <c r="AJ301" s="449">
        <v>0</v>
      </c>
      <c r="AK301" s="449">
        <v>0</v>
      </c>
      <c r="AL301" s="449">
        <v>0</v>
      </c>
      <c r="AM301" s="400"/>
      <c r="AN301" s="500">
        <v>0</v>
      </c>
      <c r="AO301" s="449">
        <v>1956.9999999999998</v>
      </c>
      <c r="AP301" s="449">
        <v>1956.9999999999998</v>
      </c>
      <c r="AQ301" s="453" t="s">
        <v>1519</v>
      </c>
      <c r="AR301" s="449">
        <v>1956.9999999999998</v>
      </c>
      <c r="AS301" s="449">
        <v>0</v>
      </c>
      <c r="AT301" s="426">
        <v>0</v>
      </c>
      <c r="AU301" s="421"/>
      <c r="AV301" s="449">
        <v>163.08333333333334</v>
      </c>
      <c r="AW301" s="449">
        <v>163.08333333333334</v>
      </c>
      <c r="AX301" s="449">
        <v>163.08333333333334</v>
      </c>
      <c r="AY301" s="449">
        <v>163.08333333333334</v>
      </c>
      <c r="AZ301" s="449">
        <v>163.08333333333334</v>
      </c>
      <c r="BA301" s="449">
        <v>163.08333333333334</v>
      </c>
      <c r="BB301" s="449">
        <v>163.08333333333334</v>
      </c>
      <c r="BC301" s="449">
        <v>163.08333333333334</v>
      </c>
      <c r="BD301" s="449">
        <v>163.08333333333334</v>
      </c>
      <c r="BE301" s="449">
        <v>163.08333333333334</v>
      </c>
      <c r="BF301" s="449">
        <v>163.08333333333334</v>
      </c>
      <c r="BG301" s="449">
        <v>163.08333333333334</v>
      </c>
      <c r="BH301" s="400"/>
      <c r="BI301" s="449">
        <v>163.08333333333334</v>
      </c>
      <c r="BJ301" s="449">
        <v>163.08333333333334</v>
      </c>
      <c r="BK301" s="449">
        <v>163.08333333333334</v>
      </c>
      <c r="BL301" s="771">
        <v>163.08333333333334</v>
      </c>
      <c r="BM301" s="449">
        <v>163.08333333333334</v>
      </c>
      <c r="BN301" s="449">
        <v>163.08333333333334</v>
      </c>
      <c r="BO301" s="449">
        <v>163.08333333333334</v>
      </c>
      <c r="BP301" s="449">
        <v>163.08333333333334</v>
      </c>
      <c r="BQ301" s="449">
        <v>163.08333333333334</v>
      </c>
      <c r="BR301" s="449">
        <v>163.08333333333334</v>
      </c>
      <c r="BS301" s="449">
        <v>163.08333333333334</v>
      </c>
      <c r="BT301" s="449">
        <v>163.08333333333334</v>
      </c>
    </row>
    <row r="302" spans="1:72" x14ac:dyDescent="0.25">
      <c r="A302" s="502" t="s">
        <v>513</v>
      </c>
      <c r="B302" s="502" t="s">
        <v>514</v>
      </c>
      <c r="C302" s="541"/>
      <c r="D302" s="500">
        <v>0</v>
      </c>
      <c r="E302" s="449">
        <v>0</v>
      </c>
      <c r="F302" s="449">
        <v>0</v>
      </c>
      <c r="G302" s="421">
        <v>0</v>
      </c>
      <c r="H302" s="449">
        <v>0</v>
      </c>
      <c r="I302" s="449">
        <v>0</v>
      </c>
      <c r="J302" s="426">
        <v>0</v>
      </c>
      <c r="K302" s="421"/>
      <c r="L302" s="449">
        <v>0</v>
      </c>
      <c r="M302" s="449">
        <v>0</v>
      </c>
      <c r="N302" s="449">
        <v>0</v>
      </c>
      <c r="O302" s="449">
        <v>0</v>
      </c>
      <c r="P302" s="449">
        <v>0</v>
      </c>
      <c r="Q302" s="449">
        <v>0</v>
      </c>
      <c r="R302" s="449">
        <v>0</v>
      </c>
      <c r="S302" s="449">
        <v>0</v>
      </c>
      <c r="T302" s="449">
        <v>0</v>
      </c>
      <c r="U302" s="449">
        <v>0</v>
      </c>
      <c r="V302" s="449">
        <v>0</v>
      </c>
      <c r="W302" s="449">
        <v>0</v>
      </c>
      <c r="X302" s="449"/>
      <c r="Y302" s="449">
        <v>0</v>
      </c>
      <c r="Z302" s="531"/>
      <c r="AA302" s="449">
        <v>0</v>
      </c>
      <c r="AB302" s="449">
        <v>0</v>
      </c>
      <c r="AC302" s="449">
        <v>0</v>
      </c>
      <c r="AD302" s="449">
        <v>0</v>
      </c>
      <c r="AE302" s="449">
        <v>0</v>
      </c>
      <c r="AF302" s="449">
        <v>0</v>
      </c>
      <c r="AG302" s="449">
        <v>0</v>
      </c>
      <c r="AH302" s="449">
        <v>0</v>
      </c>
      <c r="AI302" s="449">
        <v>0</v>
      </c>
      <c r="AJ302" s="449">
        <v>0</v>
      </c>
      <c r="AK302" s="449">
        <v>0</v>
      </c>
      <c r="AL302" s="449">
        <v>0</v>
      </c>
      <c r="AM302" s="400"/>
      <c r="AN302" s="500">
        <v>0</v>
      </c>
      <c r="AO302" s="449">
        <v>0</v>
      </c>
      <c r="AP302" s="449">
        <v>0</v>
      </c>
      <c r="AQ302" s="453" t="s">
        <v>1519</v>
      </c>
      <c r="AR302" s="449">
        <v>0</v>
      </c>
      <c r="AS302" s="449">
        <v>0</v>
      </c>
      <c r="AT302" s="426">
        <v>0</v>
      </c>
      <c r="AU302" s="421"/>
      <c r="AV302" s="449">
        <v>0</v>
      </c>
      <c r="AW302" s="449">
        <v>0</v>
      </c>
      <c r="AX302" s="449">
        <v>0</v>
      </c>
      <c r="AY302" s="449">
        <v>0</v>
      </c>
      <c r="AZ302" s="449">
        <v>0</v>
      </c>
      <c r="BA302" s="449">
        <v>0</v>
      </c>
      <c r="BB302" s="449">
        <v>0</v>
      </c>
      <c r="BC302" s="449">
        <v>0</v>
      </c>
      <c r="BD302" s="449">
        <v>0</v>
      </c>
      <c r="BE302" s="449">
        <v>0</v>
      </c>
      <c r="BF302" s="449">
        <v>0</v>
      </c>
      <c r="BG302" s="449">
        <v>0</v>
      </c>
      <c r="BH302" s="400"/>
      <c r="BI302" s="449">
        <v>0</v>
      </c>
      <c r="BJ302" s="449">
        <v>0</v>
      </c>
      <c r="BK302" s="449">
        <v>0</v>
      </c>
      <c r="BL302" s="771">
        <v>0</v>
      </c>
      <c r="BM302" s="449">
        <v>0</v>
      </c>
      <c r="BN302" s="449">
        <v>0</v>
      </c>
      <c r="BO302" s="449">
        <v>0</v>
      </c>
      <c r="BP302" s="449">
        <v>0</v>
      </c>
      <c r="BQ302" s="449">
        <v>0</v>
      </c>
      <c r="BR302" s="449">
        <v>0</v>
      </c>
      <c r="BS302" s="449">
        <v>0</v>
      </c>
      <c r="BT302" s="449">
        <v>0</v>
      </c>
    </row>
    <row r="303" spans="1:72" x14ac:dyDescent="0.25">
      <c r="A303" s="502" t="s">
        <v>515</v>
      </c>
      <c r="B303" s="502" t="s">
        <v>516</v>
      </c>
      <c r="C303" s="541"/>
      <c r="D303" s="500">
        <v>1236</v>
      </c>
      <c r="E303" s="449">
        <v>1361</v>
      </c>
      <c r="F303" s="449">
        <v>-125</v>
      </c>
      <c r="G303" s="421">
        <v>-9.184423218221896E-2</v>
      </c>
      <c r="H303" s="449">
        <v>1236</v>
      </c>
      <c r="I303" s="449">
        <v>0</v>
      </c>
      <c r="J303" s="426">
        <v>0</v>
      </c>
      <c r="K303" s="421"/>
      <c r="L303" s="449">
        <v>0</v>
      </c>
      <c r="M303" s="449">
        <v>112.77</v>
      </c>
      <c r="N303" s="449">
        <v>98.36999999999999</v>
      </c>
      <c r="O303" s="449">
        <v>93.910000000000025</v>
      </c>
      <c r="P303" s="449">
        <v>89.789999999999964</v>
      </c>
      <c r="Q303" s="449">
        <v>118.86000000000007</v>
      </c>
      <c r="R303" s="449">
        <v>120.38333333333333</v>
      </c>
      <c r="S303" s="449">
        <v>120.38333333333333</v>
      </c>
      <c r="T303" s="449">
        <v>120.38333333333333</v>
      </c>
      <c r="U303" s="449">
        <v>120.38333333333333</v>
      </c>
      <c r="V303" s="449">
        <v>120.38333333333333</v>
      </c>
      <c r="W303" s="449">
        <v>120.38333333333321</v>
      </c>
      <c r="X303" s="449"/>
      <c r="Y303" s="449">
        <v>1236</v>
      </c>
      <c r="Z303" s="531"/>
      <c r="AA303" s="449">
        <v>103</v>
      </c>
      <c r="AB303" s="449">
        <v>103</v>
      </c>
      <c r="AC303" s="449">
        <v>103</v>
      </c>
      <c r="AD303" s="449">
        <v>103</v>
      </c>
      <c r="AE303" s="449">
        <v>103</v>
      </c>
      <c r="AF303" s="449">
        <v>103</v>
      </c>
      <c r="AG303" s="449">
        <v>103</v>
      </c>
      <c r="AH303" s="449">
        <v>103</v>
      </c>
      <c r="AI303" s="449">
        <v>103</v>
      </c>
      <c r="AJ303" s="449">
        <v>103</v>
      </c>
      <c r="AK303" s="449">
        <v>103</v>
      </c>
      <c r="AL303" s="449">
        <v>103</v>
      </c>
      <c r="AM303" s="400"/>
      <c r="AN303" s="500">
        <v>1236</v>
      </c>
      <c r="AO303" s="449">
        <v>1386.79</v>
      </c>
      <c r="AP303" s="449">
        <v>150.78999999999996</v>
      </c>
      <c r="AQ303" s="453">
        <v>0.12199838187702262</v>
      </c>
      <c r="AR303" s="449">
        <v>1386.79</v>
      </c>
      <c r="AS303" s="449">
        <v>0</v>
      </c>
      <c r="AT303" s="426">
        <v>0</v>
      </c>
      <c r="AU303" s="421"/>
      <c r="AV303" s="449">
        <v>115.56583333333333</v>
      </c>
      <c r="AW303" s="449">
        <v>115.56583333333333</v>
      </c>
      <c r="AX303" s="449">
        <v>115.56583333333333</v>
      </c>
      <c r="AY303" s="449">
        <v>115.56583333333333</v>
      </c>
      <c r="AZ303" s="449">
        <v>115.56583333333333</v>
      </c>
      <c r="BA303" s="449">
        <v>115.56583333333333</v>
      </c>
      <c r="BB303" s="449">
        <v>115.56583333333333</v>
      </c>
      <c r="BC303" s="449">
        <v>115.56583333333333</v>
      </c>
      <c r="BD303" s="449">
        <v>115.56583333333333</v>
      </c>
      <c r="BE303" s="449">
        <v>115.56583333333333</v>
      </c>
      <c r="BF303" s="449">
        <v>115.56583333333333</v>
      </c>
      <c r="BG303" s="449">
        <v>115.56583333333333</v>
      </c>
      <c r="BH303" s="400"/>
      <c r="BI303" s="449">
        <v>115.56583333333333</v>
      </c>
      <c r="BJ303" s="449">
        <v>115.56583333333333</v>
      </c>
      <c r="BK303" s="449">
        <v>115.56583333333333</v>
      </c>
      <c r="BL303" s="771">
        <v>115.56583333333333</v>
      </c>
      <c r="BM303" s="449">
        <v>115.56583333333333</v>
      </c>
      <c r="BN303" s="449">
        <v>115.56583333333333</v>
      </c>
      <c r="BO303" s="449">
        <v>115.56583333333333</v>
      </c>
      <c r="BP303" s="449">
        <v>115.56583333333333</v>
      </c>
      <c r="BQ303" s="449">
        <v>115.56583333333333</v>
      </c>
      <c r="BR303" s="449">
        <v>115.56583333333333</v>
      </c>
      <c r="BS303" s="449">
        <v>115.56583333333333</v>
      </c>
      <c r="BT303" s="449">
        <v>115.56583333333333</v>
      </c>
    </row>
    <row r="304" spans="1:72" x14ac:dyDescent="0.25">
      <c r="A304" s="502" t="s">
        <v>517</v>
      </c>
      <c r="B304" s="502" t="s">
        <v>518</v>
      </c>
      <c r="C304" s="541"/>
      <c r="D304" s="500">
        <v>120</v>
      </c>
      <c r="E304" s="449">
        <v>1361</v>
      </c>
      <c r="F304" s="449">
        <v>-1241</v>
      </c>
      <c r="G304" s="421">
        <v>-0.91182953710506975</v>
      </c>
      <c r="H304" s="449">
        <v>120</v>
      </c>
      <c r="I304" s="449">
        <v>0</v>
      </c>
      <c r="J304" s="426">
        <v>0</v>
      </c>
      <c r="K304" s="421"/>
      <c r="L304" s="449">
        <v>0</v>
      </c>
      <c r="M304" s="449">
        <v>0</v>
      </c>
      <c r="N304" s="449">
        <v>0</v>
      </c>
      <c r="O304" s="449">
        <v>0</v>
      </c>
      <c r="P304" s="449">
        <v>0</v>
      </c>
      <c r="Q304" s="449">
        <v>0</v>
      </c>
      <c r="R304" s="449">
        <v>20</v>
      </c>
      <c r="S304" s="449">
        <v>20</v>
      </c>
      <c r="T304" s="449">
        <v>20</v>
      </c>
      <c r="U304" s="449">
        <v>20</v>
      </c>
      <c r="V304" s="449">
        <v>20</v>
      </c>
      <c r="W304" s="449">
        <v>20</v>
      </c>
      <c r="X304" s="449"/>
      <c r="Y304" s="449">
        <v>120</v>
      </c>
      <c r="Z304" s="531"/>
      <c r="AA304" s="449">
        <v>10</v>
      </c>
      <c r="AB304" s="449">
        <v>10</v>
      </c>
      <c r="AC304" s="449">
        <v>10</v>
      </c>
      <c r="AD304" s="449">
        <v>10</v>
      </c>
      <c r="AE304" s="449">
        <v>10</v>
      </c>
      <c r="AF304" s="449">
        <v>10</v>
      </c>
      <c r="AG304" s="449">
        <v>10</v>
      </c>
      <c r="AH304" s="449">
        <v>10</v>
      </c>
      <c r="AI304" s="449">
        <v>10</v>
      </c>
      <c r="AJ304" s="449">
        <v>10</v>
      </c>
      <c r="AK304" s="449">
        <v>10</v>
      </c>
      <c r="AL304" s="449">
        <v>10</v>
      </c>
      <c r="AM304" s="400"/>
      <c r="AN304" s="500">
        <v>120</v>
      </c>
      <c r="AO304" s="449">
        <v>0</v>
      </c>
      <c r="AP304" s="449">
        <v>-120</v>
      </c>
      <c r="AQ304" s="453">
        <v>-1</v>
      </c>
      <c r="AR304" s="449">
        <v>0</v>
      </c>
      <c r="AS304" s="449">
        <v>0</v>
      </c>
      <c r="AT304" s="426">
        <v>0</v>
      </c>
      <c r="AU304" s="421"/>
      <c r="AV304" s="449">
        <v>0</v>
      </c>
      <c r="AW304" s="449">
        <v>0</v>
      </c>
      <c r="AX304" s="449">
        <v>0</v>
      </c>
      <c r="AY304" s="449">
        <v>0</v>
      </c>
      <c r="AZ304" s="449">
        <v>0</v>
      </c>
      <c r="BA304" s="449">
        <v>0</v>
      </c>
      <c r="BB304" s="449">
        <v>0</v>
      </c>
      <c r="BC304" s="449">
        <v>0</v>
      </c>
      <c r="BD304" s="449">
        <v>0</v>
      </c>
      <c r="BE304" s="449">
        <v>0</v>
      </c>
      <c r="BF304" s="449">
        <v>0</v>
      </c>
      <c r="BG304" s="449">
        <v>0</v>
      </c>
      <c r="BH304" s="400"/>
      <c r="BI304" s="449">
        <v>0</v>
      </c>
      <c r="BJ304" s="449">
        <v>0</v>
      </c>
      <c r="BK304" s="449">
        <v>0</v>
      </c>
      <c r="BL304" s="771">
        <v>0</v>
      </c>
      <c r="BM304" s="449">
        <v>0</v>
      </c>
      <c r="BN304" s="449">
        <v>0</v>
      </c>
      <c r="BO304" s="449">
        <v>0</v>
      </c>
      <c r="BP304" s="449">
        <v>0</v>
      </c>
      <c r="BQ304" s="449">
        <v>0</v>
      </c>
      <c r="BR304" s="449">
        <v>0</v>
      </c>
      <c r="BS304" s="449">
        <v>0</v>
      </c>
      <c r="BT304" s="449">
        <v>0</v>
      </c>
    </row>
    <row r="305" spans="1:72" hidden="1" x14ac:dyDescent="0.25">
      <c r="A305" s="616" t="s">
        <v>519</v>
      </c>
      <c r="B305" s="614" t="s">
        <v>520</v>
      </c>
      <c r="C305" s="630"/>
      <c r="D305" s="500">
        <v>78750</v>
      </c>
      <c r="E305" s="449">
        <v>77250</v>
      </c>
      <c r="F305" s="449">
        <v>1500</v>
      </c>
      <c r="G305" s="421">
        <v>1.9417475728155338E-2</v>
      </c>
      <c r="H305" s="449">
        <v>78750</v>
      </c>
      <c r="I305" s="449">
        <v>0</v>
      </c>
      <c r="J305" s="426">
        <v>0</v>
      </c>
      <c r="K305" s="421"/>
      <c r="L305" s="449">
        <v>0</v>
      </c>
      <c r="M305" s="449">
        <v>7269.25</v>
      </c>
      <c r="N305" s="449">
        <v>1918.2700000000004</v>
      </c>
      <c r="O305" s="449">
        <v>3096.16</v>
      </c>
      <c r="P305" s="449">
        <v>3096.16</v>
      </c>
      <c r="Q305" s="449">
        <v>5870.2000000000007</v>
      </c>
      <c r="R305" s="449">
        <v>9583.3266666666659</v>
      </c>
      <c r="S305" s="449">
        <v>9583.3266666666659</v>
      </c>
      <c r="T305" s="449">
        <v>9583.3266666666659</v>
      </c>
      <c r="U305" s="449">
        <v>9583.3266666666659</v>
      </c>
      <c r="V305" s="449">
        <v>9583.3266666666641</v>
      </c>
      <c r="W305" s="449">
        <v>9583.3266666666605</v>
      </c>
      <c r="X305" s="449"/>
      <c r="Y305" s="449">
        <v>78750</v>
      </c>
      <c r="Z305" s="531"/>
      <c r="AA305" s="449">
        <v>6562.5</v>
      </c>
      <c r="AB305" s="449">
        <v>6562.5</v>
      </c>
      <c r="AC305" s="449">
        <v>6562.5</v>
      </c>
      <c r="AD305" s="449">
        <v>6562.5</v>
      </c>
      <c r="AE305" s="449">
        <v>6562.5</v>
      </c>
      <c r="AF305" s="449">
        <v>6562.5</v>
      </c>
      <c r="AG305" s="449">
        <v>6562.5</v>
      </c>
      <c r="AH305" s="449">
        <v>6562.5</v>
      </c>
      <c r="AI305" s="449">
        <v>6562.5</v>
      </c>
      <c r="AJ305" s="449">
        <v>6562.5</v>
      </c>
      <c r="AK305" s="449">
        <v>6562.5</v>
      </c>
      <c r="AL305" s="449">
        <v>6562.5</v>
      </c>
      <c r="AM305" s="400"/>
      <c r="AN305" s="500">
        <v>78750</v>
      </c>
      <c r="AO305" s="449">
        <v>0</v>
      </c>
      <c r="AP305" s="449">
        <v>-78750</v>
      </c>
      <c r="AQ305" s="453">
        <v>-1</v>
      </c>
      <c r="AR305" s="449">
        <v>0</v>
      </c>
      <c r="AS305" s="449">
        <v>0</v>
      </c>
      <c r="AT305" s="426">
        <v>0</v>
      </c>
      <c r="AU305" s="421"/>
      <c r="AV305" s="449">
        <v>0</v>
      </c>
      <c r="AW305" s="449">
        <v>0</v>
      </c>
      <c r="AX305" s="449">
        <v>0</v>
      </c>
      <c r="AY305" s="449">
        <v>0</v>
      </c>
      <c r="AZ305" s="449">
        <v>0</v>
      </c>
      <c r="BA305" s="449">
        <v>0</v>
      </c>
      <c r="BB305" s="449">
        <v>0</v>
      </c>
      <c r="BC305" s="449">
        <v>0</v>
      </c>
      <c r="BD305" s="449">
        <v>0</v>
      </c>
      <c r="BE305" s="449">
        <v>0</v>
      </c>
      <c r="BF305" s="449">
        <v>0</v>
      </c>
      <c r="BG305" s="449">
        <v>0</v>
      </c>
      <c r="BH305" s="400"/>
      <c r="BI305" s="449">
        <v>0</v>
      </c>
      <c r="BJ305" s="449">
        <v>0</v>
      </c>
      <c r="BK305" s="449">
        <v>0</v>
      </c>
      <c r="BL305" s="771">
        <v>0</v>
      </c>
      <c r="BM305" s="449">
        <v>0</v>
      </c>
      <c r="BN305" s="449">
        <v>0</v>
      </c>
      <c r="BO305" s="449">
        <v>0</v>
      </c>
      <c r="BP305" s="449">
        <v>0</v>
      </c>
      <c r="BQ305" s="449">
        <v>0</v>
      </c>
      <c r="BR305" s="449">
        <v>0</v>
      </c>
      <c r="BS305" s="449">
        <v>0</v>
      </c>
      <c r="BT305" s="449">
        <v>0</v>
      </c>
    </row>
    <row r="306" spans="1:72" x14ac:dyDescent="0.25">
      <c r="A306" s="502" t="s">
        <v>521</v>
      </c>
      <c r="B306" s="502" t="s">
        <v>522</v>
      </c>
      <c r="C306" s="630"/>
      <c r="D306" s="500">
        <v>85414</v>
      </c>
      <c r="E306" s="449">
        <v>107129</v>
      </c>
      <c r="F306" s="449">
        <v>-21715</v>
      </c>
      <c r="G306" s="421">
        <v>-0.202699549141689</v>
      </c>
      <c r="H306" s="449">
        <v>85414</v>
      </c>
      <c r="I306" s="449">
        <v>0</v>
      </c>
      <c r="J306" s="426">
        <v>0</v>
      </c>
      <c r="K306" s="421"/>
      <c r="L306" s="449">
        <v>0.01</v>
      </c>
      <c r="M306" s="449">
        <v>0</v>
      </c>
      <c r="N306" s="449">
        <v>0</v>
      </c>
      <c r="O306" s="449">
        <v>727.35</v>
      </c>
      <c r="P306" s="449">
        <v>727.35</v>
      </c>
      <c r="Q306" s="449">
        <v>727.34999999999991</v>
      </c>
      <c r="R306" s="449">
        <v>13871.99</v>
      </c>
      <c r="S306" s="449">
        <v>13871.99</v>
      </c>
      <c r="T306" s="449">
        <v>13871.99</v>
      </c>
      <c r="U306" s="449">
        <v>13871.99</v>
      </c>
      <c r="V306" s="449">
        <v>13871.990000000002</v>
      </c>
      <c r="W306" s="449">
        <v>13871.990000000005</v>
      </c>
      <c r="X306" s="449"/>
      <c r="Y306" s="449">
        <v>85414</v>
      </c>
      <c r="Z306" s="531"/>
      <c r="AA306" s="449">
        <v>7117.833333333333</v>
      </c>
      <c r="AB306" s="449">
        <v>7117.833333333333</v>
      </c>
      <c r="AC306" s="449">
        <v>7117.833333333333</v>
      </c>
      <c r="AD306" s="449">
        <v>7117.833333333333</v>
      </c>
      <c r="AE306" s="449">
        <v>7117.833333333333</v>
      </c>
      <c r="AF306" s="449">
        <v>7117.833333333333</v>
      </c>
      <c r="AG306" s="449">
        <v>7117.833333333333</v>
      </c>
      <c r="AH306" s="449">
        <v>7117.833333333333</v>
      </c>
      <c r="AI306" s="449">
        <v>7117.833333333333</v>
      </c>
      <c r="AJ306" s="449">
        <v>7117.833333333333</v>
      </c>
      <c r="AK306" s="449">
        <v>7117.833333333333</v>
      </c>
      <c r="AL306" s="449">
        <v>7117.833333333333</v>
      </c>
      <c r="AM306" s="400"/>
      <c r="AN306" s="500">
        <v>85414</v>
      </c>
      <c r="AO306" s="449">
        <v>87976.42</v>
      </c>
      <c r="AP306" s="449">
        <v>2562.4199999999983</v>
      </c>
      <c r="AQ306" s="453">
        <v>2.9999999999999978E-2</v>
      </c>
      <c r="AR306" s="449">
        <v>87976.42</v>
      </c>
      <c r="AS306" s="449">
        <v>0</v>
      </c>
      <c r="AT306" s="426">
        <v>0</v>
      </c>
      <c r="AU306" s="421"/>
      <c r="AV306" s="449">
        <v>7331.3683333333347</v>
      </c>
      <c r="AW306" s="449">
        <v>7331.3683333333347</v>
      </c>
      <c r="AX306" s="449">
        <v>7331.3683333333347</v>
      </c>
      <c r="AY306" s="449">
        <v>7331.3683333333347</v>
      </c>
      <c r="AZ306" s="449">
        <v>7331.3683333333347</v>
      </c>
      <c r="BA306" s="449">
        <v>7331.3683333333347</v>
      </c>
      <c r="BB306" s="449">
        <v>7331.3683333333347</v>
      </c>
      <c r="BC306" s="449">
        <v>7331.3683333333347</v>
      </c>
      <c r="BD306" s="449">
        <v>7331.3683333333347</v>
      </c>
      <c r="BE306" s="449">
        <v>7331.3683333333347</v>
      </c>
      <c r="BF306" s="449">
        <v>7331.3683333333347</v>
      </c>
      <c r="BG306" s="449">
        <v>7331.3683333333347</v>
      </c>
      <c r="BH306" s="400"/>
      <c r="BI306" s="449">
        <v>7331.3683333333347</v>
      </c>
      <c r="BJ306" s="449">
        <v>7331.3683333333347</v>
      </c>
      <c r="BK306" s="449">
        <v>7331.3683333333347</v>
      </c>
      <c r="BL306" s="771">
        <v>7331.3683333333347</v>
      </c>
      <c r="BM306" s="449">
        <v>7331.3683333333347</v>
      </c>
      <c r="BN306" s="449">
        <v>7331.3683333333347</v>
      </c>
      <c r="BO306" s="449">
        <v>7331.3683333333347</v>
      </c>
      <c r="BP306" s="449">
        <v>7331.3683333333347</v>
      </c>
      <c r="BQ306" s="449">
        <v>7331.3683333333347</v>
      </c>
      <c r="BR306" s="449">
        <v>7331.3683333333347</v>
      </c>
      <c r="BS306" s="449">
        <v>7331.3683333333347</v>
      </c>
      <c r="BT306" s="449">
        <v>7331.3683333333347</v>
      </c>
    </row>
    <row r="307" spans="1:72" x14ac:dyDescent="0.25">
      <c r="A307" s="502" t="s">
        <v>523</v>
      </c>
      <c r="B307" s="502" t="s">
        <v>524</v>
      </c>
      <c r="C307" s="630"/>
      <c r="D307" s="500">
        <v>0</v>
      </c>
      <c r="E307" s="449">
        <v>0</v>
      </c>
      <c r="F307" s="449">
        <v>0</v>
      </c>
      <c r="G307" s="421">
        <v>0</v>
      </c>
      <c r="H307" s="449">
        <v>0</v>
      </c>
      <c r="I307" s="449">
        <v>0</v>
      </c>
      <c r="J307" s="426">
        <v>0</v>
      </c>
      <c r="K307" s="421"/>
      <c r="L307" s="449">
        <v>0</v>
      </c>
      <c r="M307" s="449">
        <v>0</v>
      </c>
      <c r="N307" s="449">
        <v>0</v>
      </c>
      <c r="O307" s="449">
        <v>0</v>
      </c>
      <c r="P307" s="449">
        <v>0</v>
      </c>
      <c r="Q307" s="449">
        <v>0</v>
      </c>
      <c r="R307" s="449">
        <v>0</v>
      </c>
      <c r="S307" s="449">
        <v>0</v>
      </c>
      <c r="T307" s="449">
        <v>0</v>
      </c>
      <c r="U307" s="449">
        <v>0</v>
      </c>
      <c r="V307" s="449">
        <v>0</v>
      </c>
      <c r="W307" s="449">
        <v>0</v>
      </c>
      <c r="X307" s="449"/>
      <c r="Y307" s="449">
        <v>0</v>
      </c>
      <c r="Z307" s="531"/>
      <c r="AA307" s="449">
        <v>0</v>
      </c>
      <c r="AB307" s="449">
        <v>0</v>
      </c>
      <c r="AC307" s="449">
        <v>0</v>
      </c>
      <c r="AD307" s="449">
        <v>0</v>
      </c>
      <c r="AE307" s="449">
        <v>0</v>
      </c>
      <c r="AF307" s="449">
        <v>0</v>
      </c>
      <c r="AG307" s="449">
        <v>0</v>
      </c>
      <c r="AH307" s="449">
        <v>0</v>
      </c>
      <c r="AI307" s="449">
        <v>0</v>
      </c>
      <c r="AJ307" s="449">
        <v>0</v>
      </c>
      <c r="AK307" s="449">
        <v>0</v>
      </c>
      <c r="AL307" s="449">
        <v>0</v>
      </c>
      <c r="AM307" s="400"/>
      <c r="AN307" s="500">
        <v>0</v>
      </c>
      <c r="AO307" s="449">
        <v>0</v>
      </c>
      <c r="AP307" s="449">
        <v>0</v>
      </c>
      <c r="AQ307" s="453" t="s">
        <v>1519</v>
      </c>
      <c r="AR307" s="449">
        <v>0</v>
      </c>
      <c r="AS307" s="449">
        <v>0</v>
      </c>
      <c r="AT307" s="426">
        <v>0</v>
      </c>
      <c r="AU307" s="421"/>
      <c r="AV307" s="449">
        <v>0</v>
      </c>
      <c r="AW307" s="449">
        <v>0</v>
      </c>
      <c r="AX307" s="449">
        <v>0</v>
      </c>
      <c r="AY307" s="449">
        <v>0</v>
      </c>
      <c r="AZ307" s="449">
        <v>0</v>
      </c>
      <c r="BA307" s="449">
        <v>0</v>
      </c>
      <c r="BB307" s="449">
        <v>0</v>
      </c>
      <c r="BC307" s="449">
        <v>0</v>
      </c>
      <c r="BD307" s="449">
        <v>0</v>
      </c>
      <c r="BE307" s="449">
        <v>0</v>
      </c>
      <c r="BF307" s="449">
        <v>0</v>
      </c>
      <c r="BG307" s="449">
        <v>0</v>
      </c>
      <c r="BH307" s="400"/>
      <c r="BI307" s="449">
        <v>0</v>
      </c>
      <c r="BJ307" s="449">
        <v>0</v>
      </c>
      <c r="BK307" s="449">
        <v>0</v>
      </c>
      <c r="BL307" s="771">
        <v>0</v>
      </c>
      <c r="BM307" s="449">
        <v>0</v>
      </c>
      <c r="BN307" s="449">
        <v>0</v>
      </c>
      <c r="BO307" s="449">
        <v>0</v>
      </c>
      <c r="BP307" s="449">
        <v>0</v>
      </c>
      <c r="BQ307" s="449">
        <v>0</v>
      </c>
      <c r="BR307" s="449">
        <v>0</v>
      </c>
      <c r="BS307" s="449">
        <v>0</v>
      </c>
      <c r="BT307" s="449">
        <v>0</v>
      </c>
    </row>
    <row r="308" spans="1:72" hidden="1" x14ac:dyDescent="0.25">
      <c r="A308" s="616" t="s">
        <v>525</v>
      </c>
      <c r="B308" s="614" t="s">
        <v>526</v>
      </c>
      <c r="C308" s="630"/>
      <c r="D308" s="500">
        <v>3000</v>
      </c>
      <c r="E308" s="449">
        <v>0</v>
      </c>
      <c r="F308" s="449">
        <v>3000</v>
      </c>
      <c r="G308" s="421">
        <v>0</v>
      </c>
      <c r="H308" s="449">
        <v>0</v>
      </c>
      <c r="I308" s="449">
        <v>3000</v>
      </c>
      <c r="J308" s="426">
        <v>0</v>
      </c>
      <c r="K308" s="421"/>
      <c r="L308" s="449">
        <v>0</v>
      </c>
      <c r="M308" s="449">
        <v>0</v>
      </c>
      <c r="N308" s="449">
        <v>0</v>
      </c>
      <c r="O308" s="449">
        <v>3000</v>
      </c>
      <c r="P308" s="449">
        <v>0</v>
      </c>
      <c r="Q308" s="449">
        <v>0</v>
      </c>
      <c r="R308" s="449">
        <v>0</v>
      </c>
      <c r="S308" s="449">
        <v>0</v>
      </c>
      <c r="T308" s="449">
        <v>0</v>
      </c>
      <c r="U308" s="449">
        <v>0</v>
      </c>
      <c r="V308" s="449">
        <v>0</v>
      </c>
      <c r="W308" s="449">
        <v>0</v>
      </c>
      <c r="X308" s="449"/>
      <c r="Y308" s="449">
        <v>3000</v>
      </c>
      <c r="Z308" s="531"/>
      <c r="AA308" s="449">
        <v>0</v>
      </c>
      <c r="AB308" s="449">
        <v>0</v>
      </c>
      <c r="AC308" s="449">
        <v>0</v>
      </c>
      <c r="AD308" s="449">
        <v>0</v>
      </c>
      <c r="AE308" s="449">
        <v>0</v>
      </c>
      <c r="AF308" s="449">
        <v>0</v>
      </c>
      <c r="AG308" s="449">
        <v>0</v>
      </c>
      <c r="AH308" s="449">
        <v>0</v>
      </c>
      <c r="AI308" s="449">
        <v>0</v>
      </c>
      <c r="AJ308" s="449">
        <v>0</v>
      </c>
      <c r="AK308" s="449">
        <v>0</v>
      </c>
      <c r="AL308" s="449">
        <v>0</v>
      </c>
      <c r="AM308" s="400"/>
      <c r="AN308" s="500">
        <v>3000</v>
      </c>
      <c r="AO308" s="449">
        <v>0</v>
      </c>
      <c r="AP308" s="449">
        <v>-3000</v>
      </c>
      <c r="AQ308" s="453">
        <v>-1</v>
      </c>
      <c r="AR308" s="449">
        <v>0</v>
      </c>
      <c r="AS308" s="449">
        <v>0</v>
      </c>
      <c r="AT308" s="426">
        <v>0</v>
      </c>
      <c r="AU308" s="421"/>
      <c r="AV308" s="449">
        <v>0</v>
      </c>
      <c r="AW308" s="449">
        <v>0</v>
      </c>
      <c r="AX308" s="449">
        <v>0</v>
      </c>
      <c r="AY308" s="449">
        <v>0</v>
      </c>
      <c r="AZ308" s="449">
        <v>0</v>
      </c>
      <c r="BA308" s="449">
        <v>0</v>
      </c>
      <c r="BB308" s="449">
        <v>0</v>
      </c>
      <c r="BC308" s="449">
        <v>0</v>
      </c>
      <c r="BD308" s="449">
        <v>0</v>
      </c>
      <c r="BE308" s="449">
        <v>0</v>
      </c>
      <c r="BF308" s="449">
        <v>0</v>
      </c>
      <c r="BG308" s="449">
        <v>0</v>
      </c>
      <c r="BH308" s="400"/>
      <c r="BI308" s="449">
        <v>0</v>
      </c>
      <c r="BJ308" s="449">
        <v>0</v>
      </c>
      <c r="BK308" s="449">
        <v>0</v>
      </c>
      <c r="BL308" s="771">
        <v>0</v>
      </c>
      <c r="BM308" s="449">
        <v>0</v>
      </c>
      <c r="BN308" s="449">
        <v>0</v>
      </c>
      <c r="BO308" s="449">
        <v>0</v>
      </c>
      <c r="BP308" s="449">
        <v>0</v>
      </c>
      <c r="BQ308" s="449">
        <v>0</v>
      </c>
      <c r="BR308" s="449">
        <v>0</v>
      </c>
      <c r="BS308" s="449">
        <v>0</v>
      </c>
      <c r="BT308" s="449">
        <v>0</v>
      </c>
    </row>
    <row r="309" spans="1:72" x14ac:dyDescent="0.25">
      <c r="A309" s="502" t="s">
        <v>527</v>
      </c>
      <c r="B309" s="502" t="s">
        <v>528</v>
      </c>
      <c r="C309" s="630"/>
      <c r="D309" s="500">
        <v>0</v>
      </c>
      <c r="E309" s="449">
        <v>0</v>
      </c>
      <c r="F309" s="449">
        <v>0</v>
      </c>
      <c r="G309" s="421">
        <v>0</v>
      </c>
      <c r="H309" s="449">
        <v>0</v>
      </c>
      <c r="I309" s="449">
        <v>0</v>
      </c>
      <c r="J309" s="426">
        <v>0</v>
      </c>
      <c r="K309" s="421"/>
      <c r="L309" s="449">
        <v>0</v>
      </c>
      <c r="M309" s="449">
        <v>0</v>
      </c>
      <c r="N309" s="449">
        <v>0</v>
      </c>
      <c r="O309" s="449">
        <v>0</v>
      </c>
      <c r="P309" s="449">
        <v>0</v>
      </c>
      <c r="Q309" s="449">
        <v>0</v>
      </c>
      <c r="R309" s="449">
        <v>0</v>
      </c>
      <c r="S309" s="449">
        <v>0</v>
      </c>
      <c r="T309" s="449">
        <v>0</v>
      </c>
      <c r="U309" s="449">
        <v>0</v>
      </c>
      <c r="V309" s="449">
        <v>0</v>
      </c>
      <c r="W309" s="449">
        <v>0</v>
      </c>
      <c r="X309" s="449"/>
      <c r="Y309" s="449">
        <v>0</v>
      </c>
      <c r="Z309" s="531"/>
      <c r="AA309" s="449">
        <v>0</v>
      </c>
      <c r="AB309" s="449">
        <v>0</v>
      </c>
      <c r="AC309" s="449">
        <v>0</v>
      </c>
      <c r="AD309" s="449">
        <v>0</v>
      </c>
      <c r="AE309" s="449">
        <v>0</v>
      </c>
      <c r="AF309" s="449">
        <v>0</v>
      </c>
      <c r="AG309" s="449">
        <v>0</v>
      </c>
      <c r="AH309" s="449">
        <v>0</v>
      </c>
      <c r="AI309" s="449">
        <v>0</v>
      </c>
      <c r="AJ309" s="449">
        <v>0</v>
      </c>
      <c r="AK309" s="449">
        <v>0</v>
      </c>
      <c r="AL309" s="449">
        <v>0</v>
      </c>
      <c r="AM309" s="400"/>
      <c r="AN309" s="500">
        <v>0</v>
      </c>
      <c r="AO309" s="449">
        <v>6000</v>
      </c>
      <c r="AP309" s="449">
        <v>6000</v>
      </c>
      <c r="AQ309" s="453" t="s">
        <v>1519</v>
      </c>
      <c r="AR309" s="449">
        <v>6000</v>
      </c>
      <c r="AS309" s="449">
        <v>0</v>
      </c>
      <c r="AT309" s="426">
        <v>0</v>
      </c>
      <c r="AU309" s="421"/>
      <c r="AV309" s="449">
        <v>0</v>
      </c>
      <c r="AW309" s="449">
        <v>0</v>
      </c>
      <c r="AX309" s="449">
        <v>0</v>
      </c>
      <c r="AY309" s="449">
        <v>6000</v>
      </c>
      <c r="AZ309" s="449">
        <v>0</v>
      </c>
      <c r="BA309" s="449">
        <v>0</v>
      </c>
      <c r="BB309" s="449">
        <v>0</v>
      </c>
      <c r="BC309" s="449">
        <v>0</v>
      </c>
      <c r="BD309" s="449">
        <v>0</v>
      </c>
      <c r="BE309" s="449">
        <v>0</v>
      </c>
      <c r="BF309" s="449">
        <v>0</v>
      </c>
      <c r="BG309" s="449">
        <v>0</v>
      </c>
      <c r="BH309" s="400"/>
      <c r="BI309" s="449">
        <v>0</v>
      </c>
      <c r="BJ309" s="449">
        <v>0</v>
      </c>
      <c r="BK309" s="449">
        <v>0</v>
      </c>
      <c r="BL309" s="771">
        <v>6000</v>
      </c>
      <c r="BM309" s="449">
        <v>0</v>
      </c>
      <c r="BN309" s="449">
        <v>0</v>
      </c>
      <c r="BO309" s="449">
        <v>0</v>
      </c>
      <c r="BP309" s="449">
        <v>0</v>
      </c>
      <c r="BQ309" s="449">
        <v>0</v>
      </c>
      <c r="BR309" s="449">
        <v>0</v>
      </c>
      <c r="BS309" s="449">
        <v>0</v>
      </c>
      <c r="BT309" s="449">
        <v>0</v>
      </c>
    </row>
    <row r="310" spans="1:72" hidden="1" x14ac:dyDescent="0.25">
      <c r="A310" s="502" t="s">
        <v>529</v>
      </c>
      <c r="B310" s="502" t="s">
        <v>530</v>
      </c>
      <c r="C310" s="541"/>
      <c r="D310" s="500">
        <v>0</v>
      </c>
      <c r="E310" s="449">
        <v>0</v>
      </c>
      <c r="F310" s="449">
        <v>0</v>
      </c>
      <c r="G310" s="421">
        <v>0</v>
      </c>
      <c r="H310" s="449">
        <v>0</v>
      </c>
      <c r="I310" s="449">
        <v>0</v>
      </c>
      <c r="J310" s="426">
        <v>0</v>
      </c>
      <c r="K310" s="421"/>
      <c r="L310" s="449">
        <v>0</v>
      </c>
      <c r="M310" s="449">
        <v>0</v>
      </c>
      <c r="N310" s="449">
        <v>0</v>
      </c>
      <c r="O310" s="449">
        <v>0</v>
      </c>
      <c r="P310" s="449">
        <v>0</v>
      </c>
      <c r="Q310" s="449">
        <v>0</v>
      </c>
      <c r="R310" s="449">
        <v>0</v>
      </c>
      <c r="S310" s="449">
        <v>0</v>
      </c>
      <c r="T310" s="449">
        <v>0</v>
      </c>
      <c r="U310" s="449">
        <v>0</v>
      </c>
      <c r="V310" s="449">
        <v>0</v>
      </c>
      <c r="W310" s="449">
        <v>0</v>
      </c>
      <c r="X310" s="449"/>
      <c r="Y310" s="449">
        <v>0</v>
      </c>
      <c r="Z310" s="531"/>
      <c r="AA310" s="449">
        <v>0</v>
      </c>
      <c r="AB310" s="449">
        <v>0</v>
      </c>
      <c r="AC310" s="449">
        <v>0</v>
      </c>
      <c r="AD310" s="449">
        <v>0</v>
      </c>
      <c r="AE310" s="449">
        <v>0</v>
      </c>
      <c r="AF310" s="449">
        <v>0</v>
      </c>
      <c r="AG310" s="449">
        <v>0</v>
      </c>
      <c r="AH310" s="449">
        <v>0</v>
      </c>
      <c r="AI310" s="449">
        <v>0</v>
      </c>
      <c r="AJ310" s="449">
        <v>0</v>
      </c>
      <c r="AK310" s="449">
        <v>0</v>
      </c>
      <c r="AL310" s="449">
        <v>0</v>
      </c>
      <c r="AM310" s="400"/>
      <c r="AN310" s="500">
        <v>0</v>
      </c>
      <c r="AO310" s="449">
        <v>0</v>
      </c>
      <c r="AP310" s="449">
        <v>0</v>
      </c>
      <c r="AQ310" s="453" t="s">
        <v>1519</v>
      </c>
      <c r="AR310" s="449">
        <v>0</v>
      </c>
      <c r="AS310" s="449">
        <v>0</v>
      </c>
      <c r="AT310" s="426">
        <v>0</v>
      </c>
      <c r="AU310" s="421"/>
      <c r="AV310" s="449">
        <v>0</v>
      </c>
      <c r="AW310" s="449">
        <v>0</v>
      </c>
      <c r="AX310" s="449">
        <v>0</v>
      </c>
      <c r="AY310" s="449">
        <v>0</v>
      </c>
      <c r="AZ310" s="449">
        <v>0</v>
      </c>
      <c r="BA310" s="449">
        <v>0</v>
      </c>
      <c r="BB310" s="449">
        <v>0</v>
      </c>
      <c r="BC310" s="449">
        <v>0</v>
      </c>
      <c r="BD310" s="449">
        <v>0</v>
      </c>
      <c r="BE310" s="449">
        <v>0</v>
      </c>
      <c r="BF310" s="449">
        <v>0</v>
      </c>
      <c r="BG310" s="449">
        <v>0</v>
      </c>
      <c r="BH310" s="400"/>
      <c r="BI310" s="449">
        <v>0</v>
      </c>
      <c r="BJ310" s="449">
        <v>0</v>
      </c>
      <c r="BK310" s="449">
        <v>0</v>
      </c>
      <c r="BL310" s="771">
        <v>0</v>
      </c>
      <c r="BM310" s="449">
        <v>0</v>
      </c>
      <c r="BN310" s="449">
        <v>0</v>
      </c>
      <c r="BO310" s="449">
        <v>0</v>
      </c>
      <c r="BP310" s="449">
        <v>0</v>
      </c>
      <c r="BQ310" s="449">
        <v>0</v>
      </c>
      <c r="BR310" s="449">
        <v>0</v>
      </c>
      <c r="BS310" s="449">
        <v>0</v>
      </c>
      <c r="BT310" s="449">
        <v>0</v>
      </c>
    </row>
    <row r="311" spans="1:72" hidden="1" x14ac:dyDescent="0.25">
      <c r="A311" s="616" t="s">
        <v>531</v>
      </c>
      <c r="B311" s="614" t="s">
        <v>532</v>
      </c>
      <c r="C311" s="541"/>
      <c r="D311" s="500">
        <v>10385</v>
      </c>
      <c r="E311" s="449">
        <v>8874</v>
      </c>
      <c r="F311" s="449">
        <v>1511</v>
      </c>
      <c r="G311" s="421">
        <v>0.17027270678386297</v>
      </c>
      <c r="H311" s="449">
        <v>10385</v>
      </c>
      <c r="I311" s="449">
        <v>0</v>
      </c>
      <c r="J311" s="426">
        <v>0</v>
      </c>
      <c r="K311" s="421"/>
      <c r="L311" s="449">
        <v>11.67</v>
      </c>
      <c r="M311" s="449">
        <v>1162.25</v>
      </c>
      <c r="N311" s="449">
        <v>184.42999999999984</v>
      </c>
      <c r="O311" s="449">
        <v>754.31</v>
      </c>
      <c r="P311" s="449">
        <v>236.86000000000013</v>
      </c>
      <c r="Q311" s="449">
        <v>525.57000000000016</v>
      </c>
      <c r="R311" s="449">
        <v>1251.6516666666666</v>
      </c>
      <c r="S311" s="449">
        <v>1251.6516666666666</v>
      </c>
      <c r="T311" s="449">
        <v>1251.6516666666666</v>
      </c>
      <c r="U311" s="449">
        <v>1251.6516666666666</v>
      </c>
      <c r="V311" s="449">
        <v>1251.6516666666666</v>
      </c>
      <c r="W311" s="449">
        <v>1251.6516666666666</v>
      </c>
      <c r="X311" s="449"/>
      <c r="Y311" s="449">
        <v>10385</v>
      </c>
      <c r="Z311" s="531"/>
      <c r="AA311" s="449">
        <v>865.41666666666663</v>
      </c>
      <c r="AB311" s="449">
        <v>865.41666666666663</v>
      </c>
      <c r="AC311" s="449">
        <v>865.41666666666663</v>
      </c>
      <c r="AD311" s="449">
        <v>865.41666666666663</v>
      </c>
      <c r="AE311" s="449">
        <v>865.41666666666663</v>
      </c>
      <c r="AF311" s="449">
        <v>865.41666666666663</v>
      </c>
      <c r="AG311" s="449">
        <v>865.41666666666663</v>
      </c>
      <c r="AH311" s="449">
        <v>865.41666666666663</v>
      </c>
      <c r="AI311" s="449">
        <v>865.41666666666663</v>
      </c>
      <c r="AJ311" s="449">
        <v>865.41666666666663</v>
      </c>
      <c r="AK311" s="449">
        <v>865.41666666666663</v>
      </c>
      <c r="AL311" s="449">
        <v>865.41666666666663</v>
      </c>
      <c r="AM311" s="400"/>
      <c r="AN311" s="500">
        <v>10385</v>
      </c>
      <c r="AO311" s="449">
        <v>0</v>
      </c>
      <c r="AP311" s="449">
        <v>-10385</v>
      </c>
      <c r="AQ311" s="453">
        <v>-1</v>
      </c>
      <c r="AR311" s="449">
        <v>0</v>
      </c>
      <c r="AS311" s="449">
        <v>0</v>
      </c>
      <c r="AT311" s="426">
        <v>0</v>
      </c>
      <c r="AU311" s="421"/>
      <c r="AV311" s="449">
        <v>0</v>
      </c>
      <c r="AW311" s="449">
        <v>0</v>
      </c>
      <c r="AX311" s="449">
        <v>0</v>
      </c>
      <c r="AY311" s="449">
        <v>0</v>
      </c>
      <c r="AZ311" s="449">
        <v>0</v>
      </c>
      <c r="BA311" s="449">
        <v>0</v>
      </c>
      <c r="BB311" s="449">
        <v>0</v>
      </c>
      <c r="BC311" s="449">
        <v>0</v>
      </c>
      <c r="BD311" s="449">
        <v>0</v>
      </c>
      <c r="BE311" s="449">
        <v>0</v>
      </c>
      <c r="BF311" s="449">
        <v>0</v>
      </c>
      <c r="BG311" s="449">
        <v>0</v>
      </c>
      <c r="BH311" s="400"/>
      <c r="BI311" s="449">
        <v>0</v>
      </c>
      <c r="BJ311" s="449">
        <v>0</v>
      </c>
      <c r="BK311" s="449">
        <v>0</v>
      </c>
      <c r="BL311" s="771">
        <v>0</v>
      </c>
      <c r="BM311" s="449">
        <v>0</v>
      </c>
      <c r="BN311" s="449">
        <v>0</v>
      </c>
      <c r="BO311" s="449">
        <v>0</v>
      </c>
      <c r="BP311" s="449">
        <v>0</v>
      </c>
      <c r="BQ311" s="449">
        <v>0</v>
      </c>
      <c r="BR311" s="449">
        <v>0</v>
      </c>
      <c r="BS311" s="449">
        <v>0</v>
      </c>
      <c r="BT311" s="449">
        <v>0</v>
      </c>
    </row>
    <row r="312" spans="1:72" x14ac:dyDescent="0.25">
      <c r="A312" s="502" t="s">
        <v>533</v>
      </c>
      <c r="B312" s="502" t="s">
        <v>534</v>
      </c>
      <c r="C312" s="541"/>
      <c r="D312" s="500">
        <v>9326</v>
      </c>
      <c r="E312" s="449">
        <v>12383</v>
      </c>
      <c r="F312" s="449">
        <v>-3057</v>
      </c>
      <c r="G312" s="421">
        <v>-0.24687070984414117</v>
      </c>
      <c r="H312" s="449">
        <v>9326</v>
      </c>
      <c r="I312" s="449">
        <v>0</v>
      </c>
      <c r="J312" s="426">
        <v>0</v>
      </c>
      <c r="K312" s="421"/>
      <c r="L312" s="449">
        <v>2.94</v>
      </c>
      <c r="M312" s="449">
        <v>0</v>
      </c>
      <c r="N312" s="449">
        <v>0</v>
      </c>
      <c r="O312" s="449">
        <v>93.460000000000008</v>
      </c>
      <c r="P312" s="449">
        <v>55.639999999999986</v>
      </c>
      <c r="Q312" s="449">
        <v>55.640000000000015</v>
      </c>
      <c r="R312" s="449">
        <v>1519.72</v>
      </c>
      <c r="S312" s="449">
        <v>1519.72</v>
      </c>
      <c r="T312" s="449">
        <v>1519.72</v>
      </c>
      <c r="U312" s="449">
        <v>1519.72</v>
      </c>
      <c r="V312" s="449">
        <v>1519.7199999999998</v>
      </c>
      <c r="W312" s="449">
        <v>1519.7199999999993</v>
      </c>
      <c r="X312" s="449"/>
      <c r="Y312" s="449">
        <v>9326</v>
      </c>
      <c r="Z312" s="531"/>
      <c r="AA312" s="449">
        <v>777.16666666666663</v>
      </c>
      <c r="AB312" s="449">
        <v>777.16666666666663</v>
      </c>
      <c r="AC312" s="449">
        <v>777.16666666666663</v>
      </c>
      <c r="AD312" s="449">
        <v>777.16666666666663</v>
      </c>
      <c r="AE312" s="449">
        <v>777.16666666666663</v>
      </c>
      <c r="AF312" s="449">
        <v>777.16666666666663</v>
      </c>
      <c r="AG312" s="449">
        <v>777.16666666666663</v>
      </c>
      <c r="AH312" s="449">
        <v>777.16666666666663</v>
      </c>
      <c r="AI312" s="449">
        <v>777.16666666666663</v>
      </c>
      <c r="AJ312" s="449">
        <v>777.16666666666663</v>
      </c>
      <c r="AK312" s="449">
        <v>777.16666666666663</v>
      </c>
      <c r="AL312" s="449">
        <v>777.16666666666663</v>
      </c>
      <c r="AM312" s="400"/>
      <c r="AN312" s="500">
        <v>9326</v>
      </c>
      <c r="AO312" s="449">
        <v>9972.1999999999989</v>
      </c>
      <c r="AP312" s="449">
        <v>646.19999999999891</v>
      </c>
      <c r="AQ312" s="453">
        <v>6.9290156551576124E-2</v>
      </c>
      <c r="AR312" s="449">
        <v>9972.1999999999989</v>
      </c>
      <c r="AS312" s="449">
        <v>0</v>
      </c>
      <c r="AT312" s="426">
        <v>0</v>
      </c>
      <c r="AU312" s="421"/>
      <c r="AV312" s="449">
        <v>831.01666666666677</v>
      </c>
      <c r="AW312" s="449">
        <v>831.01666666666677</v>
      </c>
      <c r="AX312" s="449">
        <v>831.01666666666677</v>
      </c>
      <c r="AY312" s="449">
        <v>831.01666666666677</v>
      </c>
      <c r="AZ312" s="449">
        <v>831.01666666666677</v>
      </c>
      <c r="BA312" s="449">
        <v>831.01666666666677</v>
      </c>
      <c r="BB312" s="449">
        <v>831.01666666666677</v>
      </c>
      <c r="BC312" s="449">
        <v>831.01666666666677</v>
      </c>
      <c r="BD312" s="449">
        <v>831.01666666666677</v>
      </c>
      <c r="BE312" s="449">
        <v>831.01666666666677</v>
      </c>
      <c r="BF312" s="449">
        <v>831.01666666666677</v>
      </c>
      <c r="BG312" s="449">
        <v>831.01666666666677</v>
      </c>
      <c r="BH312" s="400"/>
      <c r="BI312" s="449">
        <v>831.01666666666677</v>
      </c>
      <c r="BJ312" s="449">
        <v>831.01666666666677</v>
      </c>
      <c r="BK312" s="449">
        <v>831.01666666666677</v>
      </c>
      <c r="BL312" s="771">
        <v>831.01666666666677</v>
      </c>
      <c r="BM312" s="449">
        <v>831.01666666666677</v>
      </c>
      <c r="BN312" s="449">
        <v>831.01666666666677</v>
      </c>
      <c r="BO312" s="449">
        <v>831.01666666666677</v>
      </c>
      <c r="BP312" s="449">
        <v>831.01666666666677</v>
      </c>
      <c r="BQ312" s="449">
        <v>831.01666666666677</v>
      </c>
      <c r="BR312" s="449">
        <v>831.01666666666677</v>
      </c>
      <c r="BS312" s="449">
        <v>831.01666666666677</v>
      </c>
      <c r="BT312" s="449">
        <v>831.01666666666677</v>
      </c>
    </row>
    <row r="313" spans="1:72" hidden="1" x14ac:dyDescent="0.25">
      <c r="A313" s="616" t="s">
        <v>535</v>
      </c>
      <c r="B313" s="614" t="s">
        <v>536</v>
      </c>
      <c r="C313" s="541"/>
      <c r="D313" s="500">
        <v>9860</v>
      </c>
      <c r="E313" s="449">
        <v>1860</v>
      </c>
      <c r="F313" s="449">
        <v>8000</v>
      </c>
      <c r="G313" s="421">
        <v>4.301075268817204</v>
      </c>
      <c r="H313" s="449">
        <v>9860</v>
      </c>
      <c r="I313" s="449">
        <v>0</v>
      </c>
      <c r="J313" s="426">
        <v>0</v>
      </c>
      <c r="K313" s="421"/>
      <c r="L313" s="449">
        <v>8.5399999999999991</v>
      </c>
      <c r="M313" s="449">
        <v>187.34</v>
      </c>
      <c r="N313" s="449">
        <v>306.74</v>
      </c>
      <c r="O313" s="449">
        <v>2707.4</v>
      </c>
      <c r="P313" s="449">
        <v>828.40000000000009</v>
      </c>
      <c r="Q313" s="449">
        <v>685.47000000000025</v>
      </c>
      <c r="R313" s="449">
        <v>856.01833333333332</v>
      </c>
      <c r="S313" s="449">
        <v>856.0183333333332</v>
      </c>
      <c r="T313" s="449">
        <v>856.0183333333332</v>
      </c>
      <c r="U313" s="449">
        <v>856.01833333333309</v>
      </c>
      <c r="V313" s="449">
        <v>856.01833333333298</v>
      </c>
      <c r="W313" s="449">
        <v>856.01833333333343</v>
      </c>
      <c r="X313" s="449"/>
      <c r="Y313" s="449">
        <v>9860</v>
      </c>
      <c r="Z313" s="531"/>
      <c r="AA313" s="449">
        <v>821.66666666666663</v>
      </c>
      <c r="AB313" s="449">
        <v>821.66666666666663</v>
      </c>
      <c r="AC313" s="449">
        <v>821.66666666666663</v>
      </c>
      <c r="AD313" s="449">
        <v>821.66666666666663</v>
      </c>
      <c r="AE313" s="449">
        <v>821.66666666666663</v>
      </c>
      <c r="AF313" s="449">
        <v>821.66666666666663</v>
      </c>
      <c r="AG313" s="449">
        <v>821.66666666666663</v>
      </c>
      <c r="AH313" s="449">
        <v>821.66666666666663</v>
      </c>
      <c r="AI313" s="449">
        <v>821.66666666666663</v>
      </c>
      <c r="AJ313" s="449">
        <v>821.66666666666663</v>
      </c>
      <c r="AK313" s="449">
        <v>821.66666666666663</v>
      </c>
      <c r="AL313" s="449">
        <v>821.66666666666663</v>
      </c>
      <c r="AM313" s="400"/>
      <c r="AN313" s="500">
        <v>9860</v>
      </c>
      <c r="AO313" s="449">
        <v>0</v>
      </c>
      <c r="AP313" s="449">
        <v>-9860</v>
      </c>
      <c r="AQ313" s="453">
        <v>-1</v>
      </c>
      <c r="AR313" s="449">
        <v>0</v>
      </c>
      <c r="AS313" s="449">
        <v>0</v>
      </c>
      <c r="AT313" s="426">
        <v>0</v>
      </c>
      <c r="AU313" s="421"/>
      <c r="AV313" s="449">
        <v>0</v>
      </c>
      <c r="AW313" s="449">
        <v>0</v>
      </c>
      <c r="AX313" s="449">
        <v>0</v>
      </c>
      <c r="AY313" s="449">
        <v>0</v>
      </c>
      <c r="AZ313" s="449">
        <v>0</v>
      </c>
      <c r="BA313" s="449">
        <v>0</v>
      </c>
      <c r="BB313" s="449">
        <v>0</v>
      </c>
      <c r="BC313" s="449">
        <v>0</v>
      </c>
      <c r="BD313" s="449">
        <v>0</v>
      </c>
      <c r="BE313" s="449">
        <v>0</v>
      </c>
      <c r="BF313" s="449">
        <v>0</v>
      </c>
      <c r="BG313" s="449">
        <v>0</v>
      </c>
      <c r="BH313" s="400"/>
      <c r="BI313" s="449">
        <v>0</v>
      </c>
      <c r="BJ313" s="449">
        <v>0</v>
      </c>
      <c r="BK313" s="449">
        <v>0</v>
      </c>
      <c r="BL313" s="771">
        <v>0</v>
      </c>
      <c r="BM313" s="449">
        <v>0</v>
      </c>
      <c r="BN313" s="449">
        <v>0</v>
      </c>
      <c r="BO313" s="449">
        <v>0</v>
      </c>
      <c r="BP313" s="449">
        <v>0</v>
      </c>
      <c r="BQ313" s="449">
        <v>0</v>
      </c>
      <c r="BR313" s="449">
        <v>0</v>
      </c>
      <c r="BS313" s="449">
        <v>0</v>
      </c>
      <c r="BT313" s="449">
        <v>0</v>
      </c>
    </row>
    <row r="314" spans="1:72" x14ac:dyDescent="0.25">
      <c r="A314" s="502" t="s">
        <v>537</v>
      </c>
      <c r="B314" s="502" t="s">
        <v>538</v>
      </c>
      <c r="C314" s="541"/>
      <c r="D314" s="500">
        <v>1176</v>
      </c>
      <c r="E314" s="449">
        <v>12502</v>
      </c>
      <c r="F314" s="449">
        <v>-11326</v>
      </c>
      <c r="G314" s="421">
        <v>-0.90593505039193734</v>
      </c>
      <c r="H314" s="449">
        <v>1176</v>
      </c>
      <c r="I314" s="449">
        <v>0</v>
      </c>
      <c r="J314" s="426">
        <v>0</v>
      </c>
      <c r="K314" s="421"/>
      <c r="L314" s="449">
        <v>13.45</v>
      </c>
      <c r="M314" s="449">
        <v>256.25</v>
      </c>
      <c r="N314" s="449">
        <v>419.57</v>
      </c>
      <c r="O314" s="449">
        <v>-703.89</v>
      </c>
      <c r="P314" s="449">
        <v>5.3290705182007514E-15</v>
      </c>
      <c r="Q314" s="449">
        <v>28.07</v>
      </c>
      <c r="R314" s="449">
        <v>193.75833333333333</v>
      </c>
      <c r="S314" s="449">
        <v>193.75833333333335</v>
      </c>
      <c r="T314" s="449">
        <v>193.75833333333333</v>
      </c>
      <c r="U314" s="449">
        <v>193.75833333333333</v>
      </c>
      <c r="V314" s="449">
        <v>193.75833333333333</v>
      </c>
      <c r="W314" s="449">
        <v>193.75833333333333</v>
      </c>
      <c r="X314" s="449"/>
      <c r="Y314" s="449">
        <v>1176</v>
      </c>
      <c r="Z314" s="531"/>
      <c r="AA314" s="449">
        <v>98</v>
      </c>
      <c r="AB314" s="449">
        <v>98</v>
      </c>
      <c r="AC314" s="449">
        <v>98</v>
      </c>
      <c r="AD314" s="449">
        <v>98</v>
      </c>
      <c r="AE314" s="449">
        <v>98</v>
      </c>
      <c r="AF314" s="449">
        <v>98</v>
      </c>
      <c r="AG314" s="449">
        <v>98</v>
      </c>
      <c r="AH314" s="449">
        <v>98</v>
      </c>
      <c r="AI314" s="449">
        <v>98</v>
      </c>
      <c r="AJ314" s="449">
        <v>98</v>
      </c>
      <c r="AK314" s="449">
        <v>98</v>
      </c>
      <c r="AL314" s="449">
        <v>98</v>
      </c>
      <c r="AM314" s="400"/>
      <c r="AN314" s="500">
        <v>1176</v>
      </c>
      <c r="AO314" s="449">
        <v>13425.201692000002</v>
      </c>
      <c r="AP314" s="449">
        <v>12249.201692000002</v>
      </c>
      <c r="AQ314" s="453">
        <v>10.415987833333336</v>
      </c>
      <c r="AR314" s="449">
        <v>13425.201692000002</v>
      </c>
      <c r="AS314" s="449">
        <v>0</v>
      </c>
      <c r="AT314" s="426">
        <v>0</v>
      </c>
      <c r="AU314" s="421"/>
      <c r="AV314" s="449">
        <v>1118.7668076666669</v>
      </c>
      <c r="AW314" s="449">
        <v>1118.7668076666669</v>
      </c>
      <c r="AX314" s="449">
        <v>1118.7668076666669</v>
      </c>
      <c r="AY314" s="449">
        <v>1118.7668076666669</v>
      </c>
      <c r="AZ314" s="449">
        <v>1118.7668076666669</v>
      </c>
      <c r="BA314" s="449">
        <v>1118.7668076666669</v>
      </c>
      <c r="BB314" s="449">
        <v>1118.7668076666669</v>
      </c>
      <c r="BC314" s="449">
        <v>1118.7668076666669</v>
      </c>
      <c r="BD314" s="449">
        <v>1118.7668076666669</v>
      </c>
      <c r="BE314" s="449">
        <v>1118.7668076666669</v>
      </c>
      <c r="BF314" s="449">
        <v>1118.7668076666669</v>
      </c>
      <c r="BG314" s="449">
        <v>1118.7668076666669</v>
      </c>
      <c r="BH314" s="400"/>
      <c r="BI314" s="449">
        <v>1118.7668076666669</v>
      </c>
      <c r="BJ314" s="449">
        <v>1118.7668076666669</v>
      </c>
      <c r="BK314" s="449">
        <v>1118.7668076666669</v>
      </c>
      <c r="BL314" s="771">
        <v>1118.7668076666669</v>
      </c>
      <c r="BM314" s="449">
        <v>1118.7668076666669</v>
      </c>
      <c r="BN314" s="449">
        <v>1118.7668076666669</v>
      </c>
      <c r="BO314" s="449">
        <v>1118.7668076666669</v>
      </c>
      <c r="BP314" s="449">
        <v>1118.7668076666669</v>
      </c>
      <c r="BQ314" s="449">
        <v>1118.7668076666669</v>
      </c>
      <c r="BR314" s="449">
        <v>1118.7668076666669</v>
      </c>
      <c r="BS314" s="449">
        <v>1118.7668076666669</v>
      </c>
      <c r="BT314" s="449">
        <v>1118.7668076666669</v>
      </c>
    </row>
    <row r="315" spans="1:72" hidden="1" x14ac:dyDescent="0.25">
      <c r="A315" s="616" t="s">
        <v>539</v>
      </c>
      <c r="B315" s="614" t="s">
        <v>540</v>
      </c>
      <c r="C315" s="541"/>
      <c r="D315" s="500">
        <v>0</v>
      </c>
      <c r="E315" s="449">
        <v>0</v>
      </c>
      <c r="F315" s="449">
        <v>0</v>
      </c>
      <c r="G315" s="421">
        <v>0</v>
      </c>
      <c r="H315" s="449">
        <v>0</v>
      </c>
      <c r="I315" s="449">
        <v>0</v>
      </c>
      <c r="J315" s="426">
        <v>0</v>
      </c>
      <c r="K315" s="421"/>
      <c r="L315" s="449">
        <v>0</v>
      </c>
      <c r="M315" s="449">
        <v>0</v>
      </c>
      <c r="N315" s="449">
        <v>0</v>
      </c>
      <c r="O315" s="449">
        <v>0</v>
      </c>
      <c r="P315" s="449">
        <v>0</v>
      </c>
      <c r="Q315" s="449">
        <v>0</v>
      </c>
      <c r="R315" s="449">
        <v>0</v>
      </c>
      <c r="S315" s="449">
        <v>0</v>
      </c>
      <c r="T315" s="449">
        <v>0</v>
      </c>
      <c r="U315" s="449">
        <v>0</v>
      </c>
      <c r="V315" s="449">
        <v>0</v>
      </c>
      <c r="W315" s="449">
        <v>0</v>
      </c>
      <c r="X315" s="449"/>
      <c r="Y315" s="449">
        <v>0</v>
      </c>
      <c r="Z315" s="531"/>
      <c r="AA315" s="449">
        <v>0</v>
      </c>
      <c r="AB315" s="449">
        <v>0</v>
      </c>
      <c r="AC315" s="449">
        <v>0</v>
      </c>
      <c r="AD315" s="449">
        <v>0</v>
      </c>
      <c r="AE315" s="449">
        <v>0</v>
      </c>
      <c r="AF315" s="449">
        <v>0</v>
      </c>
      <c r="AG315" s="449">
        <v>0</v>
      </c>
      <c r="AH315" s="449">
        <v>0</v>
      </c>
      <c r="AI315" s="449">
        <v>0</v>
      </c>
      <c r="AJ315" s="449">
        <v>0</v>
      </c>
      <c r="AK315" s="449">
        <v>0</v>
      </c>
      <c r="AL315" s="449">
        <v>0</v>
      </c>
      <c r="AM315" s="400"/>
      <c r="AN315" s="500">
        <v>0</v>
      </c>
      <c r="AO315" s="449">
        <v>0</v>
      </c>
      <c r="AP315" s="449">
        <v>0</v>
      </c>
      <c r="AQ315" s="453" t="s">
        <v>1519</v>
      </c>
      <c r="AR315" s="449">
        <v>0</v>
      </c>
      <c r="AS315" s="449">
        <v>0</v>
      </c>
      <c r="AT315" s="426">
        <v>0</v>
      </c>
      <c r="AU315" s="421"/>
      <c r="AV315" s="449">
        <v>0</v>
      </c>
      <c r="AW315" s="449">
        <v>0</v>
      </c>
      <c r="AX315" s="449">
        <v>0</v>
      </c>
      <c r="AY315" s="449">
        <v>0</v>
      </c>
      <c r="AZ315" s="449">
        <v>0</v>
      </c>
      <c r="BA315" s="449">
        <v>0</v>
      </c>
      <c r="BB315" s="449">
        <v>0</v>
      </c>
      <c r="BC315" s="449">
        <v>0</v>
      </c>
      <c r="BD315" s="449">
        <v>0</v>
      </c>
      <c r="BE315" s="449">
        <v>0</v>
      </c>
      <c r="BF315" s="449">
        <v>0</v>
      </c>
      <c r="BG315" s="449">
        <v>0</v>
      </c>
      <c r="BH315" s="400"/>
      <c r="BI315" s="449">
        <v>0</v>
      </c>
      <c r="BJ315" s="449">
        <v>0</v>
      </c>
      <c r="BK315" s="449">
        <v>0</v>
      </c>
      <c r="BL315" s="771">
        <v>0</v>
      </c>
      <c r="BM315" s="449">
        <v>0</v>
      </c>
      <c r="BN315" s="449">
        <v>0</v>
      </c>
      <c r="BO315" s="449">
        <v>0</v>
      </c>
      <c r="BP315" s="449">
        <v>0</v>
      </c>
      <c r="BQ315" s="449">
        <v>0</v>
      </c>
      <c r="BR315" s="449">
        <v>0</v>
      </c>
      <c r="BS315" s="449">
        <v>0</v>
      </c>
      <c r="BT315" s="449">
        <v>0</v>
      </c>
    </row>
    <row r="316" spans="1:72" hidden="1" x14ac:dyDescent="0.25">
      <c r="A316" s="502" t="s">
        <v>541</v>
      </c>
      <c r="B316" s="502" t="s">
        <v>542</v>
      </c>
      <c r="C316" s="541"/>
      <c r="D316" s="500">
        <v>0</v>
      </c>
      <c r="E316" s="449">
        <v>0</v>
      </c>
      <c r="F316" s="449">
        <v>0</v>
      </c>
      <c r="G316" s="421">
        <v>0</v>
      </c>
      <c r="H316" s="449">
        <v>0</v>
      </c>
      <c r="I316" s="449">
        <v>0</v>
      </c>
      <c r="J316" s="426">
        <v>0</v>
      </c>
      <c r="K316" s="421"/>
      <c r="L316" s="449">
        <v>0</v>
      </c>
      <c r="M316" s="449">
        <v>0</v>
      </c>
      <c r="N316" s="449">
        <v>0</v>
      </c>
      <c r="O316" s="449">
        <v>0</v>
      </c>
      <c r="P316" s="449">
        <v>0</v>
      </c>
      <c r="Q316" s="449">
        <v>0</v>
      </c>
      <c r="R316" s="449">
        <v>0</v>
      </c>
      <c r="S316" s="449">
        <v>0</v>
      </c>
      <c r="T316" s="449">
        <v>0</v>
      </c>
      <c r="U316" s="449">
        <v>0</v>
      </c>
      <c r="V316" s="449">
        <v>0</v>
      </c>
      <c r="W316" s="449">
        <v>0</v>
      </c>
      <c r="X316" s="449"/>
      <c r="Y316" s="449">
        <v>0</v>
      </c>
      <c r="Z316" s="531"/>
      <c r="AA316" s="449">
        <v>0</v>
      </c>
      <c r="AB316" s="449">
        <v>0</v>
      </c>
      <c r="AC316" s="449">
        <v>0</v>
      </c>
      <c r="AD316" s="449">
        <v>0</v>
      </c>
      <c r="AE316" s="449">
        <v>0</v>
      </c>
      <c r="AF316" s="449">
        <v>0</v>
      </c>
      <c r="AG316" s="449">
        <v>0</v>
      </c>
      <c r="AH316" s="449">
        <v>0</v>
      </c>
      <c r="AI316" s="449">
        <v>0</v>
      </c>
      <c r="AJ316" s="449">
        <v>0</v>
      </c>
      <c r="AK316" s="449">
        <v>0</v>
      </c>
      <c r="AL316" s="449">
        <v>0</v>
      </c>
      <c r="AM316" s="400"/>
      <c r="AN316" s="500">
        <v>0</v>
      </c>
      <c r="AO316" s="449">
        <v>0</v>
      </c>
      <c r="AP316" s="449">
        <v>0</v>
      </c>
      <c r="AQ316" s="453" t="s">
        <v>1519</v>
      </c>
      <c r="AR316" s="449">
        <v>0</v>
      </c>
      <c r="AS316" s="449">
        <v>0</v>
      </c>
      <c r="AT316" s="426">
        <v>0</v>
      </c>
      <c r="AU316" s="421"/>
      <c r="AV316" s="449">
        <v>0</v>
      </c>
      <c r="AW316" s="449">
        <v>0</v>
      </c>
      <c r="AX316" s="449">
        <v>0</v>
      </c>
      <c r="AY316" s="449">
        <v>0</v>
      </c>
      <c r="AZ316" s="449">
        <v>0</v>
      </c>
      <c r="BA316" s="449">
        <v>0</v>
      </c>
      <c r="BB316" s="449">
        <v>0</v>
      </c>
      <c r="BC316" s="449">
        <v>0</v>
      </c>
      <c r="BD316" s="449">
        <v>0</v>
      </c>
      <c r="BE316" s="449">
        <v>0</v>
      </c>
      <c r="BF316" s="449">
        <v>0</v>
      </c>
      <c r="BG316" s="449">
        <v>0</v>
      </c>
      <c r="BH316" s="400"/>
      <c r="BI316" s="449">
        <v>0</v>
      </c>
      <c r="BJ316" s="449">
        <v>0</v>
      </c>
      <c r="BK316" s="449">
        <v>0</v>
      </c>
      <c r="BL316" s="771">
        <v>0</v>
      </c>
      <c r="BM316" s="449">
        <v>0</v>
      </c>
      <c r="BN316" s="449">
        <v>0</v>
      </c>
      <c r="BO316" s="449">
        <v>0</v>
      </c>
      <c r="BP316" s="449">
        <v>0</v>
      </c>
      <c r="BQ316" s="449">
        <v>0</v>
      </c>
      <c r="BR316" s="449">
        <v>0</v>
      </c>
      <c r="BS316" s="449">
        <v>0</v>
      </c>
      <c r="BT316" s="449">
        <v>0</v>
      </c>
    </row>
    <row r="317" spans="1:72" hidden="1" x14ac:dyDescent="0.25">
      <c r="A317" s="616" t="s">
        <v>543</v>
      </c>
      <c r="B317" s="614" t="s">
        <v>544</v>
      </c>
      <c r="C317" s="541"/>
      <c r="D317" s="500">
        <v>0</v>
      </c>
      <c r="E317" s="449">
        <v>0</v>
      </c>
      <c r="F317" s="449">
        <v>0</v>
      </c>
      <c r="G317" s="421">
        <v>0</v>
      </c>
      <c r="H317" s="449">
        <v>0</v>
      </c>
      <c r="I317" s="449">
        <v>0</v>
      </c>
      <c r="J317" s="426">
        <v>0</v>
      </c>
      <c r="K317" s="421"/>
      <c r="L317" s="449">
        <v>0</v>
      </c>
      <c r="M317" s="449">
        <v>0</v>
      </c>
      <c r="N317" s="449">
        <v>0</v>
      </c>
      <c r="O317" s="449">
        <v>0</v>
      </c>
      <c r="P317" s="449">
        <v>0</v>
      </c>
      <c r="Q317" s="449">
        <v>0</v>
      </c>
      <c r="R317" s="449">
        <v>0</v>
      </c>
      <c r="S317" s="449">
        <v>0</v>
      </c>
      <c r="T317" s="449">
        <v>0</v>
      </c>
      <c r="U317" s="449">
        <v>0</v>
      </c>
      <c r="V317" s="449">
        <v>0</v>
      </c>
      <c r="W317" s="449">
        <v>0</v>
      </c>
      <c r="X317" s="449"/>
      <c r="Y317" s="449">
        <v>0</v>
      </c>
      <c r="Z317" s="531"/>
      <c r="AA317" s="449">
        <v>0</v>
      </c>
      <c r="AB317" s="449">
        <v>0</v>
      </c>
      <c r="AC317" s="449">
        <v>0</v>
      </c>
      <c r="AD317" s="449">
        <v>0</v>
      </c>
      <c r="AE317" s="449">
        <v>0</v>
      </c>
      <c r="AF317" s="449">
        <v>0</v>
      </c>
      <c r="AG317" s="449">
        <v>0</v>
      </c>
      <c r="AH317" s="449">
        <v>0</v>
      </c>
      <c r="AI317" s="449">
        <v>0</v>
      </c>
      <c r="AJ317" s="449">
        <v>0</v>
      </c>
      <c r="AK317" s="449">
        <v>0</v>
      </c>
      <c r="AL317" s="449">
        <v>0</v>
      </c>
      <c r="AM317" s="400"/>
      <c r="AN317" s="500">
        <v>0</v>
      </c>
      <c r="AO317" s="449">
        <v>0</v>
      </c>
      <c r="AP317" s="449">
        <v>0</v>
      </c>
      <c r="AQ317" s="453" t="s">
        <v>1519</v>
      </c>
      <c r="AR317" s="449">
        <v>0</v>
      </c>
      <c r="AS317" s="449">
        <v>0</v>
      </c>
      <c r="AT317" s="426">
        <v>0</v>
      </c>
      <c r="AU317" s="421"/>
      <c r="AV317" s="449">
        <v>0</v>
      </c>
      <c r="AW317" s="449">
        <v>0</v>
      </c>
      <c r="AX317" s="449">
        <v>0</v>
      </c>
      <c r="AY317" s="449">
        <v>0</v>
      </c>
      <c r="AZ317" s="449">
        <v>0</v>
      </c>
      <c r="BA317" s="449">
        <v>0</v>
      </c>
      <c r="BB317" s="449">
        <v>0</v>
      </c>
      <c r="BC317" s="449">
        <v>0</v>
      </c>
      <c r="BD317" s="449">
        <v>0</v>
      </c>
      <c r="BE317" s="449">
        <v>0</v>
      </c>
      <c r="BF317" s="449">
        <v>0</v>
      </c>
      <c r="BG317" s="449">
        <v>0</v>
      </c>
      <c r="BH317" s="400"/>
      <c r="BI317" s="449">
        <v>0</v>
      </c>
      <c r="BJ317" s="449">
        <v>0</v>
      </c>
      <c r="BK317" s="449">
        <v>0</v>
      </c>
      <c r="BL317" s="771">
        <v>0</v>
      </c>
      <c r="BM317" s="449">
        <v>0</v>
      </c>
      <c r="BN317" s="449">
        <v>0</v>
      </c>
      <c r="BO317" s="449">
        <v>0</v>
      </c>
      <c r="BP317" s="449">
        <v>0</v>
      </c>
      <c r="BQ317" s="449">
        <v>0</v>
      </c>
      <c r="BR317" s="449">
        <v>0</v>
      </c>
      <c r="BS317" s="449">
        <v>0</v>
      </c>
      <c r="BT317" s="449">
        <v>0</v>
      </c>
    </row>
    <row r="318" spans="1:72" hidden="1" x14ac:dyDescent="0.25">
      <c r="A318" s="502" t="s">
        <v>545</v>
      </c>
      <c r="B318" s="502" t="s">
        <v>546</v>
      </c>
      <c r="C318" s="541"/>
      <c r="D318" s="500">
        <v>0</v>
      </c>
      <c r="E318" s="449">
        <v>0</v>
      </c>
      <c r="F318" s="449">
        <v>0</v>
      </c>
      <c r="G318" s="421">
        <v>0</v>
      </c>
      <c r="H318" s="449">
        <v>0</v>
      </c>
      <c r="I318" s="449">
        <v>0</v>
      </c>
      <c r="J318" s="426">
        <v>0</v>
      </c>
      <c r="K318" s="421"/>
      <c r="L318" s="449">
        <v>0</v>
      </c>
      <c r="M318" s="449">
        <v>0</v>
      </c>
      <c r="N318" s="449">
        <v>0</v>
      </c>
      <c r="O318" s="449">
        <v>0</v>
      </c>
      <c r="P318" s="449">
        <v>0</v>
      </c>
      <c r="Q318" s="449">
        <v>0</v>
      </c>
      <c r="R318" s="449">
        <v>0</v>
      </c>
      <c r="S318" s="449">
        <v>0</v>
      </c>
      <c r="T318" s="449">
        <v>0</v>
      </c>
      <c r="U318" s="449">
        <v>0</v>
      </c>
      <c r="V318" s="449">
        <v>0</v>
      </c>
      <c r="W318" s="449">
        <v>0</v>
      </c>
      <c r="X318" s="449"/>
      <c r="Y318" s="449">
        <v>0</v>
      </c>
      <c r="Z318" s="531"/>
      <c r="AA318" s="449">
        <v>0</v>
      </c>
      <c r="AB318" s="449">
        <v>0</v>
      </c>
      <c r="AC318" s="449">
        <v>0</v>
      </c>
      <c r="AD318" s="449">
        <v>0</v>
      </c>
      <c r="AE318" s="449">
        <v>0</v>
      </c>
      <c r="AF318" s="449">
        <v>0</v>
      </c>
      <c r="AG318" s="449">
        <v>0</v>
      </c>
      <c r="AH318" s="449">
        <v>0</v>
      </c>
      <c r="AI318" s="449">
        <v>0</v>
      </c>
      <c r="AJ318" s="449">
        <v>0</v>
      </c>
      <c r="AK318" s="449">
        <v>0</v>
      </c>
      <c r="AL318" s="449">
        <v>0</v>
      </c>
      <c r="AM318" s="400"/>
      <c r="AN318" s="500">
        <v>0</v>
      </c>
      <c r="AO318" s="449">
        <v>0</v>
      </c>
      <c r="AP318" s="449">
        <v>0</v>
      </c>
      <c r="AQ318" s="453" t="s">
        <v>1519</v>
      </c>
      <c r="AR318" s="449">
        <v>0</v>
      </c>
      <c r="AS318" s="449">
        <v>0</v>
      </c>
      <c r="AT318" s="426">
        <v>0</v>
      </c>
      <c r="AU318" s="421"/>
      <c r="AV318" s="449">
        <v>0</v>
      </c>
      <c r="AW318" s="449">
        <v>0</v>
      </c>
      <c r="AX318" s="449">
        <v>0</v>
      </c>
      <c r="AY318" s="449">
        <v>0</v>
      </c>
      <c r="AZ318" s="449">
        <v>0</v>
      </c>
      <c r="BA318" s="449">
        <v>0</v>
      </c>
      <c r="BB318" s="449">
        <v>0</v>
      </c>
      <c r="BC318" s="449">
        <v>0</v>
      </c>
      <c r="BD318" s="449">
        <v>0</v>
      </c>
      <c r="BE318" s="449">
        <v>0</v>
      </c>
      <c r="BF318" s="449">
        <v>0</v>
      </c>
      <c r="BG318" s="449">
        <v>0</v>
      </c>
      <c r="BH318" s="400"/>
      <c r="BI318" s="449">
        <v>0</v>
      </c>
      <c r="BJ318" s="449">
        <v>0</v>
      </c>
      <c r="BK318" s="449">
        <v>0</v>
      </c>
      <c r="BL318" s="771">
        <v>0</v>
      </c>
      <c r="BM318" s="449">
        <v>0</v>
      </c>
      <c r="BN318" s="449">
        <v>0</v>
      </c>
      <c r="BO318" s="449">
        <v>0</v>
      </c>
      <c r="BP318" s="449">
        <v>0</v>
      </c>
      <c r="BQ318" s="449">
        <v>0</v>
      </c>
      <c r="BR318" s="449">
        <v>0</v>
      </c>
      <c r="BS318" s="449">
        <v>0</v>
      </c>
      <c r="BT318" s="449">
        <v>0</v>
      </c>
    </row>
    <row r="319" spans="1:72" hidden="1" x14ac:dyDescent="0.25">
      <c r="A319" s="616" t="s">
        <v>547</v>
      </c>
      <c r="B319" s="614" t="s">
        <v>548</v>
      </c>
      <c r="C319" s="541"/>
      <c r="D319" s="500">
        <v>3150</v>
      </c>
      <c r="E319" s="449">
        <v>3093</v>
      </c>
      <c r="F319" s="449">
        <v>57</v>
      </c>
      <c r="G319" s="421">
        <v>1.842870999030068E-2</v>
      </c>
      <c r="H319" s="449">
        <v>3150</v>
      </c>
      <c r="I319" s="449">
        <v>0</v>
      </c>
      <c r="J319" s="426">
        <v>0</v>
      </c>
      <c r="K319" s="421"/>
      <c r="L319" s="449">
        <v>0</v>
      </c>
      <c r="M319" s="449">
        <v>0</v>
      </c>
      <c r="N319" s="449">
        <v>0</v>
      </c>
      <c r="O319" s="449">
        <v>0</v>
      </c>
      <c r="P319" s="449">
        <v>0</v>
      </c>
      <c r="Q319" s="449">
        <v>0</v>
      </c>
      <c r="R319" s="449">
        <v>525</v>
      </c>
      <c r="S319" s="449">
        <v>525</v>
      </c>
      <c r="T319" s="449">
        <v>525</v>
      </c>
      <c r="U319" s="449">
        <v>525</v>
      </c>
      <c r="V319" s="449">
        <v>525</v>
      </c>
      <c r="W319" s="449">
        <v>525</v>
      </c>
      <c r="X319" s="449"/>
      <c r="Y319" s="449">
        <v>3150</v>
      </c>
      <c r="Z319" s="531"/>
      <c r="AA319" s="449">
        <v>262.5</v>
      </c>
      <c r="AB319" s="449">
        <v>262.5</v>
      </c>
      <c r="AC319" s="449">
        <v>262.5</v>
      </c>
      <c r="AD319" s="449">
        <v>262.5</v>
      </c>
      <c r="AE319" s="449">
        <v>262.5</v>
      </c>
      <c r="AF319" s="449">
        <v>262.5</v>
      </c>
      <c r="AG319" s="449">
        <v>262.5</v>
      </c>
      <c r="AH319" s="449">
        <v>262.5</v>
      </c>
      <c r="AI319" s="449">
        <v>262.5</v>
      </c>
      <c r="AJ319" s="449">
        <v>262.5</v>
      </c>
      <c r="AK319" s="449">
        <v>262.5</v>
      </c>
      <c r="AL319" s="449">
        <v>262.5</v>
      </c>
      <c r="AM319" s="400"/>
      <c r="AN319" s="500">
        <v>3150</v>
      </c>
      <c r="AO319" s="449">
        <v>0</v>
      </c>
      <c r="AP319" s="449">
        <v>-3150</v>
      </c>
      <c r="AQ319" s="453">
        <v>-1</v>
      </c>
      <c r="AR319" s="449">
        <v>0</v>
      </c>
      <c r="AS319" s="449">
        <v>0</v>
      </c>
      <c r="AT319" s="426">
        <v>0</v>
      </c>
      <c r="AU319" s="421"/>
      <c r="AV319" s="449">
        <v>0</v>
      </c>
      <c r="AW319" s="449">
        <v>0</v>
      </c>
      <c r="AX319" s="449">
        <v>0</v>
      </c>
      <c r="AY319" s="449">
        <v>0</v>
      </c>
      <c r="AZ319" s="449">
        <v>0</v>
      </c>
      <c r="BA319" s="449">
        <v>0</v>
      </c>
      <c r="BB319" s="449">
        <v>0</v>
      </c>
      <c r="BC319" s="449">
        <v>0</v>
      </c>
      <c r="BD319" s="449">
        <v>0</v>
      </c>
      <c r="BE319" s="449">
        <v>0</v>
      </c>
      <c r="BF319" s="449">
        <v>0</v>
      </c>
      <c r="BG319" s="449">
        <v>0</v>
      </c>
      <c r="BH319" s="400"/>
      <c r="BI319" s="449">
        <v>0</v>
      </c>
      <c r="BJ319" s="449">
        <v>0</v>
      </c>
      <c r="BK319" s="449">
        <v>0</v>
      </c>
      <c r="BL319" s="771">
        <v>0</v>
      </c>
      <c r="BM319" s="449">
        <v>0</v>
      </c>
      <c r="BN319" s="449">
        <v>0</v>
      </c>
      <c r="BO319" s="449">
        <v>0</v>
      </c>
      <c r="BP319" s="449">
        <v>0</v>
      </c>
      <c r="BQ319" s="449">
        <v>0</v>
      </c>
      <c r="BR319" s="449">
        <v>0</v>
      </c>
      <c r="BS319" s="449">
        <v>0</v>
      </c>
      <c r="BT319" s="449">
        <v>0</v>
      </c>
    </row>
    <row r="320" spans="1:72" x14ac:dyDescent="0.25">
      <c r="A320" s="502" t="s">
        <v>549</v>
      </c>
      <c r="B320" s="502" t="s">
        <v>550</v>
      </c>
      <c r="C320" s="541"/>
      <c r="D320" s="500">
        <v>3417</v>
      </c>
      <c r="E320" s="449">
        <v>4285</v>
      </c>
      <c r="F320" s="449">
        <v>-868</v>
      </c>
      <c r="G320" s="421">
        <v>-0.20256709451575264</v>
      </c>
      <c r="H320" s="449">
        <v>3417</v>
      </c>
      <c r="I320" s="449">
        <v>0</v>
      </c>
      <c r="J320" s="426">
        <v>0</v>
      </c>
      <c r="K320" s="421"/>
      <c r="L320" s="449">
        <v>0.02</v>
      </c>
      <c r="M320" s="449">
        <v>0</v>
      </c>
      <c r="N320" s="449">
        <v>0</v>
      </c>
      <c r="O320" s="449">
        <v>29.1</v>
      </c>
      <c r="P320" s="449">
        <v>0</v>
      </c>
      <c r="Q320" s="449">
        <v>0</v>
      </c>
      <c r="R320" s="449">
        <v>564.64666666666665</v>
      </c>
      <c r="S320" s="449">
        <v>564.64666666666676</v>
      </c>
      <c r="T320" s="449">
        <v>564.64666666666665</v>
      </c>
      <c r="U320" s="449">
        <v>564.64666666666665</v>
      </c>
      <c r="V320" s="449">
        <v>564.64666666666676</v>
      </c>
      <c r="W320" s="449">
        <v>564.64666666666653</v>
      </c>
      <c r="X320" s="449"/>
      <c r="Y320" s="449">
        <v>3417</v>
      </c>
      <c r="Z320" s="531"/>
      <c r="AA320" s="449">
        <v>284.75</v>
      </c>
      <c r="AB320" s="449">
        <v>284.75</v>
      </c>
      <c r="AC320" s="449">
        <v>284.75</v>
      </c>
      <c r="AD320" s="449">
        <v>284.75</v>
      </c>
      <c r="AE320" s="449">
        <v>284.75</v>
      </c>
      <c r="AF320" s="449">
        <v>284.75</v>
      </c>
      <c r="AG320" s="449">
        <v>284.75</v>
      </c>
      <c r="AH320" s="449">
        <v>284.75</v>
      </c>
      <c r="AI320" s="449">
        <v>284.75</v>
      </c>
      <c r="AJ320" s="449">
        <v>284.75</v>
      </c>
      <c r="AK320" s="449">
        <v>284.75</v>
      </c>
      <c r="AL320" s="449">
        <v>284.75</v>
      </c>
      <c r="AM320" s="400"/>
      <c r="AN320" s="500">
        <v>3417</v>
      </c>
      <c r="AO320" s="449">
        <v>3519.0600000000009</v>
      </c>
      <c r="AP320" s="449">
        <v>102.06000000000085</v>
      </c>
      <c r="AQ320" s="453">
        <v>2.9868305531167941E-2</v>
      </c>
      <c r="AR320" s="449">
        <v>3519.0600000000009</v>
      </c>
      <c r="AS320" s="449">
        <v>0</v>
      </c>
      <c r="AT320" s="426">
        <v>0</v>
      </c>
      <c r="AU320" s="421"/>
      <c r="AV320" s="449">
        <v>293.255</v>
      </c>
      <c r="AW320" s="449">
        <v>293.255</v>
      </c>
      <c r="AX320" s="449">
        <v>293.255</v>
      </c>
      <c r="AY320" s="449">
        <v>293.255</v>
      </c>
      <c r="AZ320" s="449">
        <v>293.255</v>
      </c>
      <c r="BA320" s="449">
        <v>293.255</v>
      </c>
      <c r="BB320" s="449">
        <v>293.255</v>
      </c>
      <c r="BC320" s="449">
        <v>293.255</v>
      </c>
      <c r="BD320" s="449">
        <v>293.255</v>
      </c>
      <c r="BE320" s="449">
        <v>293.255</v>
      </c>
      <c r="BF320" s="449">
        <v>293.255</v>
      </c>
      <c r="BG320" s="449">
        <v>293.255</v>
      </c>
      <c r="BH320" s="400"/>
      <c r="BI320" s="449">
        <v>293.255</v>
      </c>
      <c r="BJ320" s="449">
        <v>293.255</v>
      </c>
      <c r="BK320" s="449">
        <v>293.255</v>
      </c>
      <c r="BL320" s="771">
        <v>293.255</v>
      </c>
      <c r="BM320" s="449">
        <v>293.255</v>
      </c>
      <c r="BN320" s="449">
        <v>293.255</v>
      </c>
      <c r="BO320" s="449">
        <v>293.255</v>
      </c>
      <c r="BP320" s="449">
        <v>293.255</v>
      </c>
      <c r="BQ320" s="449">
        <v>293.255</v>
      </c>
      <c r="BR320" s="449">
        <v>293.255</v>
      </c>
      <c r="BS320" s="449">
        <v>293.255</v>
      </c>
      <c r="BT320" s="449">
        <v>293.255</v>
      </c>
    </row>
    <row r="321" spans="1:74" hidden="1" x14ac:dyDescent="0.25">
      <c r="A321" s="614" t="s">
        <v>551</v>
      </c>
      <c r="B321" s="614" t="s">
        <v>552</v>
      </c>
      <c r="C321" s="630"/>
      <c r="D321" s="500">
        <v>0</v>
      </c>
      <c r="E321" s="449">
        <v>0</v>
      </c>
      <c r="F321" s="449">
        <v>0</v>
      </c>
      <c r="G321" s="421">
        <v>0</v>
      </c>
      <c r="H321" s="449">
        <v>0</v>
      </c>
      <c r="I321" s="449">
        <v>0</v>
      </c>
      <c r="J321" s="426">
        <v>0</v>
      </c>
      <c r="K321" s="421"/>
      <c r="L321" s="449">
        <v>0</v>
      </c>
      <c r="M321" s="449">
        <v>0</v>
      </c>
      <c r="N321" s="449">
        <v>0</v>
      </c>
      <c r="O321" s="449">
        <v>0</v>
      </c>
      <c r="P321" s="449">
        <v>0</v>
      </c>
      <c r="Q321" s="449">
        <v>0</v>
      </c>
      <c r="R321" s="449">
        <v>0</v>
      </c>
      <c r="S321" s="449">
        <v>0</v>
      </c>
      <c r="T321" s="449">
        <v>0</v>
      </c>
      <c r="U321" s="449">
        <v>0</v>
      </c>
      <c r="V321" s="449">
        <v>0</v>
      </c>
      <c r="W321" s="449">
        <v>0</v>
      </c>
      <c r="X321" s="449"/>
      <c r="Y321" s="449">
        <v>0</v>
      </c>
      <c r="Z321" s="531"/>
      <c r="AA321" s="449">
        <v>0</v>
      </c>
      <c r="AB321" s="449">
        <v>0</v>
      </c>
      <c r="AC321" s="449">
        <v>0</v>
      </c>
      <c r="AD321" s="449">
        <v>0</v>
      </c>
      <c r="AE321" s="449">
        <v>0</v>
      </c>
      <c r="AF321" s="449">
        <v>0</v>
      </c>
      <c r="AG321" s="449">
        <v>0</v>
      </c>
      <c r="AH321" s="449">
        <v>0</v>
      </c>
      <c r="AI321" s="449">
        <v>0</v>
      </c>
      <c r="AJ321" s="449">
        <v>0</v>
      </c>
      <c r="AK321" s="449">
        <v>0</v>
      </c>
      <c r="AL321" s="449">
        <v>0</v>
      </c>
      <c r="AM321" s="400"/>
      <c r="AN321" s="500">
        <v>0</v>
      </c>
      <c r="AO321" s="449">
        <v>0</v>
      </c>
      <c r="AP321" s="449">
        <v>0</v>
      </c>
      <c r="AQ321" s="453" t="s">
        <v>1519</v>
      </c>
      <c r="AR321" s="449">
        <v>0</v>
      </c>
      <c r="AS321" s="449">
        <v>0</v>
      </c>
      <c r="AT321" s="426">
        <v>0</v>
      </c>
      <c r="AU321" s="421"/>
      <c r="AV321" s="449">
        <v>0</v>
      </c>
      <c r="AW321" s="449">
        <v>0</v>
      </c>
      <c r="AX321" s="449">
        <v>0</v>
      </c>
      <c r="AY321" s="449">
        <v>0</v>
      </c>
      <c r="AZ321" s="449">
        <v>0</v>
      </c>
      <c r="BA321" s="449">
        <v>0</v>
      </c>
      <c r="BB321" s="449">
        <v>0</v>
      </c>
      <c r="BC321" s="449">
        <v>0</v>
      </c>
      <c r="BD321" s="449">
        <v>0</v>
      </c>
      <c r="BE321" s="449">
        <v>0</v>
      </c>
      <c r="BF321" s="449">
        <v>0</v>
      </c>
      <c r="BG321" s="449">
        <v>0</v>
      </c>
      <c r="BH321" s="400"/>
      <c r="BI321" s="449">
        <v>0</v>
      </c>
      <c r="BJ321" s="449">
        <v>0</v>
      </c>
      <c r="BK321" s="449">
        <v>0</v>
      </c>
      <c r="BL321" s="771">
        <v>0</v>
      </c>
      <c r="BM321" s="449">
        <v>0</v>
      </c>
      <c r="BN321" s="449">
        <v>0</v>
      </c>
      <c r="BO321" s="449">
        <v>0</v>
      </c>
      <c r="BP321" s="449">
        <v>0</v>
      </c>
      <c r="BQ321" s="449">
        <v>0</v>
      </c>
      <c r="BR321" s="449">
        <v>0</v>
      </c>
      <c r="BS321" s="449">
        <v>0</v>
      </c>
      <c r="BT321" s="449">
        <v>0</v>
      </c>
      <c r="BU321" s="400"/>
      <c r="BV321" s="400"/>
    </row>
    <row r="322" spans="1:74" hidden="1" x14ac:dyDescent="0.25">
      <c r="A322" s="614" t="s">
        <v>553</v>
      </c>
      <c r="B322" s="614" t="s">
        <v>554</v>
      </c>
      <c r="C322" s="541"/>
      <c r="D322" s="500">
        <v>0</v>
      </c>
      <c r="E322" s="449">
        <v>0</v>
      </c>
      <c r="F322" s="449">
        <v>0</v>
      </c>
      <c r="G322" s="421">
        <v>0</v>
      </c>
      <c r="H322" s="449">
        <v>0</v>
      </c>
      <c r="I322" s="449">
        <v>0</v>
      </c>
      <c r="J322" s="426">
        <v>0</v>
      </c>
      <c r="K322" s="421"/>
      <c r="L322" s="449">
        <v>0</v>
      </c>
      <c r="M322" s="449">
        <v>0</v>
      </c>
      <c r="N322" s="449">
        <v>0</v>
      </c>
      <c r="O322" s="449">
        <v>0</v>
      </c>
      <c r="P322" s="449">
        <v>0</v>
      </c>
      <c r="Q322" s="449">
        <v>0</v>
      </c>
      <c r="R322" s="449">
        <v>0</v>
      </c>
      <c r="S322" s="449">
        <v>0</v>
      </c>
      <c r="T322" s="449">
        <v>0</v>
      </c>
      <c r="U322" s="449">
        <v>0</v>
      </c>
      <c r="V322" s="449">
        <v>0</v>
      </c>
      <c r="W322" s="449">
        <v>0</v>
      </c>
      <c r="X322" s="449"/>
      <c r="Y322" s="449">
        <v>0</v>
      </c>
      <c r="Z322" s="531"/>
      <c r="AA322" s="449">
        <v>0</v>
      </c>
      <c r="AB322" s="449">
        <v>0</v>
      </c>
      <c r="AC322" s="449">
        <v>0</v>
      </c>
      <c r="AD322" s="449">
        <v>0</v>
      </c>
      <c r="AE322" s="449">
        <v>0</v>
      </c>
      <c r="AF322" s="449">
        <v>0</v>
      </c>
      <c r="AG322" s="449">
        <v>0</v>
      </c>
      <c r="AH322" s="449">
        <v>0</v>
      </c>
      <c r="AI322" s="449">
        <v>0</v>
      </c>
      <c r="AJ322" s="449">
        <v>0</v>
      </c>
      <c r="AK322" s="449">
        <v>0</v>
      </c>
      <c r="AL322" s="449">
        <v>0</v>
      </c>
      <c r="AM322" s="400"/>
      <c r="AN322" s="500">
        <v>0</v>
      </c>
      <c r="AO322" s="449">
        <v>0</v>
      </c>
      <c r="AP322" s="449">
        <v>0</v>
      </c>
      <c r="AQ322" s="453" t="s">
        <v>1519</v>
      </c>
      <c r="AR322" s="449">
        <v>0</v>
      </c>
      <c r="AS322" s="449">
        <v>0</v>
      </c>
      <c r="AT322" s="426">
        <v>0</v>
      </c>
      <c r="AU322" s="421"/>
      <c r="AV322" s="449">
        <v>0</v>
      </c>
      <c r="AW322" s="449">
        <v>0</v>
      </c>
      <c r="AX322" s="449">
        <v>0</v>
      </c>
      <c r="AY322" s="449">
        <v>0</v>
      </c>
      <c r="AZ322" s="449">
        <v>0</v>
      </c>
      <c r="BA322" s="449">
        <v>0</v>
      </c>
      <c r="BB322" s="449">
        <v>0</v>
      </c>
      <c r="BC322" s="449">
        <v>0</v>
      </c>
      <c r="BD322" s="449">
        <v>0</v>
      </c>
      <c r="BE322" s="449">
        <v>0</v>
      </c>
      <c r="BF322" s="449">
        <v>0</v>
      </c>
      <c r="BG322" s="449">
        <v>0</v>
      </c>
      <c r="BH322" s="400"/>
      <c r="BI322" s="449">
        <v>0</v>
      </c>
      <c r="BJ322" s="449">
        <v>0</v>
      </c>
      <c r="BK322" s="449">
        <v>0</v>
      </c>
      <c r="BL322" s="771">
        <v>0</v>
      </c>
      <c r="BM322" s="449">
        <v>0</v>
      </c>
      <c r="BN322" s="449">
        <v>0</v>
      </c>
      <c r="BO322" s="449">
        <v>0</v>
      </c>
      <c r="BP322" s="449">
        <v>0</v>
      </c>
      <c r="BQ322" s="449">
        <v>0</v>
      </c>
      <c r="BR322" s="449">
        <v>0</v>
      </c>
      <c r="BS322" s="449">
        <v>0</v>
      </c>
      <c r="BT322" s="449">
        <v>0</v>
      </c>
      <c r="BU322" s="400"/>
      <c r="BV322" s="400"/>
    </row>
    <row r="323" spans="1:74" hidden="1" x14ac:dyDescent="0.25">
      <c r="A323" s="614" t="s">
        <v>555</v>
      </c>
      <c r="B323" s="614" t="s">
        <v>556</v>
      </c>
      <c r="C323" s="541"/>
      <c r="D323" s="500">
        <v>0</v>
      </c>
      <c r="E323" s="449">
        <v>0</v>
      </c>
      <c r="F323" s="449">
        <v>0</v>
      </c>
      <c r="G323" s="421">
        <v>0</v>
      </c>
      <c r="H323" s="449">
        <v>0</v>
      </c>
      <c r="I323" s="449">
        <v>0</v>
      </c>
      <c r="J323" s="426">
        <v>0</v>
      </c>
      <c r="K323" s="421"/>
      <c r="L323" s="449">
        <v>0</v>
      </c>
      <c r="M323" s="449">
        <v>0</v>
      </c>
      <c r="N323" s="449">
        <v>0</v>
      </c>
      <c r="O323" s="449">
        <v>0</v>
      </c>
      <c r="P323" s="449">
        <v>0</v>
      </c>
      <c r="Q323" s="449">
        <v>0</v>
      </c>
      <c r="R323" s="449">
        <v>0</v>
      </c>
      <c r="S323" s="449">
        <v>0</v>
      </c>
      <c r="T323" s="449">
        <v>0</v>
      </c>
      <c r="U323" s="449">
        <v>0</v>
      </c>
      <c r="V323" s="449">
        <v>0</v>
      </c>
      <c r="W323" s="449">
        <v>0</v>
      </c>
      <c r="X323" s="449"/>
      <c r="Y323" s="449">
        <v>0</v>
      </c>
      <c r="Z323" s="531"/>
      <c r="AA323" s="449">
        <v>0</v>
      </c>
      <c r="AB323" s="449">
        <v>0</v>
      </c>
      <c r="AC323" s="449">
        <v>0</v>
      </c>
      <c r="AD323" s="449">
        <v>0</v>
      </c>
      <c r="AE323" s="449">
        <v>0</v>
      </c>
      <c r="AF323" s="449">
        <v>0</v>
      </c>
      <c r="AG323" s="449">
        <v>0</v>
      </c>
      <c r="AH323" s="449">
        <v>0</v>
      </c>
      <c r="AI323" s="449">
        <v>0</v>
      </c>
      <c r="AJ323" s="449">
        <v>0</v>
      </c>
      <c r="AK323" s="449">
        <v>0</v>
      </c>
      <c r="AL323" s="449">
        <v>0</v>
      </c>
      <c r="AM323" s="400"/>
      <c r="AN323" s="500">
        <v>0</v>
      </c>
      <c r="AO323" s="449">
        <v>0</v>
      </c>
      <c r="AP323" s="449">
        <v>0</v>
      </c>
      <c r="AQ323" s="453" t="s">
        <v>1519</v>
      </c>
      <c r="AR323" s="449">
        <v>0</v>
      </c>
      <c r="AS323" s="449">
        <v>0</v>
      </c>
      <c r="AT323" s="426">
        <v>0</v>
      </c>
      <c r="AU323" s="421"/>
      <c r="AV323" s="449">
        <v>0</v>
      </c>
      <c r="AW323" s="449">
        <v>0</v>
      </c>
      <c r="AX323" s="449">
        <v>0</v>
      </c>
      <c r="AY323" s="449">
        <v>0</v>
      </c>
      <c r="AZ323" s="449">
        <v>0</v>
      </c>
      <c r="BA323" s="449">
        <v>0</v>
      </c>
      <c r="BB323" s="449">
        <v>0</v>
      </c>
      <c r="BC323" s="449">
        <v>0</v>
      </c>
      <c r="BD323" s="449">
        <v>0</v>
      </c>
      <c r="BE323" s="449">
        <v>0</v>
      </c>
      <c r="BF323" s="449">
        <v>0</v>
      </c>
      <c r="BG323" s="449">
        <v>0</v>
      </c>
      <c r="BH323" s="400"/>
      <c r="BI323" s="449">
        <v>0</v>
      </c>
      <c r="BJ323" s="449">
        <v>0</v>
      </c>
      <c r="BK323" s="449">
        <v>0</v>
      </c>
      <c r="BL323" s="771">
        <v>0</v>
      </c>
      <c r="BM323" s="449">
        <v>0</v>
      </c>
      <c r="BN323" s="449">
        <v>0</v>
      </c>
      <c r="BO323" s="449">
        <v>0</v>
      </c>
      <c r="BP323" s="449">
        <v>0</v>
      </c>
      <c r="BQ323" s="449">
        <v>0</v>
      </c>
      <c r="BR323" s="449">
        <v>0</v>
      </c>
      <c r="BS323" s="449">
        <v>0</v>
      </c>
      <c r="BT323" s="449">
        <v>0</v>
      </c>
      <c r="BU323" s="400"/>
      <c r="BV323" s="400"/>
    </row>
    <row r="324" spans="1:74" hidden="1" x14ac:dyDescent="0.25">
      <c r="A324" s="614" t="s">
        <v>557</v>
      </c>
      <c r="B324" s="614" t="s">
        <v>558</v>
      </c>
      <c r="C324" s="541"/>
      <c r="D324" s="500">
        <v>0</v>
      </c>
      <c r="E324" s="449">
        <v>0</v>
      </c>
      <c r="F324" s="449">
        <v>0</v>
      </c>
      <c r="G324" s="421">
        <v>0</v>
      </c>
      <c r="H324" s="449">
        <v>0</v>
      </c>
      <c r="I324" s="449">
        <v>0</v>
      </c>
      <c r="J324" s="426">
        <v>0</v>
      </c>
      <c r="K324" s="421"/>
      <c r="L324" s="449">
        <v>0</v>
      </c>
      <c r="M324" s="449">
        <v>0</v>
      </c>
      <c r="N324" s="449">
        <v>0</v>
      </c>
      <c r="O324" s="449">
        <v>0</v>
      </c>
      <c r="P324" s="449">
        <v>0</v>
      </c>
      <c r="Q324" s="449">
        <v>0</v>
      </c>
      <c r="R324" s="449">
        <v>0</v>
      </c>
      <c r="S324" s="449">
        <v>0</v>
      </c>
      <c r="T324" s="449">
        <v>0</v>
      </c>
      <c r="U324" s="449">
        <v>0</v>
      </c>
      <c r="V324" s="449">
        <v>0</v>
      </c>
      <c r="W324" s="449">
        <v>0</v>
      </c>
      <c r="X324" s="449"/>
      <c r="Y324" s="449">
        <v>0</v>
      </c>
      <c r="Z324" s="531"/>
      <c r="AA324" s="449">
        <v>0</v>
      </c>
      <c r="AB324" s="449">
        <v>0</v>
      </c>
      <c r="AC324" s="449">
        <v>0</v>
      </c>
      <c r="AD324" s="449">
        <v>0</v>
      </c>
      <c r="AE324" s="449">
        <v>0</v>
      </c>
      <c r="AF324" s="449">
        <v>0</v>
      </c>
      <c r="AG324" s="449">
        <v>0</v>
      </c>
      <c r="AH324" s="449">
        <v>0</v>
      </c>
      <c r="AI324" s="449">
        <v>0</v>
      </c>
      <c r="AJ324" s="449">
        <v>0</v>
      </c>
      <c r="AK324" s="449">
        <v>0</v>
      </c>
      <c r="AL324" s="449">
        <v>0</v>
      </c>
      <c r="AM324" s="400"/>
      <c r="AN324" s="500">
        <v>0</v>
      </c>
      <c r="AO324" s="449">
        <v>0</v>
      </c>
      <c r="AP324" s="449">
        <v>0</v>
      </c>
      <c r="AQ324" s="453" t="s">
        <v>1519</v>
      </c>
      <c r="AR324" s="449">
        <v>0</v>
      </c>
      <c r="AS324" s="449">
        <v>0</v>
      </c>
      <c r="AT324" s="426">
        <v>0</v>
      </c>
      <c r="AU324" s="421"/>
      <c r="AV324" s="449">
        <v>0</v>
      </c>
      <c r="AW324" s="449">
        <v>0</v>
      </c>
      <c r="AX324" s="449">
        <v>0</v>
      </c>
      <c r="AY324" s="449">
        <v>0</v>
      </c>
      <c r="AZ324" s="449">
        <v>0</v>
      </c>
      <c r="BA324" s="449">
        <v>0</v>
      </c>
      <c r="BB324" s="449">
        <v>0</v>
      </c>
      <c r="BC324" s="449">
        <v>0</v>
      </c>
      <c r="BD324" s="449">
        <v>0</v>
      </c>
      <c r="BE324" s="449">
        <v>0</v>
      </c>
      <c r="BF324" s="449">
        <v>0</v>
      </c>
      <c r="BG324" s="449">
        <v>0</v>
      </c>
      <c r="BH324" s="400"/>
      <c r="BI324" s="449">
        <v>0</v>
      </c>
      <c r="BJ324" s="449">
        <v>0</v>
      </c>
      <c r="BK324" s="449">
        <v>0</v>
      </c>
      <c r="BL324" s="771">
        <v>0</v>
      </c>
      <c r="BM324" s="449">
        <v>0</v>
      </c>
      <c r="BN324" s="449">
        <v>0</v>
      </c>
      <c r="BO324" s="449">
        <v>0</v>
      </c>
      <c r="BP324" s="449">
        <v>0</v>
      </c>
      <c r="BQ324" s="449">
        <v>0</v>
      </c>
      <c r="BR324" s="449">
        <v>0</v>
      </c>
      <c r="BS324" s="449">
        <v>0</v>
      </c>
      <c r="BT324" s="449">
        <v>0</v>
      </c>
      <c r="BU324" s="400"/>
      <c r="BV324" s="400"/>
    </row>
    <row r="325" spans="1:74" hidden="1" x14ac:dyDescent="0.25">
      <c r="A325" s="614" t="s">
        <v>559</v>
      </c>
      <c r="B325" s="614" t="s">
        <v>560</v>
      </c>
      <c r="C325" s="541"/>
      <c r="D325" s="500">
        <v>0</v>
      </c>
      <c r="E325" s="449">
        <v>0</v>
      </c>
      <c r="F325" s="449">
        <v>0</v>
      </c>
      <c r="G325" s="421">
        <v>0</v>
      </c>
      <c r="H325" s="449">
        <v>0</v>
      </c>
      <c r="I325" s="449">
        <v>0</v>
      </c>
      <c r="J325" s="426">
        <v>0</v>
      </c>
      <c r="K325" s="421"/>
      <c r="L325" s="449">
        <v>0</v>
      </c>
      <c r="M325" s="449">
        <v>0</v>
      </c>
      <c r="N325" s="449">
        <v>0</v>
      </c>
      <c r="O325" s="449">
        <v>0</v>
      </c>
      <c r="P325" s="449">
        <v>0</v>
      </c>
      <c r="Q325" s="449">
        <v>0</v>
      </c>
      <c r="R325" s="449">
        <v>0</v>
      </c>
      <c r="S325" s="449">
        <v>0</v>
      </c>
      <c r="T325" s="449">
        <v>0</v>
      </c>
      <c r="U325" s="449">
        <v>0</v>
      </c>
      <c r="V325" s="449">
        <v>0</v>
      </c>
      <c r="W325" s="449">
        <v>0</v>
      </c>
      <c r="X325" s="449"/>
      <c r="Y325" s="449">
        <v>0</v>
      </c>
      <c r="Z325" s="531"/>
      <c r="AA325" s="449">
        <v>0</v>
      </c>
      <c r="AB325" s="449">
        <v>0</v>
      </c>
      <c r="AC325" s="449">
        <v>0</v>
      </c>
      <c r="AD325" s="449">
        <v>0</v>
      </c>
      <c r="AE325" s="449">
        <v>0</v>
      </c>
      <c r="AF325" s="449">
        <v>0</v>
      </c>
      <c r="AG325" s="449">
        <v>0</v>
      </c>
      <c r="AH325" s="449">
        <v>0</v>
      </c>
      <c r="AI325" s="449">
        <v>0</v>
      </c>
      <c r="AJ325" s="449">
        <v>0</v>
      </c>
      <c r="AK325" s="449">
        <v>0</v>
      </c>
      <c r="AL325" s="449">
        <v>0</v>
      </c>
      <c r="AM325" s="400"/>
      <c r="AN325" s="500">
        <v>0</v>
      </c>
      <c r="AO325" s="449">
        <v>0</v>
      </c>
      <c r="AP325" s="449">
        <v>0</v>
      </c>
      <c r="AQ325" s="453" t="s">
        <v>1519</v>
      </c>
      <c r="AR325" s="449">
        <v>0</v>
      </c>
      <c r="AS325" s="449">
        <v>0</v>
      </c>
      <c r="AT325" s="426">
        <v>0</v>
      </c>
      <c r="AU325" s="421"/>
      <c r="AV325" s="449">
        <v>0</v>
      </c>
      <c r="AW325" s="449">
        <v>0</v>
      </c>
      <c r="AX325" s="449">
        <v>0</v>
      </c>
      <c r="AY325" s="449">
        <v>0</v>
      </c>
      <c r="AZ325" s="449">
        <v>0</v>
      </c>
      <c r="BA325" s="449">
        <v>0</v>
      </c>
      <c r="BB325" s="449">
        <v>0</v>
      </c>
      <c r="BC325" s="449">
        <v>0</v>
      </c>
      <c r="BD325" s="449">
        <v>0</v>
      </c>
      <c r="BE325" s="449">
        <v>0</v>
      </c>
      <c r="BF325" s="449">
        <v>0</v>
      </c>
      <c r="BG325" s="449">
        <v>0</v>
      </c>
      <c r="BH325" s="400"/>
      <c r="BI325" s="449">
        <v>0</v>
      </c>
      <c r="BJ325" s="449">
        <v>0</v>
      </c>
      <c r="BK325" s="449">
        <v>0</v>
      </c>
      <c r="BL325" s="771">
        <v>0</v>
      </c>
      <c r="BM325" s="449">
        <v>0</v>
      </c>
      <c r="BN325" s="449">
        <v>0</v>
      </c>
      <c r="BO325" s="449">
        <v>0</v>
      </c>
      <c r="BP325" s="449">
        <v>0</v>
      </c>
      <c r="BQ325" s="449">
        <v>0</v>
      </c>
      <c r="BR325" s="449">
        <v>0</v>
      </c>
      <c r="BS325" s="449">
        <v>0</v>
      </c>
      <c r="BT325" s="449">
        <v>0</v>
      </c>
      <c r="BU325" s="400"/>
      <c r="BV325" s="400"/>
    </row>
    <row r="326" spans="1:74" hidden="1" x14ac:dyDescent="0.25">
      <c r="A326" s="614" t="s">
        <v>561</v>
      </c>
      <c r="B326" s="614" t="s">
        <v>562</v>
      </c>
      <c r="C326" s="541"/>
      <c r="D326" s="500">
        <v>0</v>
      </c>
      <c r="E326" s="449">
        <v>0</v>
      </c>
      <c r="F326" s="449">
        <v>0</v>
      </c>
      <c r="G326" s="421">
        <v>0</v>
      </c>
      <c r="H326" s="449">
        <v>0</v>
      </c>
      <c r="I326" s="449">
        <v>0</v>
      </c>
      <c r="J326" s="426">
        <v>0</v>
      </c>
      <c r="K326" s="421"/>
      <c r="L326" s="449">
        <v>0</v>
      </c>
      <c r="M326" s="449">
        <v>0</v>
      </c>
      <c r="N326" s="449">
        <v>0</v>
      </c>
      <c r="O326" s="449">
        <v>0</v>
      </c>
      <c r="P326" s="449">
        <v>0</v>
      </c>
      <c r="Q326" s="449">
        <v>0</v>
      </c>
      <c r="R326" s="449">
        <v>0</v>
      </c>
      <c r="S326" s="449">
        <v>0</v>
      </c>
      <c r="T326" s="449">
        <v>0</v>
      </c>
      <c r="U326" s="449">
        <v>0</v>
      </c>
      <c r="V326" s="449">
        <v>0</v>
      </c>
      <c r="W326" s="449">
        <v>0</v>
      </c>
      <c r="X326" s="449"/>
      <c r="Y326" s="449">
        <v>0</v>
      </c>
      <c r="Z326" s="531"/>
      <c r="AA326" s="449">
        <v>0</v>
      </c>
      <c r="AB326" s="449">
        <v>0</v>
      </c>
      <c r="AC326" s="449">
        <v>0</v>
      </c>
      <c r="AD326" s="449">
        <v>0</v>
      </c>
      <c r="AE326" s="449">
        <v>0</v>
      </c>
      <c r="AF326" s="449">
        <v>0</v>
      </c>
      <c r="AG326" s="449">
        <v>0</v>
      </c>
      <c r="AH326" s="449">
        <v>0</v>
      </c>
      <c r="AI326" s="449">
        <v>0</v>
      </c>
      <c r="AJ326" s="449">
        <v>0</v>
      </c>
      <c r="AK326" s="449">
        <v>0</v>
      </c>
      <c r="AL326" s="449">
        <v>0</v>
      </c>
      <c r="AM326" s="400"/>
      <c r="AN326" s="500">
        <v>0</v>
      </c>
      <c r="AO326" s="449">
        <v>0</v>
      </c>
      <c r="AP326" s="449">
        <v>0</v>
      </c>
      <c r="AQ326" s="453" t="s">
        <v>1519</v>
      </c>
      <c r="AR326" s="449">
        <v>0</v>
      </c>
      <c r="AS326" s="449">
        <v>0</v>
      </c>
      <c r="AT326" s="426">
        <v>0</v>
      </c>
      <c r="AU326" s="421"/>
      <c r="AV326" s="449">
        <v>0</v>
      </c>
      <c r="AW326" s="449">
        <v>0</v>
      </c>
      <c r="AX326" s="449">
        <v>0</v>
      </c>
      <c r="AY326" s="449">
        <v>0</v>
      </c>
      <c r="AZ326" s="449">
        <v>0</v>
      </c>
      <c r="BA326" s="449">
        <v>0</v>
      </c>
      <c r="BB326" s="449">
        <v>0</v>
      </c>
      <c r="BC326" s="449">
        <v>0</v>
      </c>
      <c r="BD326" s="449">
        <v>0</v>
      </c>
      <c r="BE326" s="449">
        <v>0</v>
      </c>
      <c r="BF326" s="449">
        <v>0</v>
      </c>
      <c r="BG326" s="449">
        <v>0</v>
      </c>
      <c r="BH326" s="400"/>
      <c r="BI326" s="449">
        <v>0</v>
      </c>
      <c r="BJ326" s="449">
        <v>0</v>
      </c>
      <c r="BK326" s="449">
        <v>0</v>
      </c>
      <c r="BL326" s="771">
        <v>0</v>
      </c>
      <c r="BM326" s="449">
        <v>0</v>
      </c>
      <c r="BN326" s="449">
        <v>0</v>
      </c>
      <c r="BO326" s="449">
        <v>0</v>
      </c>
      <c r="BP326" s="449">
        <v>0</v>
      </c>
      <c r="BQ326" s="449">
        <v>0</v>
      </c>
      <c r="BR326" s="449">
        <v>0</v>
      </c>
      <c r="BS326" s="449">
        <v>0</v>
      </c>
      <c r="BT326" s="449">
        <v>0</v>
      </c>
      <c r="BU326" s="400"/>
      <c r="BV326" s="400"/>
    </row>
    <row r="327" spans="1:74" ht="15" hidden="1" customHeight="1" x14ac:dyDescent="0.25">
      <c r="A327" s="614" t="s">
        <v>563</v>
      </c>
      <c r="B327" s="614" t="s">
        <v>564</v>
      </c>
      <c r="C327" s="538"/>
      <c r="D327" s="500">
        <v>0</v>
      </c>
      <c r="E327" s="449">
        <v>0</v>
      </c>
      <c r="F327" s="449">
        <v>0</v>
      </c>
      <c r="G327" s="421">
        <v>0</v>
      </c>
      <c r="H327" s="449">
        <v>0</v>
      </c>
      <c r="I327" s="449">
        <v>0</v>
      </c>
      <c r="J327" s="426">
        <v>0</v>
      </c>
      <c r="K327" s="421"/>
      <c r="L327" s="449">
        <v>0</v>
      </c>
      <c r="M327" s="449">
        <v>0</v>
      </c>
      <c r="N327" s="449">
        <v>0</v>
      </c>
      <c r="O327" s="449">
        <v>0</v>
      </c>
      <c r="P327" s="449">
        <v>0</v>
      </c>
      <c r="Q327" s="449">
        <v>0</v>
      </c>
      <c r="R327" s="449">
        <v>0</v>
      </c>
      <c r="S327" s="449">
        <v>0</v>
      </c>
      <c r="T327" s="449">
        <v>0</v>
      </c>
      <c r="U327" s="449">
        <v>0</v>
      </c>
      <c r="V327" s="449">
        <v>0</v>
      </c>
      <c r="W327" s="449">
        <v>0</v>
      </c>
      <c r="X327" s="449"/>
      <c r="Y327" s="449">
        <v>0</v>
      </c>
      <c r="Z327" s="531"/>
      <c r="AA327" s="449">
        <v>0</v>
      </c>
      <c r="AB327" s="449">
        <v>0</v>
      </c>
      <c r="AC327" s="449">
        <v>0</v>
      </c>
      <c r="AD327" s="449">
        <v>0</v>
      </c>
      <c r="AE327" s="449">
        <v>0</v>
      </c>
      <c r="AF327" s="449">
        <v>0</v>
      </c>
      <c r="AG327" s="449">
        <v>0</v>
      </c>
      <c r="AH327" s="449">
        <v>0</v>
      </c>
      <c r="AI327" s="449">
        <v>0</v>
      </c>
      <c r="AJ327" s="449">
        <v>0</v>
      </c>
      <c r="AK327" s="449">
        <v>0</v>
      </c>
      <c r="AL327" s="449">
        <v>0</v>
      </c>
      <c r="AM327" s="400"/>
      <c r="AN327" s="500">
        <v>0</v>
      </c>
      <c r="AO327" s="449">
        <v>0</v>
      </c>
      <c r="AP327" s="449">
        <v>0</v>
      </c>
      <c r="AQ327" s="453" t="s">
        <v>1519</v>
      </c>
      <c r="AR327" s="449">
        <v>0</v>
      </c>
      <c r="AS327" s="449">
        <v>0</v>
      </c>
      <c r="AT327" s="426">
        <v>0</v>
      </c>
      <c r="AU327" s="421"/>
      <c r="AV327" s="449">
        <v>0</v>
      </c>
      <c r="AW327" s="449">
        <v>0</v>
      </c>
      <c r="AX327" s="449">
        <v>0</v>
      </c>
      <c r="AY327" s="449">
        <v>0</v>
      </c>
      <c r="AZ327" s="449">
        <v>0</v>
      </c>
      <c r="BA327" s="449">
        <v>0</v>
      </c>
      <c r="BB327" s="449">
        <v>0</v>
      </c>
      <c r="BC327" s="449">
        <v>0</v>
      </c>
      <c r="BD327" s="449">
        <v>0</v>
      </c>
      <c r="BE327" s="449">
        <v>0</v>
      </c>
      <c r="BF327" s="449">
        <v>0</v>
      </c>
      <c r="BG327" s="449">
        <v>0</v>
      </c>
      <c r="BH327" s="400"/>
      <c r="BI327" s="449">
        <v>0</v>
      </c>
      <c r="BJ327" s="449">
        <v>0</v>
      </c>
      <c r="BK327" s="449">
        <v>0</v>
      </c>
      <c r="BL327" s="771">
        <v>0</v>
      </c>
      <c r="BM327" s="449">
        <v>0</v>
      </c>
      <c r="BN327" s="449">
        <v>0</v>
      </c>
      <c r="BO327" s="449">
        <v>0</v>
      </c>
      <c r="BP327" s="449">
        <v>0</v>
      </c>
      <c r="BQ327" s="449">
        <v>0</v>
      </c>
      <c r="BR327" s="449">
        <v>0</v>
      </c>
      <c r="BS327" s="449">
        <v>0</v>
      </c>
      <c r="BT327" s="449">
        <v>0</v>
      </c>
      <c r="BU327" s="400"/>
      <c r="BV327" s="400"/>
    </row>
    <row r="328" spans="1:74" x14ac:dyDescent="0.25">
      <c r="A328" s="502" t="s">
        <v>565</v>
      </c>
      <c r="B328" s="502" t="s">
        <v>566</v>
      </c>
      <c r="C328" s="597"/>
      <c r="D328" s="500">
        <v>4823</v>
      </c>
      <c r="E328" s="449">
        <v>4823</v>
      </c>
      <c r="F328" s="449">
        <v>0</v>
      </c>
      <c r="G328" s="421">
        <v>0</v>
      </c>
      <c r="H328" s="449">
        <v>4823</v>
      </c>
      <c r="I328" s="449">
        <v>0</v>
      </c>
      <c r="J328" s="426">
        <v>0</v>
      </c>
      <c r="K328" s="421"/>
      <c r="L328" s="449">
        <v>0</v>
      </c>
      <c r="M328" s="449">
        <v>284.7</v>
      </c>
      <c r="N328" s="449">
        <v>105.54000000000002</v>
      </c>
      <c r="O328" s="449">
        <v>421.61</v>
      </c>
      <c r="P328" s="449">
        <v>124.77999999999997</v>
      </c>
      <c r="Q328" s="449">
        <v>0</v>
      </c>
      <c r="R328" s="449">
        <v>647.72833333333335</v>
      </c>
      <c r="S328" s="449">
        <v>647.72833333333324</v>
      </c>
      <c r="T328" s="449">
        <v>647.72833333333335</v>
      </c>
      <c r="U328" s="449">
        <v>647.72833333333335</v>
      </c>
      <c r="V328" s="449">
        <v>647.72833333333324</v>
      </c>
      <c r="W328" s="449">
        <v>647.72833333333347</v>
      </c>
      <c r="X328" s="449"/>
      <c r="Y328" s="449">
        <v>4823</v>
      </c>
      <c r="Z328" s="531"/>
      <c r="AA328" s="449">
        <v>401.91666666666669</v>
      </c>
      <c r="AB328" s="449">
        <v>401.91666666666669</v>
      </c>
      <c r="AC328" s="449">
        <v>401.91666666666669</v>
      </c>
      <c r="AD328" s="449">
        <v>401.91666666666669</v>
      </c>
      <c r="AE328" s="449">
        <v>401.91666666666669</v>
      </c>
      <c r="AF328" s="449">
        <v>401.91666666666669</v>
      </c>
      <c r="AG328" s="449">
        <v>401.91666666666669</v>
      </c>
      <c r="AH328" s="449">
        <v>401.91666666666669</v>
      </c>
      <c r="AI328" s="449">
        <v>401.91666666666669</v>
      </c>
      <c r="AJ328" s="449">
        <v>401.91666666666669</v>
      </c>
      <c r="AK328" s="449">
        <v>401.91666666666669</v>
      </c>
      <c r="AL328" s="449">
        <v>401.91666666666669</v>
      </c>
      <c r="AM328" s="400"/>
      <c r="AN328" s="500">
        <v>4823</v>
      </c>
      <c r="AO328" s="449">
        <v>3599.9999999999986</v>
      </c>
      <c r="AP328" s="449">
        <v>-1223.0000000000014</v>
      </c>
      <c r="AQ328" s="453">
        <v>-0.25357661206717841</v>
      </c>
      <c r="AR328" s="449">
        <v>3599.9999999999986</v>
      </c>
      <c r="AS328" s="449">
        <v>0</v>
      </c>
      <c r="AT328" s="426">
        <v>0</v>
      </c>
      <c r="AU328" s="421"/>
      <c r="AV328" s="449">
        <v>720</v>
      </c>
      <c r="AW328" s="449">
        <v>720</v>
      </c>
      <c r="AX328" s="449">
        <v>480</v>
      </c>
      <c r="AY328" s="449">
        <v>480</v>
      </c>
      <c r="AZ328" s="449">
        <v>480</v>
      </c>
      <c r="BA328" s="449">
        <v>102.85714285714285</v>
      </c>
      <c r="BB328" s="449">
        <v>102.85714285714285</v>
      </c>
      <c r="BC328" s="449">
        <v>102.85714285714285</v>
      </c>
      <c r="BD328" s="449">
        <v>102.85714285714285</v>
      </c>
      <c r="BE328" s="449">
        <v>102.85714285714285</v>
      </c>
      <c r="BF328" s="449">
        <v>102.85714285714285</v>
      </c>
      <c r="BG328" s="449">
        <v>102.85714285714285</v>
      </c>
      <c r="BH328" s="400"/>
      <c r="BI328" s="449">
        <v>720</v>
      </c>
      <c r="BJ328" s="449">
        <v>720</v>
      </c>
      <c r="BK328" s="449">
        <v>480</v>
      </c>
      <c r="BL328" s="771">
        <v>480</v>
      </c>
      <c r="BM328" s="449">
        <v>480</v>
      </c>
      <c r="BN328" s="449">
        <v>102.85714285714285</v>
      </c>
      <c r="BO328" s="449">
        <v>102.85714285714285</v>
      </c>
      <c r="BP328" s="449">
        <v>102.85714285714285</v>
      </c>
      <c r="BQ328" s="449">
        <v>102.85714285714285</v>
      </c>
      <c r="BR328" s="449">
        <v>102.85714285714285</v>
      </c>
      <c r="BS328" s="449">
        <v>102.85714285714285</v>
      </c>
      <c r="BT328" s="449">
        <v>102.85714285714285</v>
      </c>
      <c r="BU328" s="400"/>
      <c r="BV328" s="400"/>
    </row>
    <row r="329" spans="1:74" x14ac:dyDescent="0.25">
      <c r="A329" s="502" t="s">
        <v>567</v>
      </c>
      <c r="B329" s="502" t="s">
        <v>568</v>
      </c>
      <c r="C329" s="597"/>
      <c r="D329" s="500">
        <v>0</v>
      </c>
      <c r="E329" s="449">
        <v>0</v>
      </c>
      <c r="F329" s="449">
        <v>0</v>
      </c>
      <c r="G329" s="421">
        <v>0</v>
      </c>
      <c r="H329" s="449">
        <v>0</v>
      </c>
      <c r="I329" s="449">
        <v>0</v>
      </c>
      <c r="J329" s="426">
        <v>0</v>
      </c>
      <c r="K329" s="421"/>
      <c r="L329" s="449">
        <v>0</v>
      </c>
      <c r="M329" s="449">
        <v>0</v>
      </c>
      <c r="N329" s="449">
        <v>0</v>
      </c>
      <c r="O329" s="449">
        <v>0</v>
      </c>
      <c r="P329" s="449">
        <v>0</v>
      </c>
      <c r="Q329" s="449">
        <v>0</v>
      </c>
      <c r="R329" s="449">
        <v>0</v>
      </c>
      <c r="S329" s="449">
        <v>0</v>
      </c>
      <c r="T329" s="449">
        <v>0</v>
      </c>
      <c r="U329" s="449">
        <v>0</v>
      </c>
      <c r="V329" s="449">
        <v>0</v>
      </c>
      <c r="W329" s="449">
        <v>0</v>
      </c>
      <c r="X329" s="449"/>
      <c r="Y329" s="449">
        <v>0</v>
      </c>
      <c r="Z329" s="531"/>
      <c r="AA329" s="449">
        <v>0</v>
      </c>
      <c r="AB329" s="449">
        <v>0</v>
      </c>
      <c r="AC329" s="449">
        <v>0</v>
      </c>
      <c r="AD329" s="449">
        <v>0</v>
      </c>
      <c r="AE329" s="449">
        <v>0</v>
      </c>
      <c r="AF329" s="449">
        <v>0</v>
      </c>
      <c r="AG329" s="449">
        <v>0</v>
      </c>
      <c r="AH329" s="449">
        <v>0</v>
      </c>
      <c r="AI329" s="449">
        <v>0</v>
      </c>
      <c r="AJ329" s="449">
        <v>0</v>
      </c>
      <c r="AK329" s="449">
        <v>0</v>
      </c>
      <c r="AL329" s="449">
        <v>0</v>
      </c>
      <c r="AM329" s="400"/>
      <c r="AN329" s="500">
        <v>0</v>
      </c>
      <c r="AO329" s="449">
        <v>0</v>
      </c>
      <c r="AP329" s="449">
        <v>0</v>
      </c>
      <c r="AQ329" s="453" t="s">
        <v>1519</v>
      </c>
      <c r="AR329" s="449">
        <v>0</v>
      </c>
      <c r="AS329" s="449">
        <v>0</v>
      </c>
      <c r="AT329" s="426">
        <v>0</v>
      </c>
      <c r="AU329" s="421"/>
      <c r="AV329" s="449">
        <v>0</v>
      </c>
      <c r="AW329" s="449">
        <v>0</v>
      </c>
      <c r="AX329" s="449">
        <v>0</v>
      </c>
      <c r="AY329" s="449">
        <v>0</v>
      </c>
      <c r="AZ329" s="449">
        <v>0</v>
      </c>
      <c r="BA329" s="449">
        <v>0</v>
      </c>
      <c r="BB329" s="449">
        <v>0</v>
      </c>
      <c r="BC329" s="449">
        <v>0</v>
      </c>
      <c r="BD329" s="449">
        <v>0</v>
      </c>
      <c r="BE329" s="449">
        <v>0</v>
      </c>
      <c r="BF329" s="449">
        <v>0</v>
      </c>
      <c r="BG329" s="449">
        <v>0</v>
      </c>
      <c r="BH329" s="400"/>
      <c r="BI329" s="449">
        <v>0</v>
      </c>
      <c r="BJ329" s="449">
        <v>0</v>
      </c>
      <c r="BK329" s="449">
        <v>0</v>
      </c>
      <c r="BL329" s="771">
        <v>0</v>
      </c>
      <c r="BM329" s="449">
        <v>0</v>
      </c>
      <c r="BN329" s="449">
        <v>0</v>
      </c>
      <c r="BO329" s="449">
        <v>0</v>
      </c>
      <c r="BP329" s="449">
        <v>0</v>
      </c>
      <c r="BQ329" s="449">
        <v>0</v>
      </c>
      <c r="BR329" s="449">
        <v>0</v>
      </c>
      <c r="BS329" s="449">
        <v>0</v>
      </c>
      <c r="BT329" s="449">
        <v>0</v>
      </c>
      <c r="BU329" s="400"/>
      <c r="BV329" s="400"/>
    </row>
    <row r="330" spans="1:74" ht="8.25" customHeight="1" x14ac:dyDescent="0.25">
      <c r="A330" s="587"/>
      <c r="B330" s="502"/>
      <c r="C330" s="597"/>
      <c r="D330" s="500"/>
      <c r="E330" s="449"/>
      <c r="F330" s="449"/>
      <c r="G330" s="421"/>
      <c r="H330" s="449"/>
      <c r="I330" s="449"/>
      <c r="J330" s="426"/>
      <c r="K330" s="421"/>
      <c r="L330" s="449"/>
      <c r="M330" s="449"/>
      <c r="N330" s="449"/>
      <c r="O330" s="449"/>
      <c r="P330" s="449"/>
      <c r="Q330" s="449"/>
      <c r="R330" s="449"/>
      <c r="S330" s="449"/>
      <c r="T330" s="449"/>
      <c r="U330" s="449"/>
      <c r="V330" s="449"/>
      <c r="W330" s="449"/>
      <c r="X330" s="449"/>
      <c r="Y330" s="449"/>
      <c r="Z330" s="531"/>
      <c r="AA330" s="449"/>
      <c r="AB330" s="449"/>
      <c r="AC330" s="449"/>
      <c r="AD330" s="449"/>
      <c r="AE330" s="449"/>
      <c r="AF330" s="449"/>
      <c r="AG330" s="449"/>
      <c r="AH330" s="449"/>
      <c r="AI330" s="449"/>
      <c r="AJ330" s="449"/>
      <c r="AK330" s="449"/>
      <c r="AL330" s="449"/>
      <c r="AM330" s="400"/>
      <c r="AN330" s="500"/>
      <c r="AO330" s="449"/>
      <c r="AP330" s="449"/>
      <c r="AQ330" s="453"/>
      <c r="AR330" s="449"/>
      <c r="AS330" s="449"/>
      <c r="AT330" s="426"/>
      <c r="AU330" s="421"/>
      <c r="AV330" s="449"/>
      <c r="AW330" s="449"/>
      <c r="AX330" s="449"/>
      <c r="AY330" s="449"/>
      <c r="AZ330" s="449"/>
      <c r="BA330" s="449"/>
      <c r="BB330" s="449"/>
      <c r="BC330" s="449"/>
      <c r="BD330" s="449"/>
      <c r="BE330" s="449"/>
      <c r="BF330" s="449"/>
      <c r="BG330" s="449"/>
      <c r="BH330" s="531"/>
      <c r="BI330" s="449"/>
      <c r="BJ330" s="449"/>
      <c r="BK330" s="449"/>
      <c r="BL330" s="771"/>
      <c r="BM330" s="449"/>
      <c r="BN330" s="449"/>
      <c r="BO330" s="449"/>
      <c r="BP330" s="449"/>
      <c r="BQ330" s="449"/>
      <c r="BR330" s="449"/>
      <c r="BS330" s="449"/>
      <c r="BT330" s="449"/>
      <c r="BU330" s="400"/>
      <c r="BV330" s="400"/>
    </row>
    <row r="331" spans="1:74" s="536" customFormat="1" ht="15.75" thickBot="1" x14ac:dyDescent="0.3">
      <c r="A331" s="526"/>
      <c r="B331" s="524" t="s">
        <v>569</v>
      </c>
      <c r="C331" s="599"/>
      <c r="D331" s="532">
        <v>447291.99</v>
      </c>
      <c r="E331" s="533">
        <v>509059</v>
      </c>
      <c r="F331" s="533">
        <v>-61767.010000000009</v>
      </c>
      <c r="G331" s="520">
        <v>-0.12133566050300655</v>
      </c>
      <c r="H331" s="533">
        <v>443769</v>
      </c>
      <c r="I331" s="533">
        <v>3522.9899999999907</v>
      </c>
      <c r="J331" s="521">
        <v>7.9387924798712626E-3</v>
      </c>
      <c r="K331" s="507"/>
      <c r="L331" s="533">
        <v>184.48999999999998</v>
      </c>
      <c r="M331" s="533">
        <v>29729.200000000001</v>
      </c>
      <c r="N331" s="533">
        <v>22243.45</v>
      </c>
      <c r="O331" s="533">
        <v>31318.110000000004</v>
      </c>
      <c r="P331" s="533">
        <v>20478.010000000002</v>
      </c>
      <c r="Q331" s="533">
        <v>26376.79</v>
      </c>
      <c r="R331" s="533">
        <v>52826.99</v>
      </c>
      <c r="S331" s="533">
        <v>52826.99</v>
      </c>
      <c r="T331" s="533">
        <v>52826.99</v>
      </c>
      <c r="U331" s="533">
        <v>52826.99</v>
      </c>
      <c r="V331" s="533">
        <v>52826.989999999991</v>
      </c>
      <c r="W331" s="533">
        <v>52826.989999999991</v>
      </c>
      <c r="X331" s="533"/>
      <c r="Y331" s="533">
        <v>447291.99</v>
      </c>
      <c r="Z331" s="508"/>
      <c r="AA331" s="533">
        <v>36980.75</v>
      </c>
      <c r="AB331" s="533">
        <v>36980.75</v>
      </c>
      <c r="AC331" s="533">
        <v>36980.75</v>
      </c>
      <c r="AD331" s="533">
        <v>36980.75</v>
      </c>
      <c r="AE331" s="533">
        <v>36980.75</v>
      </c>
      <c r="AF331" s="533">
        <v>36980.75</v>
      </c>
      <c r="AG331" s="533">
        <v>36980.75</v>
      </c>
      <c r="AH331" s="533">
        <v>36980.75</v>
      </c>
      <c r="AI331" s="533">
        <v>36980.75</v>
      </c>
      <c r="AJ331" s="533">
        <v>36980.75</v>
      </c>
      <c r="AK331" s="533">
        <v>36980.75</v>
      </c>
      <c r="AL331" s="533">
        <v>36980.75</v>
      </c>
      <c r="AN331" s="532">
        <v>447291.99</v>
      </c>
      <c r="AO331" s="533">
        <v>426244.97865999996</v>
      </c>
      <c r="AP331" s="533">
        <v>-21047.011340000026</v>
      </c>
      <c r="AQ331" s="523">
        <v>-4.7054299675699594E-2</v>
      </c>
      <c r="AR331" s="533">
        <v>426244.97865999996</v>
      </c>
      <c r="AS331" s="533">
        <v>0</v>
      </c>
      <c r="AT331" s="521">
        <v>0</v>
      </c>
      <c r="AU331" s="507"/>
      <c r="AV331" s="533">
        <v>34440.414888333333</v>
      </c>
      <c r="AW331" s="533">
        <v>34440.414888333333</v>
      </c>
      <c r="AX331" s="533">
        <v>34200.414888333333</v>
      </c>
      <c r="AY331" s="533">
        <v>52200.41488833334</v>
      </c>
      <c r="AZ331" s="533">
        <v>34200.414888333333</v>
      </c>
      <c r="BA331" s="533">
        <v>33823.272031190478</v>
      </c>
      <c r="BB331" s="533">
        <v>33823.272031190478</v>
      </c>
      <c r="BC331" s="533">
        <v>33823.272031190478</v>
      </c>
      <c r="BD331" s="533">
        <v>33823.272031190478</v>
      </c>
      <c r="BE331" s="533">
        <v>33823.272031190478</v>
      </c>
      <c r="BF331" s="533">
        <v>33823.272031190478</v>
      </c>
      <c r="BG331" s="533">
        <v>33823.272031190478</v>
      </c>
      <c r="BH331" s="508"/>
      <c r="BI331" s="533">
        <v>34440.414888333333</v>
      </c>
      <c r="BJ331" s="533">
        <v>34440.414888333333</v>
      </c>
      <c r="BK331" s="533">
        <v>34200.414888333333</v>
      </c>
      <c r="BL331" s="777">
        <v>52200.41488833334</v>
      </c>
      <c r="BM331" s="533">
        <v>34200.414888333333</v>
      </c>
      <c r="BN331" s="533">
        <v>33823.272031190478</v>
      </c>
      <c r="BO331" s="533">
        <v>33823.272031190478</v>
      </c>
      <c r="BP331" s="533">
        <v>33823.272031190478</v>
      </c>
      <c r="BQ331" s="533">
        <v>33823.272031190478</v>
      </c>
      <c r="BR331" s="533">
        <v>33823.272031190478</v>
      </c>
      <c r="BS331" s="533">
        <v>33823.272031190478</v>
      </c>
      <c r="BT331" s="533">
        <v>33823.272031190478</v>
      </c>
      <c r="BV331" s="400"/>
    </row>
    <row r="332" spans="1:74" ht="15.75" thickTop="1" x14ac:dyDescent="0.25">
      <c r="A332" s="587"/>
      <c r="B332" s="502"/>
      <c r="C332" s="597"/>
      <c r="D332" s="500"/>
      <c r="E332" s="449"/>
      <c r="F332" s="449"/>
      <c r="G332" s="421"/>
      <c r="H332" s="449"/>
      <c r="I332" s="449"/>
      <c r="J332" s="426"/>
      <c r="K332" s="421"/>
      <c r="L332" s="449"/>
      <c r="M332" s="449"/>
      <c r="N332" s="449"/>
      <c r="O332" s="449"/>
      <c r="P332" s="449"/>
      <c r="Q332" s="449"/>
      <c r="R332" s="449"/>
      <c r="S332" s="449"/>
      <c r="T332" s="449"/>
      <c r="U332" s="449"/>
      <c r="V332" s="449"/>
      <c r="W332" s="449"/>
      <c r="X332" s="449"/>
      <c r="Y332" s="449"/>
      <c r="Z332" s="531"/>
      <c r="AA332" s="449"/>
      <c r="AB332" s="449"/>
      <c r="AC332" s="449"/>
      <c r="AD332" s="449"/>
      <c r="AE332" s="449"/>
      <c r="AF332" s="449"/>
      <c r="AG332" s="449"/>
      <c r="AH332" s="449"/>
      <c r="AI332" s="449"/>
      <c r="AJ332" s="449"/>
      <c r="AK332" s="449"/>
      <c r="AL332" s="449"/>
      <c r="AM332" s="400"/>
      <c r="AN332" s="500"/>
      <c r="AO332" s="449"/>
      <c r="AP332" s="449"/>
      <c r="AQ332" s="453"/>
      <c r="AR332" s="449"/>
      <c r="AS332" s="449"/>
      <c r="AT332" s="426"/>
      <c r="AU332" s="421"/>
      <c r="AV332" s="449"/>
      <c r="AW332" s="449"/>
      <c r="AX332" s="449"/>
      <c r="AY332" s="449"/>
      <c r="AZ332" s="449"/>
      <c r="BA332" s="449"/>
      <c r="BB332" s="449"/>
      <c r="BC332" s="449"/>
      <c r="BD332" s="449"/>
      <c r="BE332" s="449"/>
      <c r="BF332" s="449"/>
      <c r="BG332" s="449"/>
      <c r="BH332" s="531"/>
      <c r="BI332" s="449"/>
      <c r="BJ332" s="449"/>
      <c r="BK332" s="449"/>
      <c r="BL332" s="771"/>
      <c r="BM332" s="449"/>
      <c r="BN332" s="449"/>
      <c r="BO332" s="449"/>
      <c r="BP332" s="449"/>
      <c r="BQ332" s="449"/>
      <c r="BR332" s="449"/>
      <c r="BS332" s="449"/>
      <c r="BT332" s="449"/>
      <c r="BU332" s="400"/>
      <c r="BV332" s="400"/>
    </row>
    <row r="333" spans="1:74" ht="15.75" x14ac:dyDescent="0.25">
      <c r="A333" s="587"/>
      <c r="B333" s="525" t="s">
        <v>570</v>
      </c>
      <c r="C333" s="597"/>
      <c r="D333" s="500"/>
      <c r="E333" s="449"/>
      <c r="F333" s="449"/>
      <c r="G333" s="421"/>
      <c r="H333" s="449"/>
      <c r="I333" s="449"/>
      <c r="J333" s="426"/>
      <c r="K333" s="421"/>
      <c r="L333" s="449"/>
      <c r="M333" s="449"/>
      <c r="N333" s="449"/>
      <c r="O333" s="449"/>
      <c r="P333" s="449"/>
      <c r="Q333" s="449"/>
      <c r="R333" s="449"/>
      <c r="S333" s="449"/>
      <c r="T333" s="449"/>
      <c r="U333" s="449"/>
      <c r="V333" s="449"/>
      <c r="W333" s="449"/>
      <c r="X333" s="449"/>
      <c r="Y333" s="449"/>
      <c r="Z333" s="531"/>
      <c r="AA333" s="449"/>
      <c r="AB333" s="449"/>
      <c r="AC333" s="449"/>
      <c r="AD333" s="449"/>
      <c r="AE333" s="449"/>
      <c r="AF333" s="449"/>
      <c r="AG333" s="449"/>
      <c r="AH333" s="449"/>
      <c r="AI333" s="449"/>
      <c r="AJ333" s="449"/>
      <c r="AK333" s="449"/>
      <c r="AL333" s="449"/>
      <c r="AM333" s="400"/>
      <c r="AN333" s="500"/>
      <c r="AO333" s="449"/>
      <c r="AP333" s="449"/>
      <c r="AQ333" s="453"/>
      <c r="AR333" s="449"/>
      <c r="AS333" s="449"/>
      <c r="AT333" s="426"/>
      <c r="AU333" s="421"/>
      <c r="AV333" s="449"/>
      <c r="AW333" s="449"/>
      <c r="AX333" s="449"/>
      <c r="AY333" s="449"/>
      <c r="AZ333" s="449"/>
      <c r="BA333" s="449"/>
      <c r="BB333" s="449"/>
      <c r="BC333" s="449"/>
      <c r="BD333" s="449"/>
      <c r="BE333" s="449"/>
      <c r="BF333" s="449"/>
      <c r="BG333" s="449"/>
      <c r="BH333" s="531"/>
      <c r="BI333" s="449"/>
      <c r="BJ333" s="449"/>
      <c r="BK333" s="449"/>
      <c r="BL333" s="771"/>
      <c r="BM333" s="449"/>
      <c r="BN333" s="449"/>
      <c r="BO333" s="449"/>
      <c r="BP333" s="449"/>
      <c r="BQ333" s="449"/>
      <c r="BR333" s="449"/>
      <c r="BS333" s="449"/>
      <c r="BT333" s="449"/>
      <c r="BU333" s="400"/>
      <c r="BV333" s="400"/>
    </row>
    <row r="334" spans="1:74" ht="9.75" customHeight="1" x14ac:dyDescent="0.25">
      <c r="A334" s="587"/>
      <c r="B334" s="502"/>
      <c r="C334" s="597"/>
      <c r="D334" s="500"/>
      <c r="E334" s="449"/>
      <c r="F334" s="449"/>
      <c r="G334" s="421"/>
      <c r="H334" s="449"/>
      <c r="I334" s="449"/>
      <c r="J334" s="426"/>
      <c r="K334" s="421"/>
      <c r="L334" s="449"/>
      <c r="M334" s="449"/>
      <c r="N334" s="449"/>
      <c r="O334" s="449"/>
      <c r="P334" s="449"/>
      <c r="Q334" s="449"/>
      <c r="R334" s="449"/>
      <c r="S334" s="449"/>
      <c r="T334" s="449"/>
      <c r="U334" s="449"/>
      <c r="V334" s="449"/>
      <c r="W334" s="449"/>
      <c r="X334" s="449"/>
      <c r="Y334" s="449"/>
      <c r="Z334" s="531"/>
      <c r="AA334" s="449"/>
      <c r="AB334" s="449"/>
      <c r="AC334" s="449"/>
      <c r="AD334" s="449"/>
      <c r="AE334" s="449"/>
      <c r="AF334" s="449"/>
      <c r="AG334" s="449"/>
      <c r="AH334" s="449"/>
      <c r="AI334" s="449"/>
      <c r="AJ334" s="449"/>
      <c r="AK334" s="449"/>
      <c r="AL334" s="449"/>
      <c r="AM334" s="400"/>
      <c r="AN334" s="500"/>
      <c r="AO334" s="449"/>
      <c r="AP334" s="449"/>
      <c r="AQ334" s="453"/>
      <c r="AR334" s="449"/>
      <c r="AS334" s="449"/>
      <c r="AT334" s="426"/>
      <c r="AU334" s="421"/>
      <c r="AV334" s="449"/>
      <c r="AW334" s="449"/>
      <c r="AX334" s="449"/>
      <c r="AY334" s="449"/>
      <c r="AZ334" s="449"/>
      <c r="BA334" s="449"/>
      <c r="BB334" s="449"/>
      <c r="BC334" s="449"/>
      <c r="BD334" s="449"/>
      <c r="BE334" s="449"/>
      <c r="BF334" s="449"/>
      <c r="BG334" s="449"/>
      <c r="BH334" s="531"/>
      <c r="BI334" s="449"/>
      <c r="BJ334" s="449"/>
      <c r="BK334" s="449"/>
      <c r="BL334" s="771"/>
      <c r="BM334" s="449"/>
      <c r="BN334" s="449"/>
      <c r="BO334" s="449"/>
      <c r="BP334" s="449"/>
      <c r="BQ334" s="449"/>
      <c r="BR334" s="449"/>
      <c r="BS334" s="449"/>
      <c r="BT334" s="449"/>
      <c r="BU334" s="400"/>
      <c r="BV334" s="400"/>
    </row>
    <row r="335" spans="1:74" x14ac:dyDescent="0.25">
      <c r="A335" s="502" t="s">
        <v>571</v>
      </c>
      <c r="B335" s="502" t="s">
        <v>572</v>
      </c>
      <c r="C335" s="538" t="s">
        <v>573</v>
      </c>
      <c r="D335" s="500">
        <v>455283</v>
      </c>
      <c r="E335" s="449">
        <v>454569.8247</v>
      </c>
      <c r="F335" s="449">
        <v>713.17530000000261</v>
      </c>
      <c r="G335" s="421">
        <v>1.5689015443791788E-3</v>
      </c>
      <c r="H335" s="449">
        <v>455283</v>
      </c>
      <c r="I335" s="449">
        <v>0</v>
      </c>
      <c r="J335" s="426">
        <v>0</v>
      </c>
      <c r="K335" s="421"/>
      <c r="L335" s="449">
        <v>23589.63</v>
      </c>
      <c r="M335" s="449">
        <v>44341.919999999998</v>
      </c>
      <c r="N335" s="449">
        <v>34101.64</v>
      </c>
      <c r="O335" s="449">
        <v>33965.76999999999</v>
      </c>
      <c r="P335" s="449">
        <v>33999.74000000002</v>
      </c>
      <c r="Q335" s="449">
        <v>33999.739999999991</v>
      </c>
      <c r="R335" s="449">
        <v>41880.76</v>
      </c>
      <c r="S335" s="449">
        <v>41880.759999999995</v>
      </c>
      <c r="T335" s="449">
        <v>41880.759999999995</v>
      </c>
      <c r="U335" s="449">
        <v>41880.759999999987</v>
      </c>
      <c r="V335" s="449">
        <v>41880.75999999998</v>
      </c>
      <c r="W335" s="449">
        <v>41880.760000000009</v>
      </c>
      <c r="X335" s="449"/>
      <c r="Y335" s="449">
        <v>455283</v>
      </c>
      <c r="Z335" s="531"/>
      <c r="AA335" s="449">
        <v>37940.25</v>
      </c>
      <c r="AB335" s="449">
        <v>37940.25</v>
      </c>
      <c r="AC335" s="449">
        <v>37940.25</v>
      </c>
      <c r="AD335" s="449">
        <v>37940.25</v>
      </c>
      <c r="AE335" s="449">
        <v>37940.25</v>
      </c>
      <c r="AF335" s="449">
        <v>37940.25</v>
      </c>
      <c r="AG335" s="449">
        <v>37940.25</v>
      </c>
      <c r="AH335" s="449">
        <v>37940.25</v>
      </c>
      <c r="AI335" s="449">
        <v>37940.25</v>
      </c>
      <c r="AJ335" s="449">
        <v>37940.25</v>
      </c>
      <c r="AK335" s="449">
        <v>37940.25</v>
      </c>
      <c r="AL335" s="449">
        <v>37940.25</v>
      </c>
      <c r="AM335" s="400"/>
      <c r="AN335" s="500">
        <v>455283</v>
      </c>
      <c r="AO335" s="449">
        <v>514806.6079607844</v>
      </c>
      <c r="AP335" s="449">
        <v>59523.6079607844</v>
      </c>
      <c r="AQ335" s="453">
        <v>0.13073979911568057</v>
      </c>
      <c r="AR335" s="449">
        <v>514806.6079607844</v>
      </c>
      <c r="AS335" s="449">
        <v>0</v>
      </c>
      <c r="AT335" s="426">
        <v>0</v>
      </c>
      <c r="AU335" s="421"/>
      <c r="AV335" s="449">
        <v>42900.550663398702</v>
      </c>
      <c r="AW335" s="449">
        <v>42900.550663398702</v>
      </c>
      <c r="AX335" s="449">
        <v>42900.550663398702</v>
      </c>
      <c r="AY335" s="449">
        <v>42900.550663398702</v>
      </c>
      <c r="AZ335" s="449">
        <v>42900.550663398702</v>
      </c>
      <c r="BA335" s="449">
        <v>42900.550663398702</v>
      </c>
      <c r="BB335" s="449">
        <v>42900.550663398702</v>
      </c>
      <c r="BC335" s="449">
        <v>42900.550663398702</v>
      </c>
      <c r="BD335" s="449">
        <v>42900.550663398702</v>
      </c>
      <c r="BE335" s="449">
        <v>42900.550663398702</v>
      </c>
      <c r="BF335" s="449">
        <v>42900.550663398702</v>
      </c>
      <c r="BG335" s="449">
        <v>42900.550663398702</v>
      </c>
      <c r="BH335" s="400"/>
      <c r="BI335" s="449">
        <v>42900.550663398702</v>
      </c>
      <c r="BJ335" s="449">
        <v>42900.550663398702</v>
      </c>
      <c r="BK335" s="449">
        <v>42900.550663398702</v>
      </c>
      <c r="BL335" s="771">
        <v>42900.550663398702</v>
      </c>
      <c r="BM335" s="449">
        <v>42900.550663398702</v>
      </c>
      <c r="BN335" s="449">
        <v>42900.550663398702</v>
      </c>
      <c r="BO335" s="449">
        <v>42900.550663398702</v>
      </c>
      <c r="BP335" s="449">
        <v>42900.550663398702</v>
      </c>
      <c r="BQ335" s="449">
        <v>42900.550663398702</v>
      </c>
      <c r="BR335" s="449">
        <v>42900.550663398702</v>
      </c>
      <c r="BS335" s="449">
        <v>42900.550663398702</v>
      </c>
      <c r="BT335" s="449">
        <v>42900.550663398702</v>
      </c>
      <c r="BU335" s="400"/>
      <c r="BV335" s="400"/>
    </row>
    <row r="336" spans="1:74" hidden="1" x14ac:dyDescent="0.25">
      <c r="A336" s="614" t="s">
        <v>574</v>
      </c>
      <c r="B336" s="614" t="s">
        <v>575</v>
      </c>
      <c r="C336" s="630"/>
      <c r="D336" s="500">
        <v>0</v>
      </c>
      <c r="E336" s="449">
        <v>0</v>
      </c>
      <c r="F336" s="449">
        <v>0</v>
      </c>
      <c r="G336" s="421">
        <v>0</v>
      </c>
      <c r="H336" s="449">
        <v>0</v>
      </c>
      <c r="I336" s="449">
        <v>0</v>
      </c>
      <c r="J336" s="426">
        <v>0</v>
      </c>
      <c r="K336" s="421"/>
      <c r="L336" s="449">
        <v>0</v>
      </c>
      <c r="M336" s="449">
        <v>0</v>
      </c>
      <c r="N336" s="449">
        <v>0</v>
      </c>
      <c r="O336" s="449">
        <v>0</v>
      </c>
      <c r="P336" s="449">
        <v>0</v>
      </c>
      <c r="Q336" s="449">
        <v>0</v>
      </c>
      <c r="R336" s="449">
        <v>0</v>
      </c>
      <c r="S336" s="449">
        <v>0</v>
      </c>
      <c r="T336" s="449">
        <v>0</v>
      </c>
      <c r="U336" s="449">
        <v>0</v>
      </c>
      <c r="V336" s="449">
        <v>0</v>
      </c>
      <c r="W336" s="449">
        <v>0</v>
      </c>
      <c r="X336" s="449"/>
      <c r="Y336" s="449">
        <v>0</v>
      </c>
      <c r="Z336" s="531"/>
      <c r="AA336" s="449">
        <v>0</v>
      </c>
      <c r="AB336" s="449">
        <v>0</v>
      </c>
      <c r="AC336" s="449">
        <v>0</v>
      </c>
      <c r="AD336" s="449">
        <v>0</v>
      </c>
      <c r="AE336" s="449">
        <v>0</v>
      </c>
      <c r="AF336" s="449">
        <v>0</v>
      </c>
      <c r="AG336" s="449">
        <v>0</v>
      </c>
      <c r="AH336" s="449">
        <v>0</v>
      </c>
      <c r="AI336" s="449">
        <v>0</v>
      </c>
      <c r="AJ336" s="449">
        <v>0</v>
      </c>
      <c r="AK336" s="449">
        <v>0</v>
      </c>
      <c r="AL336" s="449">
        <v>0</v>
      </c>
      <c r="AM336" s="400"/>
      <c r="AN336" s="500">
        <v>0</v>
      </c>
      <c r="AO336" s="449">
        <v>0</v>
      </c>
      <c r="AP336" s="449">
        <v>0</v>
      </c>
      <c r="AQ336" s="453" t="s">
        <v>1519</v>
      </c>
      <c r="AR336" s="449">
        <v>0</v>
      </c>
      <c r="AS336" s="449">
        <v>0</v>
      </c>
      <c r="AT336" s="426">
        <v>0</v>
      </c>
      <c r="AU336" s="421"/>
      <c r="AV336" s="449">
        <v>0</v>
      </c>
      <c r="AW336" s="449">
        <v>0</v>
      </c>
      <c r="AX336" s="449">
        <v>0</v>
      </c>
      <c r="AY336" s="449">
        <v>0</v>
      </c>
      <c r="AZ336" s="449">
        <v>0</v>
      </c>
      <c r="BA336" s="449">
        <v>0</v>
      </c>
      <c r="BB336" s="449">
        <v>0</v>
      </c>
      <c r="BC336" s="449">
        <v>0</v>
      </c>
      <c r="BD336" s="449">
        <v>0</v>
      </c>
      <c r="BE336" s="449">
        <v>0</v>
      </c>
      <c r="BF336" s="449">
        <v>0</v>
      </c>
      <c r="BG336" s="449">
        <v>0</v>
      </c>
      <c r="BH336" s="400"/>
      <c r="BI336" s="449">
        <v>0</v>
      </c>
      <c r="BJ336" s="449">
        <v>0</v>
      </c>
      <c r="BK336" s="449">
        <v>0</v>
      </c>
      <c r="BL336" s="771">
        <v>0</v>
      </c>
      <c r="BM336" s="449">
        <v>0</v>
      </c>
      <c r="BN336" s="449">
        <v>0</v>
      </c>
      <c r="BO336" s="449">
        <v>0</v>
      </c>
      <c r="BP336" s="449">
        <v>0</v>
      </c>
      <c r="BQ336" s="449">
        <v>0</v>
      </c>
      <c r="BR336" s="449">
        <v>0</v>
      </c>
      <c r="BS336" s="449">
        <v>0</v>
      </c>
      <c r="BT336" s="449">
        <v>0</v>
      </c>
      <c r="BU336" s="400"/>
      <c r="BV336" s="400"/>
    </row>
    <row r="337" spans="1:72" x14ac:dyDescent="0.25">
      <c r="A337" s="502" t="s">
        <v>576</v>
      </c>
      <c r="B337" s="502" t="s">
        <v>577</v>
      </c>
      <c r="C337" s="630"/>
      <c r="D337" s="500">
        <v>0</v>
      </c>
      <c r="E337" s="449">
        <v>0</v>
      </c>
      <c r="F337" s="449">
        <v>0</v>
      </c>
      <c r="G337" s="421">
        <v>0</v>
      </c>
      <c r="H337" s="449">
        <v>0</v>
      </c>
      <c r="I337" s="449">
        <v>0</v>
      </c>
      <c r="J337" s="426">
        <v>0</v>
      </c>
      <c r="K337" s="421"/>
      <c r="L337" s="449">
        <v>0</v>
      </c>
      <c r="M337" s="449">
        <v>0</v>
      </c>
      <c r="N337" s="449">
        <v>0</v>
      </c>
      <c r="O337" s="449">
        <v>0</v>
      </c>
      <c r="P337" s="449">
        <v>0</v>
      </c>
      <c r="Q337" s="449">
        <v>0</v>
      </c>
      <c r="R337" s="449">
        <v>0</v>
      </c>
      <c r="S337" s="449">
        <v>0</v>
      </c>
      <c r="T337" s="449">
        <v>0</v>
      </c>
      <c r="U337" s="449">
        <v>0</v>
      </c>
      <c r="V337" s="449">
        <v>0</v>
      </c>
      <c r="W337" s="449">
        <v>0</v>
      </c>
      <c r="X337" s="449"/>
      <c r="Y337" s="449">
        <v>0</v>
      </c>
      <c r="Z337" s="531"/>
      <c r="AA337" s="449">
        <v>0</v>
      </c>
      <c r="AB337" s="449">
        <v>0</v>
      </c>
      <c r="AC337" s="449">
        <v>0</v>
      </c>
      <c r="AD337" s="449">
        <v>0</v>
      </c>
      <c r="AE337" s="449">
        <v>0</v>
      </c>
      <c r="AF337" s="449">
        <v>0</v>
      </c>
      <c r="AG337" s="449">
        <v>0</v>
      </c>
      <c r="AH337" s="449">
        <v>0</v>
      </c>
      <c r="AI337" s="449">
        <v>0</v>
      </c>
      <c r="AJ337" s="449">
        <v>0</v>
      </c>
      <c r="AK337" s="449">
        <v>0</v>
      </c>
      <c r="AL337" s="449">
        <v>0</v>
      </c>
      <c r="AM337" s="400"/>
      <c r="AN337" s="500">
        <v>0</v>
      </c>
      <c r="AO337" s="449">
        <v>19142.879599999997</v>
      </c>
      <c r="AP337" s="449">
        <v>19142.879599999997</v>
      </c>
      <c r="AQ337" s="453" t="s">
        <v>1519</v>
      </c>
      <c r="AR337" s="449">
        <v>19142.879599999997</v>
      </c>
      <c r="AS337" s="449">
        <v>0</v>
      </c>
      <c r="AT337" s="426">
        <v>0</v>
      </c>
      <c r="AU337" s="421"/>
      <c r="AV337" s="449">
        <v>0</v>
      </c>
      <c r="AW337" s="449">
        <v>1595.2399666666668</v>
      </c>
      <c r="AX337" s="449">
        <v>1595.2399666666668</v>
      </c>
      <c r="AY337" s="449">
        <v>1595.2399666666668</v>
      </c>
      <c r="AZ337" s="449">
        <v>1595.2399666666668</v>
      </c>
      <c r="BA337" s="449">
        <v>1595.2399666666668</v>
      </c>
      <c r="BB337" s="449">
        <v>1595.2399666666668</v>
      </c>
      <c r="BC337" s="449">
        <v>1595.2399666666668</v>
      </c>
      <c r="BD337" s="449">
        <v>1595.2399666666668</v>
      </c>
      <c r="BE337" s="449">
        <v>1595.2399666666668</v>
      </c>
      <c r="BF337" s="449">
        <v>1595.2399666666668</v>
      </c>
      <c r="BG337" s="449">
        <v>3190.4799333333335</v>
      </c>
      <c r="BH337" s="400"/>
      <c r="BI337" s="449">
        <v>0</v>
      </c>
      <c r="BJ337" s="449">
        <v>1595.2399666666668</v>
      </c>
      <c r="BK337" s="449">
        <v>1595.2399666666668</v>
      </c>
      <c r="BL337" s="771">
        <v>1595.2399666666668</v>
      </c>
      <c r="BM337" s="449">
        <v>1595.2399666666668</v>
      </c>
      <c r="BN337" s="449">
        <v>1595.2399666666668</v>
      </c>
      <c r="BO337" s="449">
        <v>1595.2399666666668</v>
      </c>
      <c r="BP337" s="449">
        <v>1595.2399666666668</v>
      </c>
      <c r="BQ337" s="449">
        <v>1595.2399666666668</v>
      </c>
      <c r="BR337" s="449">
        <v>1595.2399666666668</v>
      </c>
      <c r="BS337" s="449">
        <v>1595.2399666666668</v>
      </c>
      <c r="BT337" s="449">
        <v>3190.4799333333335</v>
      </c>
    </row>
    <row r="338" spans="1:72" x14ac:dyDescent="0.25">
      <c r="A338" s="537" t="s">
        <v>578</v>
      </c>
      <c r="B338" s="537" t="s">
        <v>579</v>
      </c>
      <c r="C338" s="630"/>
      <c r="D338" s="500">
        <v>0</v>
      </c>
      <c r="E338" s="449">
        <v>0</v>
      </c>
      <c r="F338" s="449">
        <v>0</v>
      </c>
      <c r="G338" s="421">
        <v>0</v>
      </c>
      <c r="H338" s="449">
        <v>0</v>
      </c>
      <c r="I338" s="449">
        <v>0</v>
      </c>
      <c r="J338" s="426">
        <v>0</v>
      </c>
      <c r="K338" s="421"/>
      <c r="L338" s="449">
        <v>0</v>
      </c>
      <c r="M338" s="449">
        <v>0</v>
      </c>
      <c r="N338" s="449">
        <v>0</v>
      </c>
      <c r="O338" s="449">
        <v>0</v>
      </c>
      <c r="P338" s="449">
        <v>0</v>
      </c>
      <c r="Q338" s="449">
        <v>0</v>
      </c>
      <c r="R338" s="449">
        <v>0</v>
      </c>
      <c r="S338" s="449">
        <v>0</v>
      </c>
      <c r="T338" s="449">
        <v>0</v>
      </c>
      <c r="U338" s="449">
        <v>0</v>
      </c>
      <c r="V338" s="449">
        <v>0</v>
      </c>
      <c r="W338" s="449">
        <v>0</v>
      </c>
      <c r="X338" s="449"/>
      <c r="Y338" s="449">
        <v>0</v>
      </c>
      <c r="Z338" s="531"/>
      <c r="AA338" s="449">
        <v>0</v>
      </c>
      <c r="AB338" s="449">
        <v>0</v>
      </c>
      <c r="AC338" s="449">
        <v>0</v>
      </c>
      <c r="AD338" s="449">
        <v>0</v>
      </c>
      <c r="AE338" s="449">
        <v>0</v>
      </c>
      <c r="AF338" s="449">
        <v>0</v>
      </c>
      <c r="AG338" s="449">
        <v>0</v>
      </c>
      <c r="AH338" s="449">
        <v>0</v>
      </c>
      <c r="AI338" s="449">
        <v>0</v>
      </c>
      <c r="AJ338" s="449">
        <v>0</v>
      </c>
      <c r="AK338" s="449">
        <v>0</v>
      </c>
      <c r="AL338" s="449">
        <v>0</v>
      </c>
      <c r="AM338" s="400"/>
      <c r="AN338" s="500">
        <v>0</v>
      </c>
      <c r="AO338" s="449">
        <v>0</v>
      </c>
      <c r="AP338" s="449">
        <v>0</v>
      </c>
      <c r="AQ338" s="453" t="s">
        <v>1519</v>
      </c>
      <c r="AR338" s="449">
        <v>0</v>
      </c>
      <c r="AS338" s="449">
        <v>0</v>
      </c>
      <c r="AT338" s="426">
        <v>0</v>
      </c>
      <c r="AU338" s="421"/>
      <c r="AV338" s="449">
        <v>0</v>
      </c>
      <c r="AW338" s="449">
        <v>0</v>
      </c>
      <c r="AX338" s="449">
        <v>0</v>
      </c>
      <c r="AY338" s="449">
        <v>0</v>
      </c>
      <c r="AZ338" s="449">
        <v>0</v>
      </c>
      <c r="BA338" s="449">
        <v>0</v>
      </c>
      <c r="BB338" s="449">
        <v>0</v>
      </c>
      <c r="BC338" s="449">
        <v>0</v>
      </c>
      <c r="BD338" s="449">
        <v>0</v>
      </c>
      <c r="BE338" s="449">
        <v>0</v>
      </c>
      <c r="BF338" s="449">
        <v>0</v>
      </c>
      <c r="BG338" s="449">
        <v>0</v>
      </c>
      <c r="BH338" s="400"/>
      <c r="BI338" s="449">
        <v>0</v>
      </c>
      <c r="BJ338" s="449">
        <v>0</v>
      </c>
      <c r="BK338" s="449">
        <v>0</v>
      </c>
      <c r="BL338" s="771">
        <v>0</v>
      </c>
      <c r="BM338" s="449">
        <v>0</v>
      </c>
      <c r="BN338" s="449">
        <v>0</v>
      </c>
      <c r="BO338" s="449">
        <v>0</v>
      </c>
      <c r="BP338" s="449">
        <v>0</v>
      </c>
      <c r="BQ338" s="449">
        <v>0</v>
      </c>
      <c r="BR338" s="449">
        <v>0</v>
      </c>
      <c r="BS338" s="449">
        <v>0</v>
      </c>
      <c r="BT338" s="449">
        <v>0</v>
      </c>
    </row>
    <row r="339" spans="1:72" hidden="1" x14ac:dyDescent="0.25">
      <c r="A339" s="614" t="s">
        <v>580</v>
      </c>
      <c r="B339" s="614" t="s">
        <v>581</v>
      </c>
      <c r="C339" s="630"/>
      <c r="D339" s="500">
        <v>30000</v>
      </c>
      <c r="E339" s="449">
        <v>30000</v>
      </c>
      <c r="F339" s="449">
        <v>0</v>
      </c>
      <c r="G339" s="421">
        <v>0</v>
      </c>
      <c r="H339" s="449">
        <v>30000</v>
      </c>
      <c r="I339" s="449">
        <v>0</v>
      </c>
      <c r="J339" s="426">
        <v>0</v>
      </c>
      <c r="K339" s="421"/>
      <c r="L339" s="449">
        <v>0</v>
      </c>
      <c r="M339" s="449">
        <v>0</v>
      </c>
      <c r="N339" s="449">
        <v>0</v>
      </c>
      <c r="O339" s="449">
        <v>0</v>
      </c>
      <c r="P339" s="449">
        <v>0</v>
      </c>
      <c r="Q339" s="449">
        <v>0</v>
      </c>
      <c r="R339" s="449">
        <v>5000</v>
      </c>
      <c r="S339" s="449">
        <v>5000</v>
      </c>
      <c r="T339" s="449">
        <v>5000</v>
      </c>
      <c r="U339" s="449">
        <v>5000</v>
      </c>
      <c r="V339" s="449">
        <v>5000</v>
      </c>
      <c r="W339" s="449">
        <v>5000</v>
      </c>
      <c r="X339" s="449"/>
      <c r="Y339" s="449">
        <v>30000</v>
      </c>
      <c r="Z339" s="531"/>
      <c r="AA339" s="449">
        <v>2500</v>
      </c>
      <c r="AB339" s="449">
        <v>2500</v>
      </c>
      <c r="AC339" s="449">
        <v>2500</v>
      </c>
      <c r="AD339" s="449">
        <v>2500</v>
      </c>
      <c r="AE339" s="449">
        <v>2500</v>
      </c>
      <c r="AF339" s="449">
        <v>2500</v>
      </c>
      <c r="AG339" s="449">
        <v>2500</v>
      </c>
      <c r="AH339" s="449">
        <v>2500</v>
      </c>
      <c r="AI339" s="449">
        <v>2500</v>
      </c>
      <c r="AJ339" s="449">
        <v>2500</v>
      </c>
      <c r="AK339" s="449">
        <v>2500</v>
      </c>
      <c r="AL339" s="449">
        <v>2500</v>
      </c>
      <c r="AM339" s="400"/>
      <c r="AN339" s="500">
        <v>30000</v>
      </c>
      <c r="AO339" s="449">
        <v>0</v>
      </c>
      <c r="AP339" s="449">
        <v>-30000</v>
      </c>
      <c r="AQ339" s="453">
        <v>-1</v>
      </c>
      <c r="AR339" s="449">
        <v>0</v>
      </c>
      <c r="AS339" s="449">
        <v>0</v>
      </c>
      <c r="AT339" s="426">
        <v>0</v>
      </c>
      <c r="AU339" s="421"/>
      <c r="AV339" s="449">
        <v>0</v>
      </c>
      <c r="AW339" s="449">
        <v>0</v>
      </c>
      <c r="AX339" s="449">
        <v>0</v>
      </c>
      <c r="AY339" s="449">
        <v>0</v>
      </c>
      <c r="AZ339" s="449">
        <v>0</v>
      </c>
      <c r="BA339" s="449">
        <v>0</v>
      </c>
      <c r="BB339" s="449">
        <v>0</v>
      </c>
      <c r="BC339" s="449">
        <v>0</v>
      </c>
      <c r="BD339" s="449">
        <v>0</v>
      </c>
      <c r="BE339" s="449">
        <v>0</v>
      </c>
      <c r="BF339" s="449">
        <v>0</v>
      </c>
      <c r="BG339" s="449">
        <v>0</v>
      </c>
      <c r="BH339" s="400"/>
      <c r="BI339" s="449">
        <v>0</v>
      </c>
      <c r="BJ339" s="449">
        <v>0</v>
      </c>
      <c r="BK339" s="449">
        <v>0</v>
      </c>
      <c r="BL339" s="771">
        <v>0</v>
      </c>
      <c r="BM339" s="449">
        <v>0</v>
      </c>
      <c r="BN339" s="449">
        <v>0</v>
      </c>
      <c r="BO339" s="449">
        <v>0</v>
      </c>
      <c r="BP339" s="449">
        <v>0</v>
      </c>
      <c r="BQ339" s="449">
        <v>0</v>
      </c>
      <c r="BR339" s="449">
        <v>0</v>
      </c>
      <c r="BS339" s="449">
        <v>0</v>
      </c>
      <c r="BT339" s="449">
        <v>0</v>
      </c>
    </row>
    <row r="340" spans="1:72" x14ac:dyDescent="0.25">
      <c r="A340" s="537" t="s">
        <v>578</v>
      </c>
      <c r="B340" s="537" t="s">
        <v>582</v>
      </c>
      <c r="C340" s="630"/>
      <c r="D340" s="500">
        <v>0</v>
      </c>
      <c r="E340" s="449">
        <v>0</v>
      </c>
      <c r="F340" s="449">
        <v>0</v>
      </c>
      <c r="G340" s="421">
        <v>0</v>
      </c>
      <c r="H340" s="449">
        <v>0</v>
      </c>
      <c r="I340" s="449">
        <v>0</v>
      </c>
      <c r="J340" s="426">
        <v>0</v>
      </c>
      <c r="K340" s="421"/>
      <c r="L340" s="449">
        <v>0</v>
      </c>
      <c r="M340" s="449">
        <v>0</v>
      </c>
      <c r="N340" s="449">
        <v>0</v>
      </c>
      <c r="O340" s="449">
        <v>0</v>
      </c>
      <c r="P340" s="449">
        <v>0</v>
      </c>
      <c r="Q340" s="449">
        <v>0</v>
      </c>
      <c r="R340" s="449">
        <v>0</v>
      </c>
      <c r="S340" s="449">
        <v>0</v>
      </c>
      <c r="T340" s="449">
        <v>0</v>
      </c>
      <c r="U340" s="449">
        <v>0</v>
      </c>
      <c r="V340" s="449">
        <v>0</v>
      </c>
      <c r="W340" s="449">
        <v>0</v>
      </c>
      <c r="X340" s="449"/>
      <c r="Y340" s="449">
        <v>0</v>
      </c>
      <c r="Z340" s="531"/>
      <c r="AA340" s="449">
        <v>0</v>
      </c>
      <c r="AB340" s="449">
        <v>0</v>
      </c>
      <c r="AC340" s="449">
        <v>0</v>
      </c>
      <c r="AD340" s="449">
        <v>0</v>
      </c>
      <c r="AE340" s="449">
        <v>0</v>
      </c>
      <c r="AF340" s="449">
        <v>0</v>
      </c>
      <c r="AG340" s="449">
        <v>0</v>
      </c>
      <c r="AH340" s="449">
        <v>0</v>
      </c>
      <c r="AI340" s="449">
        <v>0</v>
      </c>
      <c r="AJ340" s="449">
        <v>0</v>
      </c>
      <c r="AK340" s="449">
        <v>0</v>
      </c>
      <c r="AL340" s="449">
        <v>0</v>
      </c>
      <c r="AM340" s="400"/>
      <c r="AN340" s="500">
        <v>0</v>
      </c>
      <c r="AO340" s="449">
        <v>0</v>
      </c>
      <c r="AP340" s="449">
        <v>0</v>
      </c>
      <c r="AQ340" s="453" t="s">
        <v>1519</v>
      </c>
      <c r="AR340" s="449">
        <v>0</v>
      </c>
      <c r="AS340" s="449">
        <v>0</v>
      </c>
      <c r="AT340" s="426">
        <v>0</v>
      </c>
      <c r="AU340" s="421"/>
      <c r="AV340" s="449">
        <v>0</v>
      </c>
      <c r="AW340" s="449">
        <v>0</v>
      </c>
      <c r="AX340" s="449">
        <v>0</v>
      </c>
      <c r="AY340" s="449">
        <v>0</v>
      </c>
      <c r="AZ340" s="449">
        <v>0</v>
      </c>
      <c r="BA340" s="449">
        <v>0</v>
      </c>
      <c r="BB340" s="449">
        <v>0</v>
      </c>
      <c r="BC340" s="449">
        <v>0</v>
      </c>
      <c r="BD340" s="449">
        <v>0</v>
      </c>
      <c r="BE340" s="449">
        <v>0</v>
      </c>
      <c r="BF340" s="449">
        <v>0</v>
      </c>
      <c r="BG340" s="449">
        <v>0</v>
      </c>
      <c r="BH340" s="400"/>
      <c r="BI340" s="449">
        <v>0</v>
      </c>
      <c r="BJ340" s="449">
        <v>0</v>
      </c>
      <c r="BK340" s="449">
        <v>0</v>
      </c>
      <c r="BL340" s="771">
        <v>0</v>
      </c>
      <c r="BM340" s="449">
        <v>0</v>
      </c>
      <c r="BN340" s="449">
        <v>0</v>
      </c>
      <c r="BO340" s="449">
        <v>0</v>
      </c>
      <c r="BP340" s="449">
        <v>0</v>
      </c>
      <c r="BQ340" s="449">
        <v>0</v>
      </c>
      <c r="BR340" s="449">
        <v>0</v>
      </c>
      <c r="BS340" s="449">
        <v>0</v>
      </c>
      <c r="BT340" s="449">
        <v>0</v>
      </c>
    </row>
    <row r="341" spans="1:72" hidden="1" x14ac:dyDescent="0.25">
      <c r="A341" s="614" t="s">
        <v>583</v>
      </c>
      <c r="B341" s="614" t="s">
        <v>584</v>
      </c>
      <c r="C341" s="630"/>
      <c r="D341" s="500">
        <v>0</v>
      </c>
      <c r="E341" s="449">
        <v>0</v>
      </c>
      <c r="F341" s="449">
        <v>0</v>
      </c>
      <c r="G341" s="421">
        <v>0</v>
      </c>
      <c r="H341" s="449">
        <v>0</v>
      </c>
      <c r="I341" s="449">
        <v>0</v>
      </c>
      <c r="J341" s="426">
        <v>0</v>
      </c>
      <c r="K341" s="421"/>
      <c r="L341" s="449">
        <v>0</v>
      </c>
      <c r="M341" s="449">
        <v>0</v>
      </c>
      <c r="N341" s="449">
        <v>0</v>
      </c>
      <c r="O341" s="449">
        <v>0</v>
      </c>
      <c r="P341" s="449">
        <v>0</v>
      </c>
      <c r="Q341" s="449">
        <v>0</v>
      </c>
      <c r="R341" s="449">
        <v>0</v>
      </c>
      <c r="S341" s="449">
        <v>0</v>
      </c>
      <c r="T341" s="449">
        <v>0</v>
      </c>
      <c r="U341" s="449">
        <v>0</v>
      </c>
      <c r="V341" s="449">
        <v>0</v>
      </c>
      <c r="W341" s="449">
        <v>0</v>
      </c>
      <c r="X341" s="449"/>
      <c r="Y341" s="449">
        <v>0</v>
      </c>
      <c r="Z341" s="531"/>
      <c r="AA341" s="449">
        <v>0</v>
      </c>
      <c r="AB341" s="449">
        <v>0</v>
      </c>
      <c r="AC341" s="449">
        <v>0</v>
      </c>
      <c r="AD341" s="449">
        <v>0</v>
      </c>
      <c r="AE341" s="449">
        <v>0</v>
      </c>
      <c r="AF341" s="449">
        <v>0</v>
      </c>
      <c r="AG341" s="449">
        <v>0</v>
      </c>
      <c r="AH341" s="449">
        <v>0</v>
      </c>
      <c r="AI341" s="449">
        <v>0</v>
      </c>
      <c r="AJ341" s="449">
        <v>0</v>
      </c>
      <c r="AK341" s="449">
        <v>0</v>
      </c>
      <c r="AL341" s="449">
        <v>0</v>
      </c>
      <c r="AM341" s="400"/>
      <c r="AN341" s="500">
        <v>0</v>
      </c>
      <c r="AO341" s="449">
        <v>0</v>
      </c>
      <c r="AP341" s="449">
        <v>0</v>
      </c>
      <c r="AQ341" s="453" t="s">
        <v>1519</v>
      </c>
      <c r="AR341" s="449">
        <v>0</v>
      </c>
      <c r="AS341" s="449">
        <v>0</v>
      </c>
      <c r="AT341" s="426">
        <v>0</v>
      </c>
      <c r="AU341" s="421"/>
      <c r="AV341" s="449">
        <v>0</v>
      </c>
      <c r="AW341" s="449">
        <v>0</v>
      </c>
      <c r="AX341" s="449">
        <v>0</v>
      </c>
      <c r="AY341" s="449">
        <v>0</v>
      </c>
      <c r="AZ341" s="449">
        <v>0</v>
      </c>
      <c r="BA341" s="449">
        <v>0</v>
      </c>
      <c r="BB341" s="449">
        <v>0</v>
      </c>
      <c r="BC341" s="449">
        <v>0</v>
      </c>
      <c r="BD341" s="449">
        <v>0</v>
      </c>
      <c r="BE341" s="449">
        <v>0</v>
      </c>
      <c r="BF341" s="449">
        <v>0</v>
      </c>
      <c r="BG341" s="449">
        <v>0</v>
      </c>
      <c r="BH341" s="400"/>
      <c r="BI341" s="449">
        <v>0</v>
      </c>
      <c r="BJ341" s="449">
        <v>0</v>
      </c>
      <c r="BK341" s="449">
        <v>0</v>
      </c>
      <c r="BL341" s="771">
        <v>0</v>
      </c>
      <c r="BM341" s="449">
        <v>0</v>
      </c>
      <c r="BN341" s="449">
        <v>0</v>
      </c>
      <c r="BO341" s="449">
        <v>0</v>
      </c>
      <c r="BP341" s="449">
        <v>0</v>
      </c>
      <c r="BQ341" s="449">
        <v>0</v>
      </c>
      <c r="BR341" s="449">
        <v>0</v>
      </c>
      <c r="BS341" s="449">
        <v>0</v>
      </c>
      <c r="BT341" s="449">
        <v>0</v>
      </c>
    </row>
    <row r="342" spans="1:72" hidden="1" x14ac:dyDescent="0.25">
      <c r="A342" s="614" t="s">
        <v>585</v>
      </c>
      <c r="B342" s="614" t="s">
        <v>586</v>
      </c>
      <c r="C342" s="541"/>
      <c r="D342" s="500">
        <v>0</v>
      </c>
      <c r="E342" s="449">
        <v>0</v>
      </c>
      <c r="F342" s="449">
        <v>0</v>
      </c>
      <c r="G342" s="421">
        <v>0</v>
      </c>
      <c r="H342" s="449">
        <v>0</v>
      </c>
      <c r="I342" s="449">
        <v>0</v>
      </c>
      <c r="J342" s="426">
        <v>0</v>
      </c>
      <c r="K342" s="421"/>
      <c r="L342" s="449">
        <v>0</v>
      </c>
      <c r="M342" s="449">
        <v>0</v>
      </c>
      <c r="N342" s="449">
        <v>0</v>
      </c>
      <c r="O342" s="449">
        <v>0</v>
      </c>
      <c r="P342" s="449">
        <v>0</v>
      </c>
      <c r="Q342" s="449">
        <v>0</v>
      </c>
      <c r="R342" s="449">
        <v>0</v>
      </c>
      <c r="S342" s="449">
        <v>0</v>
      </c>
      <c r="T342" s="449">
        <v>0</v>
      </c>
      <c r="U342" s="449">
        <v>0</v>
      </c>
      <c r="V342" s="449">
        <v>0</v>
      </c>
      <c r="W342" s="449">
        <v>0</v>
      </c>
      <c r="X342" s="449"/>
      <c r="Y342" s="449">
        <v>0</v>
      </c>
      <c r="Z342" s="531"/>
      <c r="AA342" s="449">
        <v>0</v>
      </c>
      <c r="AB342" s="449">
        <v>0</v>
      </c>
      <c r="AC342" s="449">
        <v>0</v>
      </c>
      <c r="AD342" s="449">
        <v>0</v>
      </c>
      <c r="AE342" s="449">
        <v>0</v>
      </c>
      <c r="AF342" s="449">
        <v>0</v>
      </c>
      <c r="AG342" s="449">
        <v>0</v>
      </c>
      <c r="AH342" s="449">
        <v>0</v>
      </c>
      <c r="AI342" s="449">
        <v>0</v>
      </c>
      <c r="AJ342" s="449">
        <v>0</v>
      </c>
      <c r="AK342" s="449">
        <v>0</v>
      </c>
      <c r="AL342" s="449">
        <v>0</v>
      </c>
      <c r="AM342" s="400"/>
      <c r="AN342" s="500">
        <v>0</v>
      </c>
      <c r="AO342" s="449">
        <v>0</v>
      </c>
      <c r="AP342" s="449">
        <v>0</v>
      </c>
      <c r="AQ342" s="453" t="s">
        <v>1519</v>
      </c>
      <c r="AR342" s="449">
        <v>0</v>
      </c>
      <c r="AS342" s="449">
        <v>0</v>
      </c>
      <c r="AT342" s="426">
        <v>0</v>
      </c>
      <c r="AU342" s="421"/>
      <c r="AV342" s="449">
        <v>0</v>
      </c>
      <c r="AW342" s="449">
        <v>0</v>
      </c>
      <c r="AX342" s="449">
        <v>0</v>
      </c>
      <c r="AY342" s="449">
        <v>0</v>
      </c>
      <c r="AZ342" s="449">
        <v>0</v>
      </c>
      <c r="BA342" s="449">
        <v>0</v>
      </c>
      <c r="BB342" s="449">
        <v>0</v>
      </c>
      <c r="BC342" s="449">
        <v>0</v>
      </c>
      <c r="BD342" s="449">
        <v>0</v>
      </c>
      <c r="BE342" s="449">
        <v>0</v>
      </c>
      <c r="BF342" s="449">
        <v>0</v>
      </c>
      <c r="BG342" s="449">
        <v>0</v>
      </c>
      <c r="BH342" s="400"/>
      <c r="BI342" s="449">
        <v>0</v>
      </c>
      <c r="BJ342" s="449">
        <v>0</v>
      </c>
      <c r="BK342" s="449">
        <v>0</v>
      </c>
      <c r="BL342" s="771">
        <v>0</v>
      </c>
      <c r="BM342" s="449">
        <v>0</v>
      </c>
      <c r="BN342" s="449">
        <v>0</v>
      </c>
      <c r="BO342" s="449">
        <v>0</v>
      </c>
      <c r="BP342" s="449">
        <v>0</v>
      </c>
      <c r="BQ342" s="449">
        <v>0</v>
      </c>
      <c r="BR342" s="449">
        <v>0</v>
      </c>
      <c r="BS342" s="449">
        <v>0</v>
      </c>
      <c r="BT342" s="449">
        <v>0</v>
      </c>
    </row>
    <row r="343" spans="1:72" hidden="1" x14ac:dyDescent="0.25">
      <c r="A343" s="502" t="s">
        <v>587</v>
      </c>
      <c r="B343" s="502" t="s">
        <v>588</v>
      </c>
      <c r="C343" s="541"/>
      <c r="D343" s="500">
        <v>0</v>
      </c>
      <c r="E343" s="449">
        <v>0</v>
      </c>
      <c r="F343" s="449">
        <v>0</v>
      </c>
      <c r="G343" s="421">
        <v>0</v>
      </c>
      <c r="H343" s="449">
        <v>0</v>
      </c>
      <c r="I343" s="449">
        <v>0</v>
      </c>
      <c r="J343" s="426">
        <v>0</v>
      </c>
      <c r="K343" s="421"/>
      <c r="L343" s="449">
        <v>0</v>
      </c>
      <c r="M343" s="449">
        <v>0</v>
      </c>
      <c r="N343" s="449">
        <v>0</v>
      </c>
      <c r="O343" s="449">
        <v>0</v>
      </c>
      <c r="P343" s="449">
        <v>0</v>
      </c>
      <c r="Q343" s="449">
        <v>0</v>
      </c>
      <c r="R343" s="449">
        <v>0</v>
      </c>
      <c r="S343" s="449">
        <v>0</v>
      </c>
      <c r="T343" s="449">
        <v>0</v>
      </c>
      <c r="U343" s="449">
        <v>0</v>
      </c>
      <c r="V343" s="449">
        <v>0</v>
      </c>
      <c r="W343" s="449">
        <v>0</v>
      </c>
      <c r="X343" s="449"/>
      <c r="Y343" s="449">
        <v>0</v>
      </c>
      <c r="Z343" s="531"/>
      <c r="AA343" s="449">
        <v>0</v>
      </c>
      <c r="AB343" s="449">
        <v>0</v>
      </c>
      <c r="AC343" s="449">
        <v>0</v>
      </c>
      <c r="AD343" s="449">
        <v>0</v>
      </c>
      <c r="AE343" s="449">
        <v>0</v>
      </c>
      <c r="AF343" s="449">
        <v>0</v>
      </c>
      <c r="AG343" s="449">
        <v>0</v>
      </c>
      <c r="AH343" s="449">
        <v>0</v>
      </c>
      <c r="AI343" s="449">
        <v>0</v>
      </c>
      <c r="AJ343" s="449">
        <v>0</v>
      </c>
      <c r="AK343" s="449">
        <v>0</v>
      </c>
      <c r="AL343" s="449">
        <v>0</v>
      </c>
      <c r="AM343" s="400"/>
      <c r="AN343" s="500">
        <v>0</v>
      </c>
      <c r="AO343" s="449">
        <v>0</v>
      </c>
      <c r="AP343" s="449">
        <v>0</v>
      </c>
      <c r="AQ343" s="453" t="s">
        <v>1519</v>
      </c>
      <c r="AR343" s="449">
        <v>0</v>
      </c>
      <c r="AS343" s="449">
        <v>0</v>
      </c>
      <c r="AT343" s="426">
        <v>0</v>
      </c>
      <c r="AU343" s="421"/>
      <c r="AV343" s="449">
        <v>0</v>
      </c>
      <c r="AW343" s="449">
        <v>0</v>
      </c>
      <c r="AX343" s="449">
        <v>0</v>
      </c>
      <c r="AY343" s="449">
        <v>0</v>
      </c>
      <c r="AZ343" s="449">
        <v>0</v>
      </c>
      <c r="BA343" s="449">
        <v>0</v>
      </c>
      <c r="BB343" s="449">
        <v>0</v>
      </c>
      <c r="BC343" s="449">
        <v>0</v>
      </c>
      <c r="BD343" s="449">
        <v>0</v>
      </c>
      <c r="BE343" s="449">
        <v>0</v>
      </c>
      <c r="BF343" s="449">
        <v>0</v>
      </c>
      <c r="BG343" s="449">
        <v>0</v>
      </c>
      <c r="BH343" s="400"/>
      <c r="BI343" s="449">
        <v>0</v>
      </c>
      <c r="BJ343" s="449">
        <v>0</v>
      </c>
      <c r="BK343" s="449">
        <v>0</v>
      </c>
      <c r="BL343" s="771">
        <v>0</v>
      </c>
      <c r="BM343" s="449">
        <v>0</v>
      </c>
      <c r="BN343" s="449">
        <v>0</v>
      </c>
      <c r="BO343" s="449">
        <v>0</v>
      </c>
      <c r="BP343" s="449">
        <v>0</v>
      </c>
      <c r="BQ343" s="449">
        <v>0</v>
      </c>
      <c r="BR343" s="449">
        <v>0</v>
      </c>
      <c r="BS343" s="449">
        <v>0</v>
      </c>
      <c r="BT343" s="449">
        <v>0</v>
      </c>
    </row>
    <row r="344" spans="1:72" hidden="1" x14ac:dyDescent="0.25">
      <c r="A344" s="614" t="s">
        <v>589</v>
      </c>
      <c r="B344" s="614" t="s">
        <v>590</v>
      </c>
      <c r="C344" s="541"/>
      <c r="D344" s="500">
        <v>0</v>
      </c>
      <c r="E344" s="449">
        <v>0</v>
      </c>
      <c r="F344" s="449">
        <v>0</v>
      </c>
      <c r="G344" s="421">
        <v>0</v>
      </c>
      <c r="H344" s="449">
        <v>0</v>
      </c>
      <c r="I344" s="449">
        <v>0</v>
      </c>
      <c r="J344" s="426">
        <v>0</v>
      </c>
      <c r="K344" s="421"/>
      <c r="L344" s="449">
        <v>0</v>
      </c>
      <c r="M344" s="449">
        <v>0</v>
      </c>
      <c r="N344" s="449">
        <v>0</v>
      </c>
      <c r="O344" s="449">
        <v>0</v>
      </c>
      <c r="P344" s="449">
        <v>0</v>
      </c>
      <c r="Q344" s="449">
        <v>0</v>
      </c>
      <c r="R344" s="449">
        <v>0</v>
      </c>
      <c r="S344" s="449">
        <v>0</v>
      </c>
      <c r="T344" s="449">
        <v>0</v>
      </c>
      <c r="U344" s="449">
        <v>0</v>
      </c>
      <c r="V344" s="449">
        <v>0</v>
      </c>
      <c r="W344" s="449">
        <v>0</v>
      </c>
      <c r="X344" s="449"/>
      <c r="Y344" s="449">
        <v>0</v>
      </c>
      <c r="Z344" s="531"/>
      <c r="AA344" s="449">
        <v>0</v>
      </c>
      <c r="AB344" s="449">
        <v>0</v>
      </c>
      <c r="AC344" s="449">
        <v>0</v>
      </c>
      <c r="AD344" s="449">
        <v>0</v>
      </c>
      <c r="AE344" s="449">
        <v>0</v>
      </c>
      <c r="AF344" s="449">
        <v>0</v>
      </c>
      <c r="AG344" s="449">
        <v>0</v>
      </c>
      <c r="AH344" s="449">
        <v>0</v>
      </c>
      <c r="AI344" s="449">
        <v>0</v>
      </c>
      <c r="AJ344" s="449">
        <v>0</v>
      </c>
      <c r="AK344" s="449">
        <v>0</v>
      </c>
      <c r="AL344" s="449">
        <v>0</v>
      </c>
      <c r="AM344" s="400"/>
      <c r="AN344" s="500">
        <v>0</v>
      </c>
      <c r="AO344" s="449">
        <v>0</v>
      </c>
      <c r="AP344" s="449">
        <v>0</v>
      </c>
      <c r="AQ344" s="453" t="s">
        <v>1519</v>
      </c>
      <c r="AR344" s="449">
        <v>0</v>
      </c>
      <c r="AS344" s="449">
        <v>0</v>
      </c>
      <c r="AT344" s="426">
        <v>0</v>
      </c>
      <c r="AU344" s="421"/>
      <c r="AV344" s="449">
        <v>0</v>
      </c>
      <c r="AW344" s="449">
        <v>0</v>
      </c>
      <c r="AX344" s="449">
        <v>0</v>
      </c>
      <c r="AY344" s="449">
        <v>0</v>
      </c>
      <c r="AZ344" s="449">
        <v>0</v>
      </c>
      <c r="BA344" s="449">
        <v>0</v>
      </c>
      <c r="BB344" s="449">
        <v>0</v>
      </c>
      <c r="BC344" s="449">
        <v>0</v>
      </c>
      <c r="BD344" s="449">
        <v>0</v>
      </c>
      <c r="BE344" s="449">
        <v>0</v>
      </c>
      <c r="BF344" s="449">
        <v>0</v>
      </c>
      <c r="BG344" s="449">
        <v>0</v>
      </c>
      <c r="BH344" s="400"/>
      <c r="BI344" s="449">
        <v>0</v>
      </c>
      <c r="BJ344" s="449">
        <v>0</v>
      </c>
      <c r="BK344" s="449">
        <v>0</v>
      </c>
      <c r="BL344" s="771">
        <v>0</v>
      </c>
      <c r="BM344" s="449">
        <v>0</v>
      </c>
      <c r="BN344" s="449">
        <v>0</v>
      </c>
      <c r="BO344" s="449">
        <v>0</v>
      </c>
      <c r="BP344" s="449">
        <v>0</v>
      </c>
      <c r="BQ344" s="449">
        <v>0</v>
      </c>
      <c r="BR344" s="449">
        <v>0</v>
      </c>
      <c r="BS344" s="449">
        <v>0</v>
      </c>
      <c r="BT344" s="449">
        <v>0</v>
      </c>
    </row>
    <row r="345" spans="1:72" x14ac:dyDescent="0.25">
      <c r="A345" s="502" t="s">
        <v>591</v>
      </c>
      <c r="B345" s="502" t="s">
        <v>532</v>
      </c>
      <c r="C345" s="541"/>
      <c r="D345" s="500">
        <v>2295</v>
      </c>
      <c r="E345" s="449">
        <v>2295</v>
      </c>
      <c r="F345" s="449">
        <v>0</v>
      </c>
      <c r="G345" s="421">
        <v>0</v>
      </c>
      <c r="H345" s="449">
        <v>2295</v>
      </c>
      <c r="I345" s="449">
        <v>0</v>
      </c>
      <c r="J345" s="426">
        <v>0</v>
      </c>
      <c r="K345" s="421"/>
      <c r="L345" s="449">
        <v>0</v>
      </c>
      <c r="M345" s="449">
        <v>0</v>
      </c>
      <c r="N345" s="449">
        <v>0</v>
      </c>
      <c r="O345" s="449">
        <v>0</v>
      </c>
      <c r="P345" s="449">
        <v>0</v>
      </c>
      <c r="Q345" s="449">
        <v>0</v>
      </c>
      <c r="R345" s="449">
        <v>382.5</v>
      </c>
      <c r="S345" s="449">
        <v>382.5</v>
      </c>
      <c r="T345" s="449">
        <v>382.5</v>
      </c>
      <c r="U345" s="449">
        <v>382.5</v>
      </c>
      <c r="V345" s="449">
        <v>382.5</v>
      </c>
      <c r="W345" s="449">
        <v>382.5</v>
      </c>
      <c r="X345" s="449"/>
      <c r="Y345" s="449">
        <v>2295</v>
      </c>
      <c r="Z345" s="531"/>
      <c r="AA345" s="449">
        <v>191.25</v>
      </c>
      <c r="AB345" s="449">
        <v>191.25</v>
      </c>
      <c r="AC345" s="449">
        <v>191.25</v>
      </c>
      <c r="AD345" s="449">
        <v>191.25</v>
      </c>
      <c r="AE345" s="449">
        <v>191.25</v>
      </c>
      <c r="AF345" s="449">
        <v>191.25</v>
      </c>
      <c r="AG345" s="449">
        <v>191.25</v>
      </c>
      <c r="AH345" s="449">
        <v>191.25</v>
      </c>
      <c r="AI345" s="449">
        <v>191.25</v>
      </c>
      <c r="AJ345" s="449">
        <v>191.25</v>
      </c>
      <c r="AK345" s="449">
        <v>191.25</v>
      </c>
      <c r="AL345" s="449">
        <v>191.25</v>
      </c>
      <c r="AM345" s="400"/>
      <c r="AN345" s="500">
        <v>2295</v>
      </c>
      <c r="AO345" s="449">
        <v>2274.9299999999994</v>
      </c>
      <c r="AP345" s="449">
        <v>-20.070000000000618</v>
      </c>
      <c r="AQ345" s="453">
        <v>-8.7450980392159549E-3</v>
      </c>
      <c r="AR345" s="449">
        <v>2274.9299999999994</v>
      </c>
      <c r="AS345" s="449">
        <v>0</v>
      </c>
      <c r="AT345" s="426">
        <v>0</v>
      </c>
      <c r="AU345" s="421"/>
      <c r="AV345" s="449">
        <v>0</v>
      </c>
      <c r="AW345" s="449">
        <v>189.57749999999999</v>
      </c>
      <c r="AX345" s="449">
        <v>189.57749999999999</v>
      </c>
      <c r="AY345" s="449">
        <v>189.57749999999999</v>
      </c>
      <c r="AZ345" s="449">
        <v>189.57749999999999</v>
      </c>
      <c r="BA345" s="449">
        <v>189.57749999999999</v>
      </c>
      <c r="BB345" s="449">
        <v>189.57749999999999</v>
      </c>
      <c r="BC345" s="449">
        <v>189.57749999999999</v>
      </c>
      <c r="BD345" s="449">
        <v>189.57749999999999</v>
      </c>
      <c r="BE345" s="449">
        <v>189.57749999999999</v>
      </c>
      <c r="BF345" s="449">
        <v>189.57749999999999</v>
      </c>
      <c r="BG345" s="449">
        <v>379.15499999999997</v>
      </c>
      <c r="BH345" s="400"/>
      <c r="BI345" s="449">
        <v>0</v>
      </c>
      <c r="BJ345" s="449">
        <v>189.57749999999999</v>
      </c>
      <c r="BK345" s="449">
        <v>189.57749999999999</v>
      </c>
      <c r="BL345" s="771">
        <v>189.57749999999999</v>
      </c>
      <c r="BM345" s="449">
        <v>189.57749999999999</v>
      </c>
      <c r="BN345" s="449">
        <v>189.57749999999999</v>
      </c>
      <c r="BO345" s="449">
        <v>189.57749999999999</v>
      </c>
      <c r="BP345" s="449">
        <v>189.57749999999999</v>
      </c>
      <c r="BQ345" s="449">
        <v>189.57749999999999</v>
      </c>
      <c r="BR345" s="449">
        <v>189.57749999999999</v>
      </c>
      <c r="BS345" s="449">
        <v>189.57749999999999</v>
      </c>
      <c r="BT345" s="449">
        <v>379.15499999999997</v>
      </c>
    </row>
    <row r="346" spans="1:72" hidden="1" x14ac:dyDescent="0.25">
      <c r="A346" s="614" t="s">
        <v>592</v>
      </c>
      <c r="B346" s="614" t="s">
        <v>593</v>
      </c>
      <c r="C346" s="541"/>
      <c r="D346" s="500">
        <v>0</v>
      </c>
      <c r="E346" s="449">
        <v>0</v>
      </c>
      <c r="F346" s="449">
        <v>0</v>
      </c>
      <c r="G346" s="421">
        <v>0</v>
      </c>
      <c r="H346" s="449">
        <v>0</v>
      </c>
      <c r="I346" s="449">
        <v>0</v>
      </c>
      <c r="J346" s="426">
        <v>0</v>
      </c>
      <c r="K346" s="421"/>
      <c r="L346" s="449">
        <v>0</v>
      </c>
      <c r="M346" s="449">
        <v>0</v>
      </c>
      <c r="N346" s="449">
        <v>0</v>
      </c>
      <c r="O346" s="449">
        <v>0</v>
      </c>
      <c r="P346" s="449">
        <v>0</v>
      </c>
      <c r="Q346" s="449">
        <v>0</v>
      </c>
      <c r="R346" s="449">
        <v>0</v>
      </c>
      <c r="S346" s="449">
        <v>0</v>
      </c>
      <c r="T346" s="449">
        <v>0</v>
      </c>
      <c r="U346" s="449">
        <v>0</v>
      </c>
      <c r="V346" s="449">
        <v>0</v>
      </c>
      <c r="W346" s="449">
        <v>0</v>
      </c>
      <c r="X346" s="449"/>
      <c r="Y346" s="449">
        <v>0</v>
      </c>
      <c r="Z346" s="531"/>
      <c r="AA346" s="449">
        <v>0</v>
      </c>
      <c r="AB346" s="449">
        <v>0</v>
      </c>
      <c r="AC346" s="449">
        <v>0</v>
      </c>
      <c r="AD346" s="449">
        <v>0</v>
      </c>
      <c r="AE346" s="449">
        <v>0</v>
      </c>
      <c r="AF346" s="449">
        <v>0</v>
      </c>
      <c r="AG346" s="449">
        <v>0</v>
      </c>
      <c r="AH346" s="449">
        <v>0</v>
      </c>
      <c r="AI346" s="449">
        <v>0</v>
      </c>
      <c r="AJ346" s="449">
        <v>0</v>
      </c>
      <c r="AK346" s="449">
        <v>0</v>
      </c>
      <c r="AL346" s="449">
        <v>0</v>
      </c>
      <c r="AM346" s="400"/>
      <c r="AN346" s="500">
        <v>0</v>
      </c>
      <c r="AO346" s="449">
        <v>0</v>
      </c>
      <c r="AP346" s="449">
        <v>0</v>
      </c>
      <c r="AQ346" s="453" t="s">
        <v>1519</v>
      </c>
      <c r="AR346" s="449">
        <v>0</v>
      </c>
      <c r="AS346" s="449">
        <v>0</v>
      </c>
      <c r="AT346" s="426">
        <v>0</v>
      </c>
      <c r="AU346" s="421"/>
      <c r="AV346" s="449">
        <v>0</v>
      </c>
      <c r="AW346" s="449">
        <v>0</v>
      </c>
      <c r="AX346" s="449">
        <v>0</v>
      </c>
      <c r="AY346" s="449">
        <v>0</v>
      </c>
      <c r="AZ346" s="449">
        <v>0</v>
      </c>
      <c r="BA346" s="449">
        <v>0</v>
      </c>
      <c r="BB346" s="449">
        <v>0</v>
      </c>
      <c r="BC346" s="449">
        <v>0</v>
      </c>
      <c r="BD346" s="449">
        <v>0</v>
      </c>
      <c r="BE346" s="449">
        <v>0</v>
      </c>
      <c r="BF346" s="449">
        <v>0</v>
      </c>
      <c r="BG346" s="449">
        <v>0</v>
      </c>
      <c r="BH346" s="400"/>
      <c r="BI346" s="449">
        <v>0</v>
      </c>
      <c r="BJ346" s="449">
        <v>0</v>
      </c>
      <c r="BK346" s="449">
        <v>0</v>
      </c>
      <c r="BL346" s="771">
        <v>0</v>
      </c>
      <c r="BM346" s="449">
        <v>0</v>
      </c>
      <c r="BN346" s="449">
        <v>0</v>
      </c>
      <c r="BO346" s="449">
        <v>0</v>
      </c>
      <c r="BP346" s="449">
        <v>0</v>
      </c>
      <c r="BQ346" s="449">
        <v>0</v>
      </c>
      <c r="BR346" s="449">
        <v>0</v>
      </c>
      <c r="BS346" s="449">
        <v>0</v>
      </c>
      <c r="BT346" s="449">
        <v>0</v>
      </c>
    </row>
    <row r="347" spans="1:72" hidden="1" x14ac:dyDescent="0.25">
      <c r="A347" s="614" t="s">
        <v>594</v>
      </c>
      <c r="B347" s="614" t="s">
        <v>595</v>
      </c>
      <c r="C347" s="541"/>
      <c r="D347" s="500">
        <v>0</v>
      </c>
      <c r="E347" s="449">
        <v>0</v>
      </c>
      <c r="F347" s="449">
        <v>0</v>
      </c>
      <c r="G347" s="421">
        <v>0</v>
      </c>
      <c r="H347" s="449">
        <v>0</v>
      </c>
      <c r="I347" s="449">
        <v>0</v>
      </c>
      <c r="J347" s="426">
        <v>0</v>
      </c>
      <c r="K347" s="421"/>
      <c r="L347" s="449">
        <v>0</v>
      </c>
      <c r="M347" s="449">
        <v>0</v>
      </c>
      <c r="N347" s="449">
        <v>0</v>
      </c>
      <c r="O347" s="449">
        <v>0</v>
      </c>
      <c r="P347" s="449">
        <v>0</v>
      </c>
      <c r="Q347" s="449">
        <v>0</v>
      </c>
      <c r="R347" s="449">
        <v>0</v>
      </c>
      <c r="S347" s="449">
        <v>0</v>
      </c>
      <c r="T347" s="449">
        <v>0</v>
      </c>
      <c r="U347" s="449">
        <v>0</v>
      </c>
      <c r="V347" s="449">
        <v>0</v>
      </c>
      <c r="W347" s="449">
        <v>0</v>
      </c>
      <c r="X347" s="449"/>
      <c r="Y347" s="449">
        <v>0</v>
      </c>
      <c r="Z347" s="531"/>
      <c r="AA347" s="449">
        <v>0</v>
      </c>
      <c r="AB347" s="449">
        <v>0</v>
      </c>
      <c r="AC347" s="449">
        <v>0</v>
      </c>
      <c r="AD347" s="449">
        <v>0</v>
      </c>
      <c r="AE347" s="449">
        <v>0</v>
      </c>
      <c r="AF347" s="449">
        <v>0</v>
      </c>
      <c r="AG347" s="449">
        <v>0</v>
      </c>
      <c r="AH347" s="449">
        <v>0</v>
      </c>
      <c r="AI347" s="449">
        <v>0</v>
      </c>
      <c r="AJ347" s="449">
        <v>0</v>
      </c>
      <c r="AK347" s="449">
        <v>0</v>
      </c>
      <c r="AL347" s="449">
        <v>0</v>
      </c>
      <c r="AM347" s="400"/>
      <c r="AN347" s="500">
        <v>0</v>
      </c>
      <c r="AO347" s="449">
        <v>0</v>
      </c>
      <c r="AP347" s="449">
        <v>0</v>
      </c>
      <c r="AQ347" s="453" t="s">
        <v>1519</v>
      </c>
      <c r="AR347" s="449">
        <v>0</v>
      </c>
      <c r="AS347" s="449">
        <v>0</v>
      </c>
      <c r="AT347" s="426">
        <v>0</v>
      </c>
      <c r="AU347" s="421"/>
      <c r="AV347" s="449">
        <v>0</v>
      </c>
      <c r="AW347" s="449">
        <v>0</v>
      </c>
      <c r="AX347" s="449">
        <v>0</v>
      </c>
      <c r="AY347" s="449">
        <v>0</v>
      </c>
      <c r="AZ347" s="449">
        <v>0</v>
      </c>
      <c r="BA347" s="449">
        <v>0</v>
      </c>
      <c r="BB347" s="449">
        <v>0</v>
      </c>
      <c r="BC347" s="449">
        <v>0</v>
      </c>
      <c r="BD347" s="449">
        <v>0</v>
      </c>
      <c r="BE347" s="449">
        <v>0</v>
      </c>
      <c r="BF347" s="449">
        <v>0</v>
      </c>
      <c r="BG347" s="449">
        <v>0</v>
      </c>
      <c r="BH347" s="400"/>
      <c r="BI347" s="449">
        <v>0</v>
      </c>
      <c r="BJ347" s="449">
        <v>0</v>
      </c>
      <c r="BK347" s="449">
        <v>0</v>
      </c>
      <c r="BL347" s="771">
        <v>0</v>
      </c>
      <c r="BM347" s="449">
        <v>0</v>
      </c>
      <c r="BN347" s="449">
        <v>0</v>
      </c>
      <c r="BO347" s="449">
        <v>0</v>
      </c>
      <c r="BP347" s="449">
        <v>0</v>
      </c>
      <c r="BQ347" s="449">
        <v>0</v>
      </c>
      <c r="BR347" s="449">
        <v>0</v>
      </c>
      <c r="BS347" s="449">
        <v>0</v>
      </c>
      <c r="BT347" s="449">
        <v>0</v>
      </c>
    </row>
    <row r="348" spans="1:72" x14ac:dyDescent="0.25">
      <c r="A348" s="502" t="s">
        <v>596</v>
      </c>
      <c r="B348" s="502" t="s">
        <v>536</v>
      </c>
      <c r="C348" s="541"/>
      <c r="D348" s="500">
        <v>0</v>
      </c>
      <c r="E348" s="449">
        <v>0</v>
      </c>
      <c r="F348" s="449">
        <v>0</v>
      </c>
      <c r="G348" s="421">
        <v>0</v>
      </c>
      <c r="H348" s="449">
        <v>0</v>
      </c>
      <c r="I348" s="449">
        <v>0</v>
      </c>
      <c r="J348" s="426">
        <v>0</v>
      </c>
      <c r="K348" s="421"/>
      <c r="L348" s="449">
        <v>0</v>
      </c>
      <c r="M348" s="449">
        <v>0</v>
      </c>
      <c r="N348" s="449">
        <v>0</v>
      </c>
      <c r="O348" s="449">
        <v>0</v>
      </c>
      <c r="P348" s="449">
        <v>0</v>
      </c>
      <c r="Q348" s="449">
        <v>0</v>
      </c>
      <c r="R348" s="449">
        <v>0</v>
      </c>
      <c r="S348" s="449">
        <v>0</v>
      </c>
      <c r="T348" s="449">
        <v>0</v>
      </c>
      <c r="U348" s="449">
        <v>0</v>
      </c>
      <c r="V348" s="449">
        <v>0</v>
      </c>
      <c r="W348" s="449">
        <v>0</v>
      </c>
      <c r="X348" s="449"/>
      <c r="Y348" s="449">
        <v>0</v>
      </c>
      <c r="Z348" s="531"/>
      <c r="AA348" s="449">
        <v>0</v>
      </c>
      <c r="AB348" s="449">
        <v>0</v>
      </c>
      <c r="AC348" s="449">
        <v>0</v>
      </c>
      <c r="AD348" s="449">
        <v>0</v>
      </c>
      <c r="AE348" s="449">
        <v>0</v>
      </c>
      <c r="AF348" s="449">
        <v>0</v>
      </c>
      <c r="AG348" s="449">
        <v>0</v>
      </c>
      <c r="AH348" s="449">
        <v>0</v>
      </c>
      <c r="AI348" s="449">
        <v>0</v>
      </c>
      <c r="AJ348" s="449">
        <v>0</v>
      </c>
      <c r="AK348" s="449">
        <v>0</v>
      </c>
      <c r="AL348" s="449">
        <v>0</v>
      </c>
      <c r="AM348" s="400"/>
      <c r="AN348" s="500">
        <v>0</v>
      </c>
      <c r="AO348" s="449">
        <v>2921.2034269599999</v>
      </c>
      <c r="AP348" s="449">
        <v>2921.2034269599999</v>
      </c>
      <c r="AQ348" s="453" t="s">
        <v>1519</v>
      </c>
      <c r="AR348" s="449">
        <v>2921.2034269599999</v>
      </c>
      <c r="AS348" s="449">
        <v>0</v>
      </c>
      <c r="AT348" s="426">
        <v>0</v>
      </c>
      <c r="AU348" s="421"/>
      <c r="AV348" s="449">
        <v>0</v>
      </c>
      <c r="AW348" s="449">
        <v>243.43361891333336</v>
      </c>
      <c r="AX348" s="449">
        <v>243.43361891333336</v>
      </c>
      <c r="AY348" s="449">
        <v>243.43361891333336</v>
      </c>
      <c r="AZ348" s="449">
        <v>243.43361891333336</v>
      </c>
      <c r="BA348" s="449">
        <v>243.43361891333336</v>
      </c>
      <c r="BB348" s="449">
        <v>243.43361891333336</v>
      </c>
      <c r="BC348" s="449">
        <v>243.43361891333336</v>
      </c>
      <c r="BD348" s="449">
        <v>243.43361891333336</v>
      </c>
      <c r="BE348" s="449">
        <v>243.43361891333336</v>
      </c>
      <c r="BF348" s="449">
        <v>243.43361891333336</v>
      </c>
      <c r="BG348" s="449">
        <v>486.86723782666672</v>
      </c>
      <c r="BH348" s="400"/>
      <c r="BI348" s="449">
        <v>0</v>
      </c>
      <c r="BJ348" s="449">
        <v>243.43361891333336</v>
      </c>
      <c r="BK348" s="449">
        <v>243.43361891333336</v>
      </c>
      <c r="BL348" s="771">
        <v>243.43361891333336</v>
      </c>
      <c r="BM348" s="449">
        <v>243.43361891333336</v>
      </c>
      <c r="BN348" s="449">
        <v>243.43361891333336</v>
      </c>
      <c r="BO348" s="449">
        <v>243.43361891333336</v>
      </c>
      <c r="BP348" s="449">
        <v>243.43361891333336</v>
      </c>
      <c r="BQ348" s="449">
        <v>243.43361891333336</v>
      </c>
      <c r="BR348" s="449">
        <v>243.43361891333336</v>
      </c>
      <c r="BS348" s="449">
        <v>243.43361891333336</v>
      </c>
      <c r="BT348" s="449">
        <v>486.86723782666672</v>
      </c>
    </row>
    <row r="349" spans="1:72" hidden="1" x14ac:dyDescent="0.25">
      <c r="A349" s="614" t="s">
        <v>597</v>
      </c>
      <c r="B349" s="614" t="s">
        <v>598</v>
      </c>
      <c r="C349" s="541"/>
      <c r="D349" s="500">
        <v>0</v>
      </c>
      <c r="E349" s="449">
        <v>0</v>
      </c>
      <c r="F349" s="449">
        <v>0</v>
      </c>
      <c r="G349" s="421">
        <v>0</v>
      </c>
      <c r="H349" s="449">
        <v>0</v>
      </c>
      <c r="I349" s="449">
        <v>0</v>
      </c>
      <c r="J349" s="426">
        <v>0</v>
      </c>
      <c r="K349" s="421"/>
      <c r="L349" s="449">
        <v>0</v>
      </c>
      <c r="M349" s="449">
        <v>0</v>
      </c>
      <c r="N349" s="449">
        <v>0</v>
      </c>
      <c r="O349" s="449">
        <v>0</v>
      </c>
      <c r="P349" s="449">
        <v>0</v>
      </c>
      <c r="Q349" s="449">
        <v>0</v>
      </c>
      <c r="R349" s="449">
        <v>0</v>
      </c>
      <c r="S349" s="449">
        <v>0</v>
      </c>
      <c r="T349" s="449">
        <v>0</v>
      </c>
      <c r="U349" s="449">
        <v>0</v>
      </c>
      <c r="V349" s="449">
        <v>0</v>
      </c>
      <c r="W349" s="449">
        <v>0</v>
      </c>
      <c r="X349" s="449"/>
      <c r="Y349" s="449">
        <v>0</v>
      </c>
      <c r="Z349" s="531"/>
      <c r="AA349" s="449">
        <v>0</v>
      </c>
      <c r="AB349" s="449">
        <v>0</v>
      </c>
      <c r="AC349" s="449">
        <v>0</v>
      </c>
      <c r="AD349" s="449">
        <v>0</v>
      </c>
      <c r="AE349" s="449">
        <v>0</v>
      </c>
      <c r="AF349" s="449">
        <v>0</v>
      </c>
      <c r="AG349" s="449">
        <v>0</v>
      </c>
      <c r="AH349" s="449">
        <v>0</v>
      </c>
      <c r="AI349" s="449">
        <v>0</v>
      </c>
      <c r="AJ349" s="449">
        <v>0</v>
      </c>
      <c r="AK349" s="449">
        <v>0</v>
      </c>
      <c r="AL349" s="449">
        <v>0</v>
      </c>
      <c r="AM349" s="400"/>
      <c r="AN349" s="500">
        <v>0</v>
      </c>
      <c r="AO349" s="449">
        <v>0</v>
      </c>
      <c r="AP349" s="449">
        <v>0</v>
      </c>
      <c r="AQ349" s="453" t="s">
        <v>1519</v>
      </c>
      <c r="AR349" s="449">
        <v>0</v>
      </c>
      <c r="AS349" s="449">
        <v>0</v>
      </c>
      <c r="AT349" s="426">
        <v>0</v>
      </c>
      <c r="AU349" s="421"/>
      <c r="AV349" s="449">
        <v>0</v>
      </c>
      <c r="AW349" s="449">
        <v>0</v>
      </c>
      <c r="AX349" s="449">
        <v>0</v>
      </c>
      <c r="AY349" s="449">
        <v>0</v>
      </c>
      <c r="AZ349" s="449">
        <v>0</v>
      </c>
      <c r="BA349" s="449">
        <v>0</v>
      </c>
      <c r="BB349" s="449">
        <v>0</v>
      </c>
      <c r="BC349" s="449">
        <v>0</v>
      </c>
      <c r="BD349" s="449">
        <v>0</v>
      </c>
      <c r="BE349" s="449">
        <v>0</v>
      </c>
      <c r="BF349" s="449">
        <v>0</v>
      </c>
      <c r="BG349" s="449">
        <v>0</v>
      </c>
      <c r="BH349" s="400"/>
      <c r="BI349" s="449">
        <v>0</v>
      </c>
      <c r="BJ349" s="449">
        <v>0</v>
      </c>
      <c r="BK349" s="449">
        <v>0</v>
      </c>
      <c r="BL349" s="771">
        <v>0</v>
      </c>
      <c r="BM349" s="449">
        <v>0</v>
      </c>
      <c r="BN349" s="449">
        <v>0</v>
      </c>
      <c r="BO349" s="449">
        <v>0</v>
      </c>
      <c r="BP349" s="449">
        <v>0</v>
      </c>
      <c r="BQ349" s="449">
        <v>0</v>
      </c>
      <c r="BR349" s="449">
        <v>0</v>
      </c>
      <c r="BS349" s="449">
        <v>0</v>
      </c>
      <c r="BT349" s="449">
        <v>0</v>
      </c>
    </row>
    <row r="350" spans="1:72" hidden="1" x14ac:dyDescent="0.25">
      <c r="A350" s="502" t="s">
        <v>599</v>
      </c>
      <c r="B350" s="502" t="s">
        <v>540</v>
      </c>
      <c r="C350" s="541"/>
      <c r="D350" s="500">
        <v>0</v>
      </c>
      <c r="E350" s="449">
        <v>0</v>
      </c>
      <c r="F350" s="449">
        <v>0</v>
      </c>
      <c r="G350" s="421">
        <v>0</v>
      </c>
      <c r="H350" s="449">
        <v>0</v>
      </c>
      <c r="I350" s="449">
        <v>0</v>
      </c>
      <c r="J350" s="426">
        <v>0</v>
      </c>
      <c r="K350" s="421"/>
      <c r="L350" s="449">
        <v>0</v>
      </c>
      <c r="M350" s="449">
        <v>0</v>
      </c>
      <c r="N350" s="449">
        <v>0</v>
      </c>
      <c r="O350" s="449">
        <v>0</v>
      </c>
      <c r="P350" s="449">
        <v>0</v>
      </c>
      <c r="Q350" s="449">
        <v>0</v>
      </c>
      <c r="R350" s="449">
        <v>0</v>
      </c>
      <c r="S350" s="449">
        <v>0</v>
      </c>
      <c r="T350" s="449">
        <v>0</v>
      </c>
      <c r="U350" s="449">
        <v>0</v>
      </c>
      <c r="V350" s="449">
        <v>0</v>
      </c>
      <c r="W350" s="449">
        <v>0</v>
      </c>
      <c r="X350" s="449"/>
      <c r="Y350" s="449">
        <v>0</v>
      </c>
      <c r="Z350" s="531"/>
      <c r="AA350" s="449">
        <v>0</v>
      </c>
      <c r="AB350" s="449">
        <v>0</v>
      </c>
      <c r="AC350" s="449">
        <v>0</v>
      </c>
      <c r="AD350" s="449">
        <v>0</v>
      </c>
      <c r="AE350" s="449">
        <v>0</v>
      </c>
      <c r="AF350" s="449">
        <v>0</v>
      </c>
      <c r="AG350" s="449">
        <v>0</v>
      </c>
      <c r="AH350" s="449">
        <v>0</v>
      </c>
      <c r="AI350" s="449">
        <v>0</v>
      </c>
      <c r="AJ350" s="449">
        <v>0</v>
      </c>
      <c r="AK350" s="449">
        <v>0</v>
      </c>
      <c r="AL350" s="449">
        <v>0</v>
      </c>
      <c r="AM350" s="400"/>
      <c r="AN350" s="500">
        <v>0</v>
      </c>
      <c r="AO350" s="449">
        <v>0</v>
      </c>
      <c r="AP350" s="449">
        <v>0</v>
      </c>
      <c r="AQ350" s="453" t="s">
        <v>1519</v>
      </c>
      <c r="AR350" s="449">
        <v>0</v>
      </c>
      <c r="AS350" s="449">
        <v>0</v>
      </c>
      <c r="AT350" s="426">
        <v>0</v>
      </c>
      <c r="AU350" s="421"/>
      <c r="AV350" s="449">
        <v>0</v>
      </c>
      <c r="AW350" s="449">
        <v>0</v>
      </c>
      <c r="AX350" s="449">
        <v>0</v>
      </c>
      <c r="AY350" s="449">
        <v>0</v>
      </c>
      <c r="AZ350" s="449">
        <v>0</v>
      </c>
      <c r="BA350" s="449">
        <v>0</v>
      </c>
      <c r="BB350" s="449">
        <v>0</v>
      </c>
      <c r="BC350" s="449">
        <v>0</v>
      </c>
      <c r="BD350" s="449">
        <v>0</v>
      </c>
      <c r="BE350" s="449">
        <v>0</v>
      </c>
      <c r="BF350" s="449">
        <v>0</v>
      </c>
      <c r="BG350" s="449">
        <v>0</v>
      </c>
      <c r="BH350" s="400"/>
      <c r="BI350" s="449">
        <v>0</v>
      </c>
      <c r="BJ350" s="449">
        <v>0</v>
      </c>
      <c r="BK350" s="449">
        <v>0</v>
      </c>
      <c r="BL350" s="771">
        <v>0</v>
      </c>
      <c r="BM350" s="449">
        <v>0</v>
      </c>
      <c r="BN350" s="449">
        <v>0</v>
      </c>
      <c r="BO350" s="449">
        <v>0</v>
      </c>
      <c r="BP350" s="449">
        <v>0</v>
      </c>
      <c r="BQ350" s="449">
        <v>0</v>
      </c>
      <c r="BR350" s="449">
        <v>0</v>
      </c>
      <c r="BS350" s="449">
        <v>0</v>
      </c>
      <c r="BT350" s="449">
        <v>0</v>
      </c>
    </row>
    <row r="351" spans="1:72" hidden="1" x14ac:dyDescent="0.25">
      <c r="A351" s="614" t="s">
        <v>600</v>
      </c>
      <c r="B351" s="614" t="s">
        <v>601</v>
      </c>
      <c r="C351" s="541"/>
      <c r="D351" s="500">
        <v>0</v>
      </c>
      <c r="E351" s="449">
        <v>0</v>
      </c>
      <c r="F351" s="449">
        <v>0</v>
      </c>
      <c r="G351" s="421">
        <v>0</v>
      </c>
      <c r="H351" s="449">
        <v>0</v>
      </c>
      <c r="I351" s="449">
        <v>0</v>
      </c>
      <c r="J351" s="426">
        <v>0</v>
      </c>
      <c r="K351" s="421"/>
      <c r="L351" s="449">
        <v>0</v>
      </c>
      <c r="M351" s="449">
        <v>0</v>
      </c>
      <c r="N351" s="449">
        <v>0</v>
      </c>
      <c r="O351" s="449">
        <v>0</v>
      </c>
      <c r="P351" s="449">
        <v>0</v>
      </c>
      <c r="Q351" s="449">
        <v>0</v>
      </c>
      <c r="R351" s="449">
        <v>0</v>
      </c>
      <c r="S351" s="449">
        <v>0</v>
      </c>
      <c r="T351" s="449">
        <v>0</v>
      </c>
      <c r="U351" s="449">
        <v>0</v>
      </c>
      <c r="V351" s="449">
        <v>0</v>
      </c>
      <c r="W351" s="449">
        <v>0</v>
      </c>
      <c r="X351" s="449"/>
      <c r="Y351" s="449">
        <v>0</v>
      </c>
      <c r="Z351" s="531"/>
      <c r="AA351" s="449">
        <v>0</v>
      </c>
      <c r="AB351" s="449">
        <v>0</v>
      </c>
      <c r="AC351" s="449">
        <v>0</v>
      </c>
      <c r="AD351" s="449">
        <v>0</v>
      </c>
      <c r="AE351" s="449">
        <v>0</v>
      </c>
      <c r="AF351" s="449">
        <v>0</v>
      </c>
      <c r="AG351" s="449">
        <v>0</v>
      </c>
      <c r="AH351" s="449">
        <v>0</v>
      </c>
      <c r="AI351" s="449">
        <v>0</v>
      </c>
      <c r="AJ351" s="449">
        <v>0</v>
      </c>
      <c r="AK351" s="449">
        <v>0</v>
      </c>
      <c r="AL351" s="449">
        <v>0</v>
      </c>
      <c r="AM351" s="400"/>
      <c r="AN351" s="500">
        <v>0</v>
      </c>
      <c r="AO351" s="449">
        <v>0</v>
      </c>
      <c r="AP351" s="449">
        <v>0</v>
      </c>
      <c r="AQ351" s="453" t="s">
        <v>1519</v>
      </c>
      <c r="AR351" s="449">
        <v>0</v>
      </c>
      <c r="AS351" s="449">
        <v>0</v>
      </c>
      <c r="AT351" s="426">
        <v>0</v>
      </c>
      <c r="AU351" s="421"/>
      <c r="AV351" s="449">
        <v>0</v>
      </c>
      <c r="AW351" s="449">
        <v>0</v>
      </c>
      <c r="AX351" s="449">
        <v>0</v>
      </c>
      <c r="AY351" s="449">
        <v>0</v>
      </c>
      <c r="AZ351" s="449">
        <v>0</v>
      </c>
      <c r="BA351" s="449">
        <v>0</v>
      </c>
      <c r="BB351" s="449">
        <v>0</v>
      </c>
      <c r="BC351" s="449">
        <v>0</v>
      </c>
      <c r="BD351" s="449">
        <v>0</v>
      </c>
      <c r="BE351" s="449">
        <v>0</v>
      </c>
      <c r="BF351" s="449">
        <v>0</v>
      </c>
      <c r="BG351" s="449">
        <v>0</v>
      </c>
      <c r="BH351" s="400"/>
      <c r="BI351" s="449">
        <v>0</v>
      </c>
      <c r="BJ351" s="449">
        <v>0</v>
      </c>
      <c r="BK351" s="449">
        <v>0</v>
      </c>
      <c r="BL351" s="771">
        <v>0</v>
      </c>
      <c r="BM351" s="449">
        <v>0</v>
      </c>
      <c r="BN351" s="449">
        <v>0</v>
      </c>
      <c r="BO351" s="449">
        <v>0</v>
      </c>
      <c r="BP351" s="449">
        <v>0</v>
      </c>
      <c r="BQ351" s="449">
        <v>0</v>
      </c>
      <c r="BR351" s="449">
        <v>0</v>
      </c>
      <c r="BS351" s="449">
        <v>0</v>
      </c>
      <c r="BT351" s="449">
        <v>0</v>
      </c>
    </row>
    <row r="352" spans="1:72" hidden="1" x14ac:dyDescent="0.25">
      <c r="A352" s="502" t="s">
        <v>602</v>
      </c>
      <c r="B352" s="502" t="s">
        <v>603</v>
      </c>
      <c r="C352" s="541"/>
      <c r="D352" s="500">
        <v>0</v>
      </c>
      <c r="E352" s="449">
        <v>0</v>
      </c>
      <c r="F352" s="449">
        <v>0</v>
      </c>
      <c r="G352" s="421">
        <v>0</v>
      </c>
      <c r="H352" s="449">
        <v>0</v>
      </c>
      <c r="I352" s="449">
        <v>0</v>
      </c>
      <c r="J352" s="426">
        <v>0</v>
      </c>
      <c r="K352" s="421"/>
      <c r="L352" s="449">
        <v>0</v>
      </c>
      <c r="M352" s="449">
        <v>0</v>
      </c>
      <c r="N352" s="449">
        <v>0</v>
      </c>
      <c r="O352" s="449">
        <v>0</v>
      </c>
      <c r="P352" s="449">
        <v>0</v>
      </c>
      <c r="Q352" s="449">
        <v>0</v>
      </c>
      <c r="R352" s="449">
        <v>0</v>
      </c>
      <c r="S352" s="449">
        <v>0</v>
      </c>
      <c r="T352" s="449">
        <v>0</v>
      </c>
      <c r="U352" s="449">
        <v>0</v>
      </c>
      <c r="V352" s="449">
        <v>0</v>
      </c>
      <c r="W352" s="449">
        <v>0</v>
      </c>
      <c r="X352" s="449"/>
      <c r="Y352" s="449">
        <v>0</v>
      </c>
      <c r="Z352" s="531"/>
      <c r="AA352" s="449">
        <v>0</v>
      </c>
      <c r="AB352" s="449">
        <v>0</v>
      </c>
      <c r="AC352" s="449">
        <v>0</v>
      </c>
      <c r="AD352" s="449">
        <v>0</v>
      </c>
      <c r="AE352" s="449">
        <v>0</v>
      </c>
      <c r="AF352" s="449">
        <v>0</v>
      </c>
      <c r="AG352" s="449">
        <v>0</v>
      </c>
      <c r="AH352" s="449">
        <v>0</v>
      </c>
      <c r="AI352" s="449">
        <v>0</v>
      </c>
      <c r="AJ352" s="449">
        <v>0</v>
      </c>
      <c r="AK352" s="449">
        <v>0</v>
      </c>
      <c r="AL352" s="449">
        <v>0</v>
      </c>
      <c r="AM352" s="400"/>
      <c r="AN352" s="500">
        <v>0</v>
      </c>
      <c r="AO352" s="449">
        <v>0</v>
      </c>
      <c r="AP352" s="449">
        <v>0</v>
      </c>
      <c r="AQ352" s="453" t="s">
        <v>1519</v>
      </c>
      <c r="AR352" s="449">
        <v>0</v>
      </c>
      <c r="AS352" s="449">
        <v>0</v>
      </c>
      <c r="AT352" s="426">
        <v>0</v>
      </c>
      <c r="AU352" s="421"/>
      <c r="AV352" s="449">
        <v>0</v>
      </c>
      <c r="AW352" s="449">
        <v>0</v>
      </c>
      <c r="AX352" s="449">
        <v>0</v>
      </c>
      <c r="AY352" s="449">
        <v>0</v>
      </c>
      <c r="AZ352" s="449">
        <v>0</v>
      </c>
      <c r="BA352" s="449">
        <v>0</v>
      </c>
      <c r="BB352" s="449">
        <v>0</v>
      </c>
      <c r="BC352" s="449">
        <v>0</v>
      </c>
      <c r="BD352" s="449">
        <v>0</v>
      </c>
      <c r="BE352" s="449">
        <v>0</v>
      </c>
      <c r="BF352" s="449">
        <v>0</v>
      </c>
      <c r="BG352" s="449">
        <v>0</v>
      </c>
      <c r="BH352" s="400"/>
      <c r="BI352" s="449">
        <v>0</v>
      </c>
      <c r="BJ352" s="449">
        <v>0</v>
      </c>
      <c r="BK352" s="449">
        <v>0</v>
      </c>
      <c r="BL352" s="771">
        <v>0</v>
      </c>
      <c r="BM352" s="449">
        <v>0</v>
      </c>
      <c r="BN352" s="449">
        <v>0</v>
      </c>
      <c r="BO352" s="449">
        <v>0</v>
      </c>
      <c r="BP352" s="449">
        <v>0</v>
      </c>
      <c r="BQ352" s="449">
        <v>0</v>
      </c>
      <c r="BR352" s="449">
        <v>0</v>
      </c>
      <c r="BS352" s="449">
        <v>0</v>
      </c>
      <c r="BT352" s="449">
        <v>0</v>
      </c>
    </row>
    <row r="353" spans="1:74" hidden="1" x14ac:dyDescent="0.25">
      <c r="A353" s="614" t="s">
        <v>604</v>
      </c>
      <c r="B353" s="614" t="s">
        <v>605</v>
      </c>
      <c r="C353" s="541"/>
      <c r="D353" s="500">
        <v>0</v>
      </c>
      <c r="E353" s="449">
        <v>0</v>
      </c>
      <c r="F353" s="449">
        <v>0</v>
      </c>
      <c r="G353" s="421">
        <v>0</v>
      </c>
      <c r="H353" s="449">
        <v>0</v>
      </c>
      <c r="I353" s="449">
        <v>0</v>
      </c>
      <c r="J353" s="426">
        <v>0</v>
      </c>
      <c r="K353" s="421"/>
      <c r="L353" s="449">
        <v>0</v>
      </c>
      <c r="M353" s="449">
        <v>0</v>
      </c>
      <c r="N353" s="449">
        <v>0</v>
      </c>
      <c r="O353" s="449">
        <v>0</v>
      </c>
      <c r="P353" s="449">
        <v>0</v>
      </c>
      <c r="Q353" s="449">
        <v>0</v>
      </c>
      <c r="R353" s="449">
        <v>0</v>
      </c>
      <c r="S353" s="449">
        <v>0</v>
      </c>
      <c r="T353" s="449">
        <v>0</v>
      </c>
      <c r="U353" s="449">
        <v>0</v>
      </c>
      <c r="V353" s="449">
        <v>0</v>
      </c>
      <c r="W353" s="449">
        <v>0</v>
      </c>
      <c r="X353" s="449"/>
      <c r="Y353" s="449">
        <v>0</v>
      </c>
      <c r="Z353" s="531"/>
      <c r="AA353" s="449">
        <v>0</v>
      </c>
      <c r="AB353" s="449">
        <v>0</v>
      </c>
      <c r="AC353" s="449">
        <v>0</v>
      </c>
      <c r="AD353" s="449">
        <v>0</v>
      </c>
      <c r="AE353" s="449">
        <v>0</v>
      </c>
      <c r="AF353" s="449">
        <v>0</v>
      </c>
      <c r="AG353" s="449">
        <v>0</v>
      </c>
      <c r="AH353" s="449">
        <v>0</v>
      </c>
      <c r="AI353" s="449">
        <v>0</v>
      </c>
      <c r="AJ353" s="449">
        <v>0</v>
      </c>
      <c r="AK353" s="449">
        <v>0</v>
      </c>
      <c r="AL353" s="449">
        <v>0</v>
      </c>
      <c r="AM353" s="400"/>
      <c r="AN353" s="500">
        <v>0</v>
      </c>
      <c r="AO353" s="449">
        <v>0</v>
      </c>
      <c r="AP353" s="449">
        <v>0</v>
      </c>
      <c r="AQ353" s="453" t="s">
        <v>1519</v>
      </c>
      <c r="AR353" s="449">
        <v>0</v>
      </c>
      <c r="AS353" s="449">
        <v>0</v>
      </c>
      <c r="AT353" s="426">
        <v>0</v>
      </c>
      <c r="AU353" s="421"/>
      <c r="AV353" s="449">
        <v>0</v>
      </c>
      <c r="AW353" s="449">
        <v>0</v>
      </c>
      <c r="AX353" s="449">
        <v>0</v>
      </c>
      <c r="AY353" s="449">
        <v>0</v>
      </c>
      <c r="AZ353" s="449">
        <v>0</v>
      </c>
      <c r="BA353" s="449">
        <v>0</v>
      </c>
      <c r="BB353" s="449">
        <v>0</v>
      </c>
      <c r="BC353" s="449">
        <v>0</v>
      </c>
      <c r="BD353" s="449">
        <v>0</v>
      </c>
      <c r="BE353" s="449">
        <v>0</v>
      </c>
      <c r="BF353" s="449">
        <v>0</v>
      </c>
      <c r="BG353" s="449">
        <v>0</v>
      </c>
      <c r="BH353" s="400"/>
      <c r="BI353" s="449">
        <v>0</v>
      </c>
      <c r="BJ353" s="449">
        <v>0</v>
      </c>
      <c r="BK353" s="449">
        <v>0</v>
      </c>
      <c r="BL353" s="771">
        <v>0</v>
      </c>
      <c r="BM353" s="449">
        <v>0</v>
      </c>
      <c r="BN353" s="449">
        <v>0</v>
      </c>
      <c r="BO353" s="449">
        <v>0</v>
      </c>
      <c r="BP353" s="449">
        <v>0</v>
      </c>
      <c r="BQ353" s="449">
        <v>0</v>
      </c>
      <c r="BR353" s="449">
        <v>0</v>
      </c>
      <c r="BS353" s="449">
        <v>0</v>
      </c>
      <c r="BT353" s="449">
        <v>0</v>
      </c>
      <c r="BU353" s="400"/>
      <c r="BV353" s="400"/>
    </row>
    <row r="354" spans="1:74" x14ac:dyDescent="0.25">
      <c r="A354" s="502" t="s">
        <v>606</v>
      </c>
      <c r="B354" s="502" t="s">
        <v>548</v>
      </c>
      <c r="C354" s="541"/>
      <c r="D354" s="500">
        <v>0</v>
      </c>
      <c r="E354" s="449">
        <v>0</v>
      </c>
      <c r="F354" s="449">
        <v>0</v>
      </c>
      <c r="G354" s="421">
        <v>0</v>
      </c>
      <c r="H354" s="449">
        <v>0</v>
      </c>
      <c r="I354" s="449">
        <v>0</v>
      </c>
      <c r="J354" s="426">
        <v>0</v>
      </c>
      <c r="K354" s="421"/>
      <c r="L354" s="449">
        <v>0</v>
      </c>
      <c r="M354" s="449">
        <v>0</v>
      </c>
      <c r="N354" s="449">
        <v>0</v>
      </c>
      <c r="O354" s="449">
        <v>0</v>
      </c>
      <c r="P354" s="449">
        <v>0</v>
      </c>
      <c r="Q354" s="449">
        <v>0</v>
      </c>
      <c r="R354" s="449">
        <v>0</v>
      </c>
      <c r="S354" s="449">
        <v>0</v>
      </c>
      <c r="T354" s="449">
        <v>0</v>
      </c>
      <c r="U354" s="449">
        <v>0</v>
      </c>
      <c r="V354" s="449">
        <v>0</v>
      </c>
      <c r="W354" s="449">
        <v>0</v>
      </c>
      <c r="X354" s="449"/>
      <c r="Y354" s="449">
        <v>0</v>
      </c>
      <c r="Z354" s="531"/>
      <c r="AA354" s="449">
        <v>0</v>
      </c>
      <c r="AB354" s="449">
        <v>0</v>
      </c>
      <c r="AC354" s="449">
        <v>0</v>
      </c>
      <c r="AD354" s="449">
        <v>0</v>
      </c>
      <c r="AE354" s="449">
        <v>0</v>
      </c>
      <c r="AF354" s="449">
        <v>0</v>
      </c>
      <c r="AG354" s="449">
        <v>0</v>
      </c>
      <c r="AH354" s="449">
        <v>0</v>
      </c>
      <c r="AI354" s="449">
        <v>0</v>
      </c>
      <c r="AJ354" s="449">
        <v>0</v>
      </c>
      <c r="AK354" s="449">
        <v>0</v>
      </c>
      <c r="AL354" s="449">
        <v>0</v>
      </c>
      <c r="AM354" s="400"/>
      <c r="AN354" s="500">
        <v>0</v>
      </c>
      <c r="AO354" s="449">
        <v>765.71999999999991</v>
      </c>
      <c r="AP354" s="449">
        <v>765.71999999999991</v>
      </c>
      <c r="AQ354" s="453" t="s">
        <v>1519</v>
      </c>
      <c r="AR354" s="449">
        <v>765.71999999999991</v>
      </c>
      <c r="AS354" s="449">
        <v>0</v>
      </c>
      <c r="AT354" s="426">
        <v>0</v>
      </c>
      <c r="AU354" s="421"/>
      <c r="AV354" s="449">
        <v>0</v>
      </c>
      <c r="AW354" s="449">
        <v>63.81</v>
      </c>
      <c r="AX354" s="449">
        <v>63.81</v>
      </c>
      <c r="AY354" s="449">
        <v>63.81</v>
      </c>
      <c r="AZ354" s="449">
        <v>63.81</v>
      </c>
      <c r="BA354" s="449">
        <v>63.81</v>
      </c>
      <c r="BB354" s="449">
        <v>63.81</v>
      </c>
      <c r="BC354" s="449">
        <v>63.81</v>
      </c>
      <c r="BD354" s="449">
        <v>63.81</v>
      </c>
      <c r="BE354" s="449">
        <v>63.81</v>
      </c>
      <c r="BF354" s="449">
        <v>63.81</v>
      </c>
      <c r="BG354" s="449">
        <v>127.62</v>
      </c>
      <c r="BH354" s="400"/>
      <c r="BI354" s="449">
        <v>0</v>
      </c>
      <c r="BJ354" s="449">
        <v>63.81</v>
      </c>
      <c r="BK354" s="449">
        <v>63.81</v>
      </c>
      <c r="BL354" s="771">
        <v>63.81</v>
      </c>
      <c r="BM354" s="449">
        <v>63.81</v>
      </c>
      <c r="BN354" s="449">
        <v>63.81</v>
      </c>
      <c r="BO354" s="449">
        <v>63.81</v>
      </c>
      <c r="BP354" s="449">
        <v>63.81</v>
      </c>
      <c r="BQ354" s="449">
        <v>63.81</v>
      </c>
      <c r="BR354" s="449">
        <v>63.81</v>
      </c>
      <c r="BS354" s="449">
        <v>63.81</v>
      </c>
      <c r="BT354" s="449">
        <v>127.62</v>
      </c>
      <c r="BU354" s="400"/>
      <c r="BV354" s="400"/>
    </row>
    <row r="355" spans="1:74" x14ac:dyDescent="0.25">
      <c r="A355" s="502" t="s">
        <v>607</v>
      </c>
      <c r="B355" s="502" t="s">
        <v>608</v>
      </c>
      <c r="C355" s="543" t="s">
        <v>267</v>
      </c>
      <c r="D355" s="500">
        <v>61000</v>
      </c>
      <c r="E355" s="449">
        <v>37776.25</v>
      </c>
      <c r="F355" s="449">
        <v>23223.75</v>
      </c>
      <c r="G355" s="421">
        <v>0.61477118559941757</v>
      </c>
      <c r="H355" s="449">
        <v>61000</v>
      </c>
      <c r="I355" s="449">
        <v>0</v>
      </c>
      <c r="J355" s="426">
        <v>0</v>
      </c>
      <c r="K355" s="421"/>
      <c r="L355" s="449">
        <v>0</v>
      </c>
      <c r="M355" s="449">
        <v>0</v>
      </c>
      <c r="N355" s="449">
        <v>23150</v>
      </c>
      <c r="O355" s="449">
        <v>0</v>
      </c>
      <c r="P355" s="449">
        <v>0</v>
      </c>
      <c r="Q355" s="449">
        <v>0</v>
      </c>
      <c r="R355" s="449">
        <v>6308.333333333333</v>
      </c>
      <c r="S355" s="449">
        <v>6308.3333333333339</v>
      </c>
      <c r="T355" s="449">
        <v>6308.3333333333339</v>
      </c>
      <c r="U355" s="449">
        <v>6308.333333333333</v>
      </c>
      <c r="V355" s="449">
        <v>6308.3333333333321</v>
      </c>
      <c r="W355" s="449">
        <v>6308.3333333333285</v>
      </c>
      <c r="X355" s="449"/>
      <c r="Y355" s="449">
        <v>61000</v>
      </c>
      <c r="Z355" s="531"/>
      <c r="AA355" s="449">
        <v>5083.333333333333</v>
      </c>
      <c r="AB355" s="449">
        <v>5083.333333333333</v>
      </c>
      <c r="AC355" s="449">
        <v>5083.333333333333</v>
      </c>
      <c r="AD355" s="449">
        <v>5083.333333333333</v>
      </c>
      <c r="AE355" s="449">
        <v>5083.333333333333</v>
      </c>
      <c r="AF355" s="449">
        <v>5083.333333333333</v>
      </c>
      <c r="AG355" s="449">
        <v>5083.333333333333</v>
      </c>
      <c r="AH355" s="449">
        <v>5083.333333333333</v>
      </c>
      <c r="AI355" s="449">
        <v>5083.333333333333</v>
      </c>
      <c r="AJ355" s="449">
        <v>5083.333333333333</v>
      </c>
      <c r="AK355" s="449">
        <v>5083.333333333333</v>
      </c>
      <c r="AL355" s="449">
        <v>5083.333333333333</v>
      </c>
      <c r="AM355" s="400"/>
      <c r="AN355" s="500">
        <v>61000</v>
      </c>
      <c r="AO355" s="449">
        <v>40000</v>
      </c>
      <c r="AP355" s="449">
        <v>-21000</v>
      </c>
      <c r="AQ355" s="453">
        <v>-0.34426229508196721</v>
      </c>
      <c r="AR355" s="449">
        <v>40000</v>
      </c>
      <c r="AS355" s="449">
        <v>0</v>
      </c>
      <c r="AT355" s="426">
        <v>0</v>
      </c>
      <c r="AU355" s="421"/>
      <c r="AV355" s="449">
        <v>3333.3333333333335</v>
      </c>
      <c r="AW355" s="449">
        <v>3333.3333333333335</v>
      </c>
      <c r="AX355" s="449">
        <v>3333.3333333333335</v>
      </c>
      <c r="AY355" s="449">
        <v>3333.3333333333335</v>
      </c>
      <c r="AZ355" s="449">
        <v>3333.3333333333335</v>
      </c>
      <c r="BA355" s="449">
        <v>3333.3333333333335</v>
      </c>
      <c r="BB355" s="449">
        <v>3333.3333333333335</v>
      </c>
      <c r="BC355" s="449">
        <v>3333.3333333333335</v>
      </c>
      <c r="BD355" s="449">
        <v>3333.3333333333335</v>
      </c>
      <c r="BE355" s="449">
        <v>3333.3333333333335</v>
      </c>
      <c r="BF355" s="449">
        <v>3333.3333333333335</v>
      </c>
      <c r="BG355" s="449">
        <v>3333.3333333333335</v>
      </c>
      <c r="BH355" s="400"/>
      <c r="BI355" s="449">
        <v>3333.3333333333335</v>
      </c>
      <c r="BJ355" s="449">
        <v>3333.3333333333335</v>
      </c>
      <c r="BK355" s="449">
        <v>3333.3333333333335</v>
      </c>
      <c r="BL355" s="771">
        <v>3333.3333333333335</v>
      </c>
      <c r="BM355" s="449">
        <v>3333.3333333333335</v>
      </c>
      <c r="BN355" s="449">
        <v>3333.3333333333335</v>
      </c>
      <c r="BO355" s="449">
        <v>3333.3333333333335</v>
      </c>
      <c r="BP355" s="449">
        <v>3333.3333333333335</v>
      </c>
      <c r="BQ355" s="449">
        <v>3333.3333333333335</v>
      </c>
      <c r="BR355" s="449">
        <v>3333.3333333333335</v>
      </c>
      <c r="BS355" s="449">
        <v>3333.3333333333335</v>
      </c>
      <c r="BT355" s="449">
        <v>3333.3333333333335</v>
      </c>
      <c r="BU355" s="400"/>
      <c r="BV355" s="400"/>
    </row>
    <row r="356" spans="1:74" x14ac:dyDescent="0.25">
      <c r="A356" s="502" t="s">
        <v>609</v>
      </c>
      <c r="B356" s="502" t="s">
        <v>610</v>
      </c>
      <c r="C356" s="543"/>
      <c r="D356" s="500">
        <v>12860</v>
      </c>
      <c r="E356" s="449">
        <v>12860</v>
      </c>
      <c r="F356" s="449">
        <v>0</v>
      </c>
      <c r="G356" s="421">
        <v>0</v>
      </c>
      <c r="H356" s="449">
        <v>12860</v>
      </c>
      <c r="I356" s="449">
        <v>0</v>
      </c>
      <c r="J356" s="426">
        <v>0</v>
      </c>
      <c r="K356" s="421"/>
      <c r="L356" s="449">
        <v>0</v>
      </c>
      <c r="M356" s="449">
        <v>0</v>
      </c>
      <c r="N356" s="449">
        <v>0</v>
      </c>
      <c r="O356" s="449">
        <v>5600</v>
      </c>
      <c r="P356" s="449">
        <v>250</v>
      </c>
      <c r="Q356" s="449">
        <v>455.25</v>
      </c>
      <c r="R356" s="449">
        <v>1092.4583333333333</v>
      </c>
      <c r="S356" s="449">
        <v>1092.4583333333335</v>
      </c>
      <c r="T356" s="449">
        <v>1092.4583333333335</v>
      </c>
      <c r="U356" s="449">
        <v>1092.4583333333333</v>
      </c>
      <c r="V356" s="449">
        <v>1092.458333333333</v>
      </c>
      <c r="W356" s="449">
        <v>1092.4583333333321</v>
      </c>
      <c r="X356" s="449"/>
      <c r="Y356" s="449">
        <v>12860</v>
      </c>
      <c r="Z356" s="531"/>
      <c r="AA356" s="449">
        <v>1071.6666666666667</v>
      </c>
      <c r="AB356" s="449">
        <v>1071.6666666666667</v>
      </c>
      <c r="AC356" s="449">
        <v>1071.6666666666667</v>
      </c>
      <c r="AD356" s="449">
        <v>1071.6666666666667</v>
      </c>
      <c r="AE356" s="449">
        <v>1071.6666666666667</v>
      </c>
      <c r="AF356" s="449">
        <v>1071.6666666666667</v>
      </c>
      <c r="AG356" s="449">
        <v>1071.6666666666667</v>
      </c>
      <c r="AH356" s="449">
        <v>1071.6666666666667</v>
      </c>
      <c r="AI356" s="449">
        <v>1071.6666666666667</v>
      </c>
      <c r="AJ356" s="449">
        <v>1071.6666666666667</v>
      </c>
      <c r="AK356" s="449">
        <v>1071.6666666666667</v>
      </c>
      <c r="AL356" s="449">
        <v>1071.6666666666667</v>
      </c>
      <c r="AM356" s="400"/>
      <c r="AN356" s="500">
        <v>12860</v>
      </c>
      <c r="AO356" s="449">
        <v>5656.3341365461856</v>
      </c>
      <c r="AP356" s="449">
        <v>-7203.6658634538144</v>
      </c>
      <c r="AQ356" s="453">
        <v>-0.56016064257028109</v>
      </c>
      <c r="AR356" s="449">
        <v>5656.3341365461856</v>
      </c>
      <c r="AS356" s="449">
        <v>0</v>
      </c>
      <c r="AT356" s="426">
        <v>0</v>
      </c>
      <c r="AU356" s="421"/>
      <c r="AV356" s="449">
        <v>471.36117804551543</v>
      </c>
      <c r="AW356" s="449">
        <v>471.36117804551543</v>
      </c>
      <c r="AX356" s="449">
        <v>471.36117804551543</v>
      </c>
      <c r="AY356" s="449">
        <v>471.36117804551543</v>
      </c>
      <c r="AZ356" s="449">
        <v>471.36117804551543</v>
      </c>
      <c r="BA356" s="449">
        <v>471.36117804551543</v>
      </c>
      <c r="BB356" s="449">
        <v>471.36117804551543</v>
      </c>
      <c r="BC356" s="449">
        <v>471.36117804551543</v>
      </c>
      <c r="BD356" s="449">
        <v>471.36117804551543</v>
      </c>
      <c r="BE356" s="449">
        <v>471.36117804551543</v>
      </c>
      <c r="BF356" s="449">
        <v>471.36117804551543</v>
      </c>
      <c r="BG356" s="449">
        <v>471.36117804551543</v>
      </c>
      <c r="BH356" s="400"/>
      <c r="BI356" s="449">
        <v>471.36117804551543</v>
      </c>
      <c r="BJ356" s="449">
        <v>471.36117804551543</v>
      </c>
      <c r="BK356" s="449">
        <v>471.36117804551543</v>
      </c>
      <c r="BL356" s="771">
        <v>471.36117804551543</v>
      </c>
      <c r="BM356" s="449">
        <v>471.36117804551543</v>
      </c>
      <c r="BN356" s="449">
        <v>471.36117804551543</v>
      </c>
      <c r="BO356" s="449">
        <v>471.36117804551543</v>
      </c>
      <c r="BP356" s="449">
        <v>471.36117804551543</v>
      </c>
      <c r="BQ356" s="449">
        <v>471.36117804551543</v>
      </c>
      <c r="BR356" s="449">
        <v>471.36117804551543</v>
      </c>
      <c r="BS356" s="449">
        <v>471.36117804551543</v>
      </c>
      <c r="BT356" s="449">
        <v>471.36117804551543</v>
      </c>
      <c r="BU356" s="400"/>
      <c r="BV356" s="400"/>
    </row>
    <row r="357" spans="1:74" x14ac:dyDescent="0.25">
      <c r="A357" s="502" t="s">
        <v>611</v>
      </c>
      <c r="B357" s="502" t="s">
        <v>612</v>
      </c>
      <c r="C357" s="543"/>
      <c r="D357" s="500">
        <v>5600</v>
      </c>
      <c r="E357" s="449">
        <v>0</v>
      </c>
      <c r="F357" s="449">
        <v>5600</v>
      </c>
      <c r="G357" s="421">
        <v>0</v>
      </c>
      <c r="H357" s="449">
        <v>0</v>
      </c>
      <c r="I357" s="449">
        <v>5600</v>
      </c>
      <c r="J357" s="426">
        <v>0</v>
      </c>
      <c r="K357" s="421"/>
      <c r="L357" s="449">
        <v>0</v>
      </c>
      <c r="M357" s="449">
        <v>0</v>
      </c>
      <c r="N357" s="449">
        <v>0</v>
      </c>
      <c r="O357" s="449">
        <v>5600</v>
      </c>
      <c r="P357" s="449">
        <v>0</v>
      </c>
      <c r="Q357" s="449">
        <v>0</v>
      </c>
      <c r="R357" s="449">
        <v>0</v>
      </c>
      <c r="S357" s="449">
        <v>0</v>
      </c>
      <c r="T357" s="449">
        <v>0</v>
      </c>
      <c r="U357" s="449">
        <v>0</v>
      </c>
      <c r="V357" s="449">
        <v>0</v>
      </c>
      <c r="W357" s="449">
        <v>0</v>
      </c>
      <c r="X357" s="449"/>
      <c r="Y357" s="449">
        <v>5600</v>
      </c>
      <c r="Z357" s="531"/>
      <c r="AA357" s="449">
        <v>0</v>
      </c>
      <c r="AB357" s="449">
        <v>0</v>
      </c>
      <c r="AC357" s="449">
        <v>0</v>
      </c>
      <c r="AD357" s="449">
        <v>0</v>
      </c>
      <c r="AE357" s="449">
        <v>0</v>
      </c>
      <c r="AF357" s="449">
        <v>0</v>
      </c>
      <c r="AG357" s="449">
        <v>0</v>
      </c>
      <c r="AH357" s="449">
        <v>0</v>
      </c>
      <c r="AI357" s="449">
        <v>0</v>
      </c>
      <c r="AJ357" s="449">
        <v>0</v>
      </c>
      <c r="AK357" s="449">
        <v>0</v>
      </c>
      <c r="AL357" s="449">
        <v>0</v>
      </c>
      <c r="AM357" s="400"/>
      <c r="AN357" s="500">
        <v>5600</v>
      </c>
      <c r="AO357" s="449">
        <v>8484.5012048192748</v>
      </c>
      <c r="AP357" s="449">
        <v>2884.5012048192748</v>
      </c>
      <c r="AQ357" s="453">
        <v>0.5150895008605848</v>
      </c>
      <c r="AR357" s="449">
        <v>8484.5012048192748</v>
      </c>
      <c r="AS357" s="449">
        <v>0</v>
      </c>
      <c r="AT357" s="426">
        <v>0</v>
      </c>
      <c r="AU357" s="421"/>
      <c r="AV357" s="449">
        <v>707.04176706827309</v>
      </c>
      <c r="AW357" s="449">
        <v>707.04176706827309</v>
      </c>
      <c r="AX357" s="449">
        <v>707.04176706827309</v>
      </c>
      <c r="AY357" s="449">
        <v>707.04176706827309</v>
      </c>
      <c r="AZ357" s="449">
        <v>707.04176706827309</v>
      </c>
      <c r="BA357" s="449">
        <v>707.04176706827309</v>
      </c>
      <c r="BB357" s="449">
        <v>707.04176706827309</v>
      </c>
      <c r="BC357" s="449">
        <v>707.04176706827309</v>
      </c>
      <c r="BD357" s="449">
        <v>707.04176706827309</v>
      </c>
      <c r="BE357" s="449">
        <v>707.04176706827309</v>
      </c>
      <c r="BF357" s="449">
        <v>707.04176706827309</v>
      </c>
      <c r="BG357" s="449">
        <v>707.04176706827309</v>
      </c>
      <c r="BH357" s="400"/>
      <c r="BI357" s="449">
        <v>707.04176706827309</v>
      </c>
      <c r="BJ357" s="449">
        <v>707.04176706827309</v>
      </c>
      <c r="BK357" s="449">
        <v>707.04176706827309</v>
      </c>
      <c r="BL357" s="771">
        <v>707.04176706827309</v>
      </c>
      <c r="BM357" s="449">
        <v>707.04176706827309</v>
      </c>
      <c r="BN357" s="449">
        <v>707.04176706827309</v>
      </c>
      <c r="BO357" s="449">
        <v>707.04176706827309</v>
      </c>
      <c r="BP357" s="449">
        <v>707.04176706827309</v>
      </c>
      <c r="BQ357" s="449">
        <v>707.04176706827309</v>
      </c>
      <c r="BR357" s="449">
        <v>707.04176706827309</v>
      </c>
      <c r="BS357" s="449">
        <v>707.04176706827309</v>
      </c>
      <c r="BT357" s="449">
        <v>707.04176706827309</v>
      </c>
      <c r="BU357" s="400"/>
      <c r="BV357" s="400"/>
    </row>
    <row r="358" spans="1:74" x14ac:dyDescent="0.25">
      <c r="A358" s="502" t="s">
        <v>613</v>
      </c>
      <c r="B358" s="502" t="s">
        <v>614</v>
      </c>
      <c r="C358" s="597"/>
      <c r="D358" s="500">
        <v>2411</v>
      </c>
      <c r="E358" s="449">
        <v>2411.25</v>
      </c>
      <c r="F358" s="449">
        <v>-0.25</v>
      </c>
      <c r="G358" s="421">
        <v>-1.0368066355624676E-4</v>
      </c>
      <c r="H358" s="449">
        <v>2411</v>
      </c>
      <c r="I358" s="449">
        <v>0</v>
      </c>
      <c r="J358" s="426">
        <v>0</v>
      </c>
      <c r="K358" s="421"/>
      <c r="L358" s="449">
        <v>0</v>
      </c>
      <c r="M358" s="449">
        <v>0</v>
      </c>
      <c r="N358" s="449">
        <v>0</v>
      </c>
      <c r="O358" s="449">
        <v>0</v>
      </c>
      <c r="P358" s="449">
        <v>55.41</v>
      </c>
      <c r="Q358" s="449">
        <v>0</v>
      </c>
      <c r="R358" s="449">
        <v>392.59833333333336</v>
      </c>
      <c r="S358" s="449">
        <v>392.59833333333336</v>
      </c>
      <c r="T358" s="449">
        <v>392.59833333333336</v>
      </c>
      <c r="U358" s="449">
        <v>392.59833333333336</v>
      </c>
      <c r="V358" s="449">
        <v>392.59833333333336</v>
      </c>
      <c r="W358" s="449">
        <v>392.59833333333336</v>
      </c>
      <c r="X358" s="449"/>
      <c r="Y358" s="449">
        <v>2411</v>
      </c>
      <c r="Z358" s="531"/>
      <c r="AA358" s="449">
        <v>200.91666666666666</v>
      </c>
      <c r="AB358" s="449">
        <v>200.91666666666666</v>
      </c>
      <c r="AC358" s="449">
        <v>200.91666666666666</v>
      </c>
      <c r="AD358" s="449">
        <v>200.91666666666666</v>
      </c>
      <c r="AE358" s="449">
        <v>200.91666666666666</v>
      </c>
      <c r="AF358" s="449">
        <v>200.91666666666666</v>
      </c>
      <c r="AG358" s="449">
        <v>200.91666666666666</v>
      </c>
      <c r="AH358" s="449">
        <v>200.91666666666666</v>
      </c>
      <c r="AI358" s="449">
        <v>200.91666666666666</v>
      </c>
      <c r="AJ358" s="449">
        <v>200.91666666666666</v>
      </c>
      <c r="AK358" s="449">
        <v>200.91666666666666</v>
      </c>
      <c r="AL358" s="449">
        <v>200.91666666666666</v>
      </c>
      <c r="AM358" s="400"/>
      <c r="AN358" s="500">
        <v>2411</v>
      </c>
      <c r="AO358" s="449">
        <v>2651.1317269076299</v>
      </c>
      <c r="AP358" s="449">
        <v>240.13172690762985</v>
      </c>
      <c r="AQ358" s="453">
        <v>9.9598393574296909E-2</v>
      </c>
      <c r="AR358" s="449">
        <v>2651.1317269076299</v>
      </c>
      <c r="AS358" s="449">
        <v>0</v>
      </c>
      <c r="AT358" s="426">
        <v>0</v>
      </c>
      <c r="AU358" s="421"/>
      <c r="AV358" s="449">
        <v>530.22634538152613</v>
      </c>
      <c r="AW358" s="449">
        <v>530.22634538152613</v>
      </c>
      <c r="AX358" s="449">
        <v>353.48423025435068</v>
      </c>
      <c r="AY358" s="449">
        <v>353.48423025435068</v>
      </c>
      <c r="AZ358" s="449">
        <v>353.48423025435068</v>
      </c>
      <c r="BA358" s="449">
        <v>75.746620768789441</v>
      </c>
      <c r="BB358" s="449">
        <v>75.746620768789441</v>
      </c>
      <c r="BC358" s="449">
        <v>75.746620768789441</v>
      </c>
      <c r="BD358" s="449">
        <v>75.746620768789441</v>
      </c>
      <c r="BE358" s="449">
        <v>75.746620768789441</v>
      </c>
      <c r="BF358" s="449">
        <v>75.746620768789441</v>
      </c>
      <c r="BG358" s="449">
        <v>75.746620768789441</v>
      </c>
      <c r="BH358" s="400"/>
      <c r="BI358" s="449">
        <v>530.22634538152613</v>
      </c>
      <c r="BJ358" s="449">
        <v>530.22634538152613</v>
      </c>
      <c r="BK358" s="449">
        <v>353.48423025435068</v>
      </c>
      <c r="BL358" s="771">
        <v>353.48423025435068</v>
      </c>
      <c r="BM358" s="449">
        <v>353.48423025435068</v>
      </c>
      <c r="BN358" s="449">
        <v>75.746620768789441</v>
      </c>
      <c r="BO358" s="449">
        <v>75.746620768789441</v>
      </c>
      <c r="BP358" s="449">
        <v>75.746620768789441</v>
      </c>
      <c r="BQ358" s="449">
        <v>75.746620768789441</v>
      </c>
      <c r="BR358" s="449">
        <v>75.746620768789441</v>
      </c>
      <c r="BS358" s="449">
        <v>75.746620768789441</v>
      </c>
      <c r="BT358" s="449">
        <v>75.746620768789441</v>
      </c>
      <c r="BU358" s="400"/>
      <c r="BV358" s="400"/>
    </row>
    <row r="359" spans="1:74" x14ac:dyDescent="0.25">
      <c r="A359" s="502" t="s">
        <v>1750</v>
      </c>
      <c r="B359" s="753" t="s">
        <v>614</v>
      </c>
      <c r="C359" s="597"/>
      <c r="D359" s="500"/>
      <c r="E359" s="449"/>
      <c r="F359" s="449"/>
      <c r="G359" s="421"/>
      <c r="H359" s="449"/>
      <c r="I359" s="449"/>
      <c r="J359" s="426"/>
      <c r="K359" s="421"/>
      <c r="L359" s="449"/>
      <c r="M359" s="449"/>
      <c r="N359" s="449"/>
      <c r="O359" s="449"/>
      <c r="P359" s="449"/>
      <c r="Q359" s="449"/>
      <c r="R359" s="449"/>
      <c r="S359" s="449"/>
      <c r="T359" s="449"/>
      <c r="U359" s="449"/>
      <c r="V359" s="449"/>
      <c r="W359" s="449"/>
      <c r="X359" s="449"/>
      <c r="Y359" s="449"/>
      <c r="Z359" s="531"/>
      <c r="AA359" s="449"/>
      <c r="AB359" s="449"/>
      <c r="AC359" s="449"/>
      <c r="AD359" s="449"/>
      <c r="AE359" s="449"/>
      <c r="AF359" s="449"/>
      <c r="AG359" s="449"/>
      <c r="AH359" s="449"/>
      <c r="AI359" s="449"/>
      <c r="AJ359" s="449"/>
      <c r="AK359" s="449"/>
      <c r="AL359" s="449"/>
      <c r="AM359" s="400"/>
      <c r="AN359" s="500"/>
      <c r="AO359" s="449"/>
      <c r="AP359" s="449"/>
      <c r="AQ359" s="453"/>
      <c r="AR359" s="449"/>
      <c r="AS359" s="449"/>
      <c r="AT359" s="426"/>
      <c r="AU359" s="421"/>
      <c r="AV359" s="449"/>
      <c r="AW359" s="449"/>
      <c r="AX359" s="449"/>
      <c r="AY359" s="449"/>
      <c r="AZ359" s="449"/>
      <c r="BA359" s="449"/>
      <c r="BB359" s="449"/>
      <c r="BC359" s="449"/>
      <c r="BD359" s="449"/>
      <c r="BE359" s="449"/>
      <c r="BF359" s="449"/>
      <c r="BG359" s="449"/>
      <c r="BH359" s="531"/>
      <c r="BI359" s="449"/>
      <c r="BJ359" s="449"/>
      <c r="BK359" s="449"/>
      <c r="BL359" s="771"/>
      <c r="BM359" s="449"/>
      <c r="BN359" s="449"/>
      <c r="BO359" s="449"/>
      <c r="BP359" s="449"/>
      <c r="BQ359" s="449"/>
      <c r="BR359" s="449"/>
      <c r="BS359" s="449"/>
      <c r="BT359" s="449"/>
      <c r="BU359" s="400"/>
      <c r="BV359" s="400"/>
    </row>
    <row r="360" spans="1:74" s="536" customFormat="1" ht="15.75" thickBot="1" x14ac:dyDescent="0.3">
      <c r="A360" s="526"/>
      <c r="B360" s="524" t="s">
        <v>615</v>
      </c>
      <c r="C360" s="599"/>
      <c r="D360" s="532">
        <v>569449</v>
      </c>
      <c r="E360" s="533">
        <v>539912.3247</v>
      </c>
      <c r="F360" s="533">
        <v>29536.675300000003</v>
      </c>
      <c r="G360" s="520">
        <v>5.4706429078854479E-2</v>
      </c>
      <c r="H360" s="533">
        <v>563849</v>
      </c>
      <c r="I360" s="533">
        <v>5600</v>
      </c>
      <c r="J360" s="521">
        <v>9.9317370430735893E-3</v>
      </c>
      <c r="K360" s="507"/>
      <c r="L360" s="533">
        <v>23589.63</v>
      </c>
      <c r="M360" s="533">
        <v>44341.919999999998</v>
      </c>
      <c r="N360" s="533">
        <v>57251.64</v>
      </c>
      <c r="O360" s="533">
        <v>45165.76999999999</v>
      </c>
      <c r="P360" s="533">
        <v>34305.150000000023</v>
      </c>
      <c r="Q360" s="533">
        <v>34454.989999999991</v>
      </c>
      <c r="R360" s="533">
        <v>55056.650000000009</v>
      </c>
      <c r="S360" s="533">
        <v>55056.65</v>
      </c>
      <c r="T360" s="533">
        <v>55056.65</v>
      </c>
      <c r="U360" s="533">
        <v>55056.649999999994</v>
      </c>
      <c r="V360" s="533">
        <v>55056.64999999998</v>
      </c>
      <c r="W360" s="533">
        <v>55056.65</v>
      </c>
      <c r="X360" s="533"/>
      <c r="Y360" s="533">
        <v>569449</v>
      </c>
      <c r="Z360" s="508"/>
      <c r="AA360" s="533">
        <v>46987.416666666664</v>
      </c>
      <c r="AB360" s="533">
        <v>46987.416666666664</v>
      </c>
      <c r="AC360" s="533">
        <v>46987.416666666664</v>
      </c>
      <c r="AD360" s="533">
        <v>46987.416666666664</v>
      </c>
      <c r="AE360" s="533">
        <v>46987.416666666664</v>
      </c>
      <c r="AF360" s="533">
        <v>46987.416666666664</v>
      </c>
      <c r="AG360" s="533">
        <v>46987.416666666664</v>
      </c>
      <c r="AH360" s="533">
        <v>46987.416666666664</v>
      </c>
      <c r="AI360" s="533">
        <v>46987.416666666664</v>
      </c>
      <c r="AJ360" s="533">
        <v>46987.416666666664</v>
      </c>
      <c r="AK360" s="533">
        <v>46987.416666666664</v>
      </c>
      <c r="AL360" s="533">
        <v>46987.416666666664</v>
      </c>
      <c r="AN360" s="532">
        <v>569449</v>
      </c>
      <c r="AO360" s="533">
        <v>596703.30805601773</v>
      </c>
      <c r="AP360" s="533">
        <v>27254.308056017733</v>
      </c>
      <c r="AQ360" s="523">
        <v>4.7860841016522521E-2</v>
      </c>
      <c r="AR360" s="533">
        <v>596703.30805601773</v>
      </c>
      <c r="AS360" s="533">
        <v>0</v>
      </c>
      <c r="AT360" s="521">
        <v>0</v>
      </c>
      <c r="AU360" s="507"/>
      <c r="AV360" s="533">
        <v>47942.513287227353</v>
      </c>
      <c r="AW360" s="533">
        <v>50034.57437280735</v>
      </c>
      <c r="AX360" s="533">
        <v>49857.832257680173</v>
      </c>
      <c r="AY360" s="533">
        <v>49857.832257680173</v>
      </c>
      <c r="AZ360" s="533">
        <v>49857.832257680173</v>
      </c>
      <c r="BA360" s="533">
        <v>49580.094648194616</v>
      </c>
      <c r="BB360" s="533">
        <v>49580.094648194616</v>
      </c>
      <c r="BC360" s="533">
        <v>49580.094648194616</v>
      </c>
      <c r="BD360" s="533">
        <v>49580.094648194616</v>
      </c>
      <c r="BE360" s="533">
        <v>49580.094648194616</v>
      </c>
      <c r="BF360" s="533">
        <v>49580.094648194616</v>
      </c>
      <c r="BG360" s="533">
        <v>51672.15573377462</v>
      </c>
      <c r="BH360" s="508"/>
      <c r="BI360" s="533">
        <v>47942.513287227353</v>
      </c>
      <c r="BJ360" s="533">
        <v>50034.57437280735</v>
      </c>
      <c r="BK360" s="533">
        <v>49857.832257680173</v>
      </c>
      <c r="BL360" s="777">
        <v>49857.832257680173</v>
      </c>
      <c r="BM360" s="533">
        <v>49857.832257680173</v>
      </c>
      <c r="BN360" s="533">
        <v>49580.094648194616</v>
      </c>
      <c r="BO360" s="533">
        <v>49580.094648194616</v>
      </c>
      <c r="BP360" s="533">
        <v>49580.094648194616</v>
      </c>
      <c r="BQ360" s="533">
        <v>49580.094648194616</v>
      </c>
      <c r="BR360" s="533">
        <v>49580.094648194616</v>
      </c>
      <c r="BS360" s="533">
        <v>49580.094648194616</v>
      </c>
      <c r="BT360" s="533">
        <v>51672.15573377462</v>
      </c>
      <c r="BV360" s="400"/>
    </row>
    <row r="361" spans="1:74" ht="15.75" thickTop="1" x14ac:dyDescent="0.25">
      <c r="A361" s="587"/>
      <c r="B361" s="502"/>
      <c r="C361" s="597"/>
      <c r="D361" s="500"/>
      <c r="E361" s="449"/>
      <c r="F361" s="449"/>
      <c r="G361" s="421"/>
      <c r="H361" s="449"/>
      <c r="I361" s="449"/>
      <c r="J361" s="426"/>
      <c r="K361" s="421"/>
      <c r="L361" s="449"/>
      <c r="M361" s="449"/>
      <c r="N361" s="449"/>
      <c r="O361" s="449"/>
      <c r="P361" s="449"/>
      <c r="Q361" s="449"/>
      <c r="R361" s="449"/>
      <c r="S361" s="449"/>
      <c r="T361" s="449"/>
      <c r="U361" s="449"/>
      <c r="V361" s="449"/>
      <c r="W361" s="449"/>
      <c r="X361" s="449"/>
      <c r="Y361" s="449"/>
      <c r="Z361" s="531"/>
      <c r="AA361" s="449"/>
      <c r="AB361" s="449"/>
      <c r="AC361" s="449"/>
      <c r="AD361" s="449"/>
      <c r="AE361" s="449"/>
      <c r="AF361" s="449"/>
      <c r="AG361" s="449"/>
      <c r="AH361" s="449"/>
      <c r="AI361" s="449"/>
      <c r="AJ361" s="449"/>
      <c r="AK361" s="449"/>
      <c r="AL361" s="449"/>
      <c r="AM361" s="400"/>
      <c r="AN361" s="500"/>
      <c r="AO361" s="449"/>
      <c r="AP361" s="449"/>
      <c r="AQ361" s="453"/>
      <c r="AR361" s="449"/>
      <c r="AS361" s="449"/>
      <c r="AT361" s="426"/>
      <c r="AU361" s="421"/>
      <c r="AV361" s="449"/>
      <c r="AW361" s="449"/>
      <c r="AX361" s="449"/>
      <c r="AY361" s="449"/>
      <c r="AZ361" s="449"/>
      <c r="BA361" s="449"/>
      <c r="BB361" s="449"/>
      <c r="BC361" s="449"/>
      <c r="BD361" s="449"/>
      <c r="BE361" s="449"/>
      <c r="BF361" s="449"/>
      <c r="BG361" s="449"/>
      <c r="BH361" s="531"/>
      <c r="BI361" s="449"/>
      <c r="BJ361" s="449"/>
      <c r="BK361" s="449"/>
      <c r="BL361" s="771"/>
      <c r="BM361" s="449"/>
      <c r="BN361" s="449"/>
      <c r="BO361" s="449"/>
      <c r="BP361" s="449"/>
      <c r="BQ361" s="449"/>
      <c r="BR361" s="449"/>
      <c r="BS361" s="449"/>
      <c r="BT361" s="449"/>
      <c r="BU361" s="400"/>
      <c r="BV361" s="400"/>
    </row>
    <row r="362" spans="1:74" ht="15.75" x14ac:dyDescent="0.25">
      <c r="A362" s="587"/>
      <c r="B362" s="525" t="s">
        <v>616</v>
      </c>
      <c r="C362" s="597"/>
      <c r="D362" s="500"/>
      <c r="E362" s="449"/>
      <c r="F362" s="449"/>
      <c r="G362" s="421"/>
      <c r="H362" s="449"/>
      <c r="I362" s="449"/>
      <c r="J362" s="426"/>
      <c r="K362" s="421"/>
      <c r="L362" s="449"/>
      <c r="M362" s="449"/>
      <c r="N362" s="449"/>
      <c r="O362" s="449"/>
      <c r="P362" s="449"/>
      <c r="Q362" s="449"/>
      <c r="R362" s="449"/>
      <c r="S362" s="449"/>
      <c r="T362" s="449"/>
      <c r="U362" s="449"/>
      <c r="V362" s="449"/>
      <c r="W362" s="449"/>
      <c r="X362" s="449"/>
      <c r="Y362" s="449"/>
      <c r="Z362" s="531"/>
      <c r="AA362" s="449"/>
      <c r="AB362" s="449"/>
      <c r="AC362" s="449"/>
      <c r="AD362" s="449"/>
      <c r="AE362" s="449"/>
      <c r="AF362" s="449"/>
      <c r="AG362" s="449"/>
      <c r="AH362" s="449"/>
      <c r="AI362" s="449"/>
      <c r="AJ362" s="449"/>
      <c r="AK362" s="449"/>
      <c r="AL362" s="449"/>
      <c r="AM362" s="400"/>
      <c r="AN362" s="500"/>
      <c r="AO362" s="449"/>
      <c r="AP362" s="449"/>
      <c r="AQ362" s="453"/>
      <c r="AR362" s="449"/>
      <c r="AS362" s="449"/>
      <c r="AT362" s="426"/>
      <c r="AU362" s="421"/>
      <c r="AV362" s="449"/>
      <c r="AW362" s="449"/>
      <c r="AX362" s="449"/>
      <c r="AY362" s="449"/>
      <c r="AZ362" s="449"/>
      <c r="BA362" s="449"/>
      <c r="BB362" s="449"/>
      <c r="BC362" s="449"/>
      <c r="BD362" s="449"/>
      <c r="BE362" s="449"/>
      <c r="BF362" s="449"/>
      <c r="BG362" s="449"/>
      <c r="BH362" s="531"/>
      <c r="BI362" s="449"/>
      <c r="BJ362" s="449"/>
      <c r="BK362" s="449"/>
      <c r="BL362" s="771"/>
      <c r="BM362" s="449"/>
      <c r="BN362" s="449"/>
      <c r="BO362" s="449"/>
      <c r="BP362" s="449"/>
      <c r="BQ362" s="449"/>
      <c r="BR362" s="449"/>
      <c r="BS362" s="449"/>
      <c r="BT362" s="449"/>
      <c r="BU362" s="400"/>
      <c r="BV362" s="400"/>
    </row>
    <row r="363" spans="1:74" ht="10.5" customHeight="1" x14ac:dyDescent="0.25">
      <c r="A363" s="587"/>
      <c r="B363" s="525"/>
      <c r="C363" s="597"/>
      <c r="D363" s="500"/>
      <c r="E363" s="449"/>
      <c r="F363" s="449"/>
      <c r="G363" s="421"/>
      <c r="H363" s="449"/>
      <c r="I363" s="449"/>
      <c r="J363" s="426"/>
      <c r="K363" s="421"/>
      <c r="L363" s="449"/>
      <c r="M363" s="449"/>
      <c r="N363" s="449"/>
      <c r="O363" s="449"/>
      <c r="P363" s="449"/>
      <c r="Q363" s="449"/>
      <c r="R363" s="449"/>
      <c r="S363" s="449"/>
      <c r="T363" s="449"/>
      <c r="U363" s="449"/>
      <c r="V363" s="449"/>
      <c r="W363" s="449"/>
      <c r="X363" s="449"/>
      <c r="Y363" s="449"/>
      <c r="Z363" s="531"/>
      <c r="AA363" s="449"/>
      <c r="AB363" s="449"/>
      <c r="AC363" s="449"/>
      <c r="AD363" s="449"/>
      <c r="AE363" s="449"/>
      <c r="AF363" s="449"/>
      <c r="AG363" s="449"/>
      <c r="AH363" s="449"/>
      <c r="AI363" s="449"/>
      <c r="AJ363" s="449"/>
      <c r="AK363" s="449"/>
      <c r="AL363" s="449"/>
      <c r="AM363" s="400"/>
      <c r="AN363" s="500"/>
      <c r="AO363" s="449"/>
      <c r="AP363" s="449"/>
      <c r="AQ363" s="453"/>
      <c r="AR363" s="449"/>
      <c r="AS363" s="449"/>
      <c r="AT363" s="426"/>
      <c r="AU363" s="421"/>
      <c r="AV363" s="449"/>
      <c r="AW363" s="449"/>
      <c r="AX363" s="449"/>
      <c r="AY363" s="449"/>
      <c r="AZ363" s="449"/>
      <c r="BA363" s="449"/>
      <c r="BB363" s="449"/>
      <c r="BC363" s="449"/>
      <c r="BD363" s="449"/>
      <c r="BE363" s="449"/>
      <c r="BF363" s="449"/>
      <c r="BG363" s="449"/>
      <c r="BH363" s="531"/>
      <c r="BI363" s="449"/>
      <c r="BJ363" s="449"/>
      <c r="BK363" s="449"/>
      <c r="BL363" s="771"/>
      <c r="BM363" s="449"/>
      <c r="BN363" s="449"/>
      <c r="BO363" s="449"/>
      <c r="BP363" s="449"/>
      <c r="BQ363" s="449"/>
      <c r="BR363" s="449"/>
      <c r="BS363" s="449"/>
      <c r="BT363" s="449"/>
      <c r="BU363" s="400"/>
      <c r="BV363" s="400"/>
    </row>
    <row r="364" spans="1:74" x14ac:dyDescent="0.25">
      <c r="A364" s="502" t="s">
        <v>617</v>
      </c>
      <c r="B364" s="502" t="s">
        <v>618</v>
      </c>
      <c r="C364" s="597"/>
      <c r="D364" s="500">
        <v>5000</v>
      </c>
      <c r="E364" s="449">
        <v>2456.2599999999998</v>
      </c>
      <c r="F364" s="449">
        <v>2543.7400000000002</v>
      </c>
      <c r="G364" s="421">
        <v>1.0356151221776198</v>
      </c>
      <c r="H364" s="449">
        <v>5000</v>
      </c>
      <c r="I364" s="449">
        <v>0</v>
      </c>
      <c r="J364" s="426">
        <v>0</v>
      </c>
      <c r="K364" s="421"/>
      <c r="L364" s="449">
        <v>0</v>
      </c>
      <c r="M364" s="449">
        <v>0</v>
      </c>
      <c r="N364" s="449">
        <v>0</v>
      </c>
      <c r="O364" s="449">
        <v>0</v>
      </c>
      <c r="P364" s="449">
        <v>0</v>
      </c>
      <c r="Q364" s="449">
        <v>0</v>
      </c>
      <c r="R364" s="449">
        <v>833.33333333333337</v>
      </c>
      <c r="S364" s="449">
        <v>833.33333333333337</v>
      </c>
      <c r="T364" s="449">
        <v>833.33333333333326</v>
      </c>
      <c r="U364" s="449">
        <v>833.33333333333337</v>
      </c>
      <c r="V364" s="449">
        <v>833.33333333333326</v>
      </c>
      <c r="W364" s="449">
        <v>833.33333333333303</v>
      </c>
      <c r="X364" s="449"/>
      <c r="Y364" s="449">
        <v>5000</v>
      </c>
      <c r="Z364" s="531"/>
      <c r="AA364" s="449">
        <v>416.66666666666669</v>
      </c>
      <c r="AB364" s="449">
        <v>416.66666666666669</v>
      </c>
      <c r="AC364" s="449">
        <v>416.66666666666669</v>
      </c>
      <c r="AD364" s="449">
        <v>416.66666666666669</v>
      </c>
      <c r="AE364" s="449">
        <v>416.66666666666669</v>
      </c>
      <c r="AF364" s="449">
        <v>416.66666666666669</v>
      </c>
      <c r="AG364" s="449">
        <v>416.66666666666669</v>
      </c>
      <c r="AH364" s="449">
        <v>416.66666666666669</v>
      </c>
      <c r="AI364" s="449">
        <v>416.66666666666669</v>
      </c>
      <c r="AJ364" s="449">
        <v>416.66666666666669</v>
      </c>
      <c r="AK364" s="449">
        <v>416.66666666666669</v>
      </c>
      <c r="AL364" s="449">
        <v>416.66666666666669</v>
      </c>
      <c r="AM364" s="400"/>
      <c r="AN364" s="500">
        <v>5000</v>
      </c>
      <c r="AO364" s="449">
        <v>5497.9919678714868</v>
      </c>
      <c r="AP364" s="449">
        <v>497.99196787148685</v>
      </c>
      <c r="AQ364" s="453">
        <v>9.9598393574297367E-2</v>
      </c>
      <c r="AR364" s="449">
        <v>5497.9919678714868</v>
      </c>
      <c r="AS364" s="449">
        <v>0</v>
      </c>
      <c r="AT364" s="426">
        <v>0</v>
      </c>
      <c r="AU364" s="421"/>
      <c r="AV364" s="449">
        <v>1099.5983935742972</v>
      </c>
      <c r="AW364" s="449">
        <v>1099.5983935742972</v>
      </c>
      <c r="AX364" s="449">
        <v>733.06559571619812</v>
      </c>
      <c r="AY364" s="449">
        <v>733.06559571619812</v>
      </c>
      <c r="AZ364" s="449">
        <v>733.06559571619812</v>
      </c>
      <c r="BA364" s="449">
        <v>157.08548479632816</v>
      </c>
      <c r="BB364" s="449">
        <v>157.08548479632816</v>
      </c>
      <c r="BC364" s="449">
        <v>157.08548479632816</v>
      </c>
      <c r="BD364" s="449">
        <v>157.08548479632816</v>
      </c>
      <c r="BE364" s="449">
        <v>157.08548479632816</v>
      </c>
      <c r="BF364" s="449">
        <v>157.08548479632816</v>
      </c>
      <c r="BG364" s="449">
        <v>157.08548479632816</v>
      </c>
      <c r="BH364" s="400"/>
      <c r="BI364" s="449">
        <v>1099.5983935742972</v>
      </c>
      <c r="BJ364" s="449">
        <v>1099.5983935742972</v>
      </c>
      <c r="BK364" s="449">
        <v>733.06559571619812</v>
      </c>
      <c r="BL364" s="771">
        <v>733.06559571619812</v>
      </c>
      <c r="BM364" s="449">
        <v>733.06559571619812</v>
      </c>
      <c r="BN364" s="449">
        <v>157.08548479632816</v>
      </c>
      <c r="BO364" s="449">
        <v>157.08548479632816</v>
      </c>
      <c r="BP364" s="449">
        <v>157.08548479632816</v>
      </c>
      <c r="BQ364" s="449">
        <v>157.08548479632816</v>
      </c>
      <c r="BR364" s="449">
        <v>157.08548479632816</v>
      </c>
      <c r="BS364" s="449">
        <v>157.08548479632816</v>
      </c>
      <c r="BT364" s="449">
        <v>157.08548479632816</v>
      </c>
      <c r="BU364" s="400"/>
      <c r="BV364" s="400"/>
    </row>
    <row r="365" spans="1:74" x14ac:dyDescent="0.25">
      <c r="A365" s="587"/>
      <c r="B365" s="502"/>
      <c r="C365" s="597"/>
      <c r="D365" s="500"/>
      <c r="E365" s="449"/>
      <c r="F365" s="449"/>
      <c r="G365" s="421"/>
      <c r="H365" s="449"/>
      <c r="I365" s="449"/>
      <c r="J365" s="426"/>
      <c r="K365" s="421"/>
      <c r="L365" s="449"/>
      <c r="M365" s="449"/>
      <c r="N365" s="449"/>
      <c r="O365" s="449"/>
      <c r="P365" s="449"/>
      <c r="Q365" s="449"/>
      <c r="R365" s="449"/>
      <c r="S365" s="449"/>
      <c r="T365" s="449"/>
      <c r="U365" s="449"/>
      <c r="V365" s="449"/>
      <c r="W365" s="449"/>
      <c r="X365" s="449"/>
      <c r="Y365" s="449"/>
      <c r="Z365" s="531"/>
      <c r="AA365" s="449"/>
      <c r="AB365" s="449"/>
      <c r="AC365" s="449"/>
      <c r="AD365" s="449"/>
      <c r="AE365" s="449"/>
      <c r="AF365" s="449"/>
      <c r="AG365" s="449"/>
      <c r="AH365" s="449"/>
      <c r="AI365" s="449"/>
      <c r="AJ365" s="449"/>
      <c r="AK365" s="449"/>
      <c r="AL365" s="449"/>
      <c r="AM365" s="400"/>
      <c r="AN365" s="500"/>
      <c r="AO365" s="449"/>
      <c r="AP365" s="449"/>
      <c r="AQ365" s="453"/>
      <c r="AR365" s="449"/>
      <c r="AS365" s="449"/>
      <c r="AT365" s="426"/>
      <c r="AU365" s="421"/>
      <c r="AV365" s="449"/>
      <c r="AW365" s="449"/>
      <c r="AX365" s="449"/>
      <c r="AY365" s="449"/>
      <c r="AZ365" s="449"/>
      <c r="BA365" s="449"/>
      <c r="BB365" s="449"/>
      <c r="BC365" s="449"/>
      <c r="BD365" s="449"/>
      <c r="BE365" s="449"/>
      <c r="BF365" s="449"/>
      <c r="BG365" s="449"/>
      <c r="BH365" s="531"/>
      <c r="BI365" s="449"/>
      <c r="BJ365" s="449"/>
      <c r="BK365" s="449"/>
      <c r="BL365" s="771"/>
      <c r="BM365" s="449"/>
      <c r="BN365" s="449"/>
      <c r="BO365" s="449"/>
      <c r="BP365" s="449"/>
      <c r="BQ365" s="449"/>
      <c r="BR365" s="449"/>
      <c r="BS365" s="449"/>
      <c r="BT365" s="449"/>
      <c r="BU365" s="400"/>
      <c r="BV365" s="400"/>
    </row>
    <row r="366" spans="1:74" ht="15.75" thickBot="1" x14ac:dyDescent="0.3">
      <c r="A366" s="587"/>
      <c r="B366" s="524" t="s">
        <v>619</v>
      </c>
      <c r="C366" s="597"/>
      <c r="D366" s="532">
        <v>5000</v>
      </c>
      <c r="E366" s="533">
        <v>2456.2599999999998</v>
      </c>
      <c r="F366" s="533">
        <v>2543.7400000000002</v>
      </c>
      <c r="G366" s="520">
        <v>1.0356151221776198</v>
      </c>
      <c r="H366" s="533">
        <v>5000</v>
      </c>
      <c r="I366" s="533">
        <v>0</v>
      </c>
      <c r="J366" s="521">
        <v>0</v>
      </c>
      <c r="K366" s="507"/>
      <c r="L366" s="533">
        <v>0</v>
      </c>
      <c r="M366" s="533">
        <v>0</v>
      </c>
      <c r="N366" s="533">
        <v>0</v>
      </c>
      <c r="O366" s="533">
        <v>0</v>
      </c>
      <c r="P366" s="533">
        <v>0</v>
      </c>
      <c r="Q366" s="533">
        <v>0</v>
      </c>
      <c r="R366" s="533">
        <v>833.33333333333337</v>
      </c>
      <c r="S366" s="533">
        <v>833.33333333333337</v>
      </c>
      <c r="T366" s="533">
        <v>833.33333333333326</v>
      </c>
      <c r="U366" s="533">
        <v>833.33333333333337</v>
      </c>
      <c r="V366" s="533">
        <v>833.33333333333326</v>
      </c>
      <c r="W366" s="533">
        <v>833.33333333333303</v>
      </c>
      <c r="X366" s="533"/>
      <c r="Y366" s="533">
        <v>5000</v>
      </c>
      <c r="Z366" s="508"/>
      <c r="AA366" s="533">
        <v>416.66666666666669</v>
      </c>
      <c r="AB366" s="533">
        <v>416.66666666666669</v>
      </c>
      <c r="AC366" s="533">
        <v>416.66666666666669</v>
      </c>
      <c r="AD366" s="533">
        <v>416.66666666666669</v>
      </c>
      <c r="AE366" s="533">
        <v>416.66666666666669</v>
      </c>
      <c r="AF366" s="533">
        <v>416.66666666666669</v>
      </c>
      <c r="AG366" s="533">
        <v>416.66666666666669</v>
      </c>
      <c r="AH366" s="533">
        <v>416.66666666666669</v>
      </c>
      <c r="AI366" s="533">
        <v>416.66666666666669</v>
      </c>
      <c r="AJ366" s="533">
        <v>416.66666666666669</v>
      </c>
      <c r="AK366" s="533">
        <v>416.66666666666669</v>
      </c>
      <c r="AL366" s="533">
        <v>416.66666666666669</v>
      </c>
      <c r="AM366" s="400"/>
      <c r="AN366" s="532">
        <v>5000</v>
      </c>
      <c r="AO366" s="533">
        <v>5497.9919678714868</v>
      </c>
      <c r="AP366" s="533">
        <v>497.99196787148685</v>
      </c>
      <c r="AQ366" s="523">
        <v>9.9598393574297367E-2</v>
      </c>
      <c r="AR366" s="533">
        <v>5497.9919678714868</v>
      </c>
      <c r="AS366" s="533">
        <v>0</v>
      </c>
      <c r="AT366" s="521">
        <v>0</v>
      </c>
      <c r="AU366" s="507"/>
      <c r="AV366" s="533">
        <v>1099.5983935742972</v>
      </c>
      <c r="AW366" s="533">
        <v>1099.5983935742972</v>
      </c>
      <c r="AX366" s="533">
        <v>733.06559571619812</v>
      </c>
      <c r="AY366" s="533">
        <v>733.06559571619812</v>
      </c>
      <c r="AZ366" s="533">
        <v>733.06559571619812</v>
      </c>
      <c r="BA366" s="533">
        <v>157.08548479632816</v>
      </c>
      <c r="BB366" s="533">
        <v>157.08548479632816</v>
      </c>
      <c r="BC366" s="533">
        <v>157.08548479632816</v>
      </c>
      <c r="BD366" s="533">
        <v>157.08548479632816</v>
      </c>
      <c r="BE366" s="533">
        <v>157.08548479632816</v>
      </c>
      <c r="BF366" s="533">
        <v>157.08548479632816</v>
      </c>
      <c r="BG366" s="533">
        <v>157.08548479632816</v>
      </c>
      <c r="BH366" s="508"/>
      <c r="BI366" s="533">
        <v>1099.5983935742972</v>
      </c>
      <c r="BJ366" s="533">
        <v>1099.5983935742972</v>
      </c>
      <c r="BK366" s="533">
        <v>733.06559571619812</v>
      </c>
      <c r="BL366" s="777">
        <v>733.06559571619812</v>
      </c>
      <c r="BM366" s="533">
        <v>733.06559571619812</v>
      </c>
      <c r="BN366" s="533">
        <v>157.08548479632816</v>
      </c>
      <c r="BO366" s="533">
        <v>157.08548479632816</v>
      </c>
      <c r="BP366" s="533">
        <v>157.08548479632816</v>
      </c>
      <c r="BQ366" s="533">
        <v>157.08548479632816</v>
      </c>
      <c r="BR366" s="533">
        <v>157.08548479632816</v>
      </c>
      <c r="BS366" s="533">
        <v>157.08548479632816</v>
      </c>
      <c r="BT366" s="533">
        <v>157.08548479632816</v>
      </c>
      <c r="BU366" s="400"/>
      <c r="BV366" s="400"/>
    </row>
    <row r="367" spans="1:74" ht="15.75" thickTop="1" x14ac:dyDescent="0.25">
      <c r="A367" s="587"/>
      <c r="B367" s="502"/>
      <c r="C367" s="597"/>
      <c r="D367" s="500"/>
      <c r="E367" s="449"/>
      <c r="F367" s="449"/>
      <c r="G367" s="421"/>
      <c r="H367" s="449"/>
      <c r="I367" s="449"/>
      <c r="J367" s="426"/>
      <c r="K367" s="421"/>
      <c r="L367" s="449"/>
      <c r="M367" s="449"/>
      <c r="N367" s="449"/>
      <c r="O367" s="449"/>
      <c r="P367" s="449"/>
      <c r="Q367" s="449"/>
      <c r="R367" s="449"/>
      <c r="S367" s="449"/>
      <c r="T367" s="449"/>
      <c r="U367" s="449"/>
      <c r="V367" s="449"/>
      <c r="W367" s="449"/>
      <c r="X367" s="449"/>
      <c r="Y367" s="449"/>
      <c r="Z367" s="531"/>
      <c r="AA367" s="449"/>
      <c r="AB367" s="449"/>
      <c r="AC367" s="449"/>
      <c r="AD367" s="449"/>
      <c r="AE367" s="449"/>
      <c r="AF367" s="449"/>
      <c r="AG367" s="449"/>
      <c r="AH367" s="449"/>
      <c r="AI367" s="449"/>
      <c r="AJ367" s="449"/>
      <c r="AK367" s="449"/>
      <c r="AL367" s="449"/>
      <c r="AM367" s="400"/>
      <c r="AN367" s="500"/>
      <c r="AO367" s="449"/>
      <c r="AP367" s="449"/>
      <c r="AQ367" s="453"/>
      <c r="AR367" s="449"/>
      <c r="AS367" s="449"/>
      <c r="AT367" s="426"/>
      <c r="AU367" s="421"/>
      <c r="AV367" s="449"/>
      <c r="AW367" s="449"/>
      <c r="AX367" s="449"/>
      <c r="AY367" s="449"/>
      <c r="AZ367" s="449"/>
      <c r="BA367" s="449"/>
      <c r="BB367" s="449"/>
      <c r="BC367" s="449"/>
      <c r="BD367" s="449"/>
      <c r="BE367" s="449"/>
      <c r="BF367" s="449"/>
      <c r="BG367" s="449"/>
      <c r="BH367" s="531"/>
      <c r="BI367" s="449"/>
      <c r="BJ367" s="449"/>
      <c r="BK367" s="449"/>
      <c r="BL367" s="771"/>
      <c r="BM367" s="449"/>
      <c r="BN367" s="449"/>
      <c r="BO367" s="449"/>
      <c r="BP367" s="449"/>
      <c r="BQ367" s="449"/>
      <c r="BR367" s="449"/>
      <c r="BS367" s="449"/>
      <c r="BT367" s="449"/>
      <c r="BU367" s="400"/>
      <c r="BV367" s="400"/>
    </row>
    <row r="368" spans="1:74" ht="15.75" x14ac:dyDescent="0.25">
      <c r="A368" s="587"/>
      <c r="B368" s="525" t="s">
        <v>620</v>
      </c>
      <c r="C368" s="597"/>
      <c r="D368" s="500"/>
      <c r="E368" s="449"/>
      <c r="F368" s="449"/>
      <c r="G368" s="421"/>
      <c r="H368" s="449"/>
      <c r="I368" s="449"/>
      <c r="J368" s="426"/>
      <c r="K368" s="421"/>
      <c r="L368" s="449"/>
      <c r="M368" s="449"/>
      <c r="N368" s="449"/>
      <c r="O368" s="449"/>
      <c r="P368" s="449"/>
      <c r="Q368" s="449"/>
      <c r="R368" s="449"/>
      <c r="S368" s="449"/>
      <c r="T368" s="449"/>
      <c r="U368" s="449"/>
      <c r="V368" s="449"/>
      <c r="W368" s="449"/>
      <c r="X368" s="449"/>
      <c r="Y368" s="449"/>
      <c r="Z368" s="531"/>
      <c r="AA368" s="449"/>
      <c r="AB368" s="449"/>
      <c r="AC368" s="449"/>
      <c r="AD368" s="449"/>
      <c r="AE368" s="449"/>
      <c r="AF368" s="449"/>
      <c r="AG368" s="449"/>
      <c r="AH368" s="449"/>
      <c r="AI368" s="449"/>
      <c r="AJ368" s="449"/>
      <c r="AK368" s="449"/>
      <c r="AL368" s="449"/>
      <c r="AM368" s="400"/>
      <c r="AN368" s="500"/>
      <c r="AO368" s="449"/>
      <c r="AP368" s="449"/>
      <c r="AQ368" s="453"/>
      <c r="AR368" s="449"/>
      <c r="AS368" s="449"/>
      <c r="AT368" s="426"/>
      <c r="AU368" s="421"/>
      <c r="AV368" s="449"/>
      <c r="AW368" s="449"/>
      <c r="AX368" s="449"/>
      <c r="AY368" s="449"/>
      <c r="AZ368" s="449"/>
      <c r="BA368" s="449"/>
      <c r="BB368" s="449"/>
      <c r="BC368" s="449"/>
      <c r="BD368" s="449"/>
      <c r="BE368" s="449"/>
      <c r="BF368" s="449"/>
      <c r="BG368" s="449"/>
      <c r="BH368" s="531"/>
      <c r="BI368" s="449"/>
      <c r="BJ368" s="449"/>
      <c r="BK368" s="449"/>
      <c r="BL368" s="771"/>
      <c r="BM368" s="449"/>
      <c r="BN368" s="449"/>
      <c r="BO368" s="449"/>
      <c r="BP368" s="449"/>
      <c r="BQ368" s="449"/>
      <c r="BR368" s="449"/>
      <c r="BS368" s="449"/>
      <c r="BT368" s="449"/>
      <c r="BU368" s="400"/>
      <c r="BV368" s="400"/>
    </row>
    <row r="369" spans="1:74" ht="7.5" customHeight="1" x14ac:dyDescent="0.25">
      <c r="A369" s="587"/>
      <c r="B369" s="502"/>
      <c r="C369" s="597"/>
      <c r="D369" s="500"/>
      <c r="E369" s="449"/>
      <c r="F369" s="449"/>
      <c r="G369" s="421"/>
      <c r="H369" s="449"/>
      <c r="I369" s="449"/>
      <c r="J369" s="426"/>
      <c r="K369" s="421"/>
      <c r="L369" s="449"/>
      <c r="M369" s="449"/>
      <c r="N369" s="449"/>
      <c r="O369" s="449"/>
      <c r="P369" s="449"/>
      <c r="Q369" s="449"/>
      <c r="R369" s="449"/>
      <c r="S369" s="449"/>
      <c r="T369" s="449"/>
      <c r="U369" s="449"/>
      <c r="V369" s="449"/>
      <c r="W369" s="449"/>
      <c r="X369" s="449"/>
      <c r="Y369" s="449"/>
      <c r="Z369" s="531"/>
      <c r="AA369" s="449"/>
      <c r="AB369" s="449"/>
      <c r="AC369" s="449"/>
      <c r="AD369" s="449"/>
      <c r="AE369" s="449"/>
      <c r="AF369" s="449"/>
      <c r="AG369" s="449"/>
      <c r="AH369" s="449"/>
      <c r="AI369" s="449"/>
      <c r="AJ369" s="449"/>
      <c r="AK369" s="449"/>
      <c r="AL369" s="449"/>
      <c r="AM369" s="400"/>
      <c r="AN369" s="500"/>
      <c r="AO369" s="449"/>
      <c r="AP369" s="449"/>
      <c r="AQ369" s="453"/>
      <c r="AR369" s="449"/>
      <c r="AS369" s="449"/>
      <c r="AT369" s="426"/>
      <c r="AU369" s="421"/>
      <c r="AV369" s="449"/>
      <c r="AW369" s="449"/>
      <c r="AX369" s="449"/>
      <c r="AY369" s="449"/>
      <c r="AZ369" s="449"/>
      <c r="BA369" s="449"/>
      <c r="BB369" s="449"/>
      <c r="BC369" s="449"/>
      <c r="BD369" s="449"/>
      <c r="BE369" s="449"/>
      <c r="BF369" s="449"/>
      <c r="BG369" s="449"/>
      <c r="BH369" s="531"/>
      <c r="BI369" s="449"/>
      <c r="BJ369" s="449"/>
      <c r="BK369" s="449"/>
      <c r="BL369" s="771"/>
      <c r="BM369" s="449"/>
      <c r="BN369" s="449"/>
      <c r="BO369" s="449"/>
      <c r="BP369" s="449"/>
      <c r="BQ369" s="449"/>
      <c r="BR369" s="449"/>
      <c r="BS369" s="449"/>
      <c r="BT369" s="449"/>
      <c r="BU369" s="400"/>
      <c r="BV369" s="400"/>
    </row>
    <row r="370" spans="1:74" x14ac:dyDescent="0.25">
      <c r="A370" s="502" t="s">
        <v>621</v>
      </c>
      <c r="B370" s="502" t="s">
        <v>622</v>
      </c>
      <c r="C370" s="543"/>
      <c r="D370" s="500">
        <v>4500</v>
      </c>
      <c r="E370" s="449">
        <v>4500</v>
      </c>
      <c r="F370" s="449">
        <v>0</v>
      </c>
      <c r="G370" s="421">
        <v>0</v>
      </c>
      <c r="H370" s="449">
        <v>4500</v>
      </c>
      <c r="I370" s="449">
        <v>0</v>
      </c>
      <c r="J370" s="426">
        <v>0</v>
      </c>
      <c r="K370" s="421"/>
      <c r="L370" s="449">
        <v>0</v>
      </c>
      <c r="M370" s="449">
        <v>0</v>
      </c>
      <c r="N370" s="449">
        <v>0</v>
      </c>
      <c r="O370" s="449">
        <v>0</v>
      </c>
      <c r="P370" s="449">
        <v>0</v>
      </c>
      <c r="Q370" s="449">
        <v>0</v>
      </c>
      <c r="R370" s="449">
        <v>750</v>
      </c>
      <c r="S370" s="449">
        <v>750</v>
      </c>
      <c r="T370" s="449">
        <v>750</v>
      </c>
      <c r="U370" s="449">
        <v>750</v>
      </c>
      <c r="V370" s="449">
        <v>750</v>
      </c>
      <c r="W370" s="449">
        <v>750</v>
      </c>
      <c r="X370" s="449"/>
      <c r="Y370" s="449">
        <v>4500</v>
      </c>
      <c r="Z370" s="531"/>
      <c r="AA370" s="449">
        <v>375</v>
      </c>
      <c r="AB370" s="449">
        <v>375</v>
      </c>
      <c r="AC370" s="449">
        <v>375</v>
      </c>
      <c r="AD370" s="449">
        <v>375</v>
      </c>
      <c r="AE370" s="449">
        <v>375</v>
      </c>
      <c r="AF370" s="449">
        <v>375</v>
      </c>
      <c r="AG370" s="449">
        <v>375</v>
      </c>
      <c r="AH370" s="449">
        <v>375</v>
      </c>
      <c r="AI370" s="449">
        <v>375</v>
      </c>
      <c r="AJ370" s="449">
        <v>375</v>
      </c>
      <c r="AK370" s="449">
        <v>375</v>
      </c>
      <c r="AL370" s="449">
        <v>375</v>
      </c>
      <c r="AM370" s="400"/>
      <c r="AN370" s="500">
        <v>4500</v>
      </c>
      <c r="AO370" s="449">
        <v>4948.1927710843374</v>
      </c>
      <c r="AP370" s="449">
        <v>448.19277108433744</v>
      </c>
      <c r="AQ370" s="453">
        <v>9.9598393574297214E-2</v>
      </c>
      <c r="AR370" s="449">
        <v>4948.1927710843374</v>
      </c>
      <c r="AS370" s="449">
        <v>0</v>
      </c>
      <c r="AT370" s="426">
        <v>0</v>
      </c>
      <c r="AU370" s="421"/>
      <c r="AV370" s="449">
        <v>412.34939759036143</v>
      </c>
      <c r="AW370" s="449">
        <v>412.34939759036143</v>
      </c>
      <c r="AX370" s="449">
        <v>412.34939759036143</v>
      </c>
      <c r="AY370" s="449">
        <v>412.34939759036143</v>
      </c>
      <c r="AZ370" s="449">
        <v>412.34939759036143</v>
      </c>
      <c r="BA370" s="449">
        <v>412.34939759036143</v>
      </c>
      <c r="BB370" s="449">
        <v>412.34939759036143</v>
      </c>
      <c r="BC370" s="449">
        <v>412.34939759036143</v>
      </c>
      <c r="BD370" s="449">
        <v>412.34939759036143</v>
      </c>
      <c r="BE370" s="449">
        <v>412.34939759036143</v>
      </c>
      <c r="BF370" s="449">
        <v>412.34939759036143</v>
      </c>
      <c r="BG370" s="449">
        <v>412.34939759036143</v>
      </c>
      <c r="BH370" s="400"/>
      <c r="BI370" s="449">
        <v>412.34939759036143</v>
      </c>
      <c r="BJ370" s="449">
        <v>412.34939759036143</v>
      </c>
      <c r="BK370" s="449">
        <v>412.34939759036143</v>
      </c>
      <c r="BL370" s="771">
        <v>412.34939759036143</v>
      </c>
      <c r="BM370" s="449">
        <v>412.34939759036143</v>
      </c>
      <c r="BN370" s="449">
        <v>412.34939759036143</v>
      </c>
      <c r="BO370" s="449">
        <v>412.34939759036143</v>
      </c>
      <c r="BP370" s="449">
        <v>412.34939759036143</v>
      </c>
      <c r="BQ370" s="449">
        <v>412.34939759036143</v>
      </c>
      <c r="BR370" s="449">
        <v>412.34939759036143</v>
      </c>
      <c r="BS370" s="449">
        <v>412.34939759036143</v>
      </c>
      <c r="BT370" s="449">
        <v>412.34939759036143</v>
      </c>
      <c r="BU370" s="400"/>
      <c r="BV370" s="400"/>
    </row>
    <row r="371" spans="1:74" x14ac:dyDescent="0.25">
      <c r="A371" s="502" t="s">
        <v>623</v>
      </c>
      <c r="B371" s="502" t="s">
        <v>624</v>
      </c>
      <c r="C371" s="538"/>
      <c r="D371" s="500">
        <v>2456</v>
      </c>
      <c r="E371" s="449">
        <v>12456.26</v>
      </c>
      <c r="F371" s="449">
        <v>-10000.26</v>
      </c>
      <c r="G371" s="421">
        <v>-0.80283006295629666</v>
      </c>
      <c r="H371" s="449">
        <v>2456</v>
      </c>
      <c r="I371" s="449">
        <v>0</v>
      </c>
      <c r="J371" s="426">
        <v>0</v>
      </c>
      <c r="K371" s="421"/>
      <c r="L371" s="449">
        <v>0</v>
      </c>
      <c r="M371" s="449">
        <v>0</v>
      </c>
      <c r="N371" s="449">
        <v>0</v>
      </c>
      <c r="O371" s="449">
        <v>0</v>
      </c>
      <c r="P371" s="449">
        <v>0</v>
      </c>
      <c r="Q371" s="449">
        <v>0</v>
      </c>
      <c r="R371" s="449">
        <v>409.33333333333331</v>
      </c>
      <c r="S371" s="449">
        <v>409.33333333333337</v>
      </c>
      <c r="T371" s="449">
        <v>409.33333333333331</v>
      </c>
      <c r="U371" s="449">
        <v>409.33333333333331</v>
      </c>
      <c r="V371" s="449">
        <v>409.33333333333337</v>
      </c>
      <c r="W371" s="449">
        <v>409.33333333333348</v>
      </c>
      <c r="X371" s="449"/>
      <c r="Y371" s="449">
        <v>2456</v>
      </c>
      <c r="Z371" s="531"/>
      <c r="AA371" s="449">
        <v>204.66666666666666</v>
      </c>
      <c r="AB371" s="449">
        <v>204.66666666666666</v>
      </c>
      <c r="AC371" s="449">
        <v>204.66666666666666</v>
      </c>
      <c r="AD371" s="449">
        <v>204.66666666666666</v>
      </c>
      <c r="AE371" s="449">
        <v>204.66666666666666</v>
      </c>
      <c r="AF371" s="449">
        <v>204.66666666666666</v>
      </c>
      <c r="AG371" s="449">
        <v>204.66666666666666</v>
      </c>
      <c r="AH371" s="449">
        <v>204.66666666666666</v>
      </c>
      <c r="AI371" s="449">
        <v>204.66666666666666</v>
      </c>
      <c r="AJ371" s="449">
        <v>204.66666666666666</v>
      </c>
      <c r="AK371" s="449">
        <v>204.66666666666666</v>
      </c>
      <c r="AL371" s="449">
        <v>204.66666666666666</v>
      </c>
      <c r="AM371" s="400"/>
      <c r="AN371" s="500">
        <v>2456</v>
      </c>
      <c r="AO371" s="449">
        <v>2700.6136546184739</v>
      </c>
      <c r="AP371" s="449">
        <v>244.6136546184739</v>
      </c>
      <c r="AQ371" s="453">
        <v>9.9598393574297187E-2</v>
      </c>
      <c r="AR371" s="449">
        <v>2700.6136546184739</v>
      </c>
      <c r="AS371" s="449">
        <v>0</v>
      </c>
      <c r="AT371" s="426">
        <v>0</v>
      </c>
      <c r="AU371" s="421"/>
      <c r="AV371" s="449">
        <v>225.05113788487282</v>
      </c>
      <c r="AW371" s="449">
        <v>225.05113788487282</v>
      </c>
      <c r="AX371" s="449">
        <v>225.05113788487282</v>
      </c>
      <c r="AY371" s="449">
        <v>225.05113788487282</v>
      </c>
      <c r="AZ371" s="449">
        <v>225.05113788487282</v>
      </c>
      <c r="BA371" s="449">
        <v>225.05113788487282</v>
      </c>
      <c r="BB371" s="449">
        <v>225.05113788487282</v>
      </c>
      <c r="BC371" s="449">
        <v>225.05113788487282</v>
      </c>
      <c r="BD371" s="449">
        <v>225.05113788487282</v>
      </c>
      <c r="BE371" s="449">
        <v>225.05113788487282</v>
      </c>
      <c r="BF371" s="449">
        <v>225.05113788487282</v>
      </c>
      <c r="BG371" s="449">
        <v>225.05113788487282</v>
      </c>
      <c r="BH371" s="400"/>
      <c r="BI371" s="449">
        <v>225.05113788487282</v>
      </c>
      <c r="BJ371" s="449">
        <v>225.05113788487282</v>
      </c>
      <c r="BK371" s="449">
        <v>225.05113788487282</v>
      </c>
      <c r="BL371" s="771">
        <v>225.05113788487282</v>
      </c>
      <c r="BM371" s="449">
        <v>225.05113788487282</v>
      </c>
      <c r="BN371" s="449">
        <v>225.05113788487282</v>
      </c>
      <c r="BO371" s="449">
        <v>225.05113788487282</v>
      </c>
      <c r="BP371" s="449">
        <v>225.05113788487282</v>
      </c>
      <c r="BQ371" s="449">
        <v>225.05113788487282</v>
      </c>
      <c r="BR371" s="449">
        <v>225.05113788487282</v>
      </c>
      <c r="BS371" s="449">
        <v>225.05113788487282</v>
      </c>
      <c r="BT371" s="449">
        <v>225.05113788487282</v>
      </c>
      <c r="BU371" s="400"/>
      <c r="BV371" s="400"/>
    </row>
    <row r="372" spans="1:74" x14ac:dyDescent="0.25">
      <c r="A372" s="502" t="s">
        <v>625</v>
      </c>
      <c r="B372" s="502" t="s">
        <v>626</v>
      </c>
      <c r="C372" s="538"/>
      <c r="D372" s="500">
        <v>5000</v>
      </c>
      <c r="E372" s="449">
        <v>5000</v>
      </c>
      <c r="F372" s="449">
        <v>0</v>
      </c>
      <c r="G372" s="421">
        <v>0</v>
      </c>
      <c r="H372" s="449">
        <v>5000</v>
      </c>
      <c r="I372" s="449">
        <v>0</v>
      </c>
      <c r="J372" s="426">
        <v>0</v>
      </c>
      <c r="K372" s="421"/>
      <c r="L372" s="449">
        <v>0</v>
      </c>
      <c r="M372" s="449">
        <v>0</v>
      </c>
      <c r="N372" s="449">
        <v>0</v>
      </c>
      <c r="O372" s="449">
        <v>0</v>
      </c>
      <c r="P372" s="449">
        <v>0</v>
      </c>
      <c r="Q372" s="449">
        <v>0</v>
      </c>
      <c r="R372" s="449">
        <v>833.33333333333337</v>
      </c>
      <c r="S372" s="449">
        <v>833.33333333333337</v>
      </c>
      <c r="T372" s="449">
        <v>833.33333333333326</v>
      </c>
      <c r="U372" s="449">
        <v>833.33333333333337</v>
      </c>
      <c r="V372" s="449">
        <v>833.33333333333326</v>
      </c>
      <c r="W372" s="449">
        <v>833.33333333333303</v>
      </c>
      <c r="X372" s="449"/>
      <c r="Y372" s="449">
        <v>5000</v>
      </c>
      <c r="Z372" s="531"/>
      <c r="AA372" s="449">
        <v>416.66666666666669</v>
      </c>
      <c r="AB372" s="449">
        <v>416.66666666666669</v>
      </c>
      <c r="AC372" s="449">
        <v>416.66666666666669</v>
      </c>
      <c r="AD372" s="449">
        <v>416.66666666666669</v>
      </c>
      <c r="AE372" s="449">
        <v>416.66666666666669</v>
      </c>
      <c r="AF372" s="449">
        <v>416.66666666666669</v>
      </c>
      <c r="AG372" s="449">
        <v>416.66666666666669</v>
      </c>
      <c r="AH372" s="449">
        <v>416.66666666666669</v>
      </c>
      <c r="AI372" s="449">
        <v>416.66666666666669</v>
      </c>
      <c r="AJ372" s="449">
        <v>416.66666666666669</v>
      </c>
      <c r="AK372" s="449">
        <v>416.66666666666669</v>
      </c>
      <c r="AL372" s="449">
        <v>416.66666666666669</v>
      </c>
      <c r="AM372" s="400"/>
      <c r="AN372" s="500">
        <v>5000</v>
      </c>
      <c r="AO372" s="449">
        <v>5000</v>
      </c>
      <c r="AP372" s="449">
        <v>0</v>
      </c>
      <c r="AQ372" s="453">
        <v>0</v>
      </c>
      <c r="AR372" s="449">
        <v>5000</v>
      </c>
      <c r="AS372" s="449">
        <v>0</v>
      </c>
      <c r="AT372" s="426">
        <v>0</v>
      </c>
      <c r="AU372" s="421"/>
      <c r="AV372" s="449">
        <v>416.66666666666669</v>
      </c>
      <c r="AW372" s="449">
        <v>416.66666666666669</v>
      </c>
      <c r="AX372" s="449">
        <v>416.66666666666669</v>
      </c>
      <c r="AY372" s="449">
        <v>416.66666666666669</v>
      </c>
      <c r="AZ372" s="449">
        <v>416.66666666666669</v>
      </c>
      <c r="BA372" s="449">
        <v>416.66666666666669</v>
      </c>
      <c r="BB372" s="449">
        <v>416.66666666666669</v>
      </c>
      <c r="BC372" s="449">
        <v>416.66666666666669</v>
      </c>
      <c r="BD372" s="449">
        <v>416.66666666666669</v>
      </c>
      <c r="BE372" s="449">
        <v>416.66666666666669</v>
      </c>
      <c r="BF372" s="449">
        <v>416.66666666666669</v>
      </c>
      <c r="BG372" s="449">
        <v>416.66666666666669</v>
      </c>
      <c r="BH372" s="400"/>
      <c r="BI372" s="449">
        <v>416.66666666666669</v>
      </c>
      <c r="BJ372" s="449">
        <v>416.66666666666669</v>
      </c>
      <c r="BK372" s="449">
        <v>416.66666666666669</v>
      </c>
      <c r="BL372" s="771">
        <v>416.66666666666669</v>
      </c>
      <c r="BM372" s="449">
        <v>416.66666666666669</v>
      </c>
      <c r="BN372" s="449">
        <v>416.66666666666669</v>
      </c>
      <c r="BO372" s="449">
        <v>416.66666666666669</v>
      </c>
      <c r="BP372" s="449">
        <v>416.66666666666669</v>
      </c>
      <c r="BQ372" s="449">
        <v>416.66666666666669</v>
      </c>
      <c r="BR372" s="449">
        <v>416.66666666666669</v>
      </c>
      <c r="BS372" s="449">
        <v>416.66666666666669</v>
      </c>
      <c r="BT372" s="449">
        <v>416.66666666666669</v>
      </c>
      <c r="BU372" s="400"/>
      <c r="BV372" s="400"/>
    </row>
    <row r="373" spans="1:74" x14ac:dyDescent="0.25">
      <c r="A373" s="502"/>
      <c r="B373" s="502"/>
      <c r="C373" s="538"/>
      <c r="D373" s="500"/>
      <c r="E373" s="449"/>
      <c r="F373" s="449"/>
      <c r="G373" s="421"/>
      <c r="H373" s="449"/>
      <c r="I373" s="449"/>
      <c r="J373" s="426"/>
      <c r="K373" s="421"/>
      <c r="L373" s="449"/>
      <c r="M373" s="449"/>
      <c r="N373" s="449"/>
      <c r="O373" s="449"/>
      <c r="P373" s="449"/>
      <c r="Q373" s="449"/>
      <c r="R373" s="449"/>
      <c r="S373" s="449"/>
      <c r="T373" s="449"/>
      <c r="U373" s="449"/>
      <c r="V373" s="449"/>
      <c r="W373" s="449"/>
      <c r="X373" s="449"/>
      <c r="Y373" s="449"/>
      <c r="Z373" s="531"/>
      <c r="AA373" s="449"/>
      <c r="AB373" s="449"/>
      <c r="AC373" s="449"/>
      <c r="AD373" s="449"/>
      <c r="AE373" s="449"/>
      <c r="AF373" s="449"/>
      <c r="AG373" s="449"/>
      <c r="AH373" s="449"/>
      <c r="AI373" s="449"/>
      <c r="AJ373" s="449"/>
      <c r="AK373" s="449"/>
      <c r="AL373" s="449"/>
      <c r="AM373" s="400"/>
      <c r="AN373" s="500"/>
      <c r="AO373" s="449"/>
      <c r="AP373" s="449"/>
      <c r="AQ373" s="453"/>
      <c r="AR373" s="449"/>
      <c r="AS373" s="449"/>
      <c r="AT373" s="426"/>
      <c r="AU373" s="421"/>
      <c r="AV373" s="449"/>
      <c r="AW373" s="449"/>
      <c r="AX373" s="449"/>
      <c r="AY373" s="449"/>
      <c r="AZ373" s="449"/>
      <c r="BA373" s="449"/>
      <c r="BB373" s="449"/>
      <c r="BC373" s="449"/>
      <c r="BD373" s="449"/>
      <c r="BE373" s="449"/>
      <c r="BF373" s="449"/>
      <c r="BG373" s="449"/>
      <c r="BH373" s="531"/>
      <c r="BI373" s="449"/>
      <c r="BJ373" s="449"/>
      <c r="BK373" s="449"/>
      <c r="BL373" s="771"/>
      <c r="BM373" s="449"/>
      <c r="BN373" s="449"/>
      <c r="BO373" s="449"/>
      <c r="BP373" s="449"/>
      <c r="BQ373" s="449"/>
      <c r="BR373" s="449"/>
      <c r="BS373" s="449"/>
      <c r="BT373" s="449"/>
      <c r="BU373" s="400"/>
      <c r="BV373" s="400"/>
    </row>
    <row r="374" spans="1:74" s="536" customFormat="1" ht="15.75" thickBot="1" x14ac:dyDescent="0.3">
      <c r="A374" s="524"/>
      <c r="B374" s="524" t="s">
        <v>627</v>
      </c>
      <c r="C374" s="535"/>
      <c r="D374" s="532">
        <v>11956</v>
      </c>
      <c r="E374" s="533">
        <v>21956.260000000002</v>
      </c>
      <c r="F374" s="533">
        <v>-10000.260000000002</v>
      </c>
      <c r="G374" s="520">
        <v>-0.45546281561613866</v>
      </c>
      <c r="H374" s="533">
        <v>11956</v>
      </c>
      <c r="I374" s="533">
        <v>0</v>
      </c>
      <c r="J374" s="521">
        <v>0</v>
      </c>
      <c r="K374" s="507"/>
      <c r="L374" s="533">
        <v>0</v>
      </c>
      <c r="M374" s="533">
        <v>0</v>
      </c>
      <c r="N374" s="533">
        <v>0</v>
      </c>
      <c r="O374" s="533">
        <v>0</v>
      </c>
      <c r="P374" s="533">
        <v>0</v>
      </c>
      <c r="Q374" s="533">
        <v>0</v>
      </c>
      <c r="R374" s="533">
        <v>1992.6666666666665</v>
      </c>
      <c r="S374" s="533">
        <v>1992.666666666667</v>
      </c>
      <c r="T374" s="533">
        <v>1992.6666666666665</v>
      </c>
      <c r="U374" s="533">
        <v>1992.6666666666665</v>
      </c>
      <c r="V374" s="533">
        <v>1992.6666666666667</v>
      </c>
      <c r="W374" s="533">
        <v>1992.6666666666665</v>
      </c>
      <c r="X374" s="533"/>
      <c r="Y374" s="533">
        <v>11955.999999999998</v>
      </c>
      <c r="Z374" s="508"/>
      <c r="AA374" s="533">
        <v>996.33333333333326</v>
      </c>
      <c r="AB374" s="533">
        <v>996.33333333333326</v>
      </c>
      <c r="AC374" s="533">
        <v>996.33333333333326</v>
      </c>
      <c r="AD374" s="533">
        <v>996.33333333333326</v>
      </c>
      <c r="AE374" s="533">
        <v>996.33333333333326</v>
      </c>
      <c r="AF374" s="533">
        <v>996.33333333333326</v>
      </c>
      <c r="AG374" s="533">
        <v>996.33333333333326</v>
      </c>
      <c r="AH374" s="533">
        <v>996.33333333333326</v>
      </c>
      <c r="AI374" s="533">
        <v>996.33333333333326</v>
      </c>
      <c r="AJ374" s="533">
        <v>996.33333333333326</v>
      </c>
      <c r="AK374" s="533">
        <v>996.33333333333326</v>
      </c>
      <c r="AL374" s="533">
        <v>996.33333333333326</v>
      </c>
      <c r="AN374" s="532">
        <v>11956</v>
      </c>
      <c r="AO374" s="533">
        <v>12648.806425702811</v>
      </c>
      <c r="AP374" s="533">
        <v>692.80642570281088</v>
      </c>
      <c r="AQ374" s="523">
        <v>5.7946338717197295E-2</v>
      </c>
      <c r="AR374" s="533">
        <v>12648.806425702811</v>
      </c>
      <c r="AS374" s="533">
        <v>0</v>
      </c>
      <c r="AT374" s="521">
        <v>0</v>
      </c>
      <c r="AU374" s="507"/>
      <c r="AV374" s="533">
        <v>1054.0672021419009</v>
      </c>
      <c r="AW374" s="533">
        <v>1054.0672021419009</v>
      </c>
      <c r="AX374" s="533">
        <v>1054.0672021419009</v>
      </c>
      <c r="AY374" s="533">
        <v>1054.0672021419009</v>
      </c>
      <c r="AZ374" s="533">
        <v>1054.0672021419009</v>
      </c>
      <c r="BA374" s="533">
        <v>1054.0672021419009</v>
      </c>
      <c r="BB374" s="533">
        <v>1054.0672021419009</v>
      </c>
      <c r="BC374" s="533">
        <v>1054.0672021419009</v>
      </c>
      <c r="BD374" s="533">
        <v>1054.0672021419009</v>
      </c>
      <c r="BE374" s="533">
        <v>1054.0672021419009</v>
      </c>
      <c r="BF374" s="533">
        <v>1054.0672021419009</v>
      </c>
      <c r="BG374" s="533">
        <v>1054.0672021419009</v>
      </c>
      <c r="BH374" s="508"/>
      <c r="BI374" s="533">
        <v>1054.0672021419009</v>
      </c>
      <c r="BJ374" s="533">
        <v>1054.0672021419009</v>
      </c>
      <c r="BK374" s="533">
        <v>1054.0672021419009</v>
      </c>
      <c r="BL374" s="777">
        <v>1054.0672021419009</v>
      </c>
      <c r="BM374" s="533">
        <v>1054.0672021419009</v>
      </c>
      <c r="BN374" s="533">
        <v>1054.0672021419009</v>
      </c>
      <c r="BO374" s="533">
        <v>1054.0672021419009</v>
      </c>
      <c r="BP374" s="533">
        <v>1054.0672021419009</v>
      </c>
      <c r="BQ374" s="533">
        <v>1054.0672021419009</v>
      </c>
      <c r="BR374" s="533">
        <v>1054.0672021419009</v>
      </c>
      <c r="BS374" s="533">
        <v>1054.0672021419009</v>
      </c>
      <c r="BT374" s="533">
        <v>1054.0672021419009</v>
      </c>
      <c r="BV374" s="400"/>
    </row>
    <row r="375" spans="1:74" ht="15.75" thickTop="1" x14ac:dyDescent="0.25">
      <c r="A375" s="502"/>
      <c r="B375" s="502"/>
      <c r="C375" s="538"/>
      <c r="D375" s="500"/>
      <c r="E375" s="449"/>
      <c r="F375" s="449"/>
      <c r="G375" s="421"/>
      <c r="H375" s="449"/>
      <c r="I375" s="449"/>
      <c r="J375" s="426"/>
      <c r="K375" s="421"/>
      <c r="L375" s="449"/>
      <c r="M375" s="449"/>
      <c r="N375" s="449"/>
      <c r="O375" s="449"/>
      <c r="P375" s="449"/>
      <c r="Q375" s="449"/>
      <c r="R375" s="449"/>
      <c r="S375" s="449"/>
      <c r="T375" s="449"/>
      <c r="U375" s="449"/>
      <c r="V375" s="449"/>
      <c r="W375" s="449"/>
      <c r="X375" s="449"/>
      <c r="Y375" s="449"/>
      <c r="Z375" s="531"/>
      <c r="AA375" s="449"/>
      <c r="AB375" s="449"/>
      <c r="AC375" s="449"/>
      <c r="AD375" s="449"/>
      <c r="AE375" s="449"/>
      <c r="AF375" s="449"/>
      <c r="AG375" s="449"/>
      <c r="AH375" s="449"/>
      <c r="AI375" s="449"/>
      <c r="AJ375" s="449"/>
      <c r="AK375" s="449"/>
      <c r="AL375" s="449"/>
      <c r="AM375" s="400"/>
      <c r="AN375" s="500"/>
      <c r="AO375" s="449"/>
      <c r="AP375" s="449"/>
      <c r="AQ375" s="453"/>
      <c r="AR375" s="449"/>
      <c r="AS375" s="449"/>
      <c r="AT375" s="426"/>
      <c r="AU375" s="421"/>
      <c r="AV375" s="449"/>
      <c r="AW375" s="449"/>
      <c r="AX375" s="449"/>
      <c r="AY375" s="449"/>
      <c r="AZ375" s="449"/>
      <c r="BA375" s="449"/>
      <c r="BB375" s="449"/>
      <c r="BC375" s="449"/>
      <c r="BD375" s="449"/>
      <c r="BE375" s="449"/>
      <c r="BF375" s="449"/>
      <c r="BG375" s="449"/>
      <c r="BH375" s="531"/>
      <c r="BI375" s="449"/>
      <c r="BJ375" s="449"/>
      <c r="BK375" s="449"/>
      <c r="BL375" s="771"/>
      <c r="BM375" s="449"/>
      <c r="BN375" s="449"/>
      <c r="BO375" s="449"/>
      <c r="BP375" s="449"/>
      <c r="BQ375" s="449"/>
      <c r="BR375" s="449"/>
      <c r="BS375" s="449"/>
      <c r="BT375" s="449"/>
      <c r="BU375" s="400"/>
      <c r="BV375" s="400"/>
    </row>
    <row r="376" spans="1:74" ht="15.75" x14ac:dyDescent="0.25">
      <c r="A376" s="502"/>
      <c r="B376" s="525" t="s">
        <v>628</v>
      </c>
      <c r="C376" s="538"/>
      <c r="D376" s="500"/>
      <c r="E376" s="449"/>
      <c r="F376" s="449"/>
      <c r="G376" s="421"/>
      <c r="H376" s="449"/>
      <c r="I376" s="449"/>
      <c r="J376" s="426"/>
      <c r="K376" s="421"/>
      <c r="L376" s="449"/>
      <c r="M376" s="449"/>
      <c r="N376" s="449"/>
      <c r="O376" s="449"/>
      <c r="P376" s="449"/>
      <c r="Q376" s="449"/>
      <c r="R376" s="449"/>
      <c r="S376" s="449"/>
      <c r="T376" s="449"/>
      <c r="U376" s="449"/>
      <c r="V376" s="449"/>
      <c r="W376" s="449"/>
      <c r="X376" s="449"/>
      <c r="Y376" s="449"/>
      <c r="Z376" s="531"/>
      <c r="AA376" s="449"/>
      <c r="AB376" s="449"/>
      <c r="AC376" s="449"/>
      <c r="AD376" s="449"/>
      <c r="AE376" s="449"/>
      <c r="AF376" s="449"/>
      <c r="AG376" s="449"/>
      <c r="AH376" s="449"/>
      <c r="AI376" s="449"/>
      <c r="AJ376" s="449"/>
      <c r="AK376" s="449"/>
      <c r="AL376" s="449"/>
      <c r="AM376" s="400"/>
      <c r="AN376" s="500"/>
      <c r="AO376" s="449"/>
      <c r="AP376" s="449"/>
      <c r="AQ376" s="453"/>
      <c r="AR376" s="449"/>
      <c r="AS376" s="449"/>
      <c r="AT376" s="426"/>
      <c r="AU376" s="421"/>
      <c r="AV376" s="449"/>
      <c r="AW376" s="449"/>
      <c r="AX376" s="449"/>
      <c r="AY376" s="449"/>
      <c r="AZ376" s="449"/>
      <c r="BA376" s="449"/>
      <c r="BB376" s="449"/>
      <c r="BC376" s="449"/>
      <c r="BD376" s="449"/>
      <c r="BE376" s="449"/>
      <c r="BF376" s="449"/>
      <c r="BG376" s="449"/>
      <c r="BH376" s="531"/>
      <c r="BI376" s="449"/>
      <c r="BJ376" s="449"/>
      <c r="BK376" s="449"/>
      <c r="BL376" s="771"/>
      <c r="BM376" s="449"/>
      <c r="BN376" s="449"/>
      <c r="BO376" s="449"/>
      <c r="BP376" s="449"/>
      <c r="BQ376" s="449"/>
      <c r="BR376" s="449"/>
      <c r="BS376" s="449"/>
      <c r="BT376" s="449"/>
      <c r="BU376" s="400"/>
      <c r="BV376" s="400"/>
    </row>
    <row r="377" spans="1:74" ht="8.25" customHeight="1" x14ac:dyDescent="0.25">
      <c r="A377" s="502"/>
      <c r="B377" s="502"/>
      <c r="C377" s="538"/>
      <c r="D377" s="500"/>
      <c r="E377" s="449"/>
      <c r="F377" s="449"/>
      <c r="G377" s="421"/>
      <c r="H377" s="449"/>
      <c r="I377" s="449"/>
      <c r="J377" s="426"/>
      <c r="K377" s="421"/>
      <c r="L377" s="449"/>
      <c r="M377" s="449"/>
      <c r="N377" s="449"/>
      <c r="O377" s="449"/>
      <c r="P377" s="449"/>
      <c r="Q377" s="449"/>
      <c r="R377" s="449"/>
      <c r="S377" s="449"/>
      <c r="T377" s="449"/>
      <c r="U377" s="449"/>
      <c r="V377" s="449"/>
      <c r="W377" s="449"/>
      <c r="X377" s="449"/>
      <c r="Y377" s="449"/>
      <c r="Z377" s="531"/>
      <c r="AA377" s="449"/>
      <c r="AB377" s="449"/>
      <c r="AC377" s="449"/>
      <c r="AD377" s="449"/>
      <c r="AE377" s="449"/>
      <c r="AF377" s="449"/>
      <c r="AG377" s="449"/>
      <c r="AH377" s="449"/>
      <c r="AI377" s="449"/>
      <c r="AJ377" s="449"/>
      <c r="AK377" s="449"/>
      <c r="AL377" s="449"/>
      <c r="AM377" s="400"/>
      <c r="AN377" s="500"/>
      <c r="AO377" s="449"/>
      <c r="AP377" s="449"/>
      <c r="AQ377" s="453"/>
      <c r="AR377" s="449"/>
      <c r="AS377" s="449"/>
      <c r="AT377" s="426"/>
      <c r="AU377" s="421"/>
      <c r="AV377" s="449"/>
      <c r="AW377" s="449"/>
      <c r="AX377" s="449"/>
      <c r="AY377" s="449"/>
      <c r="AZ377" s="449"/>
      <c r="BA377" s="449"/>
      <c r="BB377" s="449"/>
      <c r="BC377" s="449"/>
      <c r="BD377" s="449"/>
      <c r="BE377" s="449"/>
      <c r="BF377" s="449"/>
      <c r="BG377" s="449"/>
      <c r="BH377" s="531"/>
      <c r="BI377" s="449"/>
      <c r="BJ377" s="449"/>
      <c r="BK377" s="449"/>
      <c r="BL377" s="771"/>
      <c r="BM377" s="449"/>
      <c r="BN377" s="449"/>
      <c r="BO377" s="449"/>
      <c r="BP377" s="449"/>
      <c r="BQ377" s="449"/>
      <c r="BR377" s="449"/>
      <c r="BS377" s="449"/>
      <c r="BT377" s="449"/>
      <c r="BU377" s="400"/>
      <c r="BV377" s="400"/>
    </row>
    <row r="378" spans="1:74" x14ac:dyDescent="0.25">
      <c r="A378" s="502" t="s">
        <v>629</v>
      </c>
      <c r="B378" s="502" t="s">
        <v>630</v>
      </c>
      <c r="C378" s="538"/>
      <c r="D378" s="500">
        <v>12056</v>
      </c>
      <c r="E378" s="449">
        <v>12056.25</v>
      </c>
      <c r="F378" s="449">
        <v>-0.25</v>
      </c>
      <c r="G378" s="421">
        <v>-2.0736132711249351E-5</v>
      </c>
      <c r="H378" s="449">
        <v>12056</v>
      </c>
      <c r="I378" s="449">
        <v>0</v>
      </c>
      <c r="J378" s="426">
        <v>0</v>
      </c>
      <c r="K378" s="421"/>
      <c r="L378" s="449">
        <v>0</v>
      </c>
      <c r="M378" s="449">
        <v>0</v>
      </c>
      <c r="N378" s="449">
        <v>0</v>
      </c>
      <c r="O378" s="449">
        <v>0</v>
      </c>
      <c r="P378" s="449">
        <v>0</v>
      </c>
      <c r="Q378" s="449">
        <v>0</v>
      </c>
      <c r="R378" s="449">
        <v>2009.3333333333333</v>
      </c>
      <c r="S378" s="449">
        <v>2009.3333333333333</v>
      </c>
      <c r="T378" s="449">
        <v>2009.3333333333335</v>
      </c>
      <c r="U378" s="449">
        <v>2009.3333333333333</v>
      </c>
      <c r="V378" s="449">
        <v>2009.3333333333335</v>
      </c>
      <c r="W378" s="449">
        <v>2009.3333333333339</v>
      </c>
      <c r="X378" s="449"/>
      <c r="Y378" s="449">
        <v>12056</v>
      </c>
      <c r="Z378" s="531"/>
      <c r="AA378" s="449">
        <v>1004.6666666666666</v>
      </c>
      <c r="AB378" s="449">
        <v>1004.6666666666666</v>
      </c>
      <c r="AC378" s="449">
        <v>1004.6666666666666</v>
      </c>
      <c r="AD378" s="449">
        <v>1004.6666666666666</v>
      </c>
      <c r="AE378" s="449">
        <v>1004.6666666666666</v>
      </c>
      <c r="AF378" s="449">
        <v>1004.6666666666666</v>
      </c>
      <c r="AG378" s="449">
        <v>1004.6666666666666</v>
      </c>
      <c r="AH378" s="449">
        <v>1004.6666666666666</v>
      </c>
      <c r="AI378" s="449">
        <v>1004.6666666666666</v>
      </c>
      <c r="AJ378" s="449">
        <v>1004.6666666666666</v>
      </c>
      <c r="AK378" s="449">
        <v>1004.6666666666666</v>
      </c>
      <c r="AL378" s="449">
        <v>1004.6666666666666</v>
      </c>
      <c r="AM378" s="400"/>
      <c r="AN378" s="500">
        <v>12056</v>
      </c>
      <c r="AO378" s="449">
        <v>12417.680000000002</v>
      </c>
      <c r="AP378" s="449">
        <v>361.68000000000211</v>
      </c>
      <c r="AQ378" s="453">
        <v>3.0000000000000176E-2</v>
      </c>
      <c r="AR378" s="449">
        <v>12417.680000000002</v>
      </c>
      <c r="AS378" s="449">
        <v>0</v>
      </c>
      <c r="AT378" s="426">
        <v>0</v>
      </c>
      <c r="AU378" s="421"/>
      <c r="AV378" s="449">
        <v>1034.8066666666666</v>
      </c>
      <c r="AW378" s="449">
        <v>1034.8066666666666</v>
      </c>
      <c r="AX378" s="449">
        <v>1034.8066666666666</v>
      </c>
      <c r="AY378" s="449">
        <v>1034.8066666666666</v>
      </c>
      <c r="AZ378" s="449">
        <v>1034.8066666666666</v>
      </c>
      <c r="BA378" s="449">
        <v>1034.8066666666666</v>
      </c>
      <c r="BB378" s="449">
        <v>1034.8066666666666</v>
      </c>
      <c r="BC378" s="449">
        <v>1034.8066666666666</v>
      </c>
      <c r="BD378" s="449">
        <v>1034.8066666666666</v>
      </c>
      <c r="BE378" s="449">
        <v>1034.8066666666666</v>
      </c>
      <c r="BF378" s="449">
        <v>1034.8066666666666</v>
      </c>
      <c r="BG378" s="449">
        <v>1034.8066666666666</v>
      </c>
      <c r="BH378" s="400"/>
      <c r="BI378" s="449">
        <v>1034.8066666666666</v>
      </c>
      <c r="BJ378" s="449">
        <v>1034.8066666666666</v>
      </c>
      <c r="BK378" s="449">
        <v>1034.8066666666666</v>
      </c>
      <c r="BL378" s="771">
        <v>1034.8066666666666</v>
      </c>
      <c r="BM378" s="449">
        <v>1034.8066666666666</v>
      </c>
      <c r="BN378" s="449">
        <v>1034.8066666666666</v>
      </c>
      <c r="BO378" s="449">
        <v>1034.8066666666666</v>
      </c>
      <c r="BP378" s="449">
        <v>1034.8066666666666</v>
      </c>
      <c r="BQ378" s="449">
        <v>1034.8066666666666</v>
      </c>
      <c r="BR378" s="449">
        <v>1034.8066666666666</v>
      </c>
      <c r="BS378" s="449">
        <v>1034.8066666666666</v>
      </c>
      <c r="BT378" s="449">
        <v>1034.8066666666666</v>
      </c>
      <c r="BU378" s="400"/>
      <c r="BV378" s="400"/>
    </row>
    <row r="379" spans="1:74" x14ac:dyDescent="0.25">
      <c r="A379" s="502" t="s">
        <v>631</v>
      </c>
      <c r="B379" s="502" t="s">
        <v>632</v>
      </c>
      <c r="C379" s="538"/>
      <c r="D379" s="500">
        <v>12860</v>
      </c>
      <c r="E379" s="449">
        <v>12860</v>
      </c>
      <c r="F379" s="449">
        <v>0</v>
      </c>
      <c r="G379" s="421">
        <v>0</v>
      </c>
      <c r="H379" s="449">
        <v>12860</v>
      </c>
      <c r="I379" s="449">
        <v>0</v>
      </c>
      <c r="J379" s="426">
        <v>0</v>
      </c>
      <c r="K379" s="421"/>
      <c r="L379" s="449">
        <v>0</v>
      </c>
      <c r="M379" s="449">
        <v>2700</v>
      </c>
      <c r="N379" s="449">
        <v>0</v>
      </c>
      <c r="O379" s="449">
        <v>4500</v>
      </c>
      <c r="P379" s="449">
        <v>0</v>
      </c>
      <c r="Q379" s="449">
        <v>1500</v>
      </c>
      <c r="R379" s="449">
        <v>693.33333333333337</v>
      </c>
      <c r="S379" s="449">
        <v>693.33333333333326</v>
      </c>
      <c r="T379" s="449">
        <v>693.33333333333303</v>
      </c>
      <c r="U379" s="449">
        <v>693.33333333333337</v>
      </c>
      <c r="V379" s="449">
        <v>693.33333333333303</v>
      </c>
      <c r="W379" s="449">
        <v>693.33333333333212</v>
      </c>
      <c r="X379" s="449"/>
      <c r="Y379" s="449">
        <v>12860</v>
      </c>
      <c r="Z379" s="531"/>
      <c r="AA379" s="449">
        <v>1071.6666666666667</v>
      </c>
      <c r="AB379" s="449">
        <v>1071.6666666666667</v>
      </c>
      <c r="AC379" s="449">
        <v>1071.6666666666667</v>
      </c>
      <c r="AD379" s="449">
        <v>1071.6666666666667</v>
      </c>
      <c r="AE379" s="449">
        <v>1071.6666666666667</v>
      </c>
      <c r="AF379" s="449">
        <v>1071.6666666666667</v>
      </c>
      <c r="AG379" s="449">
        <v>1071.6666666666667</v>
      </c>
      <c r="AH379" s="449">
        <v>1071.6666666666667</v>
      </c>
      <c r="AI379" s="449">
        <v>1071.6666666666667</v>
      </c>
      <c r="AJ379" s="449">
        <v>1071.6666666666667</v>
      </c>
      <c r="AK379" s="449">
        <v>1071.6666666666667</v>
      </c>
      <c r="AL379" s="449">
        <v>1071.6666666666667</v>
      </c>
      <c r="AM379" s="400"/>
      <c r="AN379" s="500">
        <v>12860</v>
      </c>
      <c r="AO379" s="449">
        <v>13245.800000000005</v>
      </c>
      <c r="AP379" s="449">
        <v>385.80000000000473</v>
      </c>
      <c r="AQ379" s="453">
        <v>3.0000000000000367E-2</v>
      </c>
      <c r="AR379" s="449">
        <v>13245.800000000005</v>
      </c>
      <c r="AS379" s="449">
        <v>0</v>
      </c>
      <c r="AT379" s="426">
        <v>0</v>
      </c>
      <c r="AU379" s="421"/>
      <c r="AV379" s="449">
        <v>1103.8166666666668</v>
      </c>
      <c r="AW379" s="449">
        <v>1103.8166666666668</v>
      </c>
      <c r="AX379" s="449">
        <v>1103.8166666666668</v>
      </c>
      <c r="AY379" s="449">
        <v>1103.8166666666668</v>
      </c>
      <c r="AZ379" s="449">
        <v>1103.8166666666668</v>
      </c>
      <c r="BA379" s="449">
        <v>1103.8166666666668</v>
      </c>
      <c r="BB379" s="449">
        <v>1103.8166666666668</v>
      </c>
      <c r="BC379" s="449">
        <v>1103.8166666666668</v>
      </c>
      <c r="BD379" s="449">
        <v>1103.8166666666668</v>
      </c>
      <c r="BE379" s="449">
        <v>1103.8166666666668</v>
      </c>
      <c r="BF379" s="449">
        <v>1103.8166666666668</v>
      </c>
      <c r="BG379" s="449">
        <v>1103.8166666666668</v>
      </c>
      <c r="BH379" s="400"/>
      <c r="BI379" s="449">
        <v>1103.8166666666668</v>
      </c>
      <c r="BJ379" s="449">
        <v>1103.8166666666668</v>
      </c>
      <c r="BK379" s="449">
        <v>1103.8166666666668</v>
      </c>
      <c r="BL379" s="771">
        <v>1103.8166666666668</v>
      </c>
      <c r="BM379" s="449">
        <v>1103.8166666666668</v>
      </c>
      <c r="BN379" s="449">
        <v>1103.8166666666668</v>
      </c>
      <c r="BO379" s="449">
        <v>1103.8166666666668</v>
      </c>
      <c r="BP379" s="449">
        <v>1103.8166666666668</v>
      </c>
      <c r="BQ379" s="449">
        <v>1103.8166666666668</v>
      </c>
      <c r="BR379" s="449">
        <v>1103.8166666666668</v>
      </c>
      <c r="BS379" s="449">
        <v>1103.8166666666668</v>
      </c>
      <c r="BT379" s="449">
        <v>1103.8166666666668</v>
      </c>
      <c r="BU379" s="400"/>
      <c r="BV379" s="400"/>
    </row>
    <row r="380" spans="1:74" x14ac:dyDescent="0.25">
      <c r="A380" s="502" t="s">
        <v>633</v>
      </c>
      <c r="B380" s="502" t="s">
        <v>634</v>
      </c>
      <c r="C380" s="538" t="s">
        <v>573</v>
      </c>
      <c r="D380" s="500">
        <v>364226.03</v>
      </c>
      <c r="E380" s="449">
        <v>318198.87728999997</v>
      </c>
      <c r="F380" s="449">
        <v>46027.152710000053</v>
      </c>
      <c r="G380" s="421">
        <v>0.14464901039877601</v>
      </c>
      <c r="H380" s="449">
        <v>364226.03</v>
      </c>
      <c r="I380" s="449">
        <v>0</v>
      </c>
      <c r="J380" s="426">
        <v>0</v>
      </c>
      <c r="K380" s="421"/>
      <c r="L380" s="449">
        <v>23589.62</v>
      </c>
      <c r="M380" s="449">
        <v>44341.919999999998</v>
      </c>
      <c r="N380" s="449">
        <v>34101.64</v>
      </c>
      <c r="O380" s="449">
        <v>33965.770000000019</v>
      </c>
      <c r="P380" s="449">
        <v>33999.739999999991</v>
      </c>
      <c r="Q380" s="449">
        <v>33999.739999999991</v>
      </c>
      <c r="R380" s="449">
        <v>26704.600000000006</v>
      </c>
      <c r="S380" s="449">
        <v>26704.600000000006</v>
      </c>
      <c r="T380" s="449">
        <v>26704.600000000006</v>
      </c>
      <c r="U380" s="449">
        <v>26704.600000000017</v>
      </c>
      <c r="V380" s="449">
        <v>26704.600000000006</v>
      </c>
      <c r="W380" s="449">
        <v>26704.599999999977</v>
      </c>
      <c r="X380" s="449"/>
      <c r="Y380" s="449">
        <v>364226.03</v>
      </c>
      <c r="Z380" s="531"/>
      <c r="AA380" s="449">
        <v>30352.16916666667</v>
      </c>
      <c r="AB380" s="449">
        <v>30352.16916666667</v>
      </c>
      <c r="AC380" s="449">
        <v>30352.16916666667</v>
      </c>
      <c r="AD380" s="449">
        <v>30352.16916666667</v>
      </c>
      <c r="AE380" s="449">
        <v>30352.16916666667</v>
      </c>
      <c r="AF380" s="449">
        <v>30352.16916666667</v>
      </c>
      <c r="AG380" s="449">
        <v>30352.16916666667</v>
      </c>
      <c r="AH380" s="449">
        <v>30352.16916666667</v>
      </c>
      <c r="AI380" s="449">
        <v>30352.16916666667</v>
      </c>
      <c r="AJ380" s="449">
        <v>30352.16916666667</v>
      </c>
      <c r="AK380" s="449">
        <v>30352.16916666667</v>
      </c>
      <c r="AL380" s="449">
        <v>30352.16916666667</v>
      </c>
      <c r="AM380" s="400"/>
      <c r="AN380" s="500">
        <v>364226.03</v>
      </c>
      <c r="AO380" s="449">
        <v>360364.62557254912</v>
      </c>
      <c r="AP380" s="449">
        <v>-3861.404427450907</v>
      </c>
      <c r="AQ380" s="453">
        <v>-1.0601670691825367E-2</v>
      </c>
      <c r="AR380" s="449">
        <v>360364.62557254912</v>
      </c>
      <c r="AS380" s="449">
        <v>0</v>
      </c>
      <c r="AT380" s="426">
        <v>0</v>
      </c>
      <c r="AU380" s="421"/>
      <c r="AV380" s="449">
        <v>30030.385464379095</v>
      </c>
      <c r="AW380" s="449">
        <v>30030.385464379095</v>
      </c>
      <c r="AX380" s="449">
        <v>30030.385464379095</v>
      </c>
      <c r="AY380" s="449">
        <v>30030.385464379095</v>
      </c>
      <c r="AZ380" s="449">
        <v>30030.385464379095</v>
      </c>
      <c r="BA380" s="449">
        <v>30030.385464379095</v>
      </c>
      <c r="BB380" s="449">
        <v>30030.385464379095</v>
      </c>
      <c r="BC380" s="449">
        <v>30030.385464379095</v>
      </c>
      <c r="BD380" s="449">
        <v>30030.385464379095</v>
      </c>
      <c r="BE380" s="449">
        <v>30030.385464379095</v>
      </c>
      <c r="BF380" s="449">
        <v>30030.385464379095</v>
      </c>
      <c r="BG380" s="449">
        <v>30030.385464379095</v>
      </c>
      <c r="BH380" s="400"/>
      <c r="BI380" s="449">
        <v>30030.385464379095</v>
      </c>
      <c r="BJ380" s="449">
        <v>30030.385464379095</v>
      </c>
      <c r="BK380" s="449">
        <v>30030.385464379095</v>
      </c>
      <c r="BL380" s="771">
        <v>30030.385464379095</v>
      </c>
      <c r="BM380" s="449">
        <v>30030.385464379095</v>
      </c>
      <c r="BN380" s="449">
        <v>30030.385464379095</v>
      </c>
      <c r="BO380" s="449">
        <v>30030.385464379095</v>
      </c>
      <c r="BP380" s="449">
        <v>30030.385464379095</v>
      </c>
      <c r="BQ380" s="449">
        <v>30030.385464379095</v>
      </c>
      <c r="BR380" s="449">
        <v>30030.385464379095</v>
      </c>
      <c r="BS380" s="449">
        <v>30030.385464379095</v>
      </c>
      <c r="BT380" s="449">
        <v>30030.385464379095</v>
      </c>
      <c r="BU380" s="400"/>
      <c r="BV380" s="400"/>
    </row>
    <row r="381" spans="1:74" x14ac:dyDescent="0.25">
      <c r="A381" s="502"/>
      <c r="B381" s="502"/>
      <c r="C381" s="538"/>
      <c r="D381" s="500"/>
      <c r="E381" s="449"/>
      <c r="F381" s="449"/>
      <c r="G381" s="421"/>
      <c r="H381" s="449"/>
      <c r="I381" s="449"/>
      <c r="J381" s="426"/>
      <c r="K381" s="421"/>
      <c r="L381" s="449"/>
      <c r="M381" s="449"/>
      <c r="N381" s="449"/>
      <c r="O381" s="449"/>
      <c r="P381" s="449"/>
      <c r="Q381" s="449"/>
      <c r="R381" s="449"/>
      <c r="S381" s="449"/>
      <c r="T381" s="449"/>
      <c r="U381" s="449"/>
      <c r="V381" s="449"/>
      <c r="W381" s="449"/>
      <c r="X381" s="449"/>
      <c r="Y381" s="449"/>
      <c r="Z381" s="531"/>
      <c r="AA381" s="449"/>
      <c r="AB381" s="449"/>
      <c r="AC381" s="449"/>
      <c r="AD381" s="449"/>
      <c r="AE381" s="449"/>
      <c r="AF381" s="449"/>
      <c r="AG381" s="449"/>
      <c r="AH381" s="449"/>
      <c r="AI381" s="449"/>
      <c r="AJ381" s="449"/>
      <c r="AK381" s="449"/>
      <c r="AL381" s="449"/>
      <c r="AM381" s="400"/>
      <c r="AN381" s="500"/>
      <c r="AO381" s="449"/>
      <c r="AP381" s="449"/>
      <c r="AQ381" s="453"/>
      <c r="AR381" s="449"/>
      <c r="AS381" s="449"/>
      <c r="AT381" s="426"/>
      <c r="AU381" s="421"/>
      <c r="AV381" s="449"/>
      <c r="AW381" s="449"/>
      <c r="AX381" s="449"/>
      <c r="AY381" s="449"/>
      <c r="AZ381" s="449"/>
      <c r="BA381" s="449"/>
      <c r="BB381" s="449"/>
      <c r="BC381" s="449"/>
      <c r="BD381" s="449"/>
      <c r="BE381" s="449"/>
      <c r="BF381" s="449"/>
      <c r="BG381" s="449"/>
      <c r="BH381" s="531"/>
      <c r="BI381" s="449"/>
      <c r="BJ381" s="449"/>
      <c r="BK381" s="449"/>
      <c r="BL381" s="771"/>
      <c r="BM381" s="449"/>
      <c r="BN381" s="449"/>
      <c r="BO381" s="449"/>
      <c r="BP381" s="449"/>
      <c r="BQ381" s="449"/>
      <c r="BR381" s="449"/>
      <c r="BS381" s="449"/>
      <c r="BT381" s="449"/>
      <c r="BU381" s="400"/>
      <c r="BV381" s="400"/>
    </row>
    <row r="382" spans="1:74" s="536" customFormat="1" ht="15.75" thickBot="1" x14ac:dyDescent="0.3">
      <c r="A382" s="524"/>
      <c r="B382" s="524" t="s">
        <v>635</v>
      </c>
      <c r="C382" s="535"/>
      <c r="D382" s="532">
        <v>389142.03</v>
      </c>
      <c r="E382" s="533">
        <v>343115.12728999997</v>
      </c>
      <c r="F382" s="533">
        <v>46026.902710000053</v>
      </c>
      <c r="G382" s="520">
        <v>0.13414419548776771</v>
      </c>
      <c r="H382" s="533">
        <v>389142.03</v>
      </c>
      <c r="I382" s="533">
        <v>0</v>
      </c>
      <c r="J382" s="521">
        <v>0</v>
      </c>
      <c r="K382" s="507"/>
      <c r="L382" s="533">
        <v>23589.62</v>
      </c>
      <c r="M382" s="533">
        <v>47041.919999999998</v>
      </c>
      <c r="N382" s="533">
        <v>34101.64</v>
      </c>
      <c r="O382" s="533">
        <v>38465.770000000019</v>
      </c>
      <c r="P382" s="533">
        <v>33999.739999999991</v>
      </c>
      <c r="Q382" s="533">
        <v>35499.739999999991</v>
      </c>
      <c r="R382" s="533">
        <v>29407.266666666674</v>
      </c>
      <c r="S382" s="533">
        <v>29407.266666666674</v>
      </c>
      <c r="T382" s="533">
        <v>29407.266666666674</v>
      </c>
      <c r="U382" s="533">
        <v>29407.266666666685</v>
      </c>
      <c r="V382" s="533">
        <v>29407.266666666674</v>
      </c>
      <c r="W382" s="533">
        <v>29407.266666666641</v>
      </c>
      <c r="X382" s="533"/>
      <c r="Y382" s="533">
        <v>389142.02999999997</v>
      </c>
      <c r="Z382" s="508"/>
      <c r="AA382" s="533">
        <v>32428.502500000002</v>
      </c>
      <c r="AB382" s="533">
        <v>32428.502500000002</v>
      </c>
      <c r="AC382" s="533">
        <v>32428.502500000002</v>
      </c>
      <c r="AD382" s="533">
        <v>32428.502500000002</v>
      </c>
      <c r="AE382" s="533">
        <v>32428.502500000002</v>
      </c>
      <c r="AF382" s="533">
        <v>32428.502500000002</v>
      </c>
      <c r="AG382" s="533">
        <v>32428.502500000002</v>
      </c>
      <c r="AH382" s="533">
        <v>32428.502500000002</v>
      </c>
      <c r="AI382" s="533">
        <v>32428.502500000002</v>
      </c>
      <c r="AJ382" s="533">
        <v>32428.502500000002</v>
      </c>
      <c r="AK382" s="533">
        <v>32428.502500000002</v>
      </c>
      <c r="AL382" s="533">
        <v>32428.502500000002</v>
      </c>
      <c r="AN382" s="532">
        <v>389142.03</v>
      </c>
      <c r="AO382" s="533">
        <v>386028.1055725491</v>
      </c>
      <c r="AP382" s="533">
        <v>-3113.9244274509256</v>
      </c>
      <c r="AQ382" s="523">
        <v>-8.0020254492965594E-3</v>
      </c>
      <c r="AR382" s="533">
        <v>386028.1055725491</v>
      </c>
      <c r="AS382" s="533">
        <v>0</v>
      </c>
      <c r="AT382" s="521">
        <v>0</v>
      </c>
      <c r="AU382" s="507"/>
      <c r="AV382" s="533">
        <v>32169.008797712428</v>
      </c>
      <c r="AW382" s="533">
        <v>32169.008797712428</v>
      </c>
      <c r="AX382" s="533">
        <v>32169.008797712428</v>
      </c>
      <c r="AY382" s="533">
        <v>32169.008797712428</v>
      </c>
      <c r="AZ382" s="533">
        <v>32169.008797712428</v>
      </c>
      <c r="BA382" s="533">
        <v>32169.008797712428</v>
      </c>
      <c r="BB382" s="533">
        <v>32169.008797712428</v>
      </c>
      <c r="BC382" s="533">
        <v>32169.008797712428</v>
      </c>
      <c r="BD382" s="533">
        <v>32169.008797712428</v>
      </c>
      <c r="BE382" s="533">
        <v>32169.008797712428</v>
      </c>
      <c r="BF382" s="533">
        <v>32169.008797712428</v>
      </c>
      <c r="BG382" s="533">
        <v>32169.008797712428</v>
      </c>
      <c r="BH382" s="508"/>
      <c r="BI382" s="533">
        <v>32169.008797712428</v>
      </c>
      <c r="BJ382" s="533">
        <v>32169.008797712428</v>
      </c>
      <c r="BK382" s="533">
        <v>32169.008797712428</v>
      </c>
      <c r="BL382" s="777">
        <v>32169.008797712428</v>
      </c>
      <c r="BM382" s="533">
        <v>32169.008797712428</v>
      </c>
      <c r="BN382" s="533">
        <v>32169.008797712428</v>
      </c>
      <c r="BO382" s="533">
        <v>32169.008797712428</v>
      </c>
      <c r="BP382" s="533">
        <v>32169.008797712428</v>
      </c>
      <c r="BQ382" s="533">
        <v>32169.008797712428</v>
      </c>
      <c r="BR382" s="533">
        <v>32169.008797712428</v>
      </c>
      <c r="BS382" s="533">
        <v>32169.008797712428</v>
      </c>
      <c r="BT382" s="533">
        <v>32169.008797712428</v>
      </c>
      <c r="BV382" s="400"/>
    </row>
    <row r="383" spans="1:74" ht="15.75" thickTop="1" x14ac:dyDescent="0.25">
      <c r="A383" s="502"/>
      <c r="B383" s="502"/>
      <c r="C383" s="538"/>
      <c r="D383" s="500"/>
      <c r="E383" s="449"/>
      <c r="F383" s="449"/>
      <c r="G383" s="421"/>
      <c r="H383" s="449"/>
      <c r="I383" s="449"/>
      <c r="J383" s="426"/>
      <c r="K383" s="421"/>
      <c r="L383" s="449"/>
      <c r="M383" s="449"/>
      <c r="N383" s="449"/>
      <c r="O383" s="449"/>
      <c r="P383" s="449"/>
      <c r="Q383" s="449"/>
      <c r="R383" s="449"/>
      <c r="S383" s="449"/>
      <c r="T383" s="449"/>
      <c r="U383" s="449"/>
      <c r="V383" s="449"/>
      <c r="W383" s="449"/>
      <c r="X383" s="449"/>
      <c r="Y383" s="449"/>
      <c r="Z383" s="531"/>
      <c r="AA383" s="449"/>
      <c r="AB383" s="449"/>
      <c r="AC383" s="449"/>
      <c r="AD383" s="449"/>
      <c r="AE383" s="449"/>
      <c r="AF383" s="449"/>
      <c r="AG383" s="449"/>
      <c r="AH383" s="449"/>
      <c r="AI383" s="449"/>
      <c r="AJ383" s="449"/>
      <c r="AK383" s="449"/>
      <c r="AL383" s="449"/>
      <c r="AM383" s="400"/>
      <c r="AN383" s="500"/>
      <c r="AO383" s="449"/>
      <c r="AP383" s="449"/>
      <c r="AQ383" s="453"/>
      <c r="AR383" s="449"/>
      <c r="AS383" s="449"/>
      <c r="AT383" s="426"/>
      <c r="AU383" s="421"/>
      <c r="AV383" s="449"/>
      <c r="AW383" s="449"/>
      <c r="AX383" s="449"/>
      <c r="AY383" s="449"/>
      <c r="AZ383" s="449"/>
      <c r="BA383" s="449"/>
      <c r="BB383" s="449"/>
      <c r="BC383" s="449"/>
      <c r="BD383" s="449"/>
      <c r="BE383" s="449"/>
      <c r="BF383" s="449"/>
      <c r="BG383" s="449"/>
      <c r="BH383" s="531"/>
      <c r="BI383" s="449"/>
      <c r="BJ383" s="449"/>
      <c r="BK383" s="449"/>
      <c r="BL383" s="771"/>
      <c r="BM383" s="449"/>
      <c r="BN383" s="449"/>
      <c r="BO383" s="449"/>
      <c r="BP383" s="449"/>
      <c r="BQ383" s="449"/>
      <c r="BR383" s="449"/>
      <c r="BS383" s="449"/>
      <c r="BT383" s="449"/>
      <c r="BU383" s="400"/>
      <c r="BV383" s="400"/>
    </row>
    <row r="384" spans="1:74" ht="15.75" x14ac:dyDescent="0.25">
      <c r="A384" s="502"/>
      <c r="B384" s="525" t="s">
        <v>636</v>
      </c>
      <c r="C384" s="538"/>
      <c r="D384" s="500"/>
      <c r="E384" s="449"/>
      <c r="F384" s="449"/>
      <c r="G384" s="421"/>
      <c r="H384" s="449"/>
      <c r="I384" s="449"/>
      <c r="J384" s="426"/>
      <c r="K384" s="421"/>
      <c r="L384" s="449"/>
      <c r="M384" s="449"/>
      <c r="N384" s="449"/>
      <c r="O384" s="449"/>
      <c r="P384" s="449"/>
      <c r="Q384" s="449"/>
      <c r="R384" s="449"/>
      <c r="S384" s="449"/>
      <c r="T384" s="449"/>
      <c r="U384" s="449"/>
      <c r="V384" s="449"/>
      <c r="W384" s="449"/>
      <c r="X384" s="449"/>
      <c r="Y384" s="449"/>
      <c r="Z384" s="531"/>
      <c r="AA384" s="449"/>
      <c r="AB384" s="449"/>
      <c r="AC384" s="449"/>
      <c r="AD384" s="449"/>
      <c r="AE384" s="449"/>
      <c r="AF384" s="449"/>
      <c r="AG384" s="449"/>
      <c r="AH384" s="449"/>
      <c r="AI384" s="449"/>
      <c r="AJ384" s="449"/>
      <c r="AK384" s="449"/>
      <c r="AL384" s="449"/>
      <c r="AM384" s="400"/>
      <c r="AN384" s="500"/>
      <c r="AO384" s="449"/>
      <c r="AP384" s="449"/>
      <c r="AQ384" s="453"/>
      <c r="AR384" s="449"/>
      <c r="AS384" s="449"/>
      <c r="AT384" s="426"/>
      <c r="AU384" s="421"/>
      <c r="AV384" s="449"/>
      <c r="AW384" s="449"/>
      <c r="AX384" s="449"/>
      <c r="AY384" s="449"/>
      <c r="AZ384" s="449"/>
      <c r="BA384" s="449"/>
      <c r="BB384" s="449"/>
      <c r="BC384" s="449"/>
      <c r="BD384" s="449"/>
      <c r="BE384" s="449"/>
      <c r="BF384" s="449"/>
      <c r="BG384" s="449"/>
      <c r="BH384" s="531"/>
      <c r="BI384" s="449"/>
      <c r="BJ384" s="449"/>
      <c r="BK384" s="449"/>
      <c r="BL384" s="771"/>
      <c r="BM384" s="449"/>
      <c r="BN384" s="449"/>
      <c r="BO384" s="449"/>
      <c r="BP384" s="449"/>
      <c r="BQ384" s="449"/>
      <c r="BR384" s="449"/>
      <c r="BS384" s="449"/>
      <c r="BT384" s="449"/>
      <c r="BU384" s="400"/>
      <c r="BV384" s="400"/>
    </row>
    <row r="385" spans="1:72" ht="9" customHeight="1" x14ac:dyDescent="0.25">
      <c r="A385" s="502"/>
      <c r="B385" s="502"/>
      <c r="C385" s="538"/>
      <c r="D385" s="500"/>
      <c r="E385" s="449"/>
      <c r="F385" s="449"/>
      <c r="G385" s="421"/>
      <c r="H385" s="449"/>
      <c r="I385" s="449"/>
      <c r="J385" s="426"/>
      <c r="K385" s="421"/>
      <c r="L385" s="449"/>
      <c r="M385" s="449"/>
      <c r="N385" s="449"/>
      <c r="O385" s="449"/>
      <c r="P385" s="449"/>
      <c r="Q385" s="449"/>
      <c r="R385" s="449"/>
      <c r="S385" s="449"/>
      <c r="T385" s="449"/>
      <c r="U385" s="449"/>
      <c r="V385" s="449"/>
      <c r="W385" s="449"/>
      <c r="X385" s="449"/>
      <c r="Y385" s="449"/>
      <c r="Z385" s="531"/>
      <c r="AA385" s="449"/>
      <c r="AB385" s="449"/>
      <c r="AC385" s="449"/>
      <c r="AD385" s="449"/>
      <c r="AE385" s="449"/>
      <c r="AF385" s="449"/>
      <c r="AG385" s="449"/>
      <c r="AH385" s="449"/>
      <c r="AI385" s="449"/>
      <c r="AJ385" s="449"/>
      <c r="AK385" s="449"/>
      <c r="AL385" s="449"/>
      <c r="AM385" s="400"/>
      <c r="AN385" s="500"/>
      <c r="AO385" s="449"/>
      <c r="AP385" s="449"/>
      <c r="AQ385" s="453"/>
      <c r="AR385" s="449"/>
      <c r="AS385" s="449"/>
      <c r="AT385" s="426"/>
      <c r="AU385" s="421"/>
      <c r="AV385" s="449"/>
      <c r="AW385" s="449"/>
      <c r="AX385" s="449"/>
      <c r="AY385" s="449"/>
      <c r="AZ385" s="449"/>
      <c r="BA385" s="449"/>
      <c r="BB385" s="449"/>
      <c r="BC385" s="449"/>
      <c r="BD385" s="449"/>
      <c r="BE385" s="449"/>
      <c r="BF385" s="449"/>
      <c r="BG385" s="449"/>
      <c r="BH385" s="531"/>
      <c r="BI385" s="449"/>
      <c r="BJ385" s="449"/>
      <c r="BK385" s="449"/>
      <c r="BL385" s="771"/>
      <c r="BM385" s="449"/>
      <c r="BN385" s="449"/>
      <c r="BO385" s="449"/>
      <c r="BP385" s="449"/>
      <c r="BQ385" s="449"/>
      <c r="BR385" s="449"/>
      <c r="BS385" s="449"/>
      <c r="BT385" s="449"/>
    </row>
    <row r="386" spans="1:72" x14ac:dyDescent="0.25">
      <c r="A386" s="502" t="s">
        <v>637</v>
      </c>
      <c r="B386" s="502" t="s">
        <v>638</v>
      </c>
      <c r="C386" s="630"/>
      <c r="D386" s="500">
        <v>98500</v>
      </c>
      <c r="E386" s="449">
        <v>98500</v>
      </c>
      <c r="F386" s="449">
        <v>0</v>
      </c>
      <c r="G386" s="421">
        <v>0</v>
      </c>
      <c r="H386" s="449">
        <v>98500</v>
      </c>
      <c r="I386" s="449">
        <v>0</v>
      </c>
      <c r="J386" s="426">
        <v>0</v>
      </c>
      <c r="K386" s="421"/>
      <c r="L386" s="449">
        <v>5682.69</v>
      </c>
      <c r="M386" s="449">
        <v>10986.530000000002</v>
      </c>
      <c r="N386" s="449">
        <v>7955.77</v>
      </c>
      <c r="O386" s="449">
        <v>7576.9199999999983</v>
      </c>
      <c r="P386" s="449">
        <v>7576.9200000000019</v>
      </c>
      <c r="Q386" s="449">
        <v>9471.1500000000015</v>
      </c>
      <c r="R386" s="449">
        <v>8208.3366666666661</v>
      </c>
      <c r="S386" s="449">
        <v>8208.3366666666661</v>
      </c>
      <c r="T386" s="449">
        <v>8208.3366666666661</v>
      </c>
      <c r="U386" s="449">
        <v>8208.3366666666643</v>
      </c>
      <c r="V386" s="449">
        <v>8208.3366666666625</v>
      </c>
      <c r="W386" s="449">
        <v>8208.3366666666698</v>
      </c>
      <c r="X386" s="449"/>
      <c r="Y386" s="449">
        <v>98500</v>
      </c>
      <c r="Z386" s="531"/>
      <c r="AA386" s="449">
        <v>8208.3333333333339</v>
      </c>
      <c r="AB386" s="449">
        <v>8208.3333333333339</v>
      </c>
      <c r="AC386" s="449">
        <v>8208.3333333333339</v>
      </c>
      <c r="AD386" s="449">
        <v>8208.3333333333339</v>
      </c>
      <c r="AE386" s="449">
        <v>8208.3333333333339</v>
      </c>
      <c r="AF386" s="449">
        <v>8208.3333333333339</v>
      </c>
      <c r="AG386" s="449">
        <v>8208.3333333333339</v>
      </c>
      <c r="AH386" s="449">
        <v>8208.3333333333339</v>
      </c>
      <c r="AI386" s="449">
        <v>8208.3333333333339</v>
      </c>
      <c r="AJ386" s="449">
        <v>8208.3333333333339</v>
      </c>
      <c r="AK386" s="449">
        <v>8208.3333333333339</v>
      </c>
      <c r="AL386" s="449">
        <v>8208.3333333333339</v>
      </c>
      <c r="AM386" s="400"/>
      <c r="AN386" s="500">
        <v>98500</v>
      </c>
      <c r="AO386" s="449">
        <v>98499.999999999985</v>
      </c>
      <c r="AP386" s="449">
        <v>-1.4551915228366852E-11</v>
      </c>
      <c r="AQ386" s="453">
        <v>-1.4773517998341981E-16</v>
      </c>
      <c r="AR386" s="449">
        <v>98499.999999999985</v>
      </c>
      <c r="AS386" s="449">
        <v>0</v>
      </c>
      <c r="AT386" s="426">
        <v>0</v>
      </c>
      <c r="AU386" s="421"/>
      <c r="AV386" s="449">
        <v>8208.3333333333339</v>
      </c>
      <c r="AW386" s="449">
        <v>8208.3333333333339</v>
      </c>
      <c r="AX386" s="449">
        <v>8208.3333333333339</v>
      </c>
      <c r="AY386" s="449">
        <v>8208.3333333333339</v>
      </c>
      <c r="AZ386" s="449">
        <v>8208.3333333333339</v>
      </c>
      <c r="BA386" s="449">
        <v>8208.3333333333339</v>
      </c>
      <c r="BB386" s="449">
        <v>8208.3333333333339</v>
      </c>
      <c r="BC386" s="449">
        <v>8208.3333333333339</v>
      </c>
      <c r="BD386" s="449">
        <v>8208.3333333333339</v>
      </c>
      <c r="BE386" s="449">
        <v>8208.3333333333339</v>
      </c>
      <c r="BF386" s="449">
        <v>8208.3333333333339</v>
      </c>
      <c r="BG386" s="449">
        <v>8208.3333333333339</v>
      </c>
      <c r="BH386" s="400"/>
      <c r="BI386" s="449">
        <v>8208.3333333333339</v>
      </c>
      <c r="BJ386" s="449">
        <v>8208.3333333333339</v>
      </c>
      <c r="BK386" s="449">
        <v>8208.3333333333339</v>
      </c>
      <c r="BL386" s="771">
        <v>8208.3333333333339</v>
      </c>
      <c r="BM386" s="449">
        <v>8208.3333333333339</v>
      </c>
      <c r="BN386" s="449">
        <v>8208.3333333333339</v>
      </c>
      <c r="BO386" s="449">
        <v>8208.3333333333339</v>
      </c>
      <c r="BP386" s="449">
        <v>8208.3333333333339</v>
      </c>
      <c r="BQ386" s="449">
        <v>8208.3333333333339</v>
      </c>
      <c r="BR386" s="449">
        <v>8208.3333333333339</v>
      </c>
      <c r="BS386" s="449">
        <v>8208.3333333333339</v>
      </c>
      <c r="BT386" s="449">
        <v>8208.3333333333339</v>
      </c>
    </row>
    <row r="387" spans="1:72" x14ac:dyDescent="0.25">
      <c r="A387" s="502" t="s">
        <v>639</v>
      </c>
      <c r="B387" s="502" t="s">
        <v>640</v>
      </c>
      <c r="C387" s="630"/>
      <c r="D387" s="500">
        <v>0</v>
      </c>
      <c r="E387" s="449">
        <v>0</v>
      </c>
      <c r="F387" s="449">
        <v>0</v>
      </c>
      <c r="G387" s="421">
        <v>0</v>
      </c>
      <c r="H387" s="449">
        <v>0</v>
      </c>
      <c r="I387" s="449">
        <v>0</v>
      </c>
      <c r="J387" s="426">
        <v>0</v>
      </c>
      <c r="K387" s="421"/>
      <c r="L387" s="449">
        <v>0</v>
      </c>
      <c r="M387" s="449">
        <v>0</v>
      </c>
      <c r="N387" s="449">
        <v>0</v>
      </c>
      <c r="O387" s="449">
        <v>0</v>
      </c>
      <c r="P387" s="449">
        <v>0</v>
      </c>
      <c r="Q387" s="449">
        <v>0</v>
      </c>
      <c r="R387" s="449">
        <v>0</v>
      </c>
      <c r="S387" s="449">
        <v>0</v>
      </c>
      <c r="T387" s="449">
        <v>0</v>
      </c>
      <c r="U387" s="449">
        <v>0</v>
      </c>
      <c r="V387" s="449">
        <v>0</v>
      </c>
      <c r="W387" s="449">
        <v>0</v>
      </c>
      <c r="X387" s="449"/>
      <c r="Y387" s="449">
        <v>0</v>
      </c>
      <c r="Z387" s="531"/>
      <c r="AA387" s="449">
        <v>0</v>
      </c>
      <c r="AB387" s="449">
        <v>0</v>
      </c>
      <c r="AC387" s="449">
        <v>0</v>
      </c>
      <c r="AD387" s="449">
        <v>0</v>
      </c>
      <c r="AE387" s="449">
        <v>0</v>
      </c>
      <c r="AF387" s="449">
        <v>0</v>
      </c>
      <c r="AG387" s="449">
        <v>0</v>
      </c>
      <c r="AH387" s="449">
        <v>0</v>
      </c>
      <c r="AI387" s="449">
        <v>0</v>
      </c>
      <c r="AJ387" s="449">
        <v>0</v>
      </c>
      <c r="AK387" s="449">
        <v>0</v>
      </c>
      <c r="AL387" s="449">
        <v>0</v>
      </c>
      <c r="AM387" s="400"/>
      <c r="AN387" s="500">
        <v>0</v>
      </c>
      <c r="AO387" s="449">
        <v>3000</v>
      </c>
      <c r="AP387" s="449">
        <v>3000</v>
      </c>
      <c r="AQ387" s="453" t="s">
        <v>1519</v>
      </c>
      <c r="AR387" s="449">
        <v>3000</v>
      </c>
      <c r="AS387" s="449">
        <v>0</v>
      </c>
      <c r="AT387" s="426">
        <v>0</v>
      </c>
      <c r="AU387" s="421"/>
      <c r="AV387" s="449">
        <v>0</v>
      </c>
      <c r="AW387" s="449">
        <v>0</v>
      </c>
      <c r="AX387" s="449">
        <v>0</v>
      </c>
      <c r="AY387" s="449">
        <v>3000</v>
      </c>
      <c r="AZ387" s="449">
        <v>0</v>
      </c>
      <c r="BA387" s="449">
        <v>0</v>
      </c>
      <c r="BB387" s="449">
        <v>0</v>
      </c>
      <c r="BC387" s="449">
        <v>0</v>
      </c>
      <c r="BD387" s="449">
        <v>0</v>
      </c>
      <c r="BE387" s="449">
        <v>0</v>
      </c>
      <c r="BF387" s="449">
        <v>0</v>
      </c>
      <c r="BG387" s="449">
        <v>0</v>
      </c>
      <c r="BH387" s="400"/>
      <c r="BI387" s="449">
        <v>0</v>
      </c>
      <c r="BJ387" s="449">
        <v>0</v>
      </c>
      <c r="BK387" s="449">
        <v>0</v>
      </c>
      <c r="BL387" s="771">
        <v>3000</v>
      </c>
      <c r="BM387" s="449">
        <v>0</v>
      </c>
      <c r="BN387" s="449">
        <v>0</v>
      </c>
      <c r="BO387" s="449">
        <v>0</v>
      </c>
      <c r="BP387" s="449">
        <v>0</v>
      </c>
      <c r="BQ387" s="449">
        <v>0</v>
      </c>
      <c r="BR387" s="449">
        <v>0</v>
      </c>
      <c r="BS387" s="449">
        <v>0</v>
      </c>
      <c r="BT387" s="449">
        <v>0</v>
      </c>
    </row>
    <row r="388" spans="1:72" x14ac:dyDescent="0.25">
      <c r="A388" s="502" t="s">
        <v>641</v>
      </c>
      <c r="B388" s="502" t="s">
        <v>642</v>
      </c>
      <c r="C388" s="541"/>
      <c r="D388" s="500">
        <v>7535</v>
      </c>
      <c r="E388" s="449">
        <v>14157</v>
      </c>
      <c r="F388" s="449">
        <v>-6622</v>
      </c>
      <c r="G388" s="421">
        <v>-0.46775446775446777</v>
      </c>
      <c r="H388" s="449">
        <v>7535</v>
      </c>
      <c r="I388" s="449">
        <v>0</v>
      </c>
      <c r="J388" s="426">
        <v>0</v>
      </c>
      <c r="K388" s="421"/>
      <c r="L388" s="449">
        <v>0</v>
      </c>
      <c r="M388" s="449">
        <v>2291.71</v>
      </c>
      <c r="N388" s="449">
        <v>430.05999999999995</v>
      </c>
      <c r="O388" s="449">
        <v>579.61999999999989</v>
      </c>
      <c r="P388" s="449">
        <v>579.62000000000035</v>
      </c>
      <c r="Q388" s="449">
        <v>724.52999999999975</v>
      </c>
      <c r="R388" s="449">
        <v>488.24333333333334</v>
      </c>
      <c r="S388" s="449">
        <v>488.24333333333345</v>
      </c>
      <c r="T388" s="449">
        <v>488.24333333333334</v>
      </c>
      <c r="U388" s="449">
        <v>488.24333333333317</v>
      </c>
      <c r="V388" s="449">
        <v>488.24333333333334</v>
      </c>
      <c r="W388" s="449">
        <v>488.24333333333379</v>
      </c>
      <c r="X388" s="449"/>
      <c r="Y388" s="449">
        <v>7535</v>
      </c>
      <c r="Z388" s="531"/>
      <c r="AA388" s="449">
        <v>627.91666666666663</v>
      </c>
      <c r="AB388" s="449">
        <v>627.91666666666663</v>
      </c>
      <c r="AC388" s="449">
        <v>627.91666666666663</v>
      </c>
      <c r="AD388" s="449">
        <v>627.91666666666663</v>
      </c>
      <c r="AE388" s="449">
        <v>627.91666666666663</v>
      </c>
      <c r="AF388" s="449">
        <v>627.91666666666663</v>
      </c>
      <c r="AG388" s="449">
        <v>627.91666666666663</v>
      </c>
      <c r="AH388" s="449">
        <v>627.91666666666663</v>
      </c>
      <c r="AI388" s="449">
        <v>627.91666666666663</v>
      </c>
      <c r="AJ388" s="449">
        <v>627.91666666666663</v>
      </c>
      <c r="AK388" s="449">
        <v>627.91666666666663</v>
      </c>
      <c r="AL388" s="449">
        <v>627.91666666666663</v>
      </c>
      <c r="AM388" s="400"/>
      <c r="AN388" s="500">
        <v>7535</v>
      </c>
      <c r="AO388" s="449">
        <v>9156.25</v>
      </c>
      <c r="AP388" s="449">
        <v>1621.25</v>
      </c>
      <c r="AQ388" s="453">
        <v>0.21516257465162575</v>
      </c>
      <c r="AR388" s="449">
        <v>9156.25</v>
      </c>
      <c r="AS388" s="449">
        <v>0</v>
      </c>
      <c r="AT388" s="426">
        <v>0</v>
      </c>
      <c r="AU388" s="421"/>
      <c r="AV388" s="449">
        <v>763.02083333333337</v>
      </c>
      <c r="AW388" s="449">
        <v>763.02083333333337</v>
      </c>
      <c r="AX388" s="449">
        <v>763.02083333333337</v>
      </c>
      <c r="AY388" s="449">
        <v>763.02083333333337</v>
      </c>
      <c r="AZ388" s="449">
        <v>763.02083333333337</v>
      </c>
      <c r="BA388" s="449">
        <v>763.02083333333337</v>
      </c>
      <c r="BB388" s="449">
        <v>763.02083333333337</v>
      </c>
      <c r="BC388" s="449">
        <v>763.02083333333337</v>
      </c>
      <c r="BD388" s="449">
        <v>763.02083333333337</v>
      </c>
      <c r="BE388" s="449">
        <v>763.02083333333337</v>
      </c>
      <c r="BF388" s="449">
        <v>763.02083333333337</v>
      </c>
      <c r="BG388" s="449">
        <v>763.02083333333337</v>
      </c>
      <c r="BH388" s="400"/>
      <c r="BI388" s="449">
        <v>763.02083333333337</v>
      </c>
      <c r="BJ388" s="449">
        <v>763.02083333333337</v>
      </c>
      <c r="BK388" s="449">
        <v>763.02083333333337</v>
      </c>
      <c r="BL388" s="771">
        <v>763.02083333333337</v>
      </c>
      <c r="BM388" s="449">
        <v>763.02083333333337</v>
      </c>
      <c r="BN388" s="449">
        <v>763.02083333333337</v>
      </c>
      <c r="BO388" s="449">
        <v>763.02083333333337</v>
      </c>
      <c r="BP388" s="449">
        <v>763.02083333333337</v>
      </c>
      <c r="BQ388" s="449">
        <v>763.02083333333337</v>
      </c>
      <c r="BR388" s="449">
        <v>763.02083333333337</v>
      </c>
      <c r="BS388" s="449">
        <v>763.02083333333337</v>
      </c>
      <c r="BT388" s="449">
        <v>763.02083333333337</v>
      </c>
    </row>
    <row r="389" spans="1:72" x14ac:dyDescent="0.25">
      <c r="A389" s="502" t="s">
        <v>643</v>
      </c>
      <c r="B389" s="502" t="s">
        <v>644</v>
      </c>
      <c r="C389" s="541"/>
      <c r="D389" s="500">
        <v>13167</v>
      </c>
      <c r="E389" s="449">
        <v>4332</v>
      </c>
      <c r="F389" s="449">
        <v>8835</v>
      </c>
      <c r="G389" s="421">
        <v>2.0394736842105261</v>
      </c>
      <c r="H389" s="449">
        <v>13167</v>
      </c>
      <c r="I389" s="449">
        <v>0</v>
      </c>
      <c r="J389" s="426">
        <v>0</v>
      </c>
      <c r="K389" s="421"/>
      <c r="L389" s="449">
        <v>0</v>
      </c>
      <c r="M389" s="449">
        <v>1067.72</v>
      </c>
      <c r="N389" s="449">
        <v>874.11999999999989</v>
      </c>
      <c r="O389" s="449">
        <v>6282.2999999999993</v>
      </c>
      <c r="P389" s="449">
        <v>1424.92</v>
      </c>
      <c r="Q389" s="449">
        <v>834.52000000000044</v>
      </c>
      <c r="R389" s="449">
        <v>447.23666666666668</v>
      </c>
      <c r="S389" s="449">
        <v>447.23666666666685</v>
      </c>
      <c r="T389" s="449">
        <v>447.23666666666668</v>
      </c>
      <c r="U389" s="449">
        <v>447.23666666666639</v>
      </c>
      <c r="V389" s="449">
        <v>447.23666666666668</v>
      </c>
      <c r="W389" s="449">
        <v>447.23666666666759</v>
      </c>
      <c r="X389" s="449"/>
      <c r="Y389" s="449">
        <v>13167</v>
      </c>
      <c r="Z389" s="531"/>
      <c r="AA389" s="449">
        <v>1097.25</v>
      </c>
      <c r="AB389" s="449">
        <v>1097.25</v>
      </c>
      <c r="AC389" s="449">
        <v>1097.25</v>
      </c>
      <c r="AD389" s="449">
        <v>1097.25</v>
      </c>
      <c r="AE389" s="449">
        <v>1097.25</v>
      </c>
      <c r="AF389" s="449">
        <v>1097.25</v>
      </c>
      <c r="AG389" s="449">
        <v>1097.25</v>
      </c>
      <c r="AH389" s="449">
        <v>1097.25</v>
      </c>
      <c r="AI389" s="449">
        <v>1097.25</v>
      </c>
      <c r="AJ389" s="449">
        <v>1097.25</v>
      </c>
      <c r="AK389" s="449">
        <v>1097.25</v>
      </c>
      <c r="AL389" s="449">
        <v>1097.25</v>
      </c>
      <c r="AM389" s="400"/>
      <c r="AN389" s="500">
        <v>13167</v>
      </c>
      <c r="AO389" s="449">
        <v>15031.100000000004</v>
      </c>
      <c r="AP389" s="449">
        <v>1864.100000000004</v>
      </c>
      <c r="AQ389" s="453">
        <v>0.14157363104731557</v>
      </c>
      <c r="AR389" s="449">
        <v>15031.100000000004</v>
      </c>
      <c r="AS389" s="449">
        <v>0</v>
      </c>
      <c r="AT389" s="426">
        <v>0</v>
      </c>
      <c r="AU389" s="421"/>
      <c r="AV389" s="449">
        <v>1252.5916666666669</v>
      </c>
      <c r="AW389" s="449">
        <v>1252.5916666666669</v>
      </c>
      <c r="AX389" s="449">
        <v>1252.5916666666669</v>
      </c>
      <c r="AY389" s="449">
        <v>1252.5916666666669</v>
      </c>
      <c r="AZ389" s="449">
        <v>1252.5916666666669</v>
      </c>
      <c r="BA389" s="449">
        <v>1252.5916666666669</v>
      </c>
      <c r="BB389" s="449">
        <v>1252.5916666666669</v>
      </c>
      <c r="BC389" s="449">
        <v>1252.5916666666669</v>
      </c>
      <c r="BD389" s="449">
        <v>1252.5916666666669</v>
      </c>
      <c r="BE389" s="449">
        <v>1252.5916666666669</v>
      </c>
      <c r="BF389" s="449">
        <v>1252.5916666666669</v>
      </c>
      <c r="BG389" s="449">
        <v>1252.5916666666669</v>
      </c>
      <c r="BH389" s="400"/>
      <c r="BI389" s="449">
        <v>1252.5916666666669</v>
      </c>
      <c r="BJ389" s="449">
        <v>1252.5916666666669</v>
      </c>
      <c r="BK389" s="449">
        <v>1252.5916666666669</v>
      </c>
      <c r="BL389" s="771">
        <v>1252.5916666666669</v>
      </c>
      <c r="BM389" s="449">
        <v>1252.5916666666669</v>
      </c>
      <c r="BN389" s="449">
        <v>1252.5916666666669</v>
      </c>
      <c r="BO389" s="449">
        <v>1252.5916666666669</v>
      </c>
      <c r="BP389" s="449">
        <v>1252.5916666666669</v>
      </c>
      <c r="BQ389" s="449">
        <v>1252.5916666666669</v>
      </c>
      <c r="BR389" s="449">
        <v>1252.5916666666669</v>
      </c>
      <c r="BS389" s="449">
        <v>1252.5916666666669</v>
      </c>
      <c r="BT389" s="449">
        <v>1252.5916666666669</v>
      </c>
    </row>
    <row r="390" spans="1:72" x14ac:dyDescent="0.25">
      <c r="A390" s="502" t="s">
        <v>645</v>
      </c>
      <c r="B390" s="502" t="s">
        <v>646</v>
      </c>
      <c r="C390" s="541"/>
      <c r="D390" s="500">
        <v>3940</v>
      </c>
      <c r="E390" s="449">
        <v>3940</v>
      </c>
      <c r="F390" s="449">
        <v>0</v>
      </c>
      <c r="G390" s="421">
        <v>0</v>
      </c>
      <c r="H390" s="449">
        <v>3940</v>
      </c>
      <c r="I390" s="449">
        <v>0</v>
      </c>
      <c r="J390" s="426">
        <v>0</v>
      </c>
      <c r="K390" s="421"/>
      <c r="L390" s="449">
        <v>0</v>
      </c>
      <c r="M390" s="449">
        <v>666.78</v>
      </c>
      <c r="N390" s="449">
        <v>318.23</v>
      </c>
      <c r="O390" s="449">
        <v>303.07999999999993</v>
      </c>
      <c r="P390" s="449">
        <v>303.08000000000015</v>
      </c>
      <c r="Q390" s="449">
        <v>378.84999999999991</v>
      </c>
      <c r="R390" s="449">
        <v>328.33</v>
      </c>
      <c r="S390" s="449">
        <v>328.33000000000004</v>
      </c>
      <c r="T390" s="449">
        <v>328.33000000000004</v>
      </c>
      <c r="U390" s="449">
        <v>328.3300000000001</v>
      </c>
      <c r="V390" s="449">
        <v>328.33000000000015</v>
      </c>
      <c r="W390" s="449">
        <v>328.32999999999993</v>
      </c>
      <c r="X390" s="449"/>
      <c r="Y390" s="449">
        <v>3940</v>
      </c>
      <c r="Z390" s="531"/>
      <c r="AA390" s="449">
        <v>328.33333333333331</v>
      </c>
      <c r="AB390" s="449">
        <v>328.33333333333331</v>
      </c>
      <c r="AC390" s="449">
        <v>328.33333333333331</v>
      </c>
      <c r="AD390" s="449">
        <v>328.33333333333331</v>
      </c>
      <c r="AE390" s="449">
        <v>328.33333333333331</v>
      </c>
      <c r="AF390" s="449">
        <v>328.33333333333331</v>
      </c>
      <c r="AG390" s="449">
        <v>328.33333333333331</v>
      </c>
      <c r="AH390" s="449">
        <v>328.33333333333331</v>
      </c>
      <c r="AI390" s="449">
        <v>328.33333333333331</v>
      </c>
      <c r="AJ390" s="449">
        <v>328.33333333333331</v>
      </c>
      <c r="AK390" s="449">
        <v>328.33333333333331</v>
      </c>
      <c r="AL390" s="449">
        <v>328.33333333333331</v>
      </c>
      <c r="AM390" s="400"/>
      <c r="AN390" s="500">
        <v>3940</v>
      </c>
      <c r="AO390" s="449">
        <v>3940.0000000000005</v>
      </c>
      <c r="AP390" s="449">
        <v>4.5474735088646412E-13</v>
      </c>
      <c r="AQ390" s="453">
        <v>1.1541810936204674E-16</v>
      </c>
      <c r="AR390" s="449">
        <v>3940.0000000000005</v>
      </c>
      <c r="AS390" s="449">
        <v>0</v>
      </c>
      <c r="AT390" s="426">
        <v>0</v>
      </c>
      <c r="AU390" s="421"/>
      <c r="AV390" s="449">
        <v>328.33333333333331</v>
      </c>
      <c r="AW390" s="449">
        <v>328.33333333333331</v>
      </c>
      <c r="AX390" s="449">
        <v>328.33333333333331</v>
      </c>
      <c r="AY390" s="449">
        <v>328.33333333333331</v>
      </c>
      <c r="AZ390" s="449">
        <v>328.33333333333331</v>
      </c>
      <c r="BA390" s="449">
        <v>328.33333333333331</v>
      </c>
      <c r="BB390" s="449">
        <v>328.33333333333331</v>
      </c>
      <c r="BC390" s="449">
        <v>328.33333333333331</v>
      </c>
      <c r="BD390" s="449">
        <v>328.33333333333331</v>
      </c>
      <c r="BE390" s="449">
        <v>328.33333333333331</v>
      </c>
      <c r="BF390" s="449">
        <v>328.33333333333331</v>
      </c>
      <c r="BG390" s="449">
        <v>328.33333333333331</v>
      </c>
      <c r="BH390" s="400"/>
      <c r="BI390" s="449">
        <v>328.33333333333331</v>
      </c>
      <c r="BJ390" s="449">
        <v>328.33333333333331</v>
      </c>
      <c r="BK390" s="449">
        <v>328.33333333333331</v>
      </c>
      <c r="BL390" s="771">
        <v>328.33333333333331</v>
      </c>
      <c r="BM390" s="449">
        <v>328.33333333333331</v>
      </c>
      <c r="BN390" s="449">
        <v>328.33333333333331</v>
      </c>
      <c r="BO390" s="449">
        <v>328.33333333333331</v>
      </c>
      <c r="BP390" s="449">
        <v>328.33333333333331</v>
      </c>
      <c r="BQ390" s="449">
        <v>328.33333333333331</v>
      </c>
      <c r="BR390" s="449">
        <v>328.33333333333331</v>
      </c>
      <c r="BS390" s="449">
        <v>328.33333333333331</v>
      </c>
      <c r="BT390" s="449">
        <v>328.33333333333331</v>
      </c>
    </row>
    <row r="391" spans="1:72" x14ac:dyDescent="0.25">
      <c r="A391" s="502" t="s">
        <v>647</v>
      </c>
      <c r="B391" s="502" t="s">
        <v>648</v>
      </c>
      <c r="C391" s="630"/>
      <c r="D391" s="500">
        <v>63750</v>
      </c>
      <c r="E391" s="449">
        <v>64298</v>
      </c>
      <c r="F391" s="449">
        <v>-548</v>
      </c>
      <c r="G391" s="421">
        <v>-8.5228156396777513E-3</v>
      </c>
      <c r="H391" s="449">
        <v>63750</v>
      </c>
      <c r="I391" s="449">
        <v>0</v>
      </c>
      <c r="J391" s="426">
        <v>0</v>
      </c>
      <c r="K391" s="421"/>
      <c r="L391" s="449">
        <v>4903.84</v>
      </c>
      <c r="M391" s="449">
        <v>9480.77</v>
      </c>
      <c r="N391" s="449">
        <v>6865.380000000001</v>
      </c>
      <c r="O391" s="449">
        <v>6538.4599999999991</v>
      </c>
      <c r="P391" s="449">
        <v>-2043.2674999999981</v>
      </c>
      <c r="Q391" s="449">
        <v>16754.807499999995</v>
      </c>
      <c r="R391" s="449">
        <v>3541.6683333333335</v>
      </c>
      <c r="S391" s="449">
        <v>3541.6683333333335</v>
      </c>
      <c r="T391" s="449">
        <v>3541.6683333333331</v>
      </c>
      <c r="U391" s="449">
        <v>3541.6683333333326</v>
      </c>
      <c r="V391" s="449">
        <v>3541.6683333333312</v>
      </c>
      <c r="W391" s="449">
        <v>3541.6683333333349</v>
      </c>
      <c r="X391" s="449"/>
      <c r="Y391" s="449">
        <v>63750</v>
      </c>
      <c r="Z391" s="531"/>
      <c r="AA391" s="449">
        <v>5312.5</v>
      </c>
      <c r="AB391" s="449">
        <v>5312.5</v>
      </c>
      <c r="AC391" s="449">
        <v>5312.5</v>
      </c>
      <c r="AD391" s="449">
        <v>5312.5</v>
      </c>
      <c r="AE391" s="449">
        <v>5312.5</v>
      </c>
      <c r="AF391" s="449">
        <v>5312.5</v>
      </c>
      <c r="AG391" s="449">
        <v>5312.5</v>
      </c>
      <c r="AH391" s="449">
        <v>5312.5</v>
      </c>
      <c r="AI391" s="449">
        <v>5312.5</v>
      </c>
      <c r="AJ391" s="449">
        <v>5312.5</v>
      </c>
      <c r="AK391" s="449">
        <v>5312.5</v>
      </c>
      <c r="AL391" s="449">
        <v>5312.5</v>
      </c>
      <c r="AM391" s="400"/>
      <c r="AN391" s="500">
        <v>63750</v>
      </c>
      <c r="AO391" s="449">
        <v>52530</v>
      </c>
      <c r="AP391" s="449">
        <v>-11220</v>
      </c>
      <c r="AQ391" s="453">
        <v>-0.17599999999999999</v>
      </c>
      <c r="AR391" s="449">
        <v>52530</v>
      </c>
      <c r="AS391" s="449">
        <v>0</v>
      </c>
      <c r="AT391" s="426">
        <v>0</v>
      </c>
      <c r="AU391" s="421"/>
      <c r="AV391" s="449">
        <v>4377.5</v>
      </c>
      <c r="AW391" s="449">
        <v>4377.5</v>
      </c>
      <c r="AX391" s="449">
        <v>4377.5</v>
      </c>
      <c r="AY391" s="449">
        <v>4377.5</v>
      </c>
      <c r="AZ391" s="449">
        <v>4377.5</v>
      </c>
      <c r="BA391" s="449">
        <v>4377.5</v>
      </c>
      <c r="BB391" s="449">
        <v>4377.5</v>
      </c>
      <c r="BC391" s="449">
        <v>4377.5</v>
      </c>
      <c r="BD391" s="449">
        <v>4377.5</v>
      </c>
      <c r="BE391" s="449">
        <v>4377.5</v>
      </c>
      <c r="BF391" s="449">
        <v>4377.5</v>
      </c>
      <c r="BG391" s="449">
        <v>4377.5</v>
      </c>
      <c r="BH391" s="400"/>
      <c r="BI391" s="449">
        <v>4377.5</v>
      </c>
      <c r="BJ391" s="449">
        <v>4377.5</v>
      </c>
      <c r="BK391" s="449">
        <v>4377.5</v>
      </c>
      <c r="BL391" s="771">
        <v>4377.5</v>
      </c>
      <c r="BM391" s="449">
        <v>4377.5</v>
      </c>
      <c r="BN391" s="449">
        <v>4377.5</v>
      </c>
      <c r="BO391" s="449">
        <v>4377.5</v>
      </c>
      <c r="BP391" s="449">
        <v>4377.5</v>
      </c>
      <c r="BQ391" s="449">
        <v>4377.5</v>
      </c>
      <c r="BR391" s="449">
        <v>4377.5</v>
      </c>
      <c r="BS391" s="449">
        <v>4377.5</v>
      </c>
      <c r="BT391" s="449">
        <v>4377.5</v>
      </c>
    </row>
    <row r="392" spans="1:72" x14ac:dyDescent="0.25">
      <c r="A392" s="502" t="s">
        <v>649</v>
      </c>
      <c r="B392" s="502" t="s">
        <v>650</v>
      </c>
      <c r="C392" s="630"/>
      <c r="D392" s="500">
        <v>21250</v>
      </c>
      <c r="E392" s="449">
        <v>21433</v>
      </c>
      <c r="F392" s="449">
        <v>-183</v>
      </c>
      <c r="G392" s="421">
        <v>-8.5382354313441895E-3</v>
      </c>
      <c r="H392" s="449">
        <v>21250</v>
      </c>
      <c r="I392" s="449">
        <v>0</v>
      </c>
      <c r="J392" s="426">
        <v>0</v>
      </c>
      <c r="K392" s="421"/>
      <c r="L392" s="449">
        <v>0</v>
      </c>
      <c r="M392" s="449">
        <v>0</v>
      </c>
      <c r="N392" s="449">
        <v>0</v>
      </c>
      <c r="O392" s="449">
        <v>0</v>
      </c>
      <c r="P392" s="449">
        <v>8581.7275000000009</v>
      </c>
      <c r="Q392" s="449">
        <v>-8581.7275000000009</v>
      </c>
      <c r="R392" s="449">
        <v>3541.6666666666665</v>
      </c>
      <c r="S392" s="449">
        <v>3541.6666666666665</v>
      </c>
      <c r="T392" s="449">
        <v>3541.666666666667</v>
      </c>
      <c r="U392" s="449">
        <v>3541.6666666666665</v>
      </c>
      <c r="V392" s="449">
        <v>3541.666666666667</v>
      </c>
      <c r="W392" s="449">
        <v>3541.6666666666679</v>
      </c>
      <c r="X392" s="449"/>
      <c r="Y392" s="449">
        <v>21250</v>
      </c>
      <c r="Z392" s="531"/>
      <c r="AA392" s="449">
        <v>1770.8333333333333</v>
      </c>
      <c r="AB392" s="449">
        <v>1770.8333333333333</v>
      </c>
      <c r="AC392" s="449">
        <v>1770.8333333333333</v>
      </c>
      <c r="AD392" s="449">
        <v>1770.8333333333333</v>
      </c>
      <c r="AE392" s="449">
        <v>1770.8333333333333</v>
      </c>
      <c r="AF392" s="449">
        <v>1770.8333333333333</v>
      </c>
      <c r="AG392" s="449">
        <v>1770.8333333333333</v>
      </c>
      <c r="AH392" s="449">
        <v>1770.8333333333333</v>
      </c>
      <c r="AI392" s="449">
        <v>1770.8333333333333</v>
      </c>
      <c r="AJ392" s="449">
        <v>1770.8333333333333</v>
      </c>
      <c r="AK392" s="449">
        <v>1770.8333333333333</v>
      </c>
      <c r="AL392" s="449">
        <v>1770.8333333333333</v>
      </c>
      <c r="AM392" s="400"/>
      <c r="AN392" s="500">
        <v>21250</v>
      </c>
      <c r="AO392" s="449">
        <v>35019.999999999993</v>
      </c>
      <c r="AP392" s="449">
        <v>13769.999999999993</v>
      </c>
      <c r="AQ392" s="453">
        <v>0.64799999999999969</v>
      </c>
      <c r="AR392" s="449">
        <v>35019.999999999993</v>
      </c>
      <c r="AS392" s="449">
        <v>0</v>
      </c>
      <c r="AT392" s="426">
        <v>0</v>
      </c>
      <c r="AU392" s="421"/>
      <c r="AV392" s="449">
        <v>2918.3333333333335</v>
      </c>
      <c r="AW392" s="449">
        <v>2918.3333333333335</v>
      </c>
      <c r="AX392" s="449">
        <v>2918.3333333333335</v>
      </c>
      <c r="AY392" s="449">
        <v>2918.3333333333335</v>
      </c>
      <c r="AZ392" s="449">
        <v>2918.3333333333335</v>
      </c>
      <c r="BA392" s="449">
        <v>2918.3333333333335</v>
      </c>
      <c r="BB392" s="449">
        <v>2918.3333333333335</v>
      </c>
      <c r="BC392" s="449">
        <v>2918.3333333333335</v>
      </c>
      <c r="BD392" s="449">
        <v>2918.3333333333335</v>
      </c>
      <c r="BE392" s="449">
        <v>2918.3333333333335</v>
      </c>
      <c r="BF392" s="449">
        <v>2918.3333333333335</v>
      </c>
      <c r="BG392" s="449">
        <v>2918.3333333333335</v>
      </c>
      <c r="BH392" s="400"/>
      <c r="BI392" s="449">
        <v>2918.3333333333335</v>
      </c>
      <c r="BJ392" s="449">
        <v>2918.3333333333335</v>
      </c>
      <c r="BK392" s="449">
        <v>2918.3333333333335</v>
      </c>
      <c r="BL392" s="771">
        <v>2918.3333333333335</v>
      </c>
      <c r="BM392" s="449">
        <v>2918.3333333333335</v>
      </c>
      <c r="BN392" s="449">
        <v>2918.3333333333335</v>
      </c>
      <c r="BO392" s="449">
        <v>2918.3333333333335</v>
      </c>
      <c r="BP392" s="449">
        <v>2918.3333333333335</v>
      </c>
      <c r="BQ392" s="449">
        <v>2918.3333333333335</v>
      </c>
      <c r="BR392" s="449">
        <v>2918.3333333333335</v>
      </c>
      <c r="BS392" s="449">
        <v>2918.3333333333335</v>
      </c>
      <c r="BT392" s="449">
        <v>2918.3333333333335</v>
      </c>
    </row>
    <row r="393" spans="1:72" x14ac:dyDescent="0.25">
      <c r="A393" s="537" t="s">
        <v>651</v>
      </c>
      <c r="B393" s="537" t="s">
        <v>652</v>
      </c>
      <c r="C393" s="630"/>
      <c r="D393" s="500">
        <v>0</v>
      </c>
      <c r="E393" s="449">
        <v>0</v>
      </c>
      <c r="F393" s="449">
        <v>0</v>
      </c>
      <c r="G393" s="421">
        <v>0</v>
      </c>
      <c r="H393" s="449">
        <v>0</v>
      </c>
      <c r="I393" s="449">
        <v>0</v>
      </c>
      <c r="J393" s="426">
        <v>0</v>
      </c>
      <c r="K393" s="421"/>
      <c r="L393" s="449">
        <v>0</v>
      </c>
      <c r="M393" s="449">
        <v>0</v>
      </c>
      <c r="N393" s="449">
        <v>0</v>
      </c>
      <c r="O393" s="449">
        <v>0</v>
      </c>
      <c r="P393" s="449">
        <v>0</v>
      </c>
      <c r="Q393" s="449">
        <v>0</v>
      </c>
      <c r="R393" s="449">
        <v>0</v>
      </c>
      <c r="S393" s="449">
        <v>0</v>
      </c>
      <c r="T393" s="449">
        <v>0</v>
      </c>
      <c r="U393" s="449">
        <v>0</v>
      </c>
      <c r="V393" s="449">
        <v>0</v>
      </c>
      <c r="W393" s="449">
        <v>0</v>
      </c>
      <c r="X393" s="449"/>
      <c r="Y393" s="449">
        <v>0</v>
      </c>
      <c r="Z393" s="531"/>
      <c r="AA393" s="449">
        <v>0</v>
      </c>
      <c r="AB393" s="449">
        <v>0</v>
      </c>
      <c r="AC393" s="449">
        <v>0</v>
      </c>
      <c r="AD393" s="449">
        <v>0</v>
      </c>
      <c r="AE393" s="449">
        <v>0</v>
      </c>
      <c r="AF393" s="449">
        <v>0</v>
      </c>
      <c r="AG393" s="449">
        <v>0</v>
      </c>
      <c r="AH393" s="449">
        <v>0</v>
      </c>
      <c r="AI393" s="449">
        <v>0</v>
      </c>
      <c r="AJ393" s="449">
        <v>0</v>
      </c>
      <c r="AK393" s="449">
        <v>0</v>
      </c>
      <c r="AL393" s="449">
        <v>0</v>
      </c>
      <c r="AM393" s="400"/>
      <c r="AN393" s="500">
        <v>0</v>
      </c>
      <c r="AO393" s="449">
        <v>3000</v>
      </c>
      <c r="AP393" s="449">
        <v>3000</v>
      </c>
      <c r="AQ393" s="453" t="s">
        <v>1519</v>
      </c>
      <c r="AR393" s="449">
        <v>3000</v>
      </c>
      <c r="AS393" s="449">
        <v>0</v>
      </c>
      <c r="AT393" s="426">
        <v>0</v>
      </c>
      <c r="AU393" s="421"/>
      <c r="AV393" s="449">
        <v>0</v>
      </c>
      <c r="AW393" s="449">
        <v>0</v>
      </c>
      <c r="AX393" s="449">
        <v>0</v>
      </c>
      <c r="AY393" s="449">
        <v>3000</v>
      </c>
      <c r="AZ393" s="449">
        <v>0</v>
      </c>
      <c r="BA393" s="449">
        <v>0</v>
      </c>
      <c r="BB393" s="449">
        <v>0</v>
      </c>
      <c r="BC393" s="449">
        <v>0</v>
      </c>
      <c r="BD393" s="449">
        <v>0</v>
      </c>
      <c r="BE393" s="449">
        <v>0</v>
      </c>
      <c r="BF393" s="449">
        <v>0</v>
      </c>
      <c r="BG393" s="449">
        <v>0</v>
      </c>
      <c r="BH393" s="400"/>
      <c r="BI393" s="449">
        <v>0</v>
      </c>
      <c r="BJ393" s="449">
        <v>0</v>
      </c>
      <c r="BK393" s="449">
        <v>0</v>
      </c>
      <c r="BL393" s="771">
        <v>3000</v>
      </c>
      <c r="BM393" s="449">
        <v>0</v>
      </c>
      <c r="BN393" s="449">
        <v>0</v>
      </c>
      <c r="BO393" s="449">
        <v>0</v>
      </c>
      <c r="BP393" s="449">
        <v>0</v>
      </c>
      <c r="BQ393" s="449">
        <v>0</v>
      </c>
      <c r="BR393" s="449">
        <v>0</v>
      </c>
      <c r="BS393" s="449">
        <v>0</v>
      </c>
      <c r="BT393" s="449">
        <v>0</v>
      </c>
    </row>
    <row r="394" spans="1:72" x14ac:dyDescent="0.25">
      <c r="A394" s="537" t="s">
        <v>653</v>
      </c>
      <c r="B394" s="537" t="s">
        <v>654</v>
      </c>
      <c r="C394" s="630"/>
      <c r="D394" s="500">
        <v>0</v>
      </c>
      <c r="E394" s="449">
        <v>0</v>
      </c>
      <c r="F394" s="449">
        <v>0</v>
      </c>
      <c r="G394" s="421">
        <v>0</v>
      </c>
      <c r="H394" s="449">
        <v>0</v>
      </c>
      <c r="I394" s="449">
        <v>0</v>
      </c>
      <c r="J394" s="426">
        <v>0</v>
      </c>
      <c r="K394" s="421"/>
      <c r="L394" s="449">
        <v>0</v>
      </c>
      <c r="M394" s="449">
        <v>0</v>
      </c>
      <c r="N394" s="449">
        <v>0</v>
      </c>
      <c r="O394" s="449">
        <v>0</v>
      </c>
      <c r="P394" s="449">
        <v>0</v>
      </c>
      <c r="Q394" s="449">
        <v>0</v>
      </c>
      <c r="R394" s="449">
        <v>0</v>
      </c>
      <c r="S394" s="449">
        <v>0</v>
      </c>
      <c r="T394" s="449">
        <v>0</v>
      </c>
      <c r="U394" s="449">
        <v>0</v>
      </c>
      <c r="V394" s="449">
        <v>0</v>
      </c>
      <c r="W394" s="449">
        <v>0</v>
      </c>
      <c r="X394" s="449"/>
      <c r="Y394" s="449">
        <v>0</v>
      </c>
      <c r="Z394" s="531"/>
      <c r="AA394" s="449">
        <v>0</v>
      </c>
      <c r="AB394" s="449">
        <v>0</v>
      </c>
      <c r="AC394" s="449">
        <v>0</v>
      </c>
      <c r="AD394" s="449">
        <v>0</v>
      </c>
      <c r="AE394" s="449">
        <v>0</v>
      </c>
      <c r="AF394" s="449">
        <v>0</v>
      </c>
      <c r="AG394" s="449">
        <v>0</v>
      </c>
      <c r="AH394" s="449">
        <v>0</v>
      </c>
      <c r="AI394" s="449">
        <v>0</v>
      </c>
      <c r="AJ394" s="449">
        <v>0</v>
      </c>
      <c r="AK394" s="449">
        <v>0</v>
      </c>
      <c r="AL394" s="449">
        <v>0</v>
      </c>
      <c r="AM394" s="400"/>
      <c r="AN394" s="500">
        <v>0</v>
      </c>
      <c r="AO394" s="449">
        <v>3000</v>
      </c>
      <c r="AP394" s="449">
        <v>3000</v>
      </c>
      <c r="AQ394" s="453" t="s">
        <v>1519</v>
      </c>
      <c r="AR394" s="449">
        <v>3000</v>
      </c>
      <c r="AS394" s="449">
        <v>0</v>
      </c>
      <c r="AT394" s="426">
        <v>0</v>
      </c>
      <c r="AU394" s="421"/>
      <c r="AV394" s="449">
        <v>0</v>
      </c>
      <c r="AW394" s="449">
        <v>0</v>
      </c>
      <c r="AX394" s="449">
        <v>0</v>
      </c>
      <c r="AY394" s="449">
        <v>3000</v>
      </c>
      <c r="AZ394" s="449">
        <v>0</v>
      </c>
      <c r="BA394" s="449">
        <v>0</v>
      </c>
      <c r="BB394" s="449">
        <v>0</v>
      </c>
      <c r="BC394" s="449">
        <v>0</v>
      </c>
      <c r="BD394" s="449">
        <v>0</v>
      </c>
      <c r="BE394" s="449">
        <v>0</v>
      </c>
      <c r="BF394" s="449">
        <v>0</v>
      </c>
      <c r="BG394" s="449">
        <v>0</v>
      </c>
      <c r="BH394" s="400"/>
      <c r="BI394" s="449">
        <v>0</v>
      </c>
      <c r="BJ394" s="449">
        <v>0</v>
      </c>
      <c r="BK394" s="449">
        <v>0</v>
      </c>
      <c r="BL394" s="771">
        <v>3000</v>
      </c>
      <c r="BM394" s="449">
        <v>0</v>
      </c>
      <c r="BN394" s="449">
        <v>0</v>
      </c>
      <c r="BO394" s="449">
        <v>0</v>
      </c>
      <c r="BP394" s="449">
        <v>0</v>
      </c>
      <c r="BQ394" s="449">
        <v>0</v>
      </c>
      <c r="BR394" s="449">
        <v>0</v>
      </c>
      <c r="BS394" s="449">
        <v>0</v>
      </c>
      <c r="BT394" s="449">
        <v>0</v>
      </c>
    </row>
    <row r="395" spans="1:72" x14ac:dyDescent="0.25">
      <c r="A395" s="502" t="s">
        <v>655</v>
      </c>
      <c r="B395" s="502" t="s">
        <v>656</v>
      </c>
      <c r="C395" s="541"/>
      <c r="D395" s="500">
        <v>6971</v>
      </c>
      <c r="E395" s="449">
        <v>7013</v>
      </c>
      <c r="F395" s="449">
        <v>-42</v>
      </c>
      <c r="G395" s="421">
        <v>-5.9888777983744474E-3</v>
      </c>
      <c r="H395" s="449">
        <v>6971</v>
      </c>
      <c r="I395" s="449">
        <v>0</v>
      </c>
      <c r="J395" s="426">
        <v>0</v>
      </c>
      <c r="K395" s="421"/>
      <c r="L395" s="449">
        <v>1552.37</v>
      </c>
      <c r="M395" s="449">
        <v>520.82999999999993</v>
      </c>
      <c r="N395" s="449">
        <v>390.40000000000009</v>
      </c>
      <c r="O395" s="449">
        <v>500.18000000000029</v>
      </c>
      <c r="P395" s="449">
        <v>500.17999999999984</v>
      </c>
      <c r="Q395" s="449">
        <v>625.23</v>
      </c>
      <c r="R395" s="449">
        <v>480.30166666666668</v>
      </c>
      <c r="S395" s="449">
        <v>480.30166666666662</v>
      </c>
      <c r="T395" s="449">
        <v>480.30166666666673</v>
      </c>
      <c r="U395" s="449">
        <v>480.3016666666669</v>
      </c>
      <c r="V395" s="449">
        <v>480.30166666666673</v>
      </c>
      <c r="W395" s="449">
        <v>480.30166666666628</v>
      </c>
      <c r="X395" s="449"/>
      <c r="Y395" s="449">
        <v>6971</v>
      </c>
      <c r="Z395" s="531"/>
      <c r="AA395" s="449">
        <v>580.91666666666663</v>
      </c>
      <c r="AB395" s="449">
        <v>580.91666666666663</v>
      </c>
      <c r="AC395" s="449">
        <v>580.91666666666663</v>
      </c>
      <c r="AD395" s="449">
        <v>580.91666666666663</v>
      </c>
      <c r="AE395" s="449">
        <v>580.91666666666663</v>
      </c>
      <c r="AF395" s="449">
        <v>580.91666666666663</v>
      </c>
      <c r="AG395" s="449">
        <v>580.91666666666663</v>
      </c>
      <c r="AH395" s="449">
        <v>580.91666666666663</v>
      </c>
      <c r="AI395" s="449">
        <v>580.91666666666663</v>
      </c>
      <c r="AJ395" s="449">
        <v>580.91666666666663</v>
      </c>
      <c r="AK395" s="449">
        <v>580.91666666666663</v>
      </c>
      <c r="AL395" s="449">
        <v>580.91666666666663</v>
      </c>
      <c r="AM395" s="400"/>
      <c r="AN395" s="500">
        <v>6971</v>
      </c>
      <c r="AO395" s="449">
        <v>4991.1500000000005</v>
      </c>
      <c r="AP395" s="449">
        <v>-1979.8499999999995</v>
      </c>
      <c r="AQ395" s="453">
        <v>-0.28401233682398502</v>
      </c>
      <c r="AR395" s="449">
        <v>4991.1500000000005</v>
      </c>
      <c r="AS395" s="449">
        <v>0</v>
      </c>
      <c r="AT395" s="426">
        <v>0</v>
      </c>
      <c r="AU395" s="421"/>
      <c r="AV395" s="449">
        <v>415.92916666666673</v>
      </c>
      <c r="AW395" s="449">
        <v>415.92916666666673</v>
      </c>
      <c r="AX395" s="449">
        <v>415.92916666666673</v>
      </c>
      <c r="AY395" s="449">
        <v>415.92916666666673</v>
      </c>
      <c r="AZ395" s="449">
        <v>415.92916666666673</v>
      </c>
      <c r="BA395" s="449">
        <v>415.92916666666673</v>
      </c>
      <c r="BB395" s="449">
        <v>415.92916666666673</v>
      </c>
      <c r="BC395" s="449">
        <v>415.92916666666673</v>
      </c>
      <c r="BD395" s="449">
        <v>415.92916666666673</v>
      </c>
      <c r="BE395" s="449">
        <v>415.92916666666673</v>
      </c>
      <c r="BF395" s="449">
        <v>415.92916666666673</v>
      </c>
      <c r="BG395" s="449">
        <v>415.92916666666673</v>
      </c>
      <c r="BH395" s="400"/>
      <c r="BI395" s="449">
        <v>415.92916666666673</v>
      </c>
      <c r="BJ395" s="449">
        <v>415.92916666666673</v>
      </c>
      <c r="BK395" s="449">
        <v>415.92916666666673</v>
      </c>
      <c r="BL395" s="771">
        <v>415.92916666666673</v>
      </c>
      <c r="BM395" s="449">
        <v>415.92916666666673</v>
      </c>
      <c r="BN395" s="449">
        <v>415.92916666666673</v>
      </c>
      <c r="BO395" s="449">
        <v>415.92916666666673</v>
      </c>
      <c r="BP395" s="449">
        <v>415.92916666666673</v>
      </c>
      <c r="BQ395" s="449">
        <v>415.92916666666673</v>
      </c>
      <c r="BR395" s="449">
        <v>415.92916666666673</v>
      </c>
      <c r="BS395" s="449">
        <v>415.92916666666673</v>
      </c>
      <c r="BT395" s="449">
        <v>415.92916666666673</v>
      </c>
    </row>
    <row r="396" spans="1:72" x14ac:dyDescent="0.25">
      <c r="A396" s="502" t="s">
        <v>657</v>
      </c>
      <c r="B396" s="502" t="s">
        <v>658</v>
      </c>
      <c r="C396" s="541"/>
      <c r="D396" s="500">
        <v>2324</v>
      </c>
      <c r="E396" s="449">
        <v>2338</v>
      </c>
      <c r="F396" s="449">
        <v>-14</v>
      </c>
      <c r="G396" s="421">
        <v>-5.9880239520958087E-3</v>
      </c>
      <c r="H396" s="449">
        <v>2324</v>
      </c>
      <c r="I396" s="449">
        <v>0</v>
      </c>
      <c r="J396" s="426">
        <v>0</v>
      </c>
      <c r="K396" s="421"/>
      <c r="L396" s="449">
        <v>0</v>
      </c>
      <c r="M396" s="449">
        <v>0</v>
      </c>
      <c r="N396" s="449">
        <v>0</v>
      </c>
      <c r="O396" s="449">
        <v>0</v>
      </c>
      <c r="P396" s="449">
        <v>0</v>
      </c>
      <c r="Q396" s="449">
        <v>0</v>
      </c>
      <c r="R396" s="449">
        <v>387.33333333333331</v>
      </c>
      <c r="S396" s="449">
        <v>387.33333333333337</v>
      </c>
      <c r="T396" s="449">
        <v>387.33333333333331</v>
      </c>
      <c r="U396" s="449">
        <v>387.33333333333331</v>
      </c>
      <c r="V396" s="449">
        <v>387.33333333333337</v>
      </c>
      <c r="W396" s="449">
        <v>387.33333333333348</v>
      </c>
      <c r="X396" s="449"/>
      <c r="Y396" s="449">
        <v>2324</v>
      </c>
      <c r="Z396" s="531"/>
      <c r="AA396" s="449">
        <v>193.66666666666666</v>
      </c>
      <c r="AB396" s="449">
        <v>193.66666666666666</v>
      </c>
      <c r="AC396" s="449">
        <v>193.66666666666666</v>
      </c>
      <c r="AD396" s="449">
        <v>193.66666666666666</v>
      </c>
      <c r="AE396" s="449">
        <v>193.66666666666666</v>
      </c>
      <c r="AF396" s="449">
        <v>193.66666666666666</v>
      </c>
      <c r="AG396" s="449">
        <v>193.66666666666666</v>
      </c>
      <c r="AH396" s="449">
        <v>193.66666666666666</v>
      </c>
      <c r="AI396" s="449">
        <v>193.66666666666666</v>
      </c>
      <c r="AJ396" s="449">
        <v>193.66666666666666</v>
      </c>
      <c r="AK396" s="449">
        <v>193.66666666666666</v>
      </c>
      <c r="AL396" s="449">
        <v>193.66666666666666</v>
      </c>
      <c r="AM396" s="400"/>
      <c r="AN396" s="500">
        <v>2324</v>
      </c>
      <c r="AO396" s="449">
        <v>3327.43</v>
      </c>
      <c r="AP396" s="449">
        <v>1003.4299999999998</v>
      </c>
      <c r="AQ396" s="453">
        <v>0.43176850258175553</v>
      </c>
      <c r="AR396" s="449">
        <v>3327.43</v>
      </c>
      <c r="AS396" s="449">
        <v>0</v>
      </c>
      <c r="AT396" s="426">
        <v>0</v>
      </c>
      <c r="AU396" s="421"/>
      <c r="AV396" s="449">
        <v>277.2858333333333</v>
      </c>
      <c r="AW396" s="449">
        <v>277.2858333333333</v>
      </c>
      <c r="AX396" s="449">
        <v>277.2858333333333</v>
      </c>
      <c r="AY396" s="449">
        <v>277.2858333333333</v>
      </c>
      <c r="AZ396" s="449">
        <v>277.2858333333333</v>
      </c>
      <c r="BA396" s="449">
        <v>277.2858333333333</v>
      </c>
      <c r="BB396" s="449">
        <v>277.2858333333333</v>
      </c>
      <c r="BC396" s="449">
        <v>277.2858333333333</v>
      </c>
      <c r="BD396" s="449">
        <v>277.2858333333333</v>
      </c>
      <c r="BE396" s="449">
        <v>277.2858333333333</v>
      </c>
      <c r="BF396" s="449">
        <v>277.2858333333333</v>
      </c>
      <c r="BG396" s="449">
        <v>277.2858333333333</v>
      </c>
      <c r="BH396" s="400"/>
      <c r="BI396" s="449">
        <v>277.2858333333333</v>
      </c>
      <c r="BJ396" s="449">
        <v>277.2858333333333</v>
      </c>
      <c r="BK396" s="449">
        <v>277.2858333333333</v>
      </c>
      <c r="BL396" s="771">
        <v>277.2858333333333</v>
      </c>
      <c r="BM396" s="449">
        <v>277.2858333333333</v>
      </c>
      <c r="BN396" s="449">
        <v>277.2858333333333</v>
      </c>
      <c r="BO396" s="449">
        <v>277.2858333333333</v>
      </c>
      <c r="BP396" s="449">
        <v>277.2858333333333</v>
      </c>
      <c r="BQ396" s="449">
        <v>277.2858333333333</v>
      </c>
      <c r="BR396" s="449">
        <v>277.2858333333333</v>
      </c>
      <c r="BS396" s="449">
        <v>277.2858333333333</v>
      </c>
      <c r="BT396" s="449">
        <v>277.2858333333333</v>
      </c>
    </row>
    <row r="397" spans="1:72" x14ac:dyDescent="0.25">
      <c r="A397" s="502" t="s">
        <v>659</v>
      </c>
      <c r="B397" s="502" t="s">
        <v>660</v>
      </c>
      <c r="C397" s="541"/>
      <c r="D397" s="500">
        <v>0</v>
      </c>
      <c r="E397" s="449">
        <v>6626</v>
      </c>
      <c r="F397" s="449">
        <v>-6626</v>
      </c>
      <c r="G397" s="421">
        <v>-1</v>
      </c>
      <c r="H397" s="449">
        <v>0</v>
      </c>
      <c r="I397" s="449">
        <v>0</v>
      </c>
      <c r="J397" s="426">
        <v>0</v>
      </c>
      <c r="K397" s="421"/>
      <c r="L397" s="449">
        <v>533.86</v>
      </c>
      <c r="M397" s="449">
        <v>-533.86</v>
      </c>
      <c r="N397" s="449">
        <v>0</v>
      </c>
      <c r="O397" s="449">
        <v>0</v>
      </c>
      <c r="P397" s="449">
        <v>0</v>
      </c>
      <c r="Q397" s="449">
        <v>0</v>
      </c>
      <c r="R397" s="449">
        <v>0</v>
      </c>
      <c r="S397" s="449">
        <v>0</v>
      </c>
      <c r="T397" s="449">
        <v>0</v>
      </c>
      <c r="U397" s="449">
        <v>0</v>
      </c>
      <c r="V397" s="449">
        <v>0</v>
      </c>
      <c r="W397" s="449">
        <v>0</v>
      </c>
      <c r="X397" s="449"/>
      <c r="Y397" s="449">
        <v>0</v>
      </c>
      <c r="Z397" s="531"/>
      <c r="AA397" s="449">
        <v>0</v>
      </c>
      <c r="AB397" s="449">
        <v>0</v>
      </c>
      <c r="AC397" s="449">
        <v>0</v>
      </c>
      <c r="AD397" s="449">
        <v>0</v>
      </c>
      <c r="AE397" s="449">
        <v>0</v>
      </c>
      <c r="AF397" s="449">
        <v>0</v>
      </c>
      <c r="AG397" s="449">
        <v>0</v>
      </c>
      <c r="AH397" s="449">
        <v>0</v>
      </c>
      <c r="AI397" s="449">
        <v>0</v>
      </c>
      <c r="AJ397" s="449">
        <v>0</v>
      </c>
      <c r="AK397" s="449">
        <v>0</v>
      </c>
      <c r="AL397" s="449">
        <v>0</v>
      </c>
      <c r="AM397" s="400"/>
      <c r="AN397" s="500">
        <v>0</v>
      </c>
      <c r="AO397" s="449">
        <v>8016.0780000000022</v>
      </c>
      <c r="AP397" s="449">
        <v>8016.0780000000022</v>
      </c>
      <c r="AQ397" s="453" t="s">
        <v>1519</v>
      </c>
      <c r="AR397" s="449">
        <v>8016.0780000000022</v>
      </c>
      <c r="AS397" s="449">
        <v>0</v>
      </c>
      <c r="AT397" s="426">
        <v>0</v>
      </c>
      <c r="AU397" s="421"/>
      <c r="AV397" s="449">
        <v>668.00650000000007</v>
      </c>
      <c r="AW397" s="449">
        <v>668.00650000000007</v>
      </c>
      <c r="AX397" s="449">
        <v>668.00650000000007</v>
      </c>
      <c r="AY397" s="449">
        <v>668.00650000000007</v>
      </c>
      <c r="AZ397" s="449">
        <v>668.00650000000007</v>
      </c>
      <c r="BA397" s="449">
        <v>668.00650000000007</v>
      </c>
      <c r="BB397" s="449">
        <v>668.00650000000007</v>
      </c>
      <c r="BC397" s="449">
        <v>668.00650000000007</v>
      </c>
      <c r="BD397" s="449">
        <v>668.00650000000007</v>
      </c>
      <c r="BE397" s="449">
        <v>668.00650000000007</v>
      </c>
      <c r="BF397" s="449">
        <v>668.00650000000007</v>
      </c>
      <c r="BG397" s="449">
        <v>668.00650000000007</v>
      </c>
      <c r="BH397" s="400"/>
      <c r="BI397" s="449">
        <v>668.00650000000007</v>
      </c>
      <c r="BJ397" s="449">
        <v>668.00650000000007</v>
      </c>
      <c r="BK397" s="449">
        <v>668.00650000000007</v>
      </c>
      <c r="BL397" s="771">
        <v>668.00650000000007</v>
      </c>
      <c r="BM397" s="449">
        <v>668.00650000000007</v>
      </c>
      <c r="BN397" s="449">
        <v>668.00650000000007</v>
      </c>
      <c r="BO397" s="449">
        <v>668.00650000000007</v>
      </c>
      <c r="BP397" s="449">
        <v>668.00650000000007</v>
      </c>
      <c r="BQ397" s="449">
        <v>668.00650000000007</v>
      </c>
      <c r="BR397" s="449">
        <v>668.00650000000007</v>
      </c>
      <c r="BS397" s="449">
        <v>668.00650000000007</v>
      </c>
      <c r="BT397" s="449">
        <v>668.00650000000007</v>
      </c>
    </row>
    <row r="398" spans="1:72" x14ac:dyDescent="0.25">
      <c r="A398" s="502" t="s">
        <v>661</v>
      </c>
      <c r="B398" s="502" t="s">
        <v>662</v>
      </c>
      <c r="C398" s="541"/>
      <c r="D398" s="500">
        <v>0</v>
      </c>
      <c r="E398" s="449">
        <v>2209</v>
      </c>
      <c r="F398" s="449">
        <v>-2209</v>
      </c>
      <c r="G398" s="421">
        <v>-1</v>
      </c>
      <c r="H398" s="449">
        <v>0</v>
      </c>
      <c r="I398" s="449">
        <v>0</v>
      </c>
      <c r="J398" s="426">
        <v>0</v>
      </c>
      <c r="K398" s="421"/>
      <c r="L398" s="449">
        <v>0</v>
      </c>
      <c r="M398" s="449">
        <v>0</v>
      </c>
      <c r="N398" s="449">
        <v>0</v>
      </c>
      <c r="O398" s="449">
        <v>0</v>
      </c>
      <c r="P398" s="449">
        <v>0</v>
      </c>
      <c r="Q398" s="449">
        <v>0</v>
      </c>
      <c r="R398" s="449">
        <v>0</v>
      </c>
      <c r="S398" s="449">
        <v>0</v>
      </c>
      <c r="T398" s="449">
        <v>0</v>
      </c>
      <c r="U398" s="449">
        <v>0</v>
      </c>
      <c r="V398" s="449">
        <v>0</v>
      </c>
      <c r="W398" s="449">
        <v>0</v>
      </c>
      <c r="X398" s="449"/>
      <c r="Y398" s="449">
        <v>0</v>
      </c>
      <c r="Z398" s="531"/>
      <c r="AA398" s="449">
        <v>0</v>
      </c>
      <c r="AB398" s="449">
        <v>0</v>
      </c>
      <c r="AC398" s="449">
        <v>0</v>
      </c>
      <c r="AD398" s="449">
        <v>0</v>
      </c>
      <c r="AE398" s="449">
        <v>0</v>
      </c>
      <c r="AF398" s="449">
        <v>0</v>
      </c>
      <c r="AG398" s="449">
        <v>0</v>
      </c>
      <c r="AH398" s="449">
        <v>0</v>
      </c>
      <c r="AI398" s="449">
        <v>0</v>
      </c>
      <c r="AJ398" s="449">
        <v>0</v>
      </c>
      <c r="AK398" s="449">
        <v>0</v>
      </c>
      <c r="AL398" s="449">
        <v>0</v>
      </c>
      <c r="AM398" s="400"/>
      <c r="AN398" s="500">
        <v>0</v>
      </c>
      <c r="AO398" s="449">
        <v>5344.0519999999997</v>
      </c>
      <c r="AP398" s="449">
        <v>5344.0519999999997</v>
      </c>
      <c r="AQ398" s="453" t="s">
        <v>1519</v>
      </c>
      <c r="AR398" s="449">
        <v>5344.0519999999997</v>
      </c>
      <c r="AS398" s="449">
        <v>0</v>
      </c>
      <c r="AT398" s="426">
        <v>0</v>
      </c>
      <c r="AU398" s="421"/>
      <c r="AV398" s="449">
        <v>445.33766666666673</v>
      </c>
      <c r="AW398" s="449">
        <v>445.33766666666673</v>
      </c>
      <c r="AX398" s="449">
        <v>445.33766666666673</v>
      </c>
      <c r="AY398" s="449">
        <v>445.33766666666673</v>
      </c>
      <c r="AZ398" s="449">
        <v>445.33766666666673</v>
      </c>
      <c r="BA398" s="449">
        <v>445.33766666666673</v>
      </c>
      <c r="BB398" s="449">
        <v>445.33766666666673</v>
      </c>
      <c r="BC398" s="449">
        <v>445.33766666666673</v>
      </c>
      <c r="BD398" s="449">
        <v>445.33766666666673</v>
      </c>
      <c r="BE398" s="449">
        <v>445.33766666666673</v>
      </c>
      <c r="BF398" s="449">
        <v>445.33766666666673</v>
      </c>
      <c r="BG398" s="449">
        <v>445.33766666666673</v>
      </c>
      <c r="BH398" s="400"/>
      <c r="BI398" s="449">
        <v>445.33766666666673</v>
      </c>
      <c r="BJ398" s="449">
        <v>445.33766666666673</v>
      </c>
      <c r="BK398" s="449">
        <v>445.33766666666673</v>
      </c>
      <c r="BL398" s="771">
        <v>445.33766666666673</v>
      </c>
      <c r="BM398" s="449">
        <v>445.33766666666673</v>
      </c>
      <c r="BN398" s="449">
        <v>445.33766666666673</v>
      </c>
      <c r="BO398" s="449">
        <v>445.33766666666673</v>
      </c>
      <c r="BP398" s="449">
        <v>445.33766666666673</v>
      </c>
      <c r="BQ398" s="449">
        <v>445.33766666666673</v>
      </c>
      <c r="BR398" s="449">
        <v>445.33766666666673</v>
      </c>
      <c r="BS398" s="449">
        <v>445.33766666666673</v>
      </c>
      <c r="BT398" s="449">
        <v>445.33766666666673</v>
      </c>
    </row>
    <row r="399" spans="1:72" x14ac:dyDescent="0.25">
      <c r="A399" s="502" t="s">
        <v>663</v>
      </c>
      <c r="B399" s="502" t="s">
        <v>664</v>
      </c>
      <c r="C399" s="541"/>
      <c r="D399" s="500">
        <v>2550</v>
      </c>
      <c r="E399" s="449">
        <v>2572</v>
      </c>
      <c r="F399" s="449">
        <v>-22</v>
      </c>
      <c r="G399" s="421">
        <v>-8.553654743390357E-3</v>
      </c>
      <c r="H399" s="449">
        <v>2550</v>
      </c>
      <c r="I399" s="449">
        <v>0</v>
      </c>
      <c r="J399" s="426">
        <v>0</v>
      </c>
      <c r="K399" s="421"/>
      <c r="L399" s="449">
        <v>423.46000000000004</v>
      </c>
      <c r="M399" s="449">
        <v>151.91999999999996</v>
      </c>
      <c r="N399" s="449">
        <v>274.62</v>
      </c>
      <c r="O399" s="449">
        <v>261.53999999999996</v>
      </c>
      <c r="P399" s="449">
        <v>261.53999999999996</v>
      </c>
      <c r="Q399" s="449">
        <v>326.92000000000007</v>
      </c>
      <c r="R399" s="449">
        <v>141.66666666666666</v>
      </c>
      <c r="S399" s="449">
        <v>141.66666666666666</v>
      </c>
      <c r="T399" s="449">
        <v>141.66666666666663</v>
      </c>
      <c r="U399" s="449">
        <v>141.66666666666666</v>
      </c>
      <c r="V399" s="449">
        <v>141.66666666666674</v>
      </c>
      <c r="W399" s="449">
        <v>141.66666666666697</v>
      </c>
      <c r="X399" s="449"/>
      <c r="Y399" s="449">
        <v>2550</v>
      </c>
      <c r="Z399" s="531"/>
      <c r="AA399" s="449">
        <v>212.5</v>
      </c>
      <c r="AB399" s="449">
        <v>212.5</v>
      </c>
      <c r="AC399" s="449">
        <v>212.5</v>
      </c>
      <c r="AD399" s="449">
        <v>212.5</v>
      </c>
      <c r="AE399" s="449">
        <v>212.5</v>
      </c>
      <c r="AF399" s="449">
        <v>212.5</v>
      </c>
      <c r="AG399" s="449">
        <v>212.5</v>
      </c>
      <c r="AH399" s="449">
        <v>212.5</v>
      </c>
      <c r="AI399" s="449">
        <v>212.5</v>
      </c>
      <c r="AJ399" s="449">
        <v>212.5</v>
      </c>
      <c r="AK399" s="449">
        <v>212.5</v>
      </c>
      <c r="AL399" s="449">
        <v>212.5</v>
      </c>
      <c r="AM399" s="400"/>
      <c r="AN399" s="500">
        <v>2550</v>
      </c>
      <c r="AO399" s="449">
        <v>2101.1999999999994</v>
      </c>
      <c r="AP399" s="449">
        <v>-448.80000000000064</v>
      </c>
      <c r="AQ399" s="453">
        <v>-0.17600000000000024</v>
      </c>
      <c r="AR399" s="449">
        <v>2101.1999999999994</v>
      </c>
      <c r="AS399" s="449">
        <v>0</v>
      </c>
      <c r="AT399" s="426">
        <v>0</v>
      </c>
      <c r="AU399" s="421"/>
      <c r="AV399" s="449">
        <v>175.1</v>
      </c>
      <c r="AW399" s="449">
        <v>175.1</v>
      </c>
      <c r="AX399" s="449">
        <v>175.1</v>
      </c>
      <c r="AY399" s="449">
        <v>175.1</v>
      </c>
      <c r="AZ399" s="449">
        <v>175.1</v>
      </c>
      <c r="BA399" s="449">
        <v>175.1</v>
      </c>
      <c r="BB399" s="449">
        <v>175.1</v>
      </c>
      <c r="BC399" s="449">
        <v>175.1</v>
      </c>
      <c r="BD399" s="449">
        <v>175.1</v>
      </c>
      <c r="BE399" s="449">
        <v>175.1</v>
      </c>
      <c r="BF399" s="449">
        <v>175.1</v>
      </c>
      <c r="BG399" s="449">
        <v>175.1</v>
      </c>
      <c r="BH399" s="400"/>
      <c r="BI399" s="449">
        <v>175.1</v>
      </c>
      <c r="BJ399" s="449">
        <v>175.1</v>
      </c>
      <c r="BK399" s="449">
        <v>175.1</v>
      </c>
      <c r="BL399" s="771">
        <v>175.1</v>
      </c>
      <c r="BM399" s="449">
        <v>175.1</v>
      </c>
      <c r="BN399" s="449">
        <v>175.1</v>
      </c>
      <c r="BO399" s="449">
        <v>175.1</v>
      </c>
      <c r="BP399" s="449">
        <v>175.1</v>
      </c>
      <c r="BQ399" s="449">
        <v>175.1</v>
      </c>
      <c r="BR399" s="449">
        <v>175.1</v>
      </c>
      <c r="BS399" s="449">
        <v>175.1</v>
      </c>
      <c r="BT399" s="449">
        <v>175.1</v>
      </c>
    </row>
    <row r="400" spans="1:72" x14ac:dyDescent="0.25">
      <c r="A400" s="502" t="s">
        <v>665</v>
      </c>
      <c r="B400" s="502" t="s">
        <v>666</v>
      </c>
      <c r="C400" s="541"/>
      <c r="D400" s="500">
        <v>850</v>
      </c>
      <c r="E400" s="449">
        <v>857</v>
      </c>
      <c r="F400" s="449">
        <v>-7</v>
      </c>
      <c r="G400" s="421">
        <v>-8.1680280046674443E-3</v>
      </c>
      <c r="H400" s="449">
        <v>850</v>
      </c>
      <c r="I400" s="449">
        <v>0</v>
      </c>
      <c r="J400" s="426">
        <v>0</v>
      </c>
      <c r="K400" s="421"/>
      <c r="L400" s="449">
        <v>0</v>
      </c>
      <c r="M400" s="449">
        <v>0</v>
      </c>
      <c r="N400" s="449">
        <v>0</v>
      </c>
      <c r="O400" s="449">
        <v>0</v>
      </c>
      <c r="P400" s="449">
        <v>0</v>
      </c>
      <c r="Q400" s="449">
        <v>0</v>
      </c>
      <c r="R400" s="449">
        <v>141.66666666666666</v>
      </c>
      <c r="S400" s="449">
        <v>141.66666666666669</v>
      </c>
      <c r="T400" s="449">
        <v>141.66666666666666</v>
      </c>
      <c r="U400" s="449">
        <v>141.66666666666666</v>
      </c>
      <c r="V400" s="449">
        <v>141.66666666666669</v>
      </c>
      <c r="W400" s="449">
        <v>141.66666666666674</v>
      </c>
      <c r="X400" s="449"/>
      <c r="Y400" s="449">
        <v>850</v>
      </c>
      <c r="Z400" s="531"/>
      <c r="AA400" s="449">
        <v>70.833333333333329</v>
      </c>
      <c r="AB400" s="449">
        <v>70.833333333333329</v>
      </c>
      <c r="AC400" s="449">
        <v>70.833333333333329</v>
      </c>
      <c r="AD400" s="449">
        <v>70.833333333333329</v>
      </c>
      <c r="AE400" s="449">
        <v>70.833333333333329</v>
      </c>
      <c r="AF400" s="449">
        <v>70.833333333333329</v>
      </c>
      <c r="AG400" s="449">
        <v>70.833333333333329</v>
      </c>
      <c r="AH400" s="449">
        <v>70.833333333333329</v>
      </c>
      <c r="AI400" s="449">
        <v>70.833333333333329</v>
      </c>
      <c r="AJ400" s="449">
        <v>70.833333333333329</v>
      </c>
      <c r="AK400" s="449">
        <v>70.833333333333329</v>
      </c>
      <c r="AL400" s="449">
        <v>70.833333333333329</v>
      </c>
      <c r="AM400" s="400"/>
      <c r="AN400" s="500">
        <v>850</v>
      </c>
      <c r="AO400" s="449">
        <v>1400.8</v>
      </c>
      <c r="AP400" s="449">
        <v>550.79999999999995</v>
      </c>
      <c r="AQ400" s="453">
        <v>0.64799999999999991</v>
      </c>
      <c r="AR400" s="449">
        <v>1400.8</v>
      </c>
      <c r="AS400" s="449">
        <v>0</v>
      </c>
      <c r="AT400" s="426">
        <v>0</v>
      </c>
      <c r="AU400" s="421"/>
      <c r="AV400" s="449">
        <v>116.73333333333333</v>
      </c>
      <c r="AW400" s="449">
        <v>116.73333333333333</v>
      </c>
      <c r="AX400" s="449">
        <v>116.73333333333333</v>
      </c>
      <c r="AY400" s="449">
        <v>116.73333333333333</v>
      </c>
      <c r="AZ400" s="449">
        <v>116.73333333333333</v>
      </c>
      <c r="BA400" s="449">
        <v>116.73333333333333</v>
      </c>
      <c r="BB400" s="449">
        <v>116.73333333333333</v>
      </c>
      <c r="BC400" s="449">
        <v>116.73333333333333</v>
      </c>
      <c r="BD400" s="449">
        <v>116.73333333333333</v>
      </c>
      <c r="BE400" s="449">
        <v>116.73333333333333</v>
      </c>
      <c r="BF400" s="449">
        <v>116.73333333333333</v>
      </c>
      <c r="BG400" s="449">
        <v>116.73333333333333</v>
      </c>
      <c r="BH400" s="400"/>
      <c r="BI400" s="449">
        <v>116.73333333333333</v>
      </c>
      <c r="BJ400" s="449">
        <v>116.73333333333333</v>
      </c>
      <c r="BK400" s="449">
        <v>116.73333333333333</v>
      </c>
      <c r="BL400" s="771">
        <v>116.73333333333333</v>
      </c>
      <c r="BM400" s="449">
        <v>116.73333333333333</v>
      </c>
      <c r="BN400" s="449">
        <v>116.73333333333333</v>
      </c>
      <c r="BO400" s="449">
        <v>116.73333333333333</v>
      </c>
      <c r="BP400" s="449">
        <v>116.73333333333333</v>
      </c>
      <c r="BQ400" s="449">
        <v>116.73333333333333</v>
      </c>
      <c r="BR400" s="449">
        <v>116.73333333333333</v>
      </c>
      <c r="BS400" s="449">
        <v>116.73333333333333</v>
      </c>
      <c r="BT400" s="449">
        <v>116.73333333333333</v>
      </c>
    </row>
    <row r="401" spans="1:72" x14ac:dyDescent="0.25">
      <c r="A401" s="502" t="s">
        <v>667</v>
      </c>
      <c r="B401" s="502" t="s">
        <v>668</v>
      </c>
      <c r="C401" s="630"/>
      <c r="D401" s="500">
        <v>169048</v>
      </c>
      <c r="E401" s="449">
        <v>169048</v>
      </c>
      <c r="F401" s="449">
        <v>0</v>
      </c>
      <c r="G401" s="421">
        <v>0</v>
      </c>
      <c r="H401" s="449">
        <v>169048</v>
      </c>
      <c r="I401" s="449">
        <v>0</v>
      </c>
      <c r="J401" s="426">
        <v>0</v>
      </c>
      <c r="K401" s="421"/>
      <c r="L401" s="449">
        <v>4903.8500000000004</v>
      </c>
      <c r="M401" s="449">
        <v>9480.7999999999993</v>
      </c>
      <c r="N401" s="449">
        <v>6865.3900000000012</v>
      </c>
      <c r="O401" s="449">
        <v>6538.4599999999991</v>
      </c>
      <c r="P401" s="449">
        <v>6538.4599999999991</v>
      </c>
      <c r="Q401" s="449">
        <v>8173.0800000000017</v>
      </c>
      <c r="R401" s="449">
        <v>21091.326666666664</v>
      </c>
      <c r="S401" s="449">
        <v>21091.326666666668</v>
      </c>
      <c r="T401" s="449">
        <v>21091.326666666668</v>
      </c>
      <c r="U401" s="449">
        <v>21091.326666666671</v>
      </c>
      <c r="V401" s="449">
        <v>21091.326666666668</v>
      </c>
      <c r="W401" s="449">
        <v>21091.32666666666</v>
      </c>
      <c r="X401" s="449"/>
      <c r="Y401" s="449">
        <v>169048</v>
      </c>
      <c r="Z401" s="531"/>
      <c r="AA401" s="449">
        <v>14087.333333333334</v>
      </c>
      <c r="AB401" s="449">
        <v>14087.333333333334</v>
      </c>
      <c r="AC401" s="449">
        <v>14087.333333333334</v>
      </c>
      <c r="AD401" s="449">
        <v>14087.333333333334</v>
      </c>
      <c r="AE401" s="449">
        <v>14087.333333333334</v>
      </c>
      <c r="AF401" s="449">
        <v>14087.333333333334</v>
      </c>
      <c r="AG401" s="449">
        <v>14087.333333333334</v>
      </c>
      <c r="AH401" s="449">
        <v>14087.333333333334</v>
      </c>
      <c r="AI401" s="449">
        <v>14087.333333333334</v>
      </c>
      <c r="AJ401" s="449">
        <v>14087.333333333334</v>
      </c>
      <c r="AK401" s="449">
        <v>14087.333333333334</v>
      </c>
      <c r="AL401" s="449">
        <v>14087.333333333334</v>
      </c>
      <c r="AM401" s="400"/>
      <c r="AN401" s="500">
        <v>169048</v>
      </c>
      <c r="AO401" s="449">
        <v>88400.000000000015</v>
      </c>
      <c r="AP401" s="449">
        <v>-80647.999999999985</v>
      </c>
      <c r="AQ401" s="453">
        <v>-0.47707160096540618</v>
      </c>
      <c r="AR401" s="449">
        <v>88400.000000000015</v>
      </c>
      <c r="AS401" s="449">
        <v>0</v>
      </c>
      <c r="AT401" s="426">
        <v>0</v>
      </c>
      <c r="AU401" s="421"/>
      <c r="AV401" s="449">
        <v>7366.666666666667</v>
      </c>
      <c r="AW401" s="449">
        <v>7366.666666666667</v>
      </c>
      <c r="AX401" s="449">
        <v>7366.666666666667</v>
      </c>
      <c r="AY401" s="449">
        <v>7366.666666666667</v>
      </c>
      <c r="AZ401" s="449">
        <v>7366.666666666667</v>
      </c>
      <c r="BA401" s="449">
        <v>7366.666666666667</v>
      </c>
      <c r="BB401" s="449">
        <v>7366.666666666667</v>
      </c>
      <c r="BC401" s="449">
        <v>7366.666666666667</v>
      </c>
      <c r="BD401" s="449">
        <v>7366.666666666667</v>
      </c>
      <c r="BE401" s="449">
        <v>7366.666666666667</v>
      </c>
      <c r="BF401" s="449">
        <v>7366.666666666667</v>
      </c>
      <c r="BG401" s="449">
        <v>7366.666666666667</v>
      </c>
      <c r="BH401" s="400"/>
      <c r="BI401" s="449">
        <v>7366.666666666667</v>
      </c>
      <c r="BJ401" s="449">
        <v>7366.666666666667</v>
      </c>
      <c r="BK401" s="449">
        <v>7366.666666666667</v>
      </c>
      <c r="BL401" s="771">
        <v>7366.666666666667</v>
      </c>
      <c r="BM401" s="449">
        <v>7366.666666666667</v>
      </c>
      <c r="BN401" s="449">
        <v>7366.666666666667</v>
      </c>
      <c r="BO401" s="449">
        <v>7366.666666666667</v>
      </c>
      <c r="BP401" s="449">
        <v>7366.666666666667</v>
      </c>
      <c r="BQ401" s="449">
        <v>7366.666666666667</v>
      </c>
      <c r="BR401" s="449">
        <v>7366.666666666667</v>
      </c>
      <c r="BS401" s="449">
        <v>7366.666666666667</v>
      </c>
      <c r="BT401" s="449">
        <v>7366.666666666667</v>
      </c>
    </row>
    <row r="402" spans="1:72" x14ac:dyDescent="0.25">
      <c r="A402" s="502" t="s">
        <v>669</v>
      </c>
      <c r="B402" s="502" t="s">
        <v>670</v>
      </c>
      <c r="C402" s="630"/>
      <c r="D402" s="500">
        <v>43503.09</v>
      </c>
      <c r="E402" s="449">
        <v>0</v>
      </c>
      <c r="F402" s="449">
        <v>43503.09</v>
      </c>
      <c r="G402" s="421">
        <v>0</v>
      </c>
      <c r="H402" s="449">
        <v>0</v>
      </c>
      <c r="I402" s="449">
        <v>43503.09</v>
      </c>
      <c r="J402" s="426">
        <v>0</v>
      </c>
      <c r="K402" s="421"/>
      <c r="L402" s="449">
        <v>5019.49</v>
      </c>
      <c r="M402" s="449">
        <v>9704.56</v>
      </c>
      <c r="N402" s="449">
        <v>7027.4400000000023</v>
      </c>
      <c r="O402" s="449">
        <v>6692.7999999999993</v>
      </c>
      <c r="P402" s="449">
        <v>6692.7999999999956</v>
      </c>
      <c r="Q402" s="449">
        <v>8366</v>
      </c>
      <c r="R402" s="449">
        <v>0</v>
      </c>
      <c r="S402" s="449">
        <v>0</v>
      </c>
      <c r="T402" s="449">
        <v>0</v>
      </c>
      <c r="U402" s="449">
        <v>0</v>
      </c>
      <c r="V402" s="449">
        <v>0</v>
      </c>
      <c r="W402" s="449">
        <v>0</v>
      </c>
      <c r="X402" s="449"/>
      <c r="Y402" s="449">
        <v>43503.09</v>
      </c>
      <c r="Z402" s="531"/>
      <c r="AA402" s="449">
        <v>0</v>
      </c>
      <c r="AB402" s="449">
        <v>0</v>
      </c>
      <c r="AC402" s="449">
        <v>0</v>
      </c>
      <c r="AD402" s="449">
        <v>0</v>
      </c>
      <c r="AE402" s="449">
        <v>0</v>
      </c>
      <c r="AF402" s="449">
        <v>0</v>
      </c>
      <c r="AG402" s="449">
        <v>0</v>
      </c>
      <c r="AH402" s="449">
        <v>0</v>
      </c>
      <c r="AI402" s="449">
        <v>0</v>
      </c>
      <c r="AJ402" s="449">
        <v>0</v>
      </c>
      <c r="AK402" s="449">
        <v>0</v>
      </c>
      <c r="AL402" s="449">
        <v>0</v>
      </c>
      <c r="AM402" s="400"/>
      <c r="AN402" s="500">
        <v>43503.09</v>
      </c>
      <c r="AO402" s="449">
        <v>90480</v>
      </c>
      <c r="AP402" s="449">
        <v>46976.91</v>
      </c>
      <c r="AQ402" s="453">
        <v>1.0798522587705841</v>
      </c>
      <c r="AR402" s="449">
        <v>90480</v>
      </c>
      <c r="AS402" s="449">
        <v>0</v>
      </c>
      <c r="AT402" s="426">
        <v>0</v>
      </c>
      <c r="AU402" s="421"/>
      <c r="AV402" s="449">
        <v>7540</v>
      </c>
      <c r="AW402" s="449">
        <v>7540</v>
      </c>
      <c r="AX402" s="449">
        <v>7540</v>
      </c>
      <c r="AY402" s="449">
        <v>7540</v>
      </c>
      <c r="AZ402" s="449">
        <v>7540</v>
      </c>
      <c r="BA402" s="449">
        <v>7540</v>
      </c>
      <c r="BB402" s="449">
        <v>7540</v>
      </c>
      <c r="BC402" s="449">
        <v>7540</v>
      </c>
      <c r="BD402" s="449">
        <v>7540</v>
      </c>
      <c r="BE402" s="449">
        <v>7540</v>
      </c>
      <c r="BF402" s="449">
        <v>7540</v>
      </c>
      <c r="BG402" s="449">
        <v>7540</v>
      </c>
      <c r="BH402" s="400"/>
      <c r="BI402" s="449">
        <v>7540</v>
      </c>
      <c r="BJ402" s="449">
        <v>7540</v>
      </c>
      <c r="BK402" s="449">
        <v>7540</v>
      </c>
      <c r="BL402" s="771">
        <v>7540</v>
      </c>
      <c r="BM402" s="449">
        <v>7540</v>
      </c>
      <c r="BN402" s="449">
        <v>7540</v>
      </c>
      <c r="BO402" s="449">
        <v>7540</v>
      </c>
      <c r="BP402" s="449">
        <v>7540</v>
      </c>
      <c r="BQ402" s="449">
        <v>7540</v>
      </c>
      <c r="BR402" s="449">
        <v>7540</v>
      </c>
      <c r="BS402" s="449">
        <v>7540</v>
      </c>
      <c r="BT402" s="449">
        <v>7540</v>
      </c>
    </row>
    <row r="403" spans="1:72" x14ac:dyDescent="0.25">
      <c r="A403" s="502" t="s">
        <v>671</v>
      </c>
      <c r="B403" s="502" t="s">
        <v>672</v>
      </c>
      <c r="C403" s="630"/>
      <c r="D403" s="500">
        <v>62000</v>
      </c>
      <c r="E403" s="449">
        <v>62000</v>
      </c>
      <c r="F403" s="449">
        <v>0</v>
      </c>
      <c r="G403" s="421">
        <v>0</v>
      </c>
      <c r="H403" s="449">
        <v>62000</v>
      </c>
      <c r="I403" s="449">
        <v>0</v>
      </c>
      <c r="J403" s="426">
        <v>0</v>
      </c>
      <c r="K403" s="421"/>
      <c r="L403" s="449">
        <v>3576.94</v>
      </c>
      <c r="M403" s="449">
        <v>6915.4</v>
      </c>
      <c r="N403" s="449">
        <v>5007.7000000000007</v>
      </c>
      <c r="O403" s="449">
        <v>4769.239999999998</v>
      </c>
      <c r="P403" s="449">
        <v>4769.2400000000016</v>
      </c>
      <c r="Q403" s="449">
        <v>5961.5499999999993</v>
      </c>
      <c r="R403" s="449">
        <v>5166.6549999999997</v>
      </c>
      <c r="S403" s="449">
        <v>5166.6550000000007</v>
      </c>
      <c r="T403" s="449">
        <v>5166.6550000000007</v>
      </c>
      <c r="U403" s="449">
        <v>5166.6550000000016</v>
      </c>
      <c r="V403" s="449">
        <v>5166.6550000000025</v>
      </c>
      <c r="W403" s="449">
        <v>5166.6549999999988</v>
      </c>
      <c r="X403" s="449"/>
      <c r="Y403" s="449">
        <v>62000</v>
      </c>
      <c r="Z403" s="531"/>
      <c r="AA403" s="449">
        <v>5166.666666666667</v>
      </c>
      <c r="AB403" s="449">
        <v>5166.666666666667</v>
      </c>
      <c r="AC403" s="449">
        <v>5166.666666666667</v>
      </c>
      <c r="AD403" s="449">
        <v>5166.666666666667</v>
      </c>
      <c r="AE403" s="449">
        <v>5166.666666666667</v>
      </c>
      <c r="AF403" s="449">
        <v>5166.666666666667</v>
      </c>
      <c r="AG403" s="449">
        <v>5166.666666666667</v>
      </c>
      <c r="AH403" s="449">
        <v>5166.666666666667</v>
      </c>
      <c r="AI403" s="449">
        <v>5166.666666666667</v>
      </c>
      <c r="AJ403" s="449">
        <v>5166.666666666667</v>
      </c>
      <c r="AK403" s="449">
        <v>5166.666666666667</v>
      </c>
      <c r="AL403" s="449">
        <v>5166.666666666667</v>
      </c>
      <c r="AM403" s="400"/>
      <c r="AN403" s="500">
        <v>62000</v>
      </c>
      <c r="AO403" s="449">
        <v>63859.999999999993</v>
      </c>
      <c r="AP403" s="449">
        <v>1859.9999999999927</v>
      </c>
      <c r="AQ403" s="453">
        <v>2.9999999999999881E-2</v>
      </c>
      <c r="AR403" s="449">
        <v>63859.999999999993</v>
      </c>
      <c r="AS403" s="449">
        <v>0</v>
      </c>
      <c r="AT403" s="426">
        <v>0</v>
      </c>
      <c r="AU403" s="421"/>
      <c r="AV403" s="449">
        <v>5321.666666666667</v>
      </c>
      <c r="AW403" s="449">
        <v>5321.666666666667</v>
      </c>
      <c r="AX403" s="449">
        <v>5321.666666666667</v>
      </c>
      <c r="AY403" s="449">
        <v>5321.666666666667</v>
      </c>
      <c r="AZ403" s="449">
        <v>5321.666666666667</v>
      </c>
      <c r="BA403" s="449">
        <v>5321.666666666667</v>
      </c>
      <c r="BB403" s="449">
        <v>5321.666666666667</v>
      </c>
      <c r="BC403" s="449">
        <v>5321.666666666667</v>
      </c>
      <c r="BD403" s="449">
        <v>5321.666666666667</v>
      </c>
      <c r="BE403" s="449">
        <v>5321.666666666667</v>
      </c>
      <c r="BF403" s="449">
        <v>5321.666666666667</v>
      </c>
      <c r="BG403" s="449">
        <v>5321.666666666667</v>
      </c>
      <c r="BH403" s="400"/>
      <c r="BI403" s="449">
        <v>5321.666666666667</v>
      </c>
      <c r="BJ403" s="449">
        <v>5321.666666666667</v>
      </c>
      <c r="BK403" s="449">
        <v>5321.666666666667</v>
      </c>
      <c r="BL403" s="771">
        <v>5321.666666666667</v>
      </c>
      <c r="BM403" s="449">
        <v>5321.666666666667</v>
      </c>
      <c r="BN403" s="449">
        <v>5321.666666666667</v>
      </c>
      <c r="BO403" s="449">
        <v>5321.666666666667</v>
      </c>
      <c r="BP403" s="449">
        <v>5321.666666666667</v>
      </c>
      <c r="BQ403" s="449">
        <v>5321.666666666667</v>
      </c>
      <c r="BR403" s="449">
        <v>5321.666666666667</v>
      </c>
      <c r="BS403" s="449">
        <v>5321.666666666667</v>
      </c>
      <c r="BT403" s="449">
        <v>5321.666666666667</v>
      </c>
    </row>
    <row r="404" spans="1:72" x14ac:dyDescent="0.25">
      <c r="A404" s="502" t="s">
        <v>673</v>
      </c>
      <c r="B404" s="502" t="s">
        <v>674</v>
      </c>
      <c r="C404" s="630"/>
      <c r="D404" s="500">
        <v>69000</v>
      </c>
      <c r="E404" s="449">
        <v>124000</v>
      </c>
      <c r="F404" s="449">
        <v>-55000</v>
      </c>
      <c r="G404" s="421">
        <v>-0.44354838709677419</v>
      </c>
      <c r="H404" s="449">
        <v>69000</v>
      </c>
      <c r="I404" s="449">
        <v>0</v>
      </c>
      <c r="J404" s="426">
        <v>0</v>
      </c>
      <c r="K404" s="421"/>
      <c r="L404" s="449">
        <v>3980.54</v>
      </c>
      <c r="M404" s="449">
        <v>7695.44</v>
      </c>
      <c r="N404" s="449">
        <v>5572.5600000000013</v>
      </c>
      <c r="O404" s="449">
        <v>5307.2000000000007</v>
      </c>
      <c r="P404" s="449">
        <v>5307.1999999999971</v>
      </c>
      <c r="Q404" s="449">
        <v>6634.0000000000036</v>
      </c>
      <c r="R404" s="449">
        <v>5750.5099999999993</v>
      </c>
      <c r="S404" s="449">
        <v>5750.5099999999993</v>
      </c>
      <c r="T404" s="449">
        <v>5750.5099999999984</v>
      </c>
      <c r="U404" s="449">
        <v>5750.5099999999993</v>
      </c>
      <c r="V404" s="449">
        <v>5750.5099999999984</v>
      </c>
      <c r="W404" s="449">
        <v>5750.5099999999948</v>
      </c>
      <c r="X404" s="449"/>
      <c r="Y404" s="449">
        <v>69000</v>
      </c>
      <c r="Z404" s="531"/>
      <c r="AA404" s="449">
        <v>5750</v>
      </c>
      <c r="AB404" s="449">
        <v>5750</v>
      </c>
      <c r="AC404" s="449">
        <v>5750</v>
      </c>
      <c r="AD404" s="449">
        <v>5750</v>
      </c>
      <c r="AE404" s="449">
        <v>5750</v>
      </c>
      <c r="AF404" s="449">
        <v>5750</v>
      </c>
      <c r="AG404" s="449">
        <v>5750</v>
      </c>
      <c r="AH404" s="449">
        <v>5750</v>
      </c>
      <c r="AI404" s="449">
        <v>5750</v>
      </c>
      <c r="AJ404" s="449">
        <v>5750</v>
      </c>
      <c r="AK404" s="449">
        <v>5750</v>
      </c>
      <c r="AL404" s="449">
        <v>5750</v>
      </c>
      <c r="AM404" s="400"/>
      <c r="AN404" s="500">
        <v>69000</v>
      </c>
      <c r="AO404" s="449">
        <v>141069.99999999997</v>
      </c>
      <c r="AP404" s="449">
        <v>72069.999999999971</v>
      </c>
      <c r="AQ404" s="453">
        <v>1.0444927536231881</v>
      </c>
      <c r="AR404" s="449">
        <v>141069.99999999997</v>
      </c>
      <c r="AS404" s="449">
        <v>0</v>
      </c>
      <c r="AT404" s="426">
        <v>0</v>
      </c>
      <c r="AU404" s="421"/>
      <c r="AV404" s="449">
        <v>11755.833333333334</v>
      </c>
      <c r="AW404" s="449">
        <v>11755.833333333334</v>
      </c>
      <c r="AX404" s="449">
        <v>11755.833333333334</v>
      </c>
      <c r="AY404" s="449">
        <v>11755.833333333334</v>
      </c>
      <c r="AZ404" s="449">
        <v>11755.833333333334</v>
      </c>
      <c r="BA404" s="449">
        <v>11755.833333333334</v>
      </c>
      <c r="BB404" s="449">
        <v>11755.833333333334</v>
      </c>
      <c r="BC404" s="449">
        <v>11755.833333333334</v>
      </c>
      <c r="BD404" s="449">
        <v>11755.833333333334</v>
      </c>
      <c r="BE404" s="449">
        <v>11755.833333333334</v>
      </c>
      <c r="BF404" s="449">
        <v>11755.833333333334</v>
      </c>
      <c r="BG404" s="449">
        <v>11755.833333333334</v>
      </c>
      <c r="BH404" s="400"/>
      <c r="BI404" s="449">
        <v>11755.833333333334</v>
      </c>
      <c r="BJ404" s="449">
        <v>11755.833333333334</v>
      </c>
      <c r="BK404" s="449">
        <v>11755.833333333334</v>
      </c>
      <c r="BL404" s="771">
        <v>11755.833333333334</v>
      </c>
      <c r="BM404" s="449">
        <v>11755.833333333334</v>
      </c>
      <c r="BN404" s="449">
        <v>11755.833333333334</v>
      </c>
      <c r="BO404" s="449">
        <v>11755.833333333334</v>
      </c>
      <c r="BP404" s="449">
        <v>11755.833333333334</v>
      </c>
      <c r="BQ404" s="449">
        <v>11755.833333333334</v>
      </c>
      <c r="BR404" s="449">
        <v>11755.833333333334</v>
      </c>
      <c r="BS404" s="449">
        <v>11755.833333333334</v>
      </c>
      <c r="BT404" s="449">
        <v>11755.833333333334</v>
      </c>
    </row>
    <row r="405" spans="1:72" x14ac:dyDescent="0.25">
      <c r="A405" s="502" t="s">
        <v>675</v>
      </c>
      <c r="B405" s="502" t="s">
        <v>676</v>
      </c>
      <c r="C405" s="630"/>
      <c r="D405" s="500">
        <v>0</v>
      </c>
      <c r="E405" s="449">
        <v>0</v>
      </c>
      <c r="F405" s="449">
        <v>0</v>
      </c>
      <c r="G405" s="421">
        <v>0</v>
      </c>
      <c r="H405" s="449">
        <v>0</v>
      </c>
      <c r="I405" s="449">
        <v>0</v>
      </c>
      <c r="J405" s="426">
        <v>0</v>
      </c>
      <c r="K405" s="421"/>
      <c r="L405" s="449">
        <v>0</v>
      </c>
      <c r="M405" s="449">
        <v>0</v>
      </c>
      <c r="N405" s="449">
        <v>0</v>
      </c>
      <c r="O405" s="449">
        <v>0</v>
      </c>
      <c r="P405" s="449">
        <v>0</v>
      </c>
      <c r="Q405" s="449">
        <v>0</v>
      </c>
      <c r="R405" s="449">
        <v>0</v>
      </c>
      <c r="S405" s="449">
        <v>0</v>
      </c>
      <c r="T405" s="449">
        <v>0</v>
      </c>
      <c r="U405" s="449">
        <v>0</v>
      </c>
      <c r="V405" s="449">
        <v>0</v>
      </c>
      <c r="W405" s="449">
        <v>0</v>
      </c>
      <c r="X405" s="449"/>
      <c r="Y405" s="449">
        <v>0</v>
      </c>
      <c r="Z405" s="531"/>
      <c r="AA405" s="449">
        <v>0</v>
      </c>
      <c r="AB405" s="449">
        <v>0</v>
      </c>
      <c r="AC405" s="449">
        <v>0</v>
      </c>
      <c r="AD405" s="449">
        <v>0</v>
      </c>
      <c r="AE405" s="449">
        <v>0</v>
      </c>
      <c r="AF405" s="449">
        <v>0</v>
      </c>
      <c r="AG405" s="449">
        <v>0</v>
      </c>
      <c r="AH405" s="449">
        <v>0</v>
      </c>
      <c r="AI405" s="449">
        <v>0</v>
      </c>
      <c r="AJ405" s="449">
        <v>0</v>
      </c>
      <c r="AK405" s="449">
        <v>0</v>
      </c>
      <c r="AL405" s="449">
        <v>0</v>
      </c>
      <c r="AM405" s="400"/>
      <c r="AN405" s="500">
        <v>0</v>
      </c>
      <c r="AO405" s="449">
        <v>0</v>
      </c>
      <c r="AP405" s="449">
        <v>0</v>
      </c>
      <c r="AQ405" s="453" t="s">
        <v>1519</v>
      </c>
      <c r="AR405" s="449">
        <v>0</v>
      </c>
      <c r="AS405" s="449">
        <v>0</v>
      </c>
      <c r="AT405" s="426">
        <v>0</v>
      </c>
      <c r="AU405" s="421"/>
      <c r="AV405" s="449">
        <v>0</v>
      </c>
      <c r="AW405" s="449">
        <v>0</v>
      </c>
      <c r="AX405" s="449">
        <v>0</v>
      </c>
      <c r="AY405" s="449">
        <v>0</v>
      </c>
      <c r="AZ405" s="449">
        <v>0</v>
      </c>
      <c r="BA405" s="449">
        <v>0</v>
      </c>
      <c r="BB405" s="449">
        <v>0</v>
      </c>
      <c r="BC405" s="449">
        <v>0</v>
      </c>
      <c r="BD405" s="449">
        <v>0</v>
      </c>
      <c r="BE405" s="449">
        <v>0</v>
      </c>
      <c r="BF405" s="449">
        <v>0</v>
      </c>
      <c r="BG405" s="449">
        <v>0</v>
      </c>
      <c r="BH405" s="400"/>
      <c r="BI405" s="449">
        <v>0</v>
      </c>
      <c r="BJ405" s="449">
        <v>0</v>
      </c>
      <c r="BK405" s="449">
        <v>0</v>
      </c>
      <c r="BL405" s="771">
        <v>0</v>
      </c>
      <c r="BM405" s="449">
        <v>0</v>
      </c>
      <c r="BN405" s="449">
        <v>0</v>
      </c>
      <c r="BO405" s="449">
        <v>0</v>
      </c>
      <c r="BP405" s="449">
        <v>0</v>
      </c>
      <c r="BQ405" s="449">
        <v>0</v>
      </c>
      <c r="BR405" s="449">
        <v>0</v>
      </c>
      <c r="BS405" s="449">
        <v>0</v>
      </c>
      <c r="BT405" s="449">
        <v>0</v>
      </c>
    </row>
    <row r="406" spans="1:72" x14ac:dyDescent="0.25">
      <c r="A406" s="502" t="s">
        <v>677</v>
      </c>
      <c r="B406" s="502" t="s">
        <v>678</v>
      </c>
      <c r="C406" s="630"/>
      <c r="D406" s="500">
        <v>112289</v>
      </c>
      <c r="E406" s="449">
        <v>112289</v>
      </c>
      <c r="F406" s="449">
        <v>0</v>
      </c>
      <c r="G406" s="421">
        <v>0</v>
      </c>
      <c r="H406" s="449">
        <v>112289</v>
      </c>
      <c r="I406" s="449">
        <v>0</v>
      </c>
      <c r="J406" s="426">
        <v>0</v>
      </c>
      <c r="K406" s="421"/>
      <c r="L406" s="449">
        <v>6663.75</v>
      </c>
      <c r="M406" s="449">
        <v>9494.64</v>
      </c>
      <c r="N406" s="449">
        <v>8111.93</v>
      </c>
      <c r="O406" s="449">
        <v>20590.21</v>
      </c>
      <c r="P406" s="449">
        <v>20731.020000000004</v>
      </c>
      <c r="Q406" s="449">
        <v>11469.160000000003</v>
      </c>
      <c r="R406" s="449">
        <v>5871.3816666666653</v>
      </c>
      <c r="S406" s="449">
        <v>5871.3816666666653</v>
      </c>
      <c r="T406" s="449">
        <v>5871.3816666666644</v>
      </c>
      <c r="U406" s="449">
        <v>5871.3816666666635</v>
      </c>
      <c r="V406" s="449">
        <v>5871.3816666666607</v>
      </c>
      <c r="W406" s="449">
        <v>5871.3816666666535</v>
      </c>
      <c r="X406" s="449"/>
      <c r="Y406" s="449">
        <v>112289</v>
      </c>
      <c r="Z406" s="531"/>
      <c r="AA406" s="449">
        <v>9357.4166666666661</v>
      </c>
      <c r="AB406" s="449">
        <v>9357.4166666666661</v>
      </c>
      <c r="AC406" s="449">
        <v>9357.4166666666661</v>
      </c>
      <c r="AD406" s="449">
        <v>9357.4166666666661</v>
      </c>
      <c r="AE406" s="449">
        <v>9357.4166666666661</v>
      </c>
      <c r="AF406" s="449">
        <v>9357.4166666666661</v>
      </c>
      <c r="AG406" s="449">
        <v>9357.4166666666661</v>
      </c>
      <c r="AH406" s="449">
        <v>9357.4166666666661</v>
      </c>
      <c r="AI406" s="449">
        <v>9357.4166666666661</v>
      </c>
      <c r="AJ406" s="449">
        <v>9357.4166666666661</v>
      </c>
      <c r="AK406" s="449">
        <v>9357.4166666666661</v>
      </c>
      <c r="AL406" s="449">
        <v>9357.4166666666661</v>
      </c>
      <c r="AM406" s="400"/>
      <c r="AN406" s="500">
        <v>112289</v>
      </c>
      <c r="AO406" s="449">
        <v>45523.94</v>
      </c>
      <c r="AP406" s="449">
        <v>-66765.06</v>
      </c>
      <c r="AQ406" s="453">
        <v>-0.59458237227154931</v>
      </c>
      <c r="AR406" s="449">
        <v>45523.94</v>
      </c>
      <c r="AS406" s="449">
        <v>0</v>
      </c>
      <c r="AT406" s="426">
        <v>0</v>
      </c>
      <c r="AU406" s="421"/>
      <c r="AV406" s="449">
        <v>3793.6616666666669</v>
      </c>
      <c r="AW406" s="449">
        <v>3793.6616666666669</v>
      </c>
      <c r="AX406" s="449">
        <v>3793.6616666666669</v>
      </c>
      <c r="AY406" s="449">
        <v>3793.6616666666669</v>
      </c>
      <c r="AZ406" s="449">
        <v>3793.6616666666669</v>
      </c>
      <c r="BA406" s="449">
        <v>3793.6616666666669</v>
      </c>
      <c r="BB406" s="449">
        <v>3793.6616666666669</v>
      </c>
      <c r="BC406" s="449">
        <v>3793.6616666666669</v>
      </c>
      <c r="BD406" s="449">
        <v>3793.6616666666669</v>
      </c>
      <c r="BE406" s="449">
        <v>3793.6616666666669</v>
      </c>
      <c r="BF406" s="449">
        <v>3793.6616666666669</v>
      </c>
      <c r="BG406" s="449">
        <v>3793.6616666666669</v>
      </c>
      <c r="BH406" s="400"/>
      <c r="BI406" s="449">
        <v>3793.6616666666669</v>
      </c>
      <c r="BJ406" s="449">
        <v>3793.6616666666669</v>
      </c>
      <c r="BK406" s="449">
        <v>3793.6616666666669</v>
      </c>
      <c r="BL406" s="771">
        <v>3793.6616666666669</v>
      </c>
      <c r="BM406" s="449">
        <v>3793.6616666666669</v>
      </c>
      <c r="BN406" s="449">
        <v>3793.6616666666669</v>
      </c>
      <c r="BO406" s="449">
        <v>3793.6616666666669</v>
      </c>
      <c r="BP406" s="449">
        <v>3793.6616666666669</v>
      </c>
      <c r="BQ406" s="449">
        <v>3793.6616666666669</v>
      </c>
      <c r="BR406" s="449">
        <v>3793.6616666666669</v>
      </c>
      <c r="BS406" s="449">
        <v>3793.6616666666669</v>
      </c>
      <c r="BT406" s="449">
        <v>3793.6616666666669</v>
      </c>
    </row>
    <row r="407" spans="1:72" x14ac:dyDescent="0.25">
      <c r="A407" s="537" t="s">
        <v>679</v>
      </c>
      <c r="B407" s="537" t="s">
        <v>680</v>
      </c>
      <c r="C407" s="630"/>
      <c r="D407" s="500">
        <v>0</v>
      </c>
      <c r="E407" s="449">
        <v>0</v>
      </c>
      <c r="F407" s="449">
        <v>0</v>
      </c>
      <c r="G407" s="421">
        <v>0</v>
      </c>
      <c r="H407" s="449">
        <v>0</v>
      </c>
      <c r="I407" s="449">
        <v>0</v>
      </c>
      <c r="J407" s="426">
        <v>0</v>
      </c>
      <c r="K407" s="421"/>
      <c r="L407" s="449">
        <v>0</v>
      </c>
      <c r="M407" s="449">
        <v>0</v>
      </c>
      <c r="N407" s="449">
        <v>0</v>
      </c>
      <c r="O407" s="449">
        <v>0</v>
      </c>
      <c r="P407" s="449">
        <v>0</v>
      </c>
      <c r="Q407" s="449">
        <v>0</v>
      </c>
      <c r="R407" s="449">
        <v>0</v>
      </c>
      <c r="S407" s="449">
        <v>0</v>
      </c>
      <c r="T407" s="449">
        <v>0</v>
      </c>
      <c r="U407" s="449">
        <v>0</v>
      </c>
      <c r="V407" s="449">
        <v>0</v>
      </c>
      <c r="W407" s="449">
        <v>0</v>
      </c>
      <c r="X407" s="449"/>
      <c r="Y407" s="449">
        <v>0</v>
      </c>
      <c r="Z407" s="531"/>
      <c r="AA407" s="449">
        <v>0</v>
      </c>
      <c r="AB407" s="449">
        <v>0</v>
      </c>
      <c r="AC407" s="449">
        <v>0</v>
      </c>
      <c r="AD407" s="449">
        <v>0</v>
      </c>
      <c r="AE407" s="449">
        <v>0</v>
      </c>
      <c r="AF407" s="449">
        <v>0</v>
      </c>
      <c r="AG407" s="449">
        <v>0</v>
      </c>
      <c r="AH407" s="449">
        <v>0</v>
      </c>
      <c r="AI407" s="449">
        <v>0</v>
      </c>
      <c r="AJ407" s="449">
        <v>0</v>
      </c>
      <c r="AK407" s="449">
        <v>0</v>
      </c>
      <c r="AL407" s="449">
        <v>0</v>
      </c>
      <c r="AM407" s="400"/>
      <c r="AN407" s="500">
        <v>0</v>
      </c>
      <c r="AO407" s="449">
        <v>0</v>
      </c>
      <c r="AP407" s="449">
        <v>0</v>
      </c>
      <c r="AQ407" s="453" t="s">
        <v>1519</v>
      </c>
      <c r="AR407" s="449">
        <v>0</v>
      </c>
      <c r="AS407" s="449">
        <v>0</v>
      </c>
      <c r="AT407" s="426">
        <v>0</v>
      </c>
      <c r="AU407" s="421"/>
      <c r="AV407" s="449">
        <v>0</v>
      </c>
      <c r="AW407" s="449">
        <v>0</v>
      </c>
      <c r="AX407" s="449">
        <v>0</v>
      </c>
      <c r="AY407" s="449">
        <v>0</v>
      </c>
      <c r="AZ407" s="449">
        <v>0</v>
      </c>
      <c r="BA407" s="449">
        <v>0</v>
      </c>
      <c r="BB407" s="449">
        <v>0</v>
      </c>
      <c r="BC407" s="449">
        <v>0</v>
      </c>
      <c r="BD407" s="449">
        <v>0</v>
      </c>
      <c r="BE407" s="449">
        <v>0</v>
      </c>
      <c r="BF407" s="449">
        <v>0</v>
      </c>
      <c r="BG407" s="449">
        <v>0</v>
      </c>
      <c r="BH407" s="400"/>
      <c r="BI407" s="449">
        <v>0</v>
      </c>
      <c r="BJ407" s="449">
        <v>0</v>
      </c>
      <c r="BK407" s="449">
        <v>0</v>
      </c>
      <c r="BL407" s="771">
        <v>0</v>
      </c>
      <c r="BM407" s="449">
        <v>0</v>
      </c>
      <c r="BN407" s="449">
        <v>0</v>
      </c>
      <c r="BO407" s="449">
        <v>0</v>
      </c>
      <c r="BP407" s="449">
        <v>0</v>
      </c>
      <c r="BQ407" s="449">
        <v>0</v>
      </c>
      <c r="BR407" s="449">
        <v>0</v>
      </c>
      <c r="BS407" s="449">
        <v>0</v>
      </c>
      <c r="BT407" s="449">
        <v>0</v>
      </c>
    </row>
    <row r="408" spans="1:72" x14ac:dyDescent="0.25">
      <c r="A408" s="502" t="s">
        <v>681</v>
      </c>
      <c r="B408" s="502" t="s">
        <v>682</v>
      </c>
      <c r="C408" s="630"/>
      <c r="D408" s="500">
        <v>6000</v>
      </c>
      <c r="E408" s="449">
        <v>6000</v>
      </c>
      <c r="F408" s="449">
        <v>0</v>
      </c>
      <c r="G408" s="421">
        <v>0</v>
      </c>
      <c r="H408" s="449">
        <v>6000</v>
      </c>
      <c r="I408" s="449">
        <v>0</v>
      </c>
      <c r="J408" s="426">
        <v>0</v>
      </c>
      <c r="K408" s="421"/>
      <c r="L408" s="449">
        <v>0</v>
      </c>
      <c r="M408" s="449">
        <v>0</v>
      </c>
      <c r="N408" s="449">
        <v>0</v>
      </c>
      <c r="O408" s="449">
        <v>3000</v>
      </c>
      <c r="P408" s="449">
        <v>0</v>
      </c>
      <c r="Q408" s="449">
        <v>0</v>
      </c>
      <c r="R408" s="449">
        <v>500</v>
      </c>
      <c r="S408" s="449">
        <v>500</v>
      </c>
      <c r="T408" s="449">
        <v>500</v>
      </c>
      <c r="U408" s="449">
        <v>500</v>
      </c>
      <c r="V408" s="449">
        <v>500</v>
      </c>
      <c r="W408" s="449">
        <v>500</v>
      </c>
      <c r="X408" s="449"/>
      <c r="Y408" s="449">
        <v>6000</v>
      </c>
      <c r="Z408" s="531"/>
      <c r="AA408" s="449">
        <v>500</v>
      </c>
      <c r="AB408" s="449">
        <v>500</v>
      </c>
      <c r="AC408" s="449">
        <v>500</v>
      </c>
      <c r="AD408" s="449">
        <v>500</v>
      </c>
      <c r="AE408" s="449">
        <v>500</v>
      </c>
      <c r="AF408" s="449">
        <v>500</v>
      </c>
      <c r="AG408" s="449">
        <v>500</v>
      </c>
      <c r="AH408" s="449">
        <v>500</v>
      </c>
      <c r="AI408" s="449">
        <v>500</v>
      </c>
      <c r="AJ408" s="449">
        <v>500</v>
      </c>
      <c r="AK408" s="449">
        <v>500</v>
      </c>
      <c r="AL408" s="449">
        <v>500</v>
      </c>
      <c r="AM408" s="400"/>
      <c r="AN408" s="500">
        <v>6000</v>
      </c>
      <c r="AO408" s="449">
        <v>3000</v>
      </c>
      <c r="AP408" s="449">
        <v>-3000</v>
      </c>
      <c r="AQ408" s="453">
        <v>-0.5</v>
      </c>
      <c r="AR408" s="449">
        <v>3000</v>
      </c>
      <c r="AS408" s="449">
        <v>0</v>
      </c>
      <c r="AT408" s="426">
        <v>0</v>
      </c>
      <c r="AU408" s="421"/>
      <c r="AV408" s="449">
        <v>0</v>
      </c>
      <c r="AW408" s="449">
        <v>0</v>
      </c>
      <c r="AX408" s="449">
        <v>0</v>
      </c>
      <c r="AY408" s="449">
        <v>3000</v>
      </c>
      <c r="AZ408" s="449">
        <v>0</v>
      </c>
      <c r="BA408" s="449">
        <v>0</v>
      </c>
      <c r="BB408" s="449">
        <v>0</v>
      </c>
      <c r="BC408" s="449">
        <v>0</v>
      </c>
      <c r="BD408" s="449">
        <v>0</v>
      </c>
      <c r="BE408" s="449">
        <v>0</v>
      </c>
      <c r="BF408" s="449">
        <v>0</v>
      </c>
      <c r="BG408" s="449">
        <v>0</v>
      </c>
      <c r="BH408" s="400"/>
      <c r="BI408" s="449">
        <v>0</v>
      </c>
      <c r="BJ408" s="449">
        <v>0</v>
      </c>
      <c r="BK408" s="449">
        <v>0</v>
      </c>
      <c r="BL408" s="771">
        <v>3000</v>
      </c>
      <c r="BM408" s="449">
        <v>0</v>
      </c>
      <c r="BN408" s="449">
        <v>0</v>
      </c>
      <c r="BO408" s="449">
        <v>0</v>
      </c>
      <c r="BP408" s="449">
        <v>0</v>
      </c>
      <c r="BQ408" s="449">
        <v>0</v>
      </c>
      <c r="BR408" s="449">
        <v>0</v>
      </c>
      <c r="BS408" s="449">
        <v>0</v>
      </c>
      <c r="BT408" s="449">
        <v>0</v>
      </c>
    </row>
    <row r="409" spans="1:72" x14ac:dyDescent="0.25">
      <c r="A409" s="537" t="s">
        <v>683</v>
      </c>
      <c r="B409" s="537" t="s">
        <v>684</v>
      </c>
      <c r="C409" s="630"/>
      <c r="D409" s="500">
        <v>0</v>
      </c>
      <c r="E409" s="449">
        <v>0</v>
      </c>
      <c r="F409" s="449">
        <v>0</v>
      </c>
      <c r="G409" s="421">
        <v>0</v>
      </c>
      <c r="H409" s="449">
        <v>0</v>
      </c>
      <c r="I409" s="449">
        <v>0</v>
      </c>
      <c r="J409" s="426">
        <v>0</v>
      </c>
      <c r="K409" s="421"/>
      <c r="L409" s="449">
        <v>0</v>
      </c>
      <c r="M409" s="449">
        <v>0</v>
      </c>
      <c r="N409" s="449">
        <v>0</v>
      </c>
      <c r="O409" s="449">
        <v>0</v>
      </c>
      <c r="P409" s="449">
        <v>0</v>
      </c>
      <c r="Q409" s="449">
        <v>0</v>
      </c>
      <c r="R409" s="449">
        <v>0</v>
      </c>
      <c r="S409" s="449">
        <v>0</v>
      </c>
      <c r="T409" s="449">
        <v>0</v>
      </c>
      <c r="U409" s="449">
        <v>0</v>
      </c>
      <c r="V409" s="449">
        <v>0</v>
      </c>
      <c r="W409" s="449">
        <v>0</v>
      </c>
      <c r="X409" s="449"/>
      <c r="Y409" s="449">
        <v>0</v>
      </c>
      <c r="Z409" s="531"/>
      <c r="AA409" s="449">
        <v>0</v>
      </c>
      <c r="AB409" s="449">
        <v>0</v>
      </c>
      <c r="AC409" s="449">
        <v>0</v>
      </c>
      <c r="AD409" s="449">
        <v>0</v>
      </c>
      <c r="AE409" s="449">
        <v>0</v>
      </c>
      <c r="AF409" s="449">
        <v>0</v>
      </c>
      <c r="AG409" s="449">
        <v>0</v>
      </c>
      <c r="AH409" s="449">
        <v>0</v>
      </c>
      <c r="AI409" s="449">
        <v>0</v>
      </c>
      <c r="AJ409" s="449">
        <v>0</v>
      </c>
      <c r="AK409" s="449">
        <v>0</v>
      </c>
      <c r="AL409" s="449">
        <v>0</v>
      </c>
      <c r="AM409" s="400"/>
      <c r="AN409" s="500">
        <v>0</v>
      </c>
      <c r="AO409" s="449">
        <v>3000</v>
      </c>
      <c r="AP409" s="449">
        <v>3000</v>
      </c>
      <c r="AQ409" s="453" t="s">
        <v>1519</v>
      </c>
      <c r="AR409" s="449">
        <v>3000</v>
      </c>
      <c r="AS409" s="449">
        <v>0</v>
      </c>
      <c r="AT409" s="426">
        <v>0</v>
      </c>
      <c r="AU409" s="421"/>
      <c r="AV409" s="449">
        <v>0</v>
      </c>
      <c r="AW409" s="449">
        <v>0</v>
      </c>
      <c r="AX409" s="449">
        <v>0</v>
      </c>
      <c r="AY409" s="449">
        <v>3000</v>
      </c>
      <c r="AZ409" s="449">
        <v>0</v>
      </c>
      <c r="BA409" s="449">
        <v>0</v>
      </c>
      <c r="BB409" s="449">
        <v>0</v>
      </c>
      <c r="BC409" s="449">
        <v>0</v>
      </c>
      <c r="BD409" s="449">
        <v>0</v>
      </c>
      <c r="BE409" s="449">
        <v>0</v>
      </c>
      <c r="BF409" s="449">
        <v>0</v>
      </c>
      <c r="BG409" s="449">
        <v>0</v>
      </c>
      <c r="BH409" s="400"/>
      <c r="BI409" s="449">
        <v>0</v>
      </c>
      <c r="BJ409" s="449">
        <v>0</v>
      </c>
      <c r="BK409" s="449">
        <v>0</v>
      </c>
      <c r="BL409" s="771">
        <v>3000</v>
      </c>
      <c r="BM409" s="449">
        <v>0</v>
      </c>
      <c r="BN409" s="449">
        <v>0</v>
      </c>
      <c r="BO409" s="449">
        <v>0</v>
      </c>
      <c r="BP409" s="449">
        <v>0</v>
      </c>
      <c r="BQ409" s="449">
        <v>0</v>
      </c>
      <c r="BR409" s="449">
        <v>0</v>
      </c>
      <c r="BS409" s="449">
        <v>0</v>
      </c>
      <c r="BT409" s="449">
        <v>0</v>
      </c>
    </row>
    <row r="410" spans="1:72" x14ac:dyDescent="0.25">
      <c r="A410" s="502" t="s">
        <v>685</v>
      </c>
      <c r="B410" s="502" t="s">
        <v>686</v>
      </c>
      <c r="C410" s="630"/>
      <c r="D410" s="500">
        <v>3000</v>
      </c>
      <c r="E410" s="449">
        <v>0</v>
      </c>
      <c r="F410" s="449">
        <v>3000</v>
      </c>
      <c r="G410" s="421">
        <v>0</v>
      </c>
      <c r="H410" s="449">
        <v>0</v>
      </c>
      <c r="I410" s="449">
        <v>3000</v>
      </c>
      <c r="J410" s="426">
        <v>0</v>
      </c>
      <c r="K410" s="421"/>
      <c r="L410" s="449">
        <v>0</v>
      </c>
      <c r="M410" s="449">
        <v>0</v>
      </c>
      <c r="N410" s="449">
        <v>0</v>
      </c>
      <c r="O410" s="449">
        <v>3000</v>
      </c>
      <c r="P410" s="449">
        <v>0</v>
      </c>
      <c r="Q410" s="449">
        <v>0</v>
      </c>
      <c r="R410" s="449">
        <v>0</v>
      </c>
      <c r="S410" s="449">
        <v>0</v>
      </c>
      <c r="T410" s="449">
        <v>0</v>
      </c>
      <c r="U410" s="449">
        <v>0</v>
      </c>
      <c r="V410" s="449">
        <v>0</v>
      </c>
      <c r="W410" s="449">
        <v>0</v>
      </c>
      <c r="X410" s="449"/>
      <c r="Y410" s="449">
        <v>3000</v>
      </c>
      <c r="Z410" s="531"/>
      <c r="AA410" s="449">
        <v>0</v>
      </c>
      <c r="AB410" s="449">
        <v>0</v>
      </c>
      <c r="AC410" s="449">
        <v>0</v>
      </c>
      <c r="AD410" s="449">
        <v>0</v>
      </c>
      <c r="AE410" s="449">
        <v>0</v>
      </c>
      <c r="AF410" s="449">
        <v>0</v>
      </c>
      <c r="AG410" s="449">
        <v>0</v>
      </c>
      <c r="AH410" s="449">
        <v>0</v>
      </c>
      <c r="AI410" s="449">
        <v>0</v>
      </c>
      <c r="AJ410" s="449">
        <v>0</v>
      </c>
      <c r="AK410" s="449">
        <v>0</v>
      </c>
      <c r="AL410" s="449">
        <v>0</v>
      </c>
      <c r="AM410" s="400"/>
      <c r="AN410" s="500">
        <v>3000</v>
      </c>
      <c r="AO410" s="449">
        <v>3000</v>
      </c>
      <c r="AP410" s="449">
        <v>0</v>
      </c>
      <c r="AQ410" s="453">
        <v>0</v>
      </c>
      <c r="AR410" s="449">
        <v>3000</v>
      </c>
      <c r="AS410" s="449">
        <v>0</v>
      </c>
      <c r="AT410" s="426">
        <v>0</v>
      </c>
      <c r="AU410" s="421"/>
      <c r="AV410" s="449">
        <v>0</v>
      </c>
      <c r="AW410" s="449">
        <v>0</v>
      </c>
      <c r="AX410" s="449">
        <v>0</v>
      </c>
      <c r="AY410" s="449">
        <v>3000</v>
      </c>
      <c r="AZ410" s="449">
        <v>0</v>
      </c>
      <c r="BA410" s="449">
        <v>0</v>
      </c>
      <c r="BB410" s="449">
        <v>0</v>
      </c>
      <c r="BC410" s="449">
        <v>0</v>
      </c>
      <c r="BD410" s="449">
        <v>0</v>
      </c>
      <c r="BE410" s="449">
        <v>0</v>
      </c>
      <c r="BF410" s="449">
        <v>0</v>
      </c>
      <c r="BG410" s="449">
        <v>0</v>
      </c>
      <c r="BH410" s="400"/>
      <c r="BI410" s="449">
        <v>0</v>
      </c>
      <c r="BJ410" s="449">
        <v>0</v>
      </c>
      <c r="BK410" s="449">
        <v>0</v>
      </c>
      <c r="BL410" s="771">
        <v>3000</v>
      </c>
      <c r="BM410" s="449">
        <v>0</v>
      </c>
      <c r="BN410" s="449">
        <v>0</v>
      </c>
      <c r="BO410" s="449">
        <v>0</v>
      </c>
      <c r="BP410" s="449">
        <v>0</v>
      </c>
      <c r="BQ410" s="449">
        <v>0</v>
      </c>
      <c r="BR410" s="449">
        <v>0</v>
      </c>
      <c r="BS410" s="449">
        <v>0</v>
      </c>
      <c r="BT410" s="449">
        <v>0</v>
      </c>
    </row>
    <row r="411" spans="1:72" x14ac:dyDescent="0.25">
      <c r="A411" s="537" t="s">
        <v>687</v>
      </c>
      <c r="B411" s="537" t="s">
        <v>688</v>
      </c>
      <c r="C411" s="630"/>
      <c r="D411" s="500">
        <v>0</v>
      </c>
      <c r="E411" s="449">
        <v>0</v>
      </c>
      <c r="F411" s="449">
        <v>0</v>
      </c>
      <c r="G411" s="421">
        <v>0</v>
      </c>
      <c r="H411" s="449">
        <v>0</v>
      </c>
      <c r="I411" s="449">
        <v>0</v>
      </c>
      <c r="J411" s="426">
        <v>0</v>
      </c>
      <c r="K411" s="421"/>
      <c r="L411" s="449">
        <v>0</v>
      </c>
      <c r="M411" s="449">
        <v>0</v>
      </c>
      <c r="N411" s="449">
        <v>0</v>
      </c>
      <c r="O411" s="449">
        <v>0</v>
      </c>
      <c r="P411" s="449">
        <v>0</v>
      </c>
      <c r="Q411" s="449">
        <v>0</v>
      </c>
      <c r="R411" s="449">
        <v>0</v>
      </c>
      <c r="S411" s="449">
        <v>0</v>
      </c>
      <c r="T411" s="449">
        <v>0</v>
      </c>
      <c r="U411" s="449">
        <v>0</v>
      </c>
      <c r="V411" s="449">
        <v>0</v>
      </c>
      <c r="W411" s="449">
        <v>0</v>
      </c>
      <c r="X411" s="449"/>
      <c r="Y411" s="449">
        <v>0</v>
      </c>
      <c r="Z411" s="531"/>
      <c r="AA411" s="449">
        <v>0</v>
      </c>
      <c r="AB411" s="449">
        <v>0</v>
      </c>
      <c r="AC411" s="449">
        <v>0</v>
      </c>
      <c r="AD411" s="449">
        <v>0</v>
      </c>
      <c r="AE411" s="449">
        <v>0</v>
      </c>
      <c r="AF411" s="449">
        <v>0</v>
      </c>
      <c r="AG411" s="449">
        <v>0</v>
      </c>
      <c r="AH411" s="449">
        <v>0</v>
      </c>
      <c r="AI411" s="449">
        <v>0</v>
      </c>
      <c r="AJ411" s="449">
        <v>0</v>
      </c>
      <c r="AK411" s="449">
        <v>0</v>
      </c>
      <c r="AL411" s="449">
        <v>0</v>
      </c>
      <c r="AM411" s="400"/>
      <c r="AN411" s="500">
        <v>0</v>
      </c>
      <c r="AO411" s="449">
        <v>3000</v>
      </c>
      <c r="AP411" s="449">
        <v>3000</v>
      </c>
      <c r="AQ411" s="453" t="s">
        <v>1519</v>
      </c>
      <c r="AR411" s="449">
        <v>3000</v>
      </c>
      <c r="AS411" s="449">
        <v>0</v>
      </c>
      <c r="AT411" s="426">
        <v>0</v>
      </c>
      <c r="AU411" s="421"/>
      <c r="AV411" s="449">
        <v>0</v>
      </c>
      <c r="AW411" s="449">
        <v>0</v>
      </c>
      <c r="AX411" s="449">
        <v>0</v>
      </c>
      <c r="AY411" s="449">
        <v>3000</v>
      </c>
      <c r="AZ411" s="449">
        <v>0</v>
      </c>
      <c r="BA411" s="449">
        <v>0</v>
      </c>
      <c r="BB411" s="449">
        <v>0</v>
      </c>
      <c r="BC411" s="449">
        <v>0</v>
      </c>
      <c r="BD411" s="449">
        <v>0</v>
      </c>
      <c r="BE411" s="449">
        <v>0</v>
      </c>
      <c r="BF411" s="449">
        <v>0</v>
      </c>
      <c r="BG411" s="449">
        <v>0</v>
      </c>
      <c r="BH411" s="400"/>
      <c r="BI411" s="449">
        <v>0</v>
      </c>
      <c r="BJ411" s="449">
        <v>0</v>
      </c>
      <c r="BK411" s="449">
        <v>0</v>
      </c>
      <c r="BL411" s="771">
        <v>3000</v>
      </c>
      <c r="BM411" s="449">
        <v>0</v>
      </c>
      <c r="BN411" s="449">
        <v>0</v>
      </c>
      <c r="BO411" s="449">
        <v>0</v>
      </c>
      <c r="BP411" s="449">
        <v>0</v>
      </c>
      <c r="BQ411" s="449">
        <v>0</v>
      </c>
      <c r="BR411" s="449">
        <v>0</v>
      </c>
      <c r="BS411" s="449">
        <v>0</v>
      </c>
      <c r="BT411" s="449">
        <v>0</v>
      </c>
    </row>
    <row r="412" spans="1:72" x14ac:dyDescent="0.25">
      <c r="A412" s="537" t="s">
        <v>689</v>
      </c>
      <c r="B412" s="537" t="s">
        <v>690</v>
      </c>
      <c r="C412" s="630"/>
      <c r="D412" s="500">
        <v>0</v>
      </c>
      <c r="E412" s="449">
        <v>0</v>
      </c>
      <c r="F412" s="449">
        <v>0</v>
      </c>
      <c r="G412" s="421">
        <v>0</v>
      </c>
      <c r="H412" s="449">
        <v>0</v>
      </c>
      <c r="I412" s="449">
        <v>0</v>
      </c>
      <c r="J412" s="426">
        <v>0</v>
      </c>
      <c r="K412" s="421"/>
      <c r="L412" s="449">
        <v>0</v>
      </c>
      <c r="M412" s="449">
        <v>0</v>
      </c>
      <c r="N412" s="449">
        <v>0</v>
      </c>
      <c r="O412" s="449">
        <v>0</v>
      </c>
      <c r="P412" s="449">
        <v>0</v>
      </c>
      <c r="Q412" s="449">
        <v>0</v>
      </c>
      <c r="R412" s="449">
        <v>0</v>
      </c>
      <c r="S412" s="449">
        <v>0</v>
      </c>
      <c r="T412" s="449">
        <v>0</v>
      </c>
      <c r="U412" s="449">
        <v>0</v>
      </c>
      <c r="V412" s="449">
        <v>0</v>
      </c>
      <c r="W412" s="449">
        <v>0</v>
      </c>
      <c r="X412" s="449"/>
      <c r="Y412" s="449">
        <v>0</v>
      </c>
      <c r="Z412" s="531"/>
      <c r="AA412" s="449">
        <v>0</v>
      </c>
      <c r="AB412" s="449">
        <v>0</v>
      </c>
      <c r="AC412" s="449">
        <v>0</v>
      </c>
      <c r="AD412" s="449">
        <v>0</v>
      </c>
      <c r="AE412" s="449">
        <v>0</v>
      </c>
      <c r="AF412" s="449">
        <v>0</v>
      </c>
      <c r="AG412" s="449">
        <v>0</v>
      </c>
      <c r="AH412" s="449">
        <v>0</v>
      </c>
      <c r="AI412" s="449">
        <v>0</v>
      </c>
      <c r="AJ412" s="449">
        <v>0</v>
      </c>
      <c r="AK412" s="449">
        <v>0</v>
      </c>
      <c r="AL412" s="449">
        <v>0</v>
      </c>
      <c r="AM412" s="400"/>
      <c r="AN412" s="500">
        <v>0</v>
      </c>
      <c r="AO412" s="449">
        <v>0</v>
      </c>
      <c r="AP412" s="449">
        <v>0</v>
      </c>
      <c r="AQ412" s="453" t="s">
        <v>1519</v>
      </c>
      <c r="AR412" s="449">
        <v>0</v>
      </c>
      <c r="AS412" s="449">
        <v>0</v>
      </c>
      <c r="AT412" s="426">
        <v>0</v>
      </c>
      <c r="AU412" s="421"/>
      <c r="AV412" s="449">
        <v>0</v>
      </c>
      <c r="AW412" s="449">
        <v>0</v>
      </c>
      <c r="AX412" s="449">
        <v>0</v>
      </c>
      <c r="AY412" s="449">
        <v>0</v>
      </c>
      <c r="AZ412" s="449">
        <v>0</v>
      </c>
      <c r="BA412" s="449">
        <v>0</v>
      </c>
      <c r="BB412" s="449">
        <v>0</v>
      </c>
      <c r="BC412" s="449">
        <v>0</v>
      </c>
      <c r="BD412" s="449">
        <v>0</v>
      </c>
      <c r="BE412" s="449">
        <v>0</v>
      </c>
      <c r="BF412" s="449">
        <v>0</v>
      </c>
      <c r="BG412" s="449">
        <v>0</v>
      </c>
      <c r="BH412" s="400"/>
      <c r="BI412" s="449">
        <v>0</v>
      </c>
      <c r="BJ412" s="449">
        <v>0</v>
      </c>
      <c r="BK412" s="449">
        <v>0</v>
      </c>
      <c r="BL412" s="771">
        <v>0</v>
      </c>
      <c r="BM412" s="449">
        <v>0</v>
      </c>
      <c r="BN412" s="449">
        <v>0</v>
      </c>
      <c r="BO412" s="449">
        <v>0</v>
      </c>
      <c r="BP412" s="449">
        <v>0</v>
      </c>
      <c r="BQ412" s="449">
        <v>0</v>
      </c>
      <c r="BR412" s="449">
        <v>0</v>
      </c>
      <c r="BS412" s="449">
        <v>0</v>
      </c>
      <c r="BT412" s="449">
        <v>0</v>
      </c>
    </row>
    <row r="413" spans="1:72" x14ac:dyDescent="0.25">
      <c r="A413" s="502" t="s">
        <v>691</v>
      </c>
      <c r="B413" s="537" t="s">
        <v>692</v>
      </c>
      <c r="C413" s="630"/>
      <c r="D413" s="500">
        <v>3000</v>
      </c>
      <c r="E413" s="449">
        <v>0</v>
      </c>
      <c r="F413" s="449">
        <v>3000</v>
      </c>
      <c r="G413" s="421">
        <v>0</v>
      </c>
      <c r="H413" s="449">
        <v>3000</v>
      </c>
      <c r="I413" s="449">
        <v>0</v>
      </c>
      <c r="J413" s="426">
        <v>0</v>
      </c>
      <c r="K413" s="421"/>
      <c r="L413" s="449">
        <v>0</v>
      </c>
      <c r="M413" s="449">
        <v>0</v>
      </c>
      <c r="N413" s="449">
        <v>0</v>
      </c>
      <c r="O413" s="449">
        <v>0</v>
      </c>
      <c r="P413" s="449">
        <v>0</v>
      </c>
      <c r="Q413" s="449">
        <v>0</v>
      </c>
      <c r="R413" s="449">
        <v>500</v>
      </c>
      <c r="S413" s="449">
        <v>500</v>
      </c>
      <c r="T413" s="449">
        <v>500</v>
      </c>
      <c r="U413" s="449">
        <v>500</v>
      </c>
      <c r="V413" s="449">
        <v>500</v>
      </c>
      <c r="W413" s="449">
        <v>500</v>
      </c>
      <c r="X413" s="449"/>
      <c r="Y413" s="449">
        <v>3000</v>
      </c>
      <c r="Z413" s="531"/>
      <c r="AA413" s="449">
        <v>250</v>
      </c>
      <c r="AB413" s="449">
        <v>250</v>
      </c>
      <c r="AC413" s="449">
        <v>250</v>
      </c>
      <c r="AD413" s="449">
        <v>250</v>
      </c>
      <c r="AE413" s="449">
        <v>250</v>
      </c>
      <c r="AF413" s="449">
        <v>250</v>
      </c>
      <c r="AG413" s="449">
        <v>250</v>
      </c>
      <c r="AH413" s="449">
        <v>250</v>
      </c>
      <c r="AI413" s="449">
        <v>250</v>
      </c>
      <c r="AJ413" s="449">
        <v>250</v>
      </c>
      <c r="AK413" s="449">
        <v>250</v>
      </c>
      <c r="AL413" s="449">
        <v>250</v>
      </c>
      <c r="AM413" s="400"/>
      <c r="AN413" s="500">
        <v>3000</v>
      </c>
      <c r="AO413" s="449">
        <v>3000</v>
      </c>
      <c r="AP413" s="449">
        <v>0</v>
      </c>
      <c r="AQ413" s="453">
        <v>0</v>
      </c>
      <c r="AR413" s="449">
        <v>3000</v>
      </c>
      <c r="AS413" s="449">
        <v>0</v>
      </c>
      <c r="AT413" s="426">
        <v>0</v>
      </c>
      <c r="AU413" s="421"/>
      <c r="AV413" s="449">
        <v>0</v>
      </c>
      <c r="AW413" s="449">
        <v>0</v>
      </c>
      <c r="AX413" s="449">
        <v>0</v>
      </c>
      <c r="AY413" s="449">
        <v>3000</v>
      </c>
      <c r="AZ413" s="449">
        <v>0</v>
      </c>
      <c r="BA413" s="449">
        <v>0</v>
      </c>
      <c r="BB413" s="449">
        <v>0</v>
      </c>
      <c r="BC413" s="449">
        <v>0</v>
      </c>
      <c r="BD413" s="449">
        <v>0</v>
      </c>
      <c r="BE413" s="449">
        <v>0</v>
      </c>
      <c r="BF413" s="449">
        <v>0</v>
      </c>
      <c r="BG413" s="449">
        <v>0</v>
      </c>
      <c r="BH413" s="400"/>
      <c r="BI413" s="449">
        <v>0</v>
      </c>
      <c r="BJ413" s="449">
        <v>0</v>
      </c>
      <c r="BK413" s="449">
        <v>0</v>
      </c>
      <c r="BL413" s="771">
        <v>3000</v>
      </c>
      <c r="BM413" s="449">
        <v>0</v>
      </c>
      <c r="BN413" s="449">
        <v>0</v>
      </c>
      <c r="BO413" s="449">
        <v>0</v>
      </c>
      <c r="BP413" s="449">
        <v>0</v>
      </c>
      <c r="BQ413" s="449">
        <v>0</v>
      </c>
      <c r="BR413" s="449">
        <v>0</v>
      </c>
      <c r="BS413" s="449">
        <v>0</v>
      </c>
      <c r="BT413" s="449">
        <v>0</v>
      </c>
    </row>
    <row r="414" spans="1:72" hidden="1" x14ac:dyDescent="0.25">
      <c r="A414" s="502" t="s">
        <v>693</v>
      </c>
      <c r="B414" s="502" t="s">
        <v>694</v>
      </c>
      <c r="C414" s="541"/>
      <c r="D414" s="500">
        <v>0</v>
      </c>
      <c r="E414" s="449">
        <v>0</v>
      </c>
      <c r="F414" s="449">
        <v>0</v>
      </c>
      <c r="G414" s="421">
        <v>0</v>
      </c>
      <c r="H414" s="449">
        <v>0</v>
      </c>
      <c r="I414" s="449">
        <v>0</v>
      </c>
      <c r="J414" s="426">
        <v>0</v>
      </c>
      <c r="K414" s="421"/>
      <c r="L414" s="449">
        <v>0</v>
      </c>
      <c r="M414" s="449">
        <v>0</v>
      </c>
      <c r="N414" s="449">
        <v>0</v>
      </c>
      <c r="O414" s="449">
        <v>0</v>
      </c>
      <c r="P414" s="449">
        <v>0</v>
      </c>
      <c r="Q414" s="449">
        <v>0</v>
      </c>
      <c r="R414" s="449">
        <v>0</v>
      </c>
      <c r="S414" s="449">
        <v>0</v>
      </c>
      <c r="T414" s="449">
        <v>0</v>
      </c>
      <c r="U414" s="449">
        <v>0</v>
      </c>
      <c r="V414" s="449">
        <v>0</v>
      </c>
      <c r="W414" s="449">
        <v>0</v>
      </c>
      <c r="X414" s="449"/>
      <c r="Y414" s="449">
        <v>0</v>
      </c>
      <c r="Z414" s="531"/>
      <c r="AA414" s="449">
        <v>0</v>
      </c>
      <c r="AB414" s="449">
        <v>0</v>
      </c>
      <c r="AC414" s="449">
        <v>0</v>
      </c>
      <c r="AD414" s="449">
        <v>0</v>
      </c>
      <c r="AE414" s="449">
        <v>0</v>
      </c>
      <c r="AF414" s="449">
        <v>0</v>
      </c>
      <c r="AG414" s="449">
        <v>0</v>
      </c>
      <c r="AH414" s="449">
        <v>0</v>
      </c>
      <c r="AI414" s="449">
        <v>0</v>
      </c>
      <c r="AJ414" s="449">
        <v>0</v>
      </c>
      <c r="AK414" s="449">
        <v>0</v>
      </c>
      <c r="AL414" s="449">
        <v>0</v>
      </c>
      <c r="AM414" s="400"/>
      <c r="AN414" s="500">
        <v>0</v>
      </c>
      <c r="AO414" s="449">
        <v>0</v>
      </c>
      <c r="AP414" s="449">
        <v>0</v>
      </c>
      <c r="AQ414" s="453" t="s">
        <v>1519</v>
      </c>
      <c r="AR414" s="449">
        <v>0</v>
      </c>
      <c r="AS414" s="449">
        <v>0</v>
      </c>
      <c r="AT414" s="426">
        <v>0</v>
      </c>
      <c r="AU414" s="421"/>
      <c r="AV414" s="449">
        <v>0</v>
      </c>
      <c r="AW414" s="449">
        <v>0</v>
      </c>
      <c r="AX414" s="449">
        <v>0</v>
      </c>
      <c r="AY414" s="449">
        <v>0</v>
      </c>
      <c r="AZ414" s="449">
        <v>0</v>
      </c>
      <c r="BA414" s="449">
        <v>0</v>
      </c>
      <c r="BB414" s="449">
        <v>0</v>
      </c>
      <c r="BC414" s="449">
        <v>0</v>
      </c>
      <c r="BD414" s="449">
        <v>0</v>
      </c>
      <c r="BE414" s="449">
        <v>0</v>
      </c>
      <c r="BF414" s="449">
        <v>0</v>
      </c>
      <c r="BG414" s="449">
        <v>0</v>
      </c>
      <c r="BH414" s="400"/>
      <c r="BI414" s="449">
        <v>0</v>
      </c>
      <c r="BJ414" s="449">
        <v>0</v>
      </c>
      <c r="BK414" s="449">
        <v>0</v>
      </c>
      <c r="BL414" s="771">
        <v>0</v>
      </c>
      <c r="BM414" s="449">
        <v>0</v>
      </c>
      <c r="BN414" s="449">
        <v>0</v>
      </c>
      <c r="BO414" s="449">
        <v>0</v>
      </c>
      <c r="BP414" s="449">
        <v>0</v>
      </c>
      <c r="BQ414" s="449">
        <v>0</v>
      </c>
      <c r="BR414" s="449">
        <v>0</v>
      </c>
      <c r="BS414" s="449">
        <v>0</v>
      </c>
      <c r="BT414" s="449">
        <v>0</v>
      </c>
    </row>
    <row r="415" spans="1:72" hidden="1" x14ac:dyDescent="0.25">
      <c r="A415" s="502" t="s">
        <v>695</v>
      </c>
      <c r="B415" s="502" t="s">
        <v>696</v>
      </c>
      <c r="C415" s="541"/>
      <c r="D415" s="500">
        <v>0</v>
      </c>
      <c r="E415" s="449">
        <v>0</v>
      </c>
      <c r="F415" s="449">
        <v>0</v>
      </c>
      <c r="G415" s="421">
        <v>0</v>
      </c>
      <c r="H415" s="449">
        <v>0</v>
      </c>
      <c r="I415" s="449">
        <v>0</v>
      </c>
      <c r="J415" s="426">
        <v>0</v>
      </c>
      <c r="K415" s="421"/>
      <c r="L415" s="449">
        <v>0</v>
      </c>
      <c r="M415" s="449">
        <v>0</v>
      </c>
      <c r="N415" s="449">
        <v>0</v>
      </c>
      <c r="O415" s="449">
        <v>0</v>
      </c>
      <c r="P415" s="449">
        <v>0</v>
      </c>
      <c r="Q415" s="449">
        <v>0</v>
      </c>
      <c r="R415" s="449">
        <v>0</v>
      </c>
      <c r="S415" s="449">
        <v>0</v>
      </c>
      <c r="T415" s="449">
        <v>0</v>
      </c>
      <c r="U415" s="449">
        <v>0</v>
      </c>
      <c r="V415" s="449">
        <v>0</v>
      </c>
      <c r="W415" s="449">
        <v>0</v>
      </c>
      <c r="X415" s="449"/>
      <c r="Y415" s="449">
        <v>0</v>
      </c>
      <c r="Z415" s="531"/>
      <c r="AA415" s="449">
        <v>0</v>
      </c>
      <c r="AB415" s="449">
        <v>0</v>
      </c>
      <c r="AC415" s="449">
        <v>0</v>
      </c>
      <c r="AD415" s="449">
        <v>0</v>
      </c>
      <c r="AE415" s="449">
        <v>0</v>
      </c>
      <c r="AF415" s="449">
        <v>0</v>
      </c>
      <c r="AG415" s="449">
        <v>0</v>
      </c>
      <c r="AH415" s="449">
        <v>0</v>
      </c>
      <c r="AI415" s="449">
        <v>0</v>
      </c>
      <c r="AJ415" s="449">
        <v>0</v>
      </c>
      <c r="AK415" s="449">
        <v>0</v>
      </c>
      <c r="AL415" s="449">
        <v>0</v>
      </c>
      <c r="AM415" s="400"/>
      <c r="AN415" s="500">
        <v>0</v>
      </c>
      <c r="AO415" s="449">
        <v>0</v>
      </c>
      <c r="AP415" s="449">
        <v>0</v>
      </c>
      <c r="AQ415" s="453" t="s">
        <v>1519</v>
      </c>
      <c r="AR415" s="449">
        <v>0</v>
      </c>
      <c r="AS415" s="449">
        <v>0</v>
      </c>
      <c r="AT415" s="426">
        <v>0</v>
      </c>
      <c r="AU415" s="421"/>
      <c r="AV415" s="449">
        <v>0</v>
      </c>
      <c r="AW415" s="449">
        <v>0</v>
      </c>
      <c r="AX415" s="449">
        <v>0</v>
      </c>
      <c r="AY415" s="449">
        <v>0</v>
      </c>
      <c r="AZ415" s="449">
        <v>0</v>
      </c>
      <c r="BA415" s="449">
        <v>0</v>
      </c>
      <c r="BB415" s="449">
        <v>0</v>
      </c>
      <c r="BC415" s="449">
        <v>0</v>
      </c>
      <c r="BD415" s="449">
        <v>0</v>
      </c>
      <c r="BE415" s="449">
        <v>0</v>
      </c>
      <c r="BF415" s="449">
        <v>0</v>
      </c>
      <c r="BG415" s="449">
        <v>0</v>
      </c>
      <c r="BH415" s="400"/>
      <c r="BI415" s="449">
        <v>0</v>
      </c>
      <c r="BJ415" s="449">
        <v>0</v>
      </c>
      <c r="BK415" s="449">
        <v>0</v>
      </c>
      <c r="BL415" s="771">
        <v>0</v>
      </c>
      <c r="BM415" s="449">
        <v>0</v>
      </c>
      <c r="BN415" s="449">
        <v>0</v>
      </c>
      <c r="BO415" s="449">
        <v>0</v>
      </c>
      <c r="BP415" s="449">
        <v>0</v>
      </c>
      <c r="BQ415" s="449">
        <v>0</v>
      </c>
      <c r="BR415" s="449">
        <v>0</v>
      </c>
      <c r="BS415" s="449">
        <v>0</v>
      </c>
      <c r="BT415" s="449">
        <v>0</v>
      </c>
    </row>
    <row r="416" spans="1:72" hidden="1" x14ac:dyDescent="0.25">
      <c r="A416" s="502" t="s">
        <v>697</v>
      </c>
      <c r="B416" s="502" t="s">
        <v>698</v>
      </c>
      <c r="C416" s="541"/>
      <c r="D416" s="500">
        <v>0</v>
      </c>
      <c r="E416" s="449">
        <v>0</v>
      </c>
      <c r="F416" s="449">
        <v>0</v>
      </c>
      <c r="G416" s="421">
        <v>0</v>
      </c>
      <c r="H416" s="449">
        <v>0</v>
      </c>
      <c r="I416" s="449">
        <v>0</v>
      </c>
      <c r="J416" s="426">
        <v>0</v>
      </c>
      <c r="K416" s="421"/>
      <c r="L416" s="449">
        <v>0</v>
      </c>
      <c r="M416" s="449">
        <v>0</v>
      </c>
      <c r="N416" s="449">
        <v>0</v>
      </c>
      <c r="O416" s="449">
        <v>0</v>
      </c>
      <c r="P416" s="449">
        <v>0</v>
      </c>
      <c r="Q416" s="449">
        <v>0</v>
      </c>
      <c r="R416" s="449">
        <v>0</v>
      </c>
      <c r="S416" s="449">
        <v>0</v>
      </c>
      <c r="T416" s="449">
        <v>0</v>
      </c>
      <c r="U416" s="449">
        <v>0</v>
      </c>
      <c r="V416" s="449">
        <v>0</v>
      </c>
      <c r="W416" s="449">
        <v>0</v>
      </c>
      <c r="X416" s="449"/>
      <c r="Y416" s="449">
        <v>0</v>
      </c>
      <c r="Z416" s="531"/>
      <c r="AA416" s="449">
        <v>0</v>
      </c>
      <c r="AB416" s="449">
        <v>0</v>
      </c>
      <c r="AC416" s="449">
        <v>0</v>
      </c>
      <c r="AD416" s="449">
        <v>0</v>
      </c>
      <c r="AE416" s="449">
        <v>0</v>
      </c>
      <c r="AF416" s="449">
        <v>0</v>
      </c>
      <c r="AG416" s="449">
        <v>0</v>
      </c>
      <c r="AH416" s="449">
        <v>0</v>
      </c>
      <c r="AI416" s="449">
        <v>0</v>
      </c>
      <c r="AJ416" s="449">
        <v>0</v>
      </c>
      <c r="AK416" s="449">
        <v>0</v>
      </c>
      <c r="AL416" s="449">
        <v>0</v>
      </c>
      <c r="AM416" s="400"/>
      <c r="AN416" s="500">
        <v>0</v>
      </c>
      <c r="AO416" s="449">
        <v>0</v>
      </c>
      <c r="AP416" s="449">
        <v>0</v>
      </c>
      <c r="AQ416" s="453" t="s">
        <v>1519</v>
      </c>
      <c r="AR416" s="449">
        <v>0</v>
      </c>
      <c r="AS416" s="449">
        <v>0</v>
      </c>
      <c r="AT416" s="426">
        <v>0</v>
      </c>
      <c r="AU416" s="421"/>
      <c r="AV416" s="449">
        <v>0</v>
      </c>
      <c r="AW416" s="449">
        <v>0</v>
      </c>
      <c r="AX416" s="449">
        <v>0</v>
      </c>
      <c r="AY416" s="449">
        <v>0</v>
      </c>
      <c r="AZ416" s="449">
        <v>0</v>
      </c>
      <c r="BA416" s="449">
        <v>0</v>
      </c>
      <c r="BB416" s="449">
        <v>0</v>
      </c>
      <c r="BC416" s="449">
        <v>0</v>
      </c>
      <c r="BD416" s="449">
        <v>0</v>
      </c>
      <c r="BE416" s="449">
        <v>0</v>
      </c>
      <c r="BF416" s="449">
        <v>0</v>
      </c>
      <c r="BG416" s="449">
        <v>0</v>
      </c>
      <c r="BH416" s="400"/>
      <c r="BI416" s="449">
        <v>0</v>
      </c>
      <c r="BJ416" s="449">
        <v>0</v>
      </c>
      <c r="BK416" s="449">
        <v>0</v>
      </c>
      <c r="BL416" s="771">
        <v>0</v>
      </c>
      <c r="BM416" s="449">
        <v>0</v>
      </c>
      <c r="BN416" s="449">
        <v>0</v>
      </c>
      <c r="BO416" s="449">
        <v>0</v>
      </c>
      <c r="BP416" s="449">
        <v>0</v>
      </c>
      <c r="BQ416" s="449">
        <v>0</v>
      </c>
      <c r="BR416" s="449">
        <v>0</v>
      </c>
      <c r="BS416" s="449">
        <v>0</v>
      </c>
      <c r="BT416" s="449">
        <v>0</v>
      </c>
    </row>
    <row r="417" spans="1:72" x14ac:dyDescent="0.25">
      <c r="A417" s="537" t="s">
        <v>699</v>
      </c>
      <c r="B417" s="537" t="s">
        <v>700</v>
      </c>
      <c r="C417" s="541"/>
      <c r="D417" s="500">
        <v>0</v>
      </c>
      <c r="E417" s="449">
        <v>0</v>
      </c>
      <c r="F417" s="449">
        <v>0</v>
      </c>
      <c r="G417" s="421">
        <v>0</v>
      </c>
      <c r="H417" s="449">
        <v>0</v>
      </c>
      <c r="I417" s="449">
        <v>0</v>
      </c>
      <c r="J417" s="426">
        <v>0</v>
      </c>
      <c r="K417" s="421"/>
      <c r="L417" s="449">
        <v>0</v>
      </c>
      <c r="M417" s="449">
        <v>0</v>
      </c>
      <c r="N417" s="449">
        <v>0</v>
      </c>
      <c r="O417" s="449">
        <v>0</v>
      </c>
      <c r="P417" s="449">
        <v>0</v>
      </c>
      <c r="Q417" s="449">
        <v>0</v>
      </c>
      <c r="R417" s="449">
        <v>0</v>
      </c>
      <c r="S417" s="449">
        <v>0</v>
      </c>
      <c r="T417" s="449">
        <v>0</v>
      </c>
      <c r="U417" s="449">
        <v>0</v>
      </c>
      <c r="V417" s="449">
        <v>0</v>
      </c>
      <c r="W417" s="449">
        <v>0</v>
      </c>
      <c r="X417" s="449"/>
      <c r="Y417" s="449">
        <v>0</v>
      </c>
      <c r="Z417" s="531"/>
      <c r="AA417" s="449">
        <v>0</v>
      </c>
      <c r="AB417" s="449">
        <v>0</v>
      </c>
      <c r="AC417" s="449">
        <v>0</v>
      </c>
      <c r="AD417" s="449">
        <v>0</v>
      </c>
      <c r="AE417" s="449">
        <v>0</v>
      </c>
      <c r="AF417" s="449">
        <v>0</v>
      </c>
      <c r="AG417" s="449">
        <v>0</v>
      </c>
      <c r="AH417" s="449">
        <v>0</v>
      </c>
      <c r="AI417" s="449">
        <v>0</v>
      </c>
      <c r="AJ417" s="449">
        <v>0</v>
      </c>
      <c r="AK417" s="449">
        <v>0</v>
      </c>
      <c r="AL417" s="449">
        <v>0</v>
      </c>
      <c r="AM417" s="400"/>
      <c r="AN417" s="500">
        <v>0</v>
      </c>
      <c r="AO417" s="449">
        <v>0</v>
      </c>
      <c r="AP417" s="449">
        <v>0</v>
      </c>
      <c r="AQ417" s="453" t="s">
        <v>1519</v>
      </c>
      <c r="AR417" s="449">
        <v>0</v>
      </c>
      <c r="AS417" s="449">
        <v>0</v>
      </c>
      <c r="AT417" s="426">
        <v>0</v>
      </c>
      <c r="AU417" s="421"/>
      <c r="AV417" s="449">
        <v>0</v>
      </c>
      <c r="AW417" s="449">
        <v>0</v>
      </c>
      <c r="AX417" s="449">
        <v>0</v>
      </c>
      <c r="AY417" s="449">
        <v>0</v>
      </c>
      <c r="AZ417" s="449">
        <v>0</v>
      </c>
      <c r="BA417" s="449">
        <v>0</v>
      </c>
      <c r="BB417" s="449">
        <v>0</v>
      </c>
      <c r="BC417" s="449">
        <v>0</v>
      </c>
      <c r="BD417" s="449">
        <v>0</v>
      </c>
      <c r="BE417" s="449">
        <v>0</v>
      </c>
      <c r="BF417" s="449">
        <v>0</v>
      </c>
      <c r="BG417" s="449">
        <v>0</v>
      </c>
      <c r="BH417" s="400"/>
      <c r="BI417" s="449">
        <v>0</v>
      </c>
      <c r="BJ417" s="449">
        <v>0</v>
      </c>
      <c r="BK417" s="449">
        <v>0</v>
      </c>
      <c r="BL417" s="771">
        <v>0</v>
      </c>
      <c r="BM417" s="449">
        <v>0</v>
      </c>
      <c r="BN417" s="449">
        <v>0</v>
      </c>
      <c r="BO417" s="449">
        <v>0</v>
      </c>
      <c r="BP417" s="449">
        <v>0</v>
      </c>
      <c r="BQ417" s="449">
        <v>0</v>
      </c>
      <c r="BR417" s="449">
        <v>0</v>
      </c>
      <c r="BS417" s="449">
        <v>0</v>
      </c>
      <c r="BT417" s="449">
        <v>0</v>
      </c>
    </row>
    <row r="418" spans="1:72" x14ac:dyDescent="0.25">
      <c r="A418" s="502" t="s">
        <v>701</v>
      </c>
      <c r="B418" s="502" t="s">
        <v>702</v>
      </c>
      <c r="C418" s="541"/>
      <c r="D418" s="500">
        <v>16183</v>
      </c>
      <c r="E418" s="449">
        <v>16183</v>
      </c>
      <c r="F418" s="449">
        <v>0</v>
      </c>
      <c r="G418" s="421">
        <v>0</v>
      </c>
      <c r="H418" s="449">
        <v>16183</v>
      </c>
      <c r="I418" s="449">
        <v>0</v>
      </c>
      <c r="J418" s="426">
        <v>0</v>
      </c>
      <c r="K418" s="421"/>
      <c r="L418" s="449">
        <v>723.81</v>
      </c>
      <c r="M418" s="449">
        <v>1349.3899999999999</v>
      </c>
      <c r="N418" s="449">
        <v>390.40000000000009</v>
      </c>
      <c r="O418" s="449">
        <v>729.68000000000029</v>
      </c>
      <c r="P418" s="449">
        <v>500.17999999999984</v>
      </c>
      <c r="Q418" s="449">
        <v>625.22999999999956</v>
      </c>
      <c r="R418" s="449">
        <v>1977.3850000000002</v>
      </c>
      <c r="S418" s="449">
        <v>1977.3849999999998</v>
      </c>
      <c r="T418" s="449">
        <v>1977.3850000000002</v>
      </c>
      <c r="U418" s="449">
        <v>1977.3850000000002</v>
      </c>
      <c r="V418" s="449">
        <v>1977.3850000000002</v>
      </c>
      <c r="W418" s="449">
        <v>1977.3850000000002</v>
      </c>
      <c r="X418" s="449"/>
      <c r="Y418" s="449">
        <v>16183</v>
      </c>
      <c r="Z418" s="531"/>
      <c r="AA418" s="449">
        <v>1348.5833333333333</v>
      </c>
      <c r="AB418" s="449">
        <v>1348.5833333333333</v>
      </c>
      <c r="AC418" s="449">
        <v>1348.5833333333333</v>
      </c>
      <c r="AD418" s="449">
        <v>1348.5833333333333</v>
      </c>
      <c r="AE418" s="449">
        <v>1348.5833333333333</v>
      </c>
      <c r="AF418" s="449">
        <v>1348.5833333333333</v>
      </c>
      <c r="AG418" s="449">
        <v>1348.5833333333333</v>
      </c>
      <c r="AH418" s="449">
        <v>1348.5833333333333</v>
      </c>
      <c r="AI418" s="449">
        <v>1348.5833333333333</v>
      </c>
      <c r="AJ418" s="449">
        <v>1348.5833333333333</v>
      </c>
      <c r="AK418" s="449">
        <v>1348.5833333333333</v>
      </c>
      <c r="AL418" s="449">
        <v>1348.5833333333333</v>
      </c>
      <c r="AM418" s="400"/>
      <c r="AN418" s="500">
        <v>16183</v>
      </c>
      <c r="AO418" s="449">
        <v>8383.6</v>
      </c>
      <c r="AP418" s="449">
        <v>-7799.4</v>
      </c>
      <c r="AQ418" s="453">
        <v>-0.48195019464870542</v>
      </c>
      <c r="AR418" s="449">
        <v>8383.6</v>
      </c>
      <c r="AS418" s="449">
        <v>0</v>
      </c>
      <c r="AT418" s="426">
        <v>0</v>
      </c>
      <c r="AU418" s="421"/>
      <c r="AV418" s="449">
        <v>698.63333333333333</v>
      </c>
      <c r="AW418" s="449">
        <v>698.63333333333333</v>
      </c>
      <c r="AX418" s="449">
        <v>698.63333333333333</v>
      </c>
      <c r="AY418" s="449">
        <v>698.63333333333333</v>
      </c>
      <c r="AZ418" s="449">
        <v>698.63333333333333</v>
      </c>
      <c r="BA418" s="449">
        <v>698.63333333333333</v>
      </c>
      <c r="BB418" s="449">
        <v>698.63333333333333</v>
      </c>
      <c r="BC418" s="449">
        <v>698.63333333333333</v>
      </c>
      <c r="BD418" s="449">
        <v>698.63333333333333</v>
      </c>
      <c r="BE418" s="449">
        <v>698.63333333333333</v>
      </c>
      <c r="BF418" s="449">
        <v>698.63333333333333</v>
      </c>
      <c r="BG418" s="449">
        <v>698.63333333333333</v>
      </c>
      <c r="BH418" s="400"/>
      <c r="BI418" s="449">
        <v>698.63333333333333</v>
      </c>
      <c r="BJ418" s="449">
        <v>698.63333333333333</v>
      </c>
      <c r="BK418" s="449">
        <v>698.63333333333333</v>
      </c>
      <c r="BL418" s="771">
        <v>698.63333333333333</v>
      </c>
      <c r="BM418" s="449">
        <v>698.63333333333333</v>
      </c>
      <c r="BN418" s="449">
        <v>698.63333333333333</v>
      </c>
      <c r="BO418" s="449">
        <v>698.63333333333333</v>
      </c>
      <c r="BP418" s="449">
        <v>698.63333333333333</v>
      </c>
      <c r="BQ418" s="449">
        <v>698.63333333333333</v>
      </c>
      <c r="BR418" s="449">
        <v>698.63333333333333</v>
      </c>
      <c r="BS418" s="449">
        <v>698.63333333333333</v>
      </c>
      <c r="BT418" s="449">
        <v>698.63333333333333</v>
      </c>
    </row>
    <row r="419" spans="1:72" x14ac:dyDescent="0.25">
      <c r="A419" s="502" t="s">
        <v>703</v>
      </c>
      <c r="B419" s="502" t="s">
        <v>704</v>
      </c>
      <c r="C419" s="541"/>
      <c r="D419" s="500">
        <v>7535</v>
      </c>
      <c r="E419" s="449">
        <v>7535</v>
      </c>
      <c r="F419" s="449">
        <v>0</v>
      </c>
      <c r="G419" s="421">
        <v>0</v>
      </c>
      <c r="H419" s="449">
        <v>7535</v>
      </c>
      <c r="I419" s="449">
        <v>0</v>
      </c>
      <c r="J419" s="426">
        <v>0</v>
      </c>
      <c r="K419" s="421"/>
      <c r="L419" s="449">
        <v>736.44</v>
      </c>
      <c r="M419" s="449">
        <v>1377.46</v>
      </c>
      <c r="N419" s="449">
        <v>385.15999999999985</v>
      </c>
      <c r="O419" s="449">
        <v>512</v>
      </c>
      <c r="P419" s="449">
        <v>512</v>
      </c>
      <c r="Q419" s="449">
        <v>640.00000000000045</v>
      </c>
      <c r="R419" s="449">
        <v>561.9899999999999</v>
      </c>
      <c r="S419" s="449">
        <v>561.99</v>
      </c>
      <c r="T419" s="449">
        <v>561.99</v>
      </c>
      <c r="U419" s="449">
        <v>561.99000000000012</v>
      </c>
      <c r="V419" s="449">
        <v>561.99000000000024</v>
      </c>
      <c r="W419" s="449">
        <v>561.98999999999978</v>
      </c>
      <c r="X419" s="449"/>
      <c r="Y419" s="449">
        <v>7535</v>
      </c>
      <c r="Z419" s="531"/>
      <c r="AA419" s="449">
        <v>627.91666666666663</v>
      </c>
      <c r="AB419" s="449">
        <v>627.91666666666663</v>
      </c>
      <c r="AC419" s="449">
        <v>627.91666666666663</v>
      </c>
      <c r="AD419" s="449">
        <v>627.91666666666663</v>
      </c>
      <c r="AE419" s="449">
        <v>627.91666666666663</v>
      </c>
      <c r="AF419" s="449">
        <v>627.91666666666663</v>
      </c>
      <c r="AG419" s="449">
        <v>627.91666666666663</v>
      </c>
      <c r="AH419" s="449">
        <v>627.91666666666663</v>
      </c>
      <c r="AI419" s="449">
        <v>627.91666666666663</v>
      </c>
      <c r="AJ419" s="449">
        <v>627.91666666666663</v>
      </c>
      <c r="AK419" s="449">
        <v>627.91666666666663</v>
      </c>
      <c r="AL419" s="449">
        <v>627.91666666666663</v>
      </c>
      <c r="AM419" s="400"/>
      <c r="AN419" s="500">
        <v>7535</v>
      </c>
      <c r="AO419" s="449">
        <v>8542.7200000000012</v>
      </c>
      <c r="AP419" s="449">
        <v>1007.7200000000012</v>
      </c>
      <c r="AQ419" s="453">
        <v>0.13373855341738569</v>
      </c>
      <c r="AR419" s="449">
        <v>8542.7200000000012</v>
      </c>
      <c r="AS419" s="449">
        <v>0</v>
      </c>
      <c r="AT419" s="426">
        <v>0</v>
      </c>
      <c r="AU419" s="421"/>
      <c r="AV419" s="449">
        <v>711.89333333333343</v>
      </c>
      <c r="AW419" s="449">
        <v>711.89333333333343</v>
      </c>
      <c r="AX419" s="449">
        <v>711.89333333333343</v>
      </c>
      <c r="AY419" s="449">
        <v>711.89333333333343</v>
      </c>
      <c r="AZ419" s="449">
        <v>711.89333333333343</v>
      </c>
      <c r="BA419" s="449">
        <v>711.89333333333343</v>
      </c>
      <c r="BB419" s="449">
        <v>711.89333333333343</v>
      </c>
      <c r="BC419" s="449">
        <v>711.89333333333343</v>
      </c>
      <c r="BD419" s="449">
        <v>711.89333333333343</v>
      </c>
      <c r="BE419" s="449">
        <v>711.89333333333343</v>
      </c>
      <c r="BF419" s="449">
        <v>711.89333333333343</v>
      </c>
      <c r="BG419" s="449">
        <v>711.89333333333343</v>
      </c>
      <c r="BH419" s="400"/>
      <c r="BI419" s="449">
        <v>711.89333333333343</v>
      </c>
      <c r="BJ419" s="449">
        <v>711.89333333333343</v>
      </c>
      <c r="BK419" s="449">
        <v>711.89333333333343</v>
      </c>
      <c r="BL419" s="771">
        <v>711.89333333333343</v>
      </c>
      <c r="BM419" s="449">
        <v>711.89333333333343</v>
      </c>
      <c r="BN419" s="449">
        <v>711.89333333333343</v>
      </c>
      <c r="BO419" s="449">
        <v>711.89333333333343</v>
      </c>
      <c r="BP419" s="449">
        <v>711.89333333333343</v>
      </c>
      <c r="BQ419" s="449">
        <v>711.89333333333343</v>
      </c>
      <c r="BR419" s="449">
        <v>711.89333333333343</v>
      </c>
      <c r="BS419" s="449">
        <v>711.89333333333343</v>
      </c>
      <c r="BT419" s="449">
        <v>711.89333333333343</v>
      </c>
    </row>
    <row r="420" spans="1:72" x14ac:dyDescent="0.25">
      <c r="A420" s="502" t="s">
        <v>705</v>
      </c>
      <c r="B420" s="502" t="s">
        <v>706</v>
      </c>
      <c r="C420" s="541"/>
      <c r="D420" s="500">
        <v>8071</v>
      </c>
      <c r="E420" s="449">
        <v>15070</v>
      </c>
      <c r="F420" s="449">
        <v>-6999</v>
      </c>
      <c r="G420" s="421">
        <v>-0.46443264764432646</v>
      </c>
      <c r="H420" s="449">
        <v>8071</v>
      </c>
      <c r="I420" s="449">
        <v>0</v>
      </c>
      <c r="J420" s="426">
        <v>0</v>
      </c>
      <c r="K420" s="421"/>
      <c r="L420" s="449">
        <v>542.41999999999996</v>
      </c>
      <c r="M420" s="449">
        <v>1033.3499999999999</v>
      </c>
      <c r="N420" s="449">
        <v>445.09999999999991</v>
      </c>
      <c r="O420" s="449">
        <v>594.36000000000013</v>
      </c>
      <c r="P420" s="449">
        <v>364.86000000000013</v>
      </c>
      <c r="Q420" s="449">
        <v>456.06999999999971</v>
      </c>
      <c r="R420" s="449">
        <v>772.47333333333336</v>
      </c>
      <c r="S420" s="449">
        <v>772.47333333333336</v>
      </c>
      <c r="T420" s="449">
        <v>772.47333333333336</v>
      </c>
      <c r="U420" s="449">
        <v>772.47333333333336</v>
      </c>
      <c r="V420" s="449">
        <v>772.47333333333336</v>
      </c>
      <c r="W420" s="449">
        <v>772.47333333333336</v>
      </c>
      <c r="X420" s="449"/>
      <c r="Y420" s="449">
        <v>8071</v>
      </c>
      <c r="Z420" s="531"/>
      <c r="AA420" s="449">
        <v>672.58333333333337</v>
      </c>
      <c r="AB420" s="449">
        <v>672.58333333333337</v>
      </c>
      <c r="AC420" s="449">
        <v>672.58333333333337</v>
      </c>
      <c r="AD420" s="449">
        <v>672.58333333333337</v>
      </c>
      <c r="AE420" s="449">
        <v>672.58333333333337</v>
      </c>
      <c r="AF420" s="449">
        <v>672.58333333333337</v>
      </c>
      <c r="AG420" s="449">
        <v>672.58333333333337</v>
      </c>
      <c r="AH420" s="449">
        <v>672.58333333333337</v>
      </c>
      <c r="AI420" s="449">
        <v>672.58333333333337</v>
      </c>
      <c r="AJ420" s="449">
        <v>672.58333333333337</v>
      </c>
      <c r="AK420" s="449">
        <v>672.58333333333337</v>
      </c>
      <c r="AL420" s="449">
        <v>672.58333333333337</v>
      </c>
      <c r="AM420" s="400"/>
      <c r="AN420" s="500">
        <v>8071</v>
      </c>
      <c r="AO420" s="449">
        <v>6506.2899999999981</v>
      </c>
      <c r="AP420" s="449">
        <v>-1564.7100000000019</v>
      </c>
      <c r="AQ420" s="453">
        <v>-0.19386816999132719</v>
      </c>
      <c r="AR420" s="449">
        <v>6506.2899999999981</v>
      </c>
      <c r="AS420" s="449">
        <v>0</v>
      </c>
      <c r="AT420" s="426">
        <v>0</v>
      </c>
      <c r="AU420" s="421"/>
      <c r="AV420" s="449">
        <v>542.19083333333333</v>
      </c>
      <c r="AW420" s="449">
        <v>542.19083333333333</v>
      </c>
      <c r="AX420" s="449">
        <v>542.19083333333333</v>
      </c>
      <c r="AY420" s="449">
        <v>542.19083333333333</v>
      </c>
      <c r="AZ420" s="449">
        <v>542.19083333333333</v>
      </c>
      <c r="BA420" s="449">
        <v>542.19083333333333</v>
      </c>
      <c r="BB420" s="449">
        <v>542.19083333333333</v>
      </c>
      <c r="BC420" s="449">
        <v>542.19083333333333</v>
      </c>
      <c r="BD420" s="449">
        <v>542.19083333333333</v>
      </c>
      <c r="BE420" s="449">
        <v>542.19083333333333</v>
      </c>
      <c r="BF420" s="449">
        <v>542.19083333333333</v>
      </c>
      <c r="BG420" s="449">
        <v>542.19083333333333</v>
      </c>
      <c r="BH420" s="400"/>
      <c r="BI420" s="449">
        <v>542.19083333333333</v>
      </c>
      <c r="BJ420" s="449">
        <v>542.19083333333333</v>
      </c>
      <c r="BK420" s="449">
        <v>542.19083333333333</v>
      </c>
      <c r="BL420" s="771">
        <v>542.19083333333333</v>
      </c>
      <c r="BM420" s="449">
        <v>542.19083333333333</v>
      </c>
      <c r="BN420" s="449">
        <v>542.19083333333333</v>
      </c>
      <c r="BO420" s="449">
        <v>542.19083333333333</v>
      </c>
      <c r="BP420" s="449">
        <v>542.19083333333333</v>
      </c>
      <c r="BQ420" s="449">
        <v>542.19083333333333</v>
      </c>
      <c r="BR420" s="449">
        <v>542.19083333333333</v>
      </c>
      <c r="BS420" s="449">
        <v>542.19083333333333</v>
      </c>
      <c r="BT420" s="449">
        <v>542.19083333333333</v>
      </c>
    </row>
    <row r="421" spans="1:72" x14ac:dyDescent="0.25">
      <c r="A421" s="502" t="s">
        <v>707</v>
      </c>
      <c r="B421" s="502" t="s">
        <v>708</v>
      </c>
      <c r="C421" s="541"/>
      <c r="D421" s="500">
        <v>0</v>
      </c>
      <c r="E421" s="449">
        <v>0</v>
      </c>
      <c r="F421" s="449">
        <v>0</v>
      </c>
      <c r="G421" s="421">
        <v>0</v>
      </c>
      <c r="H421" s="449">
        <v>0</v>
      </c>
      <c r="I421" s="449">
        <v>0</v>
      </c>
      <c r="J421" s="426">
        <v>0</v>
      </c>
      <c r="K421" s="421"/>
      <c r="L421" s="449">
        <v>0</v>
      </c>
      <c r="M421" s="449">
        <v>0</v>
      </c>
      <c r="N421" s="449">
        <v>0</v>
      </c>
      <c r="O421" s="449">
        <v>0</v>
      </c>
      <c r="P421" s="449">
        <v>0</v>
      </c>
      <c r="Q421" s="449">
        <v>0</v>
      </c>
      <c r="R421" s="449">
        <v>0</v>
      </c>
      <c r="S421" s="449">
        <v>0</v>
      </c>
      <c r="T421" s="449">
        <v>0</v>
      </c>
      <c r="U421" s="449">
        <v>0</v>
      </c>
      <c r="V421" s="449">
        <v>0</v>
      </c>
      <c r="W421" s="449">
        <v>0</v>
      </c>
      <c r="X421" s="449"/>
      <c r="Y421" s="449">
        <v>0</v>
      </c>
      <c r="Z421" s="531"/>
      <c r="AA421" s="449">
        <v>0</v>
      </c>
      <c r="AB421" s="449">
        <v>0</v>
      </c>
      <c r="AC421" s="449">
        <v>0</v>
      </c>
      <c r="AD421" s="449">
        <v>0</v>
      </c>
      <c r="AE421" s="449">
        <v>0</v>
      </c>
      <c r="AF421" s="449">
        <v>0</v>
      </c>
      <c r="AG421" s="449">
        <v>0</v>
      </c>
      <c r="AH421" s="449">
        <v>0</v>
      </c>
      <c r="AI421" s="449">
        <v>0</v>
      </c>
      <c r="AJ421" s="449">
        <v>0</v>
      </c>
      <c r="AK421" s="449">
        <v>0</v>
      </c>
      <c r="AL421" s="449">
        <v>0</v>
      </c>
      <c r="AM421" s="400"/>
      <c r="AN421" s="500">
        <v>0</v>
      </c>
      <c r="AO421" s="449">
        <v>0</v>
      </c>
      <c r="AP421" s="449">
        <v>0</v>
      </c>
      <c r="AQ421" s="453" t="s">
        <v>1519</v>
      </c>
      <c r="AR421" s="449">
        <v>0</v>
      </c>
      <c r="AS421" s="449">
        <v>0</v>
      </c>
      <c r="AT421" s="426">
        <v>0</v>
      </c>
      <c r="AU421" s="421"/>
      <c r="AV421" s="449">
        <v>0</v>
      </c>
      <c r="AW421" s="449">
        <v>0</v>
      </c>
      <c r="AX421" s="449">
        <v>0</v>
      </c>
      <c r="AY421" s="449">
        <v>0</v>
      </c>
      <c r="AZ421" s="449">
        <v>0</v>
      </c>
      <c r="BA421" s="449">
        <v>0</v>
      </c>
      <c r="BB421" s="449">
        <v>0</v>
      </c>
      <c r="BC421" s="449">
        <v>0</v>
      </c>
      <c r="BD421" s="449">
        <v>0</v>
      </c>
      <c r="BE421" s="449">
        <v>0</v>
      </c>
      <c r="BF421" s="449">
        <v>0</v>
      </c>
      <c r="BG421" s="449">
        <v>0</v>
      </c>
      <c r="BH421" s="400"/>
      <c r="BI421" s="449">
        <v>0</v>
      </c>
      <c r="BJ421" s="449">
        <v>0</v>
      </c>
      <c r="BK421" s="449">
        <v>0</v>
      </c>
      <c r="BL421" s="771">
        <v>0</v>
      </c>
      <c r="BM421" s="449">
        <v>0</v>
      </c>
      <c r="BN421" s="449">
        <v>0</v>
      </c>
      <c r="BO421" s="449">
        <v>0</v>
      </c>
      <c r="BP421" s="449">
        <v>0</v>
      </c>
      <c r="BQ421" s="449">
        <v>0</v>
      </c>
      <c r="BR421" s="449">
        <v>0</v>
      </c>
      <c r="BS421" s="449">
        <v>0</v>
      </c>
      <c r="BT421" s="449">
        <v>0</v>
      </c>
    </row>
    <row r="422" spans="1:72" x14ac:dyDescent="0.25">
      <c r="A422" s="502" t="s">
        <v>709</v>
      </c>
      <c r="B422" s="502" t="s">
        <v>710</v>
      </c>
      <c r="C422" s="541"/>
      <c r="D422" s="500">
        <v>3474.09</v>
      </c>
      <c r="E422" s="449">
        <v>0</v>
      </c>
      <c r="F422" s="449">
        <v>3474.09</v>
      </c>
      <c r="G422" s="421">
        <v>0</v>
      </c>
      <c r="H422" s="449">
        <v>0</v>
      </c>
      <c r="I422" s="449">
        <v>3474.09</v>
      </c>
      <c r="J422" s="426">
        <v>0</v>
      </c>
      <c r="K422" s="421"/>
      <c r="L422" s="449">
        <v>596.70000000000005</v>
      </c>
      <c r="M422" s="449">
        <v>1127.52</v>
      </c>
      <c r="N422" s="449">
        <v>430.37999999999988</v>
      </c>
      <c r="O422" s="449">
        <v>405.99000000000024</v>
      </c>
      <c r="P422" s="449">
        <v>405.98999999999978</v>
      </c>
      <c r="Q422" s="449">
        <v>507.51000000000022</v>
      </c>
      <c r="R422" s="449">
        <v>0</v>
      </c>
      <c r="S422" s="449">
        <v>0</v>
      </c>
      <c r="T422" s="449">
        <v>0</v>
      </c>
      <c r="U422" s="449">
        <v>0</v>
      </c>
      <c r="V422" s="449">
        <v>0</v>
      </c>
      <c r="W422" s="449">
        <v>0</v>
      </c>
      <c r="X422" s="449"/>
      <c r="Y422" s="449">
        <v>3474.09</v>
      </c>
      <c r="Z422" s="531"/>
      <c r="AA422" s="449">
        <v>0</v>
      </c>
      <c r="AB422" s="449">
        <v>0</v>
      </c>
      <c r="AC422" s="449">
        <v>0</v>
      </c>
      <c r="AD422" s="449">
        <v>0</v>
      </c>
      <c r="AE422" s="449">
        <v>0</v>
      </c>
      <c r="AF422" s="449">
        <v>0</v>
      </c>
      <c r="AG422" s="449">
        <v>0</v>
      </c>
      <c r="AH422" s="449">
        <v>0</v>
      </c>
      <c r="AI422" s="449">
        <v>0</v>
      </c>
      <c r="AJ422" s="449">
        <v>0</v>
      </c>
      <c r="AK422" s="449">
        <v>0</v>
      </c>
      <c r="AL422" s="449">
        <v>0</v>
      </c>
      <c r="AM422" s="400"/>
      <c r="AN422" s="500">
        <v>3474.09</v>
      </c>
      <c r="AO422" s="449">
        <v>15654.86</v>
      </c>
      <c r="AP422" s="449">
        <v>12180.77</v>
      </c>
      <c r="AQ422" s="453">
        <v>3.5061757179577961</v>
      </c>
      <c r="AR422" s="449">
        <v>15654.86</v>
      </c>
      <c r="AS422" s="449">
        <v>0</v>
      </c>
      <c r="AT422" s="426">
        <v>0</v>
      </c>
      <c r="AU422" s="421"/>
      <c r="AV422" s="449">
        <v>1304.5716666666667</v>
      </c>
      <c r="AW422" s="449">
        <v>1304.5716666666667</v>
      </c>
      <c r="AX422" s="449">
        <v>1304.5716666666667</v>
      </c>
      <c r="AY422" s="449">
        <v>1304.5716666666667</v>
      </c>
      <c r="AZ422" s="449">
        <v>1304.5716666666667</v>
      </c>
      <c r="BA422" s="449">
        <v>1304.5716666666667</v>
      </c>
      <c r="BB422" s="449">
        <v>1304.5716666666667</v>
      </c>
      <c r="BC422" s="449">
        <v>1304.5716666666667</v>
      </c>
      <c r="BD422" s="449">
        <v>1304.5716666666667</v>
      </c>
      <c r="BE422" s="449">
        <v>1304.5716666666667</v>
      </c>
      <c r="BF422" s="449">
        <v>1304.5716666666667</v>
      </c>
      <c r="BG422" s="449">
        <v>1304.5716666666667</v>
      </c>
      <c r="BH422" s="400"/>
      <c r="BI422" s="449">
        <v>1304.5716666666667</v>
      </c>
      <c r="BJ422" s="449">
        <v>1304.5716666666667</v>
      </c>
      <c r="BK422" s="449">
        <v>1304.5716666666667</v>
      </c>
      <c r="BL422" s="771">
        <v>1304.5716666666667</v>
      </c>
      <c r="BM422" s="449">
        <v>1304.5716666666667</v>
      </c>
      <c r="BN422" s="449">
        <v>1304.5716666666667</v>
      </c>
      <c r="BO422" s="449">
        <v>1304.5716666666667</v>
      </c>
      <c r="BP422" s="449">
        <v>1304.5716666666667</v>
      </c>
      <c r="BQ422" s="449">
        <v>1304.5716666666667</v>
      </c>
      <c r="BR422" s="449">
        <v>1304.5716666666667</v>
      </c>
      <c r="BS422" s="449">
        <v>1304.5716666666667</v>
      </c>
      <c r="BT422" s="449">
        <v>1304.5716666666667</v>
      </c>
    </row>
    <row r="423" spans="1:72" x14ac:dyDescent="0.25">
      <c r="A423" s="502" t="s">
        <v>711</v>
      </c>
      <c r="B423" s="502" t="s">
        <v>712</v>
      </c>
      <c r="C423" s="541"/>
      <c r="D423" s="500">
        <v>14404</v>
      </c>
      <c r="E423" s="449">
        <v>13929</v>
      </c>
      <c r="F423" s="449">
        <v>475</v>
      </c>
      <c r="G423" s="421">
        <v>3.4101514825184864E-2</v>
      </c>
      <c r="H423" s="449">
        <v>14404</v>
      </c>
      <c r="I423" s="449">
        <v>0</v>
      </c>
      <c r="J423" s="426">
        <v>0</v>
      </c>
      <c r="K423" s="421"/>
      <c r="L423" s="449">
        <v>600.99</v>
      </c>
      <c r="M423" s="449">
        <v>1623.9399999999998</v>
      </c>
      <c r="N423" s="449">
        <v>978.51000000000022</v>
      </c>
      <c r="O423" s="449">
        <v>952.79999999999973</v>
      </c>
      <c r="P423" s="449">
        <v>573.14000000000033</v>
      </c>
      <c r="Q423" s="449">
        <v>677.89999999999964</v>
      </c>
      <c r="R423" s="449">
        <v>1499.4533333333336</v>
      </c>
      <c r="S423" s="449">
        <v>1499.4533333333334</v>
      </c>
      <c r="T423" s="449">
        <v>1499.4533333333334</v>
      </c>
      <c r="U423" s="449">
        <v>1499.4533333333336</v>
      </c>
      <c r="V423" s="449">
        <v>1499.4533333333338</v>
      </c>
      <c r="W423" s="449">
        <v>1499.4533333333347</v>
      </c>
      <c r="X423" s="449"/>
      <c r="Y423" s="449">
        <v>14404</v>
      </c>
      <c r="Z423" s="531"/>
      <c r="AA423" s="449">
        <v>1200.3333333333333</v>
      </c>
      <c r="AB423" s="449">
        <v>1200.3333333333333</v>
      </c>
      <c r="AC423" s="449">
        <v>1200.3333333333333</v>
      </c>
      <c r="AD423" s="449">
        <v>1200.3333333333333</v>
      </c>
      <c r="AE423" s="449">
        <v>1200.3333333333333</v>
      </c>
      <c r="AF423" s="449">
        <v>1200.3333333333333</v>
      </c>
      <c r="AG423" s="449">
        <v>1200.3333333333333</v>
      </c>
      <c r="AH423" s="449">
        <v>1200.3333333333333</v>
      </c>
      <c r="AI423" s="449">
        <v>1200.3333333333333</v>
      </c>
      <c r="AJ423" s="449">
        <v>1200.3333333333333</v>
      </c>
      <c r="AK423" s="449">
        <v>1200.3333333333333</v>
      </c>
      <c r="AL423" s="449">
        <v>1200.3333333333333</v>
      </c>
      <c r="AM423" s="400"/>
      <c r="AN423" s="500">
        <v>14404</v>
      </c>
      <c r="AO423" s="449">
        <v>8092.5499999999993</v>
      </c>
      <c r="AP423" s="449">
        <v>-6311.4500000000007</v>
      </c>
      <c r="AQ423" s="453">
        <v>-0.43817342404887538</v>
      </c>
      <c r="AR423" s="449">
        <v>8092.5499999999993</v>
      </c>
      <c r="AS423" s="449">
        <v>0</v>
      </c>
      <c r="AT423" s="426">
        <v>0</v>
      </c>
      <c r="AU423" s="421"/>
      <c r="AV423" s="449">
        <v>674.37916666666661</v>
      </c>
      <c r="AW423" s="449">
        <v>674.37916666666661</v>
      </c>
      <c r="AX423" s="449">
        <v>674.37916666666661</v>
      </c>
      <c r="AY423" s="449">
        <v>674.37916666666661</v>
      </c>
      <c r="AZ423" s="449">
        <v>674.37916666666661</v>
      </c>
      <c r="BA423" s="449">
        <v>674.37916666666661</v>
      </c>
      <c r="BB423" s="449">
        <v>674.37916666666661</v>
      </c>
      <c r="BC423" s="449">
        <v>674.37916666666661</v>
      </c>
      <c r="BD423" s="449">
        <v>674.37916666666661</v>
      </c>
      <c r="BE423" s="449">
        <v>674.37916666666661</v>
      </c>
      <c r="BF423" s="449">
        <v>674.37916666666661</v>
      </c>
      <c r="BG423" s="449">
        <v>674.37916666666661</v>
      </c>
      <c r="BH423" s="400"/>
      <c r="BI423" s="449">
        <v>674.37916666666661</v>
      </c>
      <c r="BJ423" s="449">
        <v>674.37916666666661</v>
      </c>
      <c r="BK423" s="449">
        <v>674.37916666666661</v>
      </c>
      <c r="BL423" s="771">
        <v>674.37916666666661</v>
      </c>
      <c r="BM423" s="449">
        <v>674.37916666666661</v>
      </c>
      <c r="BN423" s="449">
        <v>674.37916666666661</v>
      </c>
      <c r="BO423" s="449">
        <v>674.37916666666661</v>
      </c>
      <c r="BP423" s="449">
        <v>674.37916666666661</v>
      </c>
      <c r="BQ423" s="449">
        <v>674.37916666666661</v>
      </c>
      <c r="BR423" s="449">
        <v>674.37916666666661</v>
      </c>
      <c r="BS423" s="449">
        <v>674.37916666666661</v>
      </c>
      <c r="BT423" s="449">
        <v>674.37916666666661</v>
      </c>
    </row>
    <row r="424" spans="1:72" x14ac:dyDescent="0.25">
      <c r="A424" s="537" t="s">
        <v>713</v>
      </c>
      <c r="B424" s="537" t="s">
        <v>714</v>
      </c>
      <c r="C424" s="541"/>
      <c r="D424" s="500">
        <v>0</v>
      </c>
      <c r="E424" s="449">
        <v>0</v>
      </c>
      <c r="F424" s="449">
        <v>0</v>
      </c>
      <c r="G424" s="421">
        <v>0</v>
      </c>
      <c r="H424" s="449">
        <v>0</v>
      </c>
      <c r="I424" s="449">
        <v>0</v>
      </c>
      <c r="J424" s="426">
        <v>0</v>
      </c>
      <c r="K424" s="421"/>
      <c r="L424" s="449">
        <v>0</v>
      </c>
      <c r="M424" s="449">
        <v>0</v>
      </c>
      <c r="N424" s="449">
        <v>0</v>
      </c>
      <c r="O424" s="449">
        <v>0</v>
      </c>
      <c r="P424" s="449">
        <v>0</v>
      </c>
      <c r="Q424" s="449">
        <v>0</v>
      </c>
      <c r="R424" s="449">
        <v>0</v>
      </c>
      <c r="S424" s="449">
        <v>0</v>
      </c>
      <c r="T424" s="449">
        <v>0</v>
      </c>
      <c r="U424" s="449">
        <v>0</v>
      </c>
      <c r="V424" s="449">
        <v>0</v>
      </c>
      <c r="W424" s="449">
        <v>0</v>
      </c>
      <c r="X424" s="449"/>
      <c r="Y424" s="449">
        <v>0</v>
      </c>
      <c r="Z424" s="531"/>
      <c r="AA424" s="449">
        <v>0</v>
      </c>
      <c r="AB424" s="449">
        <v>0</v>
      </c>
      <c r="AC424" s="449">
        <v>0</v>
      </c>
      <c r="AD424" s="449">
        <v>0</v>
      </c>
      <c r="AE424" s="449">
        <v>0</v>
      </c>
      <c r="AF424" s="449">
        <v>0</v>
      </c>
      <c r="AG424" s="449">
        <v>0</v>
      </c>
      <c r="AH424" s="449">
        <v>0</v>
      </c>
      <c r="AI424" s="449">
        <v>0</v>
      </c>
      <c r="AJ424" s="449">
        <v>0</v>
      </c>
      <c r="AK424" s="449">
        <v>0</v>
      </c>
      <c r="AL424" s="449">
        <v>0</v>
      </c>
      <c r="AM424" s="400"/>
      <c r="AN424" s="500">
        <v>0</v>
      </c>
      <c r="AO424" s="449">
        <v>229.5</v>
      </c>
      <c r="AP424" s="449">
        <v>229.5</v>
      </c>
      <c r="AQ424" s="453" t="s">
        <v>1519</v>
      </c>
      <c r="AR424" s="449">
        <v>229.5</v>
      </c>
      <c r="AS424" s="449">
        <v>0</v>
      </c>
      <c r="AT424" s="426">
        <v>0</v>
      </c>
      <c r="AU424" s="421"/>
      <c r="AV424" s="449">
        <v>19.125</v>
      </c>
      <c r="AW424" s="449">
        <v>19.125</v>
      </c>
      <c r="AX424" s="449">
        <v>19.125</v>
      </c>
      <c r="AY424" s="449">
        <v>19.125</v>
      </c>
      <c r="AZ424" s="449">
        <v>19.125</v>
      </c>
      <c r="BA424" s="449">
        <v>19.125</v>
      </c>
      <c r="BB424" s="449">
        <v>19.125</v>
      </c>
      <c r="BC424" s="449">
        <v>19.125</v>
      </c>
      <c r="BD424" s="449">
        <v>19.125</v>
      </c>
      <c r="BE424" s="449">
        <v>19.125</v>
      </c>
      <c r="BF424" s="449">
        <v>19.125</v>
      </c>
      <c r="BG424" s="449">
        <v>19.125</v>
      </c>
      <c r="BH424" s="400"/>
      <c r="BI424" s="449">
        <v>19.125</v>
      </c>
      <c r="BJ424" s="449">
        <v>19.125</v>
      </c>
      <c r="BK424" s="449">
        <v>19.125</v>
      </c>
      <c r="BL424" s="771">
        <v>19.125</v>
      </c>
      <c r="BM424" s="449">
        <v>19.125</v>
      </c>
      <c r="BN424" s="449">
        <v>19.125</v>
      </c>
      <c r="BO424" s="449">
        <v>19.125</v>
      </c>
      <c r="BP424" s="449">
        <v>19.125</v>
      </c>
      <c r="BQ424" s="449">
        <v>19.125</v>
      </c>
      <c r="BR424" s="449">
        <v>19.125</v>
      </c>
      <c r="BS424" s="449">
        <v>19.125</v>
      </c>
      <c r="BT424" s="449">
        <v>19.125</v>
      </c>
    </row>
    <row r="425" spans="1:72" x14ac:dyDescent="0.25">
      <c r="A425" s="502" t="s">
        <v>715</v>
      </c>
      <c r="B425" s="502" t="s">
        <v>716</v>
      </c>
      <c r="C425" s="541"/>
      <c r="D425" s="500">
        <v>15635</v>
      </c>
      <c r="E425" s="449">
        <v>15635</v>
      </c>
      <c r="F425" s="449">
        <v>0</v>
      </c>
      <c r="G425" s="421">
        <v>0</v>
      </c>
      <c r="H425" s="449">
        <v>15635</v>
      </c>
      <c r="I425" s="449">
        <v>0</v>
      </c>
      <c r="J425" s="426">
        <v>0</v>
      </c>
      <c r="K425" s="421"/>
      <c r="L425" s="449">
        <v>982.75</v>
      </c>
      <c r="M425" s="449">
        <v>982.75</v>
      </c>
      <c r="N425" s="449">
        <v>1609.13</v>
      </c>
      <c r="O425" s="449">
        <v>893.01000000000022</v>
      </c>
      <c r="P425" s="449">
        <v>5160.3100000000004</v>
      </c>
      <c r="Q425" s="449">
        <v>1668.1800000000003</v>
      </c>
      <c r="R425" s="449">
        <v>723.14499999999987</v>
      </c>
      <c r="S425" s="449">
        <v>723.14499999999975</v>
      </c>
      <c r="T425" s="449">
        <v>723.14499999999953</v>
      </c>
      <c r="U425" s="449">
        <v>723.14499999999919</v>
      </c>
      <c r="V425" s="449">
        <v>723.14499999999953</v>
      </c>
      <c r="W425" s="449">
        <v>723.14500000000044</v>
      </c>
      <c r="X425" s="449"/>
      <c r="Y425" s="449">
        <v>15635</v>
      </c>
      <c r="Z425" s="531"/>
      <c r="AA425" s="449">
        <v>1302.9166666666667</v>
      </c>
      <c r="AB425" s="449">
        <v>1302.9166666666667</v>
      </c>
      <c r="AC425" s="449">
        <v>1302.9166666666667</v>
      </c>
      <c r="AD425" s="449">
        <v>1302.9166666666667</v>
      </c>
      <c r="AE425" s="449">
        <v>1302.9166666666667</v>
      </c>
      <c r="AF425" s="449">
        <v>1302.9166666666667</v>
      </c>
      <c r="AG425" s="449">
        <v>1302.9166666666667</v>
      </c>
      <c r="AH425" s="449">
        <v>1302.9166666666667</v>
      </c>
      <c r="AI425" s="449">
        <v>1302.9166666666667</v>
      </c>
      <c r="AJ425" s="449">
        <v>1302.9166666666667</v>
      </c>
      <c r="AK425" s="449">
        <v>1302.9166666666667</v>
      </c>
      <c r="AL425" s="449">
        <v>1302.9166666666667</v>
      </c>
      <c r="AM425" s="400"/>
      <c r="AN425" s="500">
        <v>15635</v>
      </c>
      <c r="AO425" s="449">
        <v>13489.840000000002</v>
      </c>
      <c r="AP425" s="449">
        <v>-2145.159999999998</v>
      </c>
      <c r="AQ425" s="453">
        <v>-0.13720243044451538</v>
      </c>
      <c r="AR425" s="449">
        <v>13489.840000000002</v>
      </c>
      <c r="AS425" s="449">
        <v>0</v>
      </c>
      <c r="AT425" s="426">
        <v>0</v>
      </c>
      <c r="AU425" s="421"/>
      <c r="AV425" s="449">
        <v>1124.1533333333334</v>
      </c>
      <c r="AW425" s="449">
        <v>1124.1533333333334</v>
      </c>
      <c r="AX425" s="449">
        <v>1124.1533333333334</v>
      </c>
      <c r="AY425" s="449">
        <v>1124.1533333333334</v>
      </c>
      <c r="AZ425" s="449">
        <v>1124.1533333333334</v>
      </c>
      <c r="BA425" s="449">
        <v>1124.1533333333334</v>
      </c>
      <c r="BB425" s="449">
        <v>1124.1533333333334</v>
      </c>
      <c r="BC425" s="449">
        <v>1124.1533333333334</v>
      </c>
      <c r="BD425" s="449">
        <v>1124.1533333333334</v>
      </c>
      <c r="BE425" s="449">
        <v>1124.1533333333334</v>
      </c>
      <c r="BF425" s="449">
        <v>1124.1533333333334</v>
      </c>
      <c r="BG425" s="449">
        <v>1124.1533333333334</v>
      </c>
      <c r="BH425" s="400"/>
      <c r="BI425" s="449">
        <v>1124.1533333333334</v>
      </c>
      <c r="BJ425" s="449">
        <v>1124.1533333333334</v>
      </c>
      <c r="BK425" s="449">
        <v>1124.1533333333334</v>
      </c>
      <c r="BL425" s="771">
        <v>1124.1533333333334</v>
      </c>
      <c r="BM425" s="449">
        <v>1124.1533333333334</v>
      </c>
      <c r="BN425" s="449">
        <v>1124.1533333333334</v>
      </c>
      <c r="BO425" s="449">
        <v>1124.1533333333334</v>
      </c>
      <c r="BP425" s="449">
        <v>1124.1533333333334</v>
      </c>
      <c r="BQ425" s="449">
        <v>1124.1533333333334</v>
      </c>
      <c r="BR425" s="449">
        <v>1124.1533333333334</v>
      </c>
      <c r="BS425" s="449">
        <v>1124.1533333333334</v>
      </c>
      <c r="BT425" s="449">
        <v>1124.1533333333334</v>
      </c>
    </row>
    <row r="426" spans="1:72" x14ac:dyDescent="0.25">
      <c r="A426" s="502" t="s">
        <v>717</v>
      </c>
      <c r="B426" s="502" t="s">
        <v>718</v>
      </c>
      <c r="C426" s="541"/>
      <c r="D426" s="500">
        <v>0</v>
      </c>
      <c r="E426" s="449">
        <v>0</v>
      </c>
      <c r="F426" s="449">
        <v>0</v>
      </c>
      <c r="G426" s="421">
        <v>0</v>
      </c>
      <c r="H426" s="449">
        <v>0</v>
      </c>
      <c r="I426" s="449">
        <v>0</v>
      </c>
      <c r="J426" s="426">
        <v>0</v>
      </c>
      <c r="K426" s="421"/>
      <c r="L426" s="449">
        <v>0</v>
      </c>
      <c r="M426" s="449">
        <v>0</v>
      </c>
      <c r="N426" s="449">
        <v>0</v>
      </c>
      <c r="O426" s="449">
        <v>0</v>
      </c>
      <c r="P426" s="449">
        <v>112.3</v>
      </c>
      <c r="Q426" s="449">
        <v>-112.3</v>
      </c>
      <c r="R426" s="449">
        <v>0</v>
      </c>
      <c r="S426" s="449">
        <v>0</v>
      </c>
      <c r="T426" s="449">
        <v>0</v>
      </c>
      <c r="U426" s="449">
        <v>0</v>
      </c>
      <c r="V426" s="449">
        <v>0</v>
      </c>
      <c r="W426" s="449">
        <v>0</v>
      </c>
      <c r="X426" s="449"/>
      <c r="Y426" s="449">
        <v>0</v>
      </c>
      <c r="Z426" s="531"/>
      <c r="AA426" s="449">
        <v>0</v>
      </c>
      <c r="AB426" s="449">
        <v>0</v>
      </c>
      <c r="AC426" s="449">
        <v>0</v>
      </c>
      <c r="AD426" s="449">
        <v>0</v>
      </c>
      <c r="AE426" s="449">
        <v>0</v>
      </c>
      <c r="AF426" s="449">
        <v>0</v>
      </c>
      <c r="AG426" s="449">
        <v>0</v>
      </c>
      <c r="AH426" s="449">
        <v>0</v>
      </c>
      <c r="AI426" s="449">
        <v>0</v>
      </c>
      <c r="AJ426" s="449">
        <v>0</v>
      </c>
      <c r="AK426" s="449">
        <v>0</v>
      </c>
      <c r="AL426" s="449">
        <v>0</v>
      </c>
      <c r="AM426" s="400"/>
      <c r="AN426" s="500">
        <v>0</v>
      </c>
      <c r="AO426" s="449">
        <v>13807.247999999998</v>
      </c>
      <c r="AP426" s="449">
        <v>13807.247999999998</v>
      </c>
      <c r="AQ426" s="453" t="s">
        <v>1519</v>
      </c>
      <c r="AR426" s="449">
        <v>13807.247999999998</v>
      </c>
      <c r="AS426" s="449">
        <v>0</v>
      </c>
      <c r="AT426" s="426">
        <v>0</v>
      </c>
      <c r="AU426" s="421"/>
      <c r="AV426" s="449">
        <v>1150.604</v>
      </c>
      <c r="AW426" s="449">
        <v>1150.604</v>
      </c>
      <c r="AX426" s="449">
        <v>1150.604</v>
      </c>
      <c r="AY426" s="449">
        <v>1150.604</v>
      </c>
      <c r="AZ426" s="449">
        <v>1150.604</v>
      </c>
      <c r="BA426" s="449">
        <v>1150.604</v>
      </c>
      <c r="BB426" s="449">
        <v>1150.604</v>
      </c>
      <c r="BC426" s="449">
        <v>1150.604</v>
      </c>
      <c r="BD426" s="449">
        <v>1150.604</v>
      </c>
      <c r="BE426" s="449">
        <v>1150.604</v>
      </c>
      <c r="BF426" s="449">
        <v>1150.604</v>
      </c>
      <c r="BG426" s="449">
        <v>1150.604</v>
      </c>
      <c r="BH426" s="400"/>
      <c r="BI426" s="449">
        <v>1150.604</v>
      </c>
      <c r="BJ426" s="449">
        <v>1150.604</v>
      </c>
      <c r="BK426" s="449">
        <v>1150.604</v>
      </c>
      <c r="BL426" s="771">
        <v>1150.604</v>
      </c>
      <c r="BM426" s="449">
        <v>1150.604</v>
      </c>
      <c r="BN426" s="449">
        <v>1150.604</v>
      </c>
      <c r="BO426" s="449">
        <v>1150.604</v>
      </c>
      <c r="BP426" s="449">
        <v>1150.604</v>
      </c>
      <c r="BQ426" s="449">
        <v>1150.604</v>
      </c>
      <c r="BR426" s="449">
        <v>1150.604</v>
      </c>
      <c r="BS426" s="449">
        <v>1150.604</v>
      </c>
      <c r="BT426" s="449">
        <v>1150.604</v>
      </c>
    </row>
    <row r="427" spans="1:72" x14ac:dyDescent="0.25">
      <c r="A427" s="502" t="s">
        <v>719</v>
      </c>
      <c r="B427" s="502" t="s">
        <v>720</v>
      </c>
      <c r="C427" s="541"/>
      <c r="D427" s="500">
        <v>6712</v>
      </c>
      <c r="E427" s="449">
        <v>6712</v>
      </c>
      <c r="F427" s="449">
        <v>0</v>
      </c>
      <c r="G427" s="421">
        <v>0</v>
      </c>
      <c r="H427" s="449">
        <v>6712</v>
      </c>
      <c r="I427" s="449">
        <v>0</v>
      </c>
      <c r="J427" s="426">
        <v>0</v>
      </c>
      <c r="K427" s="421"/>
      <c r="L427" s="449">
        <v>28.67</v>
      </c>
      <c r="M427" s="449">
        <v>28.67</v>
      </c>
      <c r="N427" s="449">
        <v>46.95</v>
      </c>
      <c r="O427" s="449">
        <v>-323.45999999999998</v>
      </c>
      <c r="P427" s="449">
        <v>-247.84000000000003</v>
      </c>
      <c r="Q427" s="449">
        <v>-215.76</v>
      </c>
      <c r="R427" s="449">
        <v>1232.4616666666668</v>
      </c>
      <c r="S427" s="449">
        <v>1232.4616666666666</v>
      </c>
      <c r="T427" s="449">
        <v>1232.4616666666666</v>
      </c>
      <c r="U427" s="449">
        <v>1232.4616666666668</v>
      </c>
      <c r="V427" s="449">
        <v>1232.4616666666666</v>
      </c>
      <c r="W427" s="449">
        <v>1232.4616666666661</v>
      </c>
      <c r="X427" s="449"/>
      <c r="Y427" s="449">
        <v>6712</v>
      </c>
      <c r="Z427" s="531"/>
      <c r="AA427" s="449">
        <v>559.33333333333337</v>
      </c>
      <c r="AB427" s="449">
        <v>559.33333333333337</v>
      </c>
      <c r="AC427" s="449">
        <v>559.33333333333337</v>
      </c>
      <c r="AD427" s="449">
        <v>559.33333333333337</v>
      </c>
      <c r="AE427" s="449">
        <v>559.33333333333337</v>
      </c>
      <c r="AF427" s="449">
        <v>559.33333333333337</v>
      </c>
      <c r="AG427" s="449">
        <v>559.33333333333337</v>
      </c>
      <c r="AH427" s="449">
        <v>559.33333333333337</v>
      </c>
      <c r="AI427" s="449">
        <v>559.33333333333337</v>
      </c>
      <c r="AJ427" s="449">
        <v>559.33333333333337</v>
      </c>
      <c r="AK427" s="449">
        <v>559.33333333333337</v>
      </c>
      <c r="AL427" s="449">
        <v>559.33333333333337</v>
      </c>
      <c r="AM427" s="400"/>
      <c r="AN427" s="500">
        <v>6712</v>
      </c>
      <c r="AO427" s="449">
        <v>9745.0360000000001</v>
      </c>
      <c r="AP427" s="449">
        <v>3033.0360000000001</v>
      </c>
      <c r="AQ427" s="453">
        <v>0.45188259833134686</v>
      </c>
      <c r="AR427" s="449">
        <v>9745.0360000000001</v>
      </c>
      <c r="AS427" s="449">
        <v>0</v>
      </c>
      <c r="AT427" s="426">
        <v>0</v>
      </c>
      <c r="AU427" s="421"/>
      <c r="AV427" s="449">
        <v>812.0863333333333</v>
      </c>
      <c r="AW427" s="449">
        <v>812.0863333333333</v>
      </c>
      <c r="AX427" s="449">
        <v>812.0863333333333</v>
      </c>
      <c r="AY427" s="449">
        <v>812.0863333333333</v>
      </c>
      <c r="AZ427" s="449">
        <v>812.0863333333333</v>
      </c>
      <c r="BA427" s="449">
        <v>812.0863333333333</v>
      </c>
      <c r="BB427" s="449">
        <v>812.0863333333333</v>
      </c>
      <c r="BC427" s="449">
        <v>812.0863333333333</v>
      </c>
      <c r="BD427" s="449">
        <v>812.0863333333333</v>
      </c>
      <c r="BE427" s="449">
        <v>812.0863333333333</v>
      </c>
      <c r="BF427" s="449">
        <v>812.0863333333333</v>
      </c>
      <c r="BG427" s="449">
        <v>812.0863333333333</v>
      </c>
      <c r="BH427" s="400"/>
      <c r="BI427" s="449">
        <v>812.0863333333333</v>
      </c>
      <c r="BJ427" s="449">
        <v>812.0863333333333</v>
      </c>
      <c r="BK427" s="449">
        <v>812.0863333333333</v>
      </c>
      <c r="BL427" s="771">
        <v>812.0863333333333</v>
      </c>
      <c r="BM427" s="449">
        <v>812.0863333333333</v>
      </c>
      <c r="BN427" s="449">
        <v>812.0863333333333</v>
      </c>
      <c r="BO427" s="449">
        <v>812.0863333333333</v>
      </c>
      <c r="BP427" s="449">
        <v>812.0863333333333</v>
      </c>
      <c r="BQ427" s="449">
        <v>812.0863333333333</v>
      </c>
      <c r="BR427" s="449">
        <v>812.0863333333333</v>
      </c>
      <c r="BS427" s="449">
        <v>812.0863333333333</v>
      </c>
      <c r="BT427" s="449">
        <v>812.0863333333333</v>
      </c>
    </row>
    <row r="428" spans="1:72" x14ac:dyDescent="0.25">
      <c r="A428" s="502" t="s">
        <v>721</v>
      </c>
      <c r="B428" s="502" t="s">
        <v>722</v>
      </c>
      <c r="C428" s="541"/>
      <c r="D428" s="500">
        <v>6712</v>
      </c>
      <c r="E428" s="449">
        <v>13424</v>
      </c>
      <c r="F428" s="449">
        <v>-6712</v>
      </c>
      <c r="G428" s="421">
        <v>-0.5</v>
      </c>
      <c r="H428" s="449">
        <v>6712</v>
      </c>
      <c r="I428" s="449">
        <v>0</v>
      </c>
      <c r="J428" s="426">
        <v>0</v>
      </c>
      <c r="K428" s="421"/>
      <c r="L428" s="449">
        <v>309.89</v>
      </c>
      <c r="M428" s="449">
        <v>309.89</v>
      </c>
      <c r="N428" s="449">
        <v>507.41000000000008</v>
      </c>
      <c r="O428" s="449">
        <v>-705</v>
      </c>
      <c r="P428" s="449">
        <v>112.29999999999995</v>
      </c>
      <c r="Q428" s="449">
        <v>144.36000000000001</v>
      </c>
      <c r="R428" s="449">
        <v>1005.525</v>
      </c>
      <c r="S428" s="449">
        <v>1005.525</v>
      </c>
      <c r="T428" s="449">
        <v>1005.525</v>
      </c>
      <c r="U428" s="449">
        <v>1005.525</v>
      </c>
      <c r="V428" s="449">
        <v>1005.5250000000001</v>
      </c>
      <c r="W428" s="449">
        <v>1005.5249999999996</v>
      </c>
      <c r="X428" s="449"/>
      <c r="Y428" s="449">
        <v>6712</v>
      </c>
      <c r="Z428" s="531"/>
      <c r="AA428" s="449">
        <v>559.33333333333337</v>
      </c>
      <c r="AB428" s="449">
        <v>559.33333333333337</v>
      </c>
      <c r="AC428" s="449">
        <v>559.33333333333337</v>
      </c>
      <c r="AD428" s="449">
        <v>559.33333333333337</v>
      </c>
      <c r="AE428" s="449">
        <v>559.33333333333337</v>
      </c>
      <c r="AF428" s="449">
        <v>559.33333333333337</v>
      </c>
      <c r="AG428" s="449">
        <v>559.33333333333337</v>
      </c>
      <c r="AH428" s="449">
        <v>559.33333333333337</v>
      </c>
      <c r="AI428" s="449">
        <v>559.33333333333337</v>
      </c>
      <c r="AJ428" s="449">
        <v>559.33333333333337</v>
      </c>
      <c r="AK428" s="449">
        <v>559.33333333333337</v>
      </c>
      <c r="AL428" s="449">
        <v>559.33333333333337</v>
      </c>
      <c r="AM428" s="400"/>
      <c r="AN428" s="500">
        <v>6712</v>
      </c>
      <c r="AO428" s="449">
        <v>21527.282000000003</v>
      </c>
      <c r="AP428" s="449">
        <v>14815.282000000003</v>
      </c>
      <c r="AQ428" s="453">
        <v>2.2072827771156143</v>
      </c>
      <c r="AR428" s="449">
        <v>21527.282000000003</v>
      </c>
      <c r="AS428" s="449">
        <v>0</v>
      </c>
      <c r="AT428" s="426">
        <v>0</v>
      </c>
      <c r="AU428" s="421"/>
      <c r="AV428" s="449">
        <v>1793.940166666667</v>
      </c>
      <c r="AW428" s="449">
        <v>1793.940166666667</v>
      </c>
      <c r="AX428" s="449">
        <v>1793.940166666667</v>
      </c>
      <c r="AY428" s="449">
        <v>1793.940166666667</v>
      </c>
      <c r="AZ428" s="449">
        <v>1793.940166666667</v>
      </c>
      <c r="BA428" s="449">
        <v>1793.940166666667</v>
      </c>
      <c r="BB428" s="449">
        <v>1793.940166666667</v>
      </c>
      <c r="BC428" s="449">
        <v>1793.940166666667</v>
      </c>
      <c r="BD428" s="449">
        <v>1793.940166666667</v>
      </c>
      <c r="BE428" s="449">
        <v>1793.940166666667</v>
      </c>
      <c r="BF428" s="449">
        <v>1793.940166666667</v>
      </c>
      <c r="BG428" s="449">
        <v>1793.940166666667</v>
      </c>
      <c r="BH428" s="400"/>
      <c r="BI428" s="449">
        <v>1793.940166666667</v>
      </c>
      <c r="BJ428" s="449">
        <v>1793.940166666667</v>
      </c>
      <c r="BK428" s="449">
        <v>1793.940166666667</v>
      </c>
      <c r="BL428" s="771">
        <v>1793.940166666667</v>
      </c>
      <c r="BM428" s="449">
        <v>1793.940166666667</v>
      </c>
      <c r="BN428" s="449">
        <v>1793.940166666667</v>
      </c>
      <c r="BO428" s="449">
        <v>1793.940166666667</v>
      </c>
      <c r="BP428" s="449">
        <v>1793.940166666667</v>
      </c>
      <c r="BQ428" s="449">
        <v>1793.940166666667</v>
      </c>
      <c r="BR428" s="449">
        <v>1793.940166666667</v>
      </c>
      <c r="BS428" s="449">
        <v>1793.940166666667</v>
      </c>
      <c r="BT428" s="449">
        <v>1793.940166666667</v>
      </c>
    </row>
    <row r="429" spans="1:72" x14ac:dyDescent="0.25">
      <c r="A429" s="537" t="s">
        <v>723</v>
      </c>
      <c r="B429" s="537" t="s">
        <v>724</v>
      </c>
      <c r="C429" s="541"/>
      <c r="D429" s="500">
        <v>0</v>
      </c>
      <c r="E429" s="449">
        <v>0</v>
      </c>
      <c r="F429" s="449">
        <v>0</v>
      </c>
      <c r="G429" s="421">
        <v>0</v>
      </c>
      <c r="H429" s="449">
        <v>0</v>
      </c>
      <c r="I429" s="449">
        <v>0</v>
      </c>
      <c r="J429" s="426">
        <v>0</v>
      </c>
      <c r="K429" s="421"/>
      <c r="L429" s="449">
        <v>0</v>
      </c>
      <c r="M429" s="449">
        <v>0</v>
      </c>
      <c r="N429" s="449">
        <v>0</v>
      </c>
      <c r="O429" s="449">
        <v>0</v>
      </c>
      <c r="P429" s="449">
        <v>0</v>
      </c>
      <c r="Q429" s="449">
        <v>0</v>
      </c>
      <c r="R429" s="449">
        <v>0</v>
      </c>
      <c r="S429" s="449">
        <v>0</v>
      </c>
      <c r="T429" s="449">
        <v>0</v>
      </c>
      <c r="U429" s="449">
        <v>0</v>
      </c>
      <c r="V429" s="449">
        <v>0</v>
      </c>
      <c r="W429" s="449">
        <v>0</v>
      </c>
      <c r="X429" s="449"/>
      <c r="Y429" s="449">
        <v>0</v>
      </c>
      <c r="Z429" s="531"/>
      <c r="AA429" s="449">
        <v>0</v>
      </c>
      <c r="AB429" s="449">
        <v>0</v>
      </c>
      <c r="AC429" s="449">
        <v>0</v>
      </c>
      <c r="AD429" s="449">
        <v>0</v>
      </c>
      <c r="AE429" s="449">
        <v>0</v>
      </c>
      <c r="AF429" s="449">
        <v>0</v>
      </c>
      <c r="AG429" s="449">
        <v>0</v>
      </c>
      <c r="AH429" s="449">
        <v>0</v>
      </c>
      <c r="AI429" s="449">
        <v>0</v>
      </c>
      <c r="AJ429" s="449">
        <v>0</v>
      </c>
      <c r="AK429" s="449">
        <v>0</v>
      </c>
      <c r="AL429" s="449">
        <v>0</v>
      </c>
      <c r="AM429" s="400"/>
      <c r="AN429" s="500">
        <v>0</v>
      </c>
      <c r="AO429" s="449">
        <v>0</v>
      </c>
      <c r="AP429" s="449">
        <v>0</v>
      </c>
      <c r="AQ429" s="453" t="s">
        <v>1519</v>
      </c>
      <c r="AR429" s="449">
        <v>0</v>
      </c>
      <c r="AS429" s="449">
        <v>0</v>
      </c>
      <c r="AT429" s="426">
        <v>0</v>
      </c>
      <c r="AU429" s="421"/>
      <c r="AV429" s="449">
        <v>0</v>
      </c>
      <c r="AW429" s="449">
        <v>0</v>
      </c>
      <c r="AX429" s="449">
        <v>0</v>
      </c>
      <c r="AY429" s="449">
        <v>0</v>
      </c>
      <c r="AZ429" s="449">
        <v>0</v>
      </c>
      <c r="BA429" s="449">
        <v>0</v>
      </c>
      <c r="BB429" s="449">
        <v>0</v>
      </c>
      <c r="BC429" s="449">
        <v>0</v>
      </c>
      <c r="BD429" s="449">
        <v>0</v>
      </c>
      <c r="BE429" s="449">
        <v>0</v>
      </c>
      <c r="BF429" s="449">
        <v>0</v>
      </c>
      <c r="BG429" s="449">
        <v>0</v>
      </c>
      <c r="BH429" s="400"/>
      <c r="BI429" s="449">
        <v>0</v>
      </c>
      <c r="BJ429" s="449">
        <v>0</v>
      </c>
      <c r="BK429" s="449">
        <v>0</v>
      </c>
      <c r="BL429" s="771">
        <v>0</v>
      </c>
      <c r="BM429" s="449">
        <v>0</v>
      </c>
      <c r="BN429" s="449">
        <v>0</v>
      </c>
      <c r="BO429" s="449">
        <v>0</v>
      </c>
      <c r="BP429" s="449">
        <v>0</v>
      </c>
      <c r="BQ429" s="449">
        <v>0</v>
      </c>
      <c r="BR429" s="449">
        <v>0</v>
      </c>
      <c r="BS429" s="449">
        <v>0</v>
      </c>
      <c r="BT429" s="449">
        <v>0</v>
      </c>
    </row>
    <row r="430" spans="1:72" x14ac:dyDescent="0.25">
      <c r="A430" s="502" t="s">
        <v>725</v>
      </c>
      <c r="B430" s="502" t="s">
        <v>726</v>
      </c>
      <c r="C430" s="541"/>
      <c r="D430" s="500">
        <v>17089</v>
      </c>
      <c r="E430" s="449">
        <v>17089</v>
      </c>
      <c r="F430" s="449">
        <v>0</v>
      </c>
      <c r="G430" s="421">
        <v>0</v>
      </c>
      <c r="H430" s="449">
        <v>17089</v>
      </c>
      <c r="I430" s="449">
        <v>0</v>
      </c>
      <c r="J430" s="426">
        <v>0</v>
      </c>
      <c r="K430" s="421"/>
      <c r="L430" s="449">
        <v>542.32000000000005</v>
      </c>
      <c r="M430" s="449">
        <v>542.32000000000005</v>
      </c>
      <c r="N430" s="449">
        <v>887.97999999999979</v>
      </c>
      <c r="O430" s="449">
        <v>5979.11</v>
      </c>
      <c r="P430" s="449">
        <v>2231.5200000000004</v>
      </c>
      <c r="Q430" s="449">
        <v>1988.7399999999998</v>
      </c>
      <c r="R430" s="449">
        <v>819.50166666666667</v>
      </c>
      <c r="S430" s="449">
        <v>819.50166666666667</v>
      </c>
      <c r="T430" s="449">
        <v>819.50166666666655</v>
      </c>
      <c r="U430" s="449">
        <v>819.50166666666644</v>
      </c>
      <c r="V430" s="449">
        <v>819.5016666666661</v>
      </c>
      <c r="W430" s="449">
        <v>819.50166666666701</v>
      </c>
      <c r="X430" s="449"/>
      <c r="Y430" s="449">
        <v>17089</v>
      </c>
      <c r="Z430" s="531"/>
      <c r="AA430" s="449">
        <v>1424.0833333333333</v>
      </c>
      <c r="AB430" s="449">
        <v>1424.0833333333333</v>
      </c>
      <c r="AC430" s="449">
        <v>1424.0833333333333</v>
      </c>
      <c r="AD430" s="449">
        <v>1424.0833333333333</v>
      </c>
      <c r="AE430" s="449">
        <v>1424.0833333333333</v>
      </c>
      <c r="AF430" s="449">
        <v>1424.0833333333333</v>
      </c>
      <c r="AG430" s="449">
        <v>1424.0833333333333</v>
      </c>
      <c r="AH430" s="449">
        <v>1424.0833333333333</v>
      </c>
      <c r="AI430" s="449">
        <v>1424.0833333333333</v>
      </c>
      <c r="AJ430" s="449">
        <v>1424.0833333333333</v>
      </c>
      <c r="AK430" s="449">
        <v>1424.0833333333333</v>
      </c>
      <c r="AL430" s="449">
        <v>1424.0833333333333</v>
      </c>
      <c r="AM430" s="400"/>
      <c r="AN430" s="500">
        <v>17089</v>
      </c>
      <c r="AO430" s="449">
        <v>6946.9532440000012</v>
      </c>
      <c r="AP430" s="449">
        <v>-10142.046756</v>
      </c>
      <c r="AQ430" s="453">
        <v>-0.59348392275732931</v>
      </c>
      <c r="AR430" s="449">
        <v>6946.9532440000012</v>
      </c>
      <c r="AS430" s="449">
        <v>0</v>
      </c>
      <c r="AT430" s="426">
        <v>0</v>
      </c>
      <c r="AU430" s="421"/>
      <c r="AV430" s="449">
        <v>578.91277033333347</v>
      </c>
      <c r="AW430" s="449">
        <v>578.91277033333347</v>
      </c>
      <c r="AX430" s="449">
        <v>578.91277033333347</v>
      </c>
      <c r="AY430" s="449">
        <v>578.91277033333347</v>
      </c>
      <c r="AZ430" s="449">
        <v>578.91277033333347</v>
      </c>
      <c r="BA430" s="449">
        <v>578.91277033333347</v>
      </c>
      <c r="BB430" s="449">
        <v>578.91277033333347</v>
      </c>
      <c r="BC430" s="449">
        <v>578.91277033333347</v>
      </c>
      <c r="BD430" s="449">
        <v>578.91277033333347</v>
      </c>
      <c r="BE430" s="449">
        <v>578.91277033333347</v>
      </c>
      <c r="BF430" s="449">
        <v>578.91277033333347</v>
      </c>
      <c r="BG430" s="449">
        <v>578.91277033333347</v>
      </c>
      <c r="BH430" s="400"/>
      <c r="BI430" s="449">
        <v>578.91277033333347</v>
      </c>
      <c r="BJ430" s="449">
        <v>578.91277033333347</v>
      </c>
      <c r="BK430" s="449">
        <v>578.91277033333347</v>
      </c>
      <c r="BL430" s="771">
        <v>578.91277033333347</v>
      </c>
      <c r="BM430" s="449">
        <v>578.91277033333347</v>
      </c>
      <c r="BN430" s="449">
        <v>578.91277033333347</v>
      </c>
      <c r="BO430" s="449">
        <v>578.91277033333347</v>
      </c>
      <c r="BP430" s="449">
        <v>578.91277033333347</v>
      </c>
      <c r="BQ430" s="449">
        <v>578.91277033333347</v>
      </c>
      <c r="BR430" s="449">
        <v>578.91277033333347</v>
      </c>
      <c r="BS430" s="449">
        <v>578.91277033333347</v>
      </c>
      <c r="BT430" s="449">
        <v>578.91277033333347</v>
      </c>
    </row>
    <row r="431" spans="1:72" x14ac:dyDescent="0.25">
      <c r="A431" s="537" t="s">
        <v>727</v>
      </c>
      <c r="B431" s="537" t="s">
        <v>728</v>
      </c>
      <c r="C431" s="541"/>
      <c r="D431" s="500">
        <v>0</v>
      </c>
      <c r="E431" s="449">
        <v>0</v>
      </c>
      <c r="F431" s="449">
        <v>0</v>
      </c>
      <c r="G431" s="421">
        <v>0</v>
      </c>
      <c r="H431" s="449">
        <v>0</v>
      </c>
      <c r="I431" s="449">
        <v>0</v>
      </c>
      <c r="J431" s="426">
        <v>0</v>
      </c>
      <c r="K431" s="421"/>
      <c r="L431" s="449">
        <v>0</v>
      </c>
      <c r="M431" s="449">
        <v>0</v>
      </c>
      <c r="N431" s="449">
        <v>0</v>
      </c>
      <c r="O431" s="449">
        <v>0</v>
      </c>
      <c r="P431" s="449">
        <v>0</v>
      </c>
      <c r="Q431" s="449">
        <v>0</v>
      </c>
      <c r="R431" s="449">
        <v>0</v>
      </c>
      <c r="S431" s="449">
        <v>0</v>
      </c>
      <c r="T431" s="449">
        <v>0</v>
      </c>
      <c r="U431" s="449">
        <v>0</v>
      </c>
      <c r="V431" s="449">
        <v>0</v>
      </c>
      <c r="W431" s="449">
        <v>0</v>
      </c>
      <c r="X431" s="449"/>
      <c r="Y431" s="449">
        <v>0</v>
      </c>
      <c r="Z431" s="531"/>
      <c r="AA431" s="449">
        <v>0</v>
      </c>
      <c r="AB431" s="449">
        <v>0</v>
      </c>
      <c r="AC431" s="449">
        <v>0</v>
      </c>
      <c r="AD431" s="449">
        <v>0</v>
      </c>
      <c r="AE431" s="449">
        <v>0</v>
      </c>
      <c r="AF431" s="449">
        <v>0</v>
      </c>
      <c r="AG431" s="449">
        <v>0</v>
      </c>
      <c r="AH431" s="449">
        <v>0</v>
      </c>
      <c r="AI431" s="449">
        <v>0</v>
      </c>
      <c r="AJ431" s="449">
        <v>0</v>
      </c>
      <c r="AK431" s="449">
        <v>0</v>
      </c>
      <c r="AL431" s="449">
        <v>0</v>
      </c>
      <c r="AM431" s="400"/>
      <c r="AN431" s="500">
        <v>0</v>
      </c>
      <c r="AO431" s="449">
        <v>0</v>
      </c>
      <c r="AP431" s="449">
        <v>0</v>
      </c>
      <c r="AQ431" s="453" t="s">
        <v>1519</v>
      </c>
      <c r="AR431" s="449">
        <v>0</v>
      </c>
      <c r="AS431" s="449">
        <v>0</v>
      </c>
      <c r="AT431" s="426">
        <v>0</v>
      </c>
      <c r="AU431" s="421"/>
      <c r="AV431" s="449">
        <v>0</v>
      </c>
      <c r="AW431" s="449">
        <v>0</v>
      </c>
      <c r="AX431" s="449">
        <v>0</v>
      </c>
      <c r="AY431" s="449">
        <v>0</v>
      </c>
      <c r="AZ431" s="449">
        <v>0</v>
      </c>
      <c r="BA431" s="449">
        <v>0</v>
      </c>
      <c r="BB431" s="449">
        <v>0</v>
      </c>
      <c r="BC431" s="449">
        <v>0</v>
      </c>
      <c r="BD431" s="449">
        <v>0</v>
      </c>
      <c r="BE431" s="449">
        <v>0</v>
      </c>
      <c r="BF431" s="449">
        <v>0</v>
      </c>
      <c r="BG431" s="449">
        <v>0</v>
      </c>
      <c r="BH431" s="400"/>
      <c r="BI431" s="449">
        <v>0</v>
      </c>
      <c r="BJ431" s="449">
        <v>0</v>
      </c>
      <c r="BK431" s="449">
        <v>0</v>
      </c>
      <c r="BL431" s="771">
        <v>0</v>
      </c>
      <c r="BM431" s="449">
        <v>0</v>
      </c>
      <c r="BN431" s="449">
        <v>0</v>
      </c>
      <c r="BO431" s="449">
        <v>0</v>
      </c>
      <c r="BP431" s="449">
        <v>0</v>
      </c>
      <c r="BQ431" s="449">
        <v>0</v>
      </c>
      <c r="BR431" s="449">
        <v>0</v>
      </c>
      <c r="BS431" s="449">
        <v>0</v>
      </c>
      <c r="BT431" s="449">
        <v>0</v>
      </c>
    </row>
    <row r="432" spans="1:72" hidden="1" x14ac:dyDescent="0.25">
      <c r="A432" s="502" t="s">
        <v>729</v>
      </c>
      <c r="B432" s="502" t="s">
        <v>730</v>
      </c>
      <c r="C432" s="541"/>
      <c r="D432" s="500">
        <v>0</v>
      </c>
      <c r="E432" s="449">
        <v>0</v>
      </c>
      <c r="F432" s="449">
        <v>0</v>
      </c>
      <c r="G432" s="421">
        <v>0</v>
      </c>
      <c r="H432" s="449">
        <v>0</v>
      </c>
      <c r="I432" s="449">
        <v>0</v>
      </c>
      <c r="J432" s="426">
        <v>0</v>
      </c>
      <c r="K432" s="421"/>
      <c r="L432" s="449">
        <v>0</v>
      </c>
      <c r="M432" s="449">
        <v>0</v>
      </c>
      <c r="N432" s="449">
        <v>0</v>
      </c>
      <c r="O432" s="449">
        <v>0</v>
      </c>
      <c r="P432" s="449">
        <v>0</v>
      </c>
      <c r="Q432" s="449">
        <v>0</v>
      </c>
      <c r="R432" s="449">
        <v>0</v>
      </c>
      <c r="S432" s="449">
        <v>0</v>
      </c>
      <c r="T432" s="449">
        <v>0</v>
      </c>
      <c r="U432" s="449">
        <v>0</v>
      </c>
      <c r="V432" s="449">
        <v>0</v>
      </c>
      <c r="W432" s="449">
        <v>0</v>
      </c>
      <c r="X432" s="449"/>
      <c r="Y432" s="449">
        <v>0</v>
      </c>
      <c r="Z432" s="531"/>
      <c r="AA432" s="449">
        <v>0</v>
      </c>
      <c r="AB432" s="449">
        <v>0</v>
      </c>
      <c r="AC432" s="449">
        <v>0</v>
      </c>
      <c r="AD432" s="449">
        <v>0</v>
      </c>
      <c r="AE432" s="449">
        <v>0</v>
      </c>
      <c r="AF432" s="449">
        <v>0</v>
      </c>
      <c r="AG432" s="449">
        <v>0</v>
      </c>
      <c r="AH432" s="449">
        <v>0</v>
      </c>
      <c r="AI432" s="449">
        <v>0</v>
      </c>
      <c r="AJ432" s="449">
        <v>0</v>
      </c>
      <c r="AK432" s="449">
        <v>0</v>
      </c>
      <c r="AL432" s="449">
        <v>0</v>
      </c>
      <c r="AM432" s="400"/>
      <c r="AN432" s="500">
        <v>0</v>
      </c>
      <c r="AO432" s="449">
        <v>0</v>
      </c>
      <c r="AP432" s="449">
        <v>0</v>
      </c>
      <c r="AQ432" s="453" t="s">
        <v>1519</v>
      </c>
      <c r="AR432" s="449">
        <v>0</v>
      </c>
      <c r="AS432" s="449">
        <v>0</v>
      </c>
      <c r="AT432" s="426">
        <v>0</v>
      </c>
      <c r="AU432" s="421"/>
      <c r="AV432" s="449">
        <v>0</v>
      </c>
      <c r="AW432" s="449">
        <v>0</v>
      </c>
      <c r="AX432" s="449">
        <v>0</v>
      </c>
      <c r="AY432" s="449">
        <v>0</v>
      </c>
      <c r="AZ432" s="449">
        <v>0</v>
      </c>
      <c r="BA432" s="449">
        <v>0</v>
      </c>
      <c r="BB432" s="449">
        <v>0</v>
      </c>
      <c r="BC432" s="449">
        <v>0</v>
      </c>
      <c r="BD432" s="449">
        <v>0</v>
      </c>
      <c r="BE432" s="449">
        <v>0</v>
      </c>
      <c r="BF432" s="449">
        <v>0</v>
      </c>
      <c r="BG432" s="449">
        <v>0</v>
      </c>
      <c r="BH432" s="400"/>
      <c r="BI432" s="449">
        <v>0</v>
      </c>
      <c r="BJ432" s="449">
        <v>0</v>
      </c>
      <c r="BK432" s="449">
        <v>0</v>
      </c>
      <c r="BL432" s="771">
        <v>0</v>
      </c>
      <c r="BM432" s="449">
        <v>0</v>
      </c>
      <c r="BN432" s="449">
        <v>0</v>
      </c>
      <c r="BO432" s="449">
        <v>0</v>
      </c>
      <c r="BP432" s="449">
        <v>0</v>
      </c>
      <c r="BQ432" s="449">
        <v>0</v>
      </c>
      <c r="BR432" s="449">
        <v>0</v>
      </c>
      <c r="BS432" s="449">
        <v>0</v>
      </c>
      <c r="BT432" s="449">
        <v>0</v>
      </c>
    </row>
    <row r="433" spans="1:72" hidden="1" x14ac:dyDescent="0.25">
      <c r="A433" s="502" t="s">
        <v>731</v>
      </c>
      <c r="B433" s="502" t="s">
        <v>732</v>
      </c>
      <c r="C433" s="541"/>
      <c r="D433" s="500">
        <v>0</v>
      </c>
      <c r="E433" s="449">
        <v>0</v>
      </c>
      <c r="F433" s="449">
        <v>0</v>
      </c>
      <c r="G433" s="421">
        <v>0</v>
      </c>
      <c r="H433" s="449">
        <v>0</v>
      </c>
      <c r="I433" s="449">
        <v>0</v>
      </c>
      <c r="J433" s="426">
        <v>0</v>
      </c>
      <c r="K433" s="421"/>
      <c r="L433" s="449">
        <v>0</v>
      </c>
      <c r="M433" s="449">
        <v>0</v>
      </c>
      <c r="N433" s="449">
        <v>0</v>
      </c>
      <c r="O433" s="449">
        <v>0</v>
      </c>
      <c r="P433" s="449">
        <v>0</v>
      </c>
      <c r="Q433" s="449">
        <v>0</v>
      </c>
      <c r="R433" s="449">
        <v>0</v>
      </c>
      <c r="S433" s="449">
        <v>0</v>
      </c>
      <c r="T433" s="449">
        <v>0</v>
      </c>
      <c r="U433" s="449">
        <v>0</v>
      </c>
      <c r="V433" s="449">
        <v>0</v>
      </c>
      <c r="W433" s="449">
        <v>0</v>
      </c>
      <c r="X433" s="449"/>
      <c r="Y433" s="449">
        <v>0</v>
      </c>
      <c r="Z433" s="531"/>
      <c r="AA433" s="449">
        <v>0</v>
      </c>
      <c r="AB433" s="449">
        <v>0</v>
      </c>
      <c r="AC433" s="449">
        <v>0</v>
      </c>
      <c r="AD433" s="449">
        <v>0</v>
      </c>
      <c r="AE433" s="449">
        <v>0</v>
      </c>
      <c r="AF433" s="449">
        <v>0</v>
      </c>
      <c r="AG433" s="449">
        <v>0</v>
      </c>
      <c r="AH433" s="449">
        <v>0</v>
      </c>
      <c r="AI433" s="449">
        <v>0</v>
      </c>
      <c r="AJ433" s="449">
        <v>0</v>
      </c>
      <c r="AK433" s="449">
        <v>0</v>
      </c>
      <c r="AL433" s="449">
        <v>0</v>
      </c>
      <c r="AM433" s="400"/>
      <c r="AN433" s="500">
        <v>0</v>
      </c>
      <c r="AO433" s="449">
        <v>0</v>
      </c>
      <c r="AP433" s="449">
        <v>0</v>
      </c>
      <c r="AQ433" s="453" t="s">
        <v>1519</v>
      </c>
      <c r="AR433" s="449">
        <v>0</v>
      </c>
      <c r="AS433" s="449">
        <v>0</v>
      </c>
      <c r="AT433" s="426">
        <v>0</v>
      </c>
      <c r="AU433" s="421"/>
      <c r="AV433" s="449">
        <v>0</v>
      </c>
      <c r="AW433" s="449">
        <v>0</v>
      </c>
      <c r="AX433" s="449">
        <v>0</v>
      </c>
      <c r="AY433" s="449">
        <v>0</v>
      </c>
      <c r="AZ433" s="449">
        <v>0</v>
      </c>
      <c r="BA433" s="449">
        <v>0</v>
      </c>
      <c r="BB433" s="449">
        <v>0</v>
      </c>
      <c r="BC433" s="449">
        <v>0</v>
      </c>
      <c r="BD433" s="449">
        <v>0</v>
      </c>
      <c r="BE433" s="449">
        <v>0</v>
      </c>
      <c r="BF433" s="449">
        <v>0</v>
      </c>
      <c r="BG433" s="449">
        <v>0</v>
      </c>
      <c r="BH433" s="400"/>
      <c r="BI433" s="449">
        <v>0</v>
      </c>
      <c r="BJ433" s="449">
        <v>0</v>
      </c>
      <c r="BK433" s="449">
        <v>0</v>
      </c>
      <c r="BL433" s="771">
        <v>0</v>
      </c>
      <c r="BM433" s="449">
        <v>0</v>
      </c>
      <c r="BN433" s="449">
        <v>0</v>
      </c>
      <c r="BO433" s="449">
        <v>0</v>
      </c>
      <c r="BP433" s="449">
        <v>0</v>
      </c>
      <c r="BQ433" s="449">
        <v>0</v>
      </c>
      <c r="BR433" s="449">
        <v>0</v>
      </c>
      <c r="BS433" s="449">
        <v>0</v>
      </c>
      <c r="BT433" s="449">
        <v>0</v>
      </c>
    </row>
    <row r="434" spans="1:72" hidden="1" x14ac:dyDescent="0.25">
      <c r="A434" s="502" t="s">
        <v>733</v>
      </c>
      <c r="B434" s="502" t="s">
        <v>734</v>
      </c>
      <c r="C434" s="541"/>
      <c r="D434" s="500">
        <v>0</v>
      </c>
      <c r="E434" s="449">
        <v>0</v>
      </c>
      <c r="F434" s="449">
        <v>0</v>
      </c>
      <c r="G434" s="421">
        <v>0</v>
      </c>
      <c r="H434" s="449">
        <v>0</v>
      </c>
      <c r="I434" s="449">
        <v>0</v>
      </c>
      <c r="J434" s="426">
        <v>0</v>
      </c>
      <c r="K434" s="421"/>
      <c r="L434" s="449">
        <v>0</v>
      </c>
      <c r="M434" s="449">
        <v>0</v>
      </c>
      <c r="N434" s="449">
        <v>0</v>
      </c>
      <c r="O434" s="449">
        <v>0</v>
      </c>
      <c r="P434" s="449">
        <v>0</v>
      </c>
      <c r="Q434" s="449">
        <v>0</v>
      </c>
      <c r="R434" s="449">
        <v>0</v>
      </c>
      <c r="S434" s="449">
        <v>0</v>
      </c>
      <c r="T434" s="449">
        <v>0</v>
      </c>
      <c r="U434" s="449">
        <v>0</v>
      </c>
      <c r="V434" s="449">
        <v>0</v>
      </c>
      <c r="W434" s="449">
        <v>0</v>
      </c>
      <c r="X434" s="449"/>
      <c r="Y434" s="449">
        <v>0</v>
      </c>
      <c r="Z434" s="531"/>
      <c r="AA434" s="449">
        <v>0</v>
      </c>
      <c r="AB434" s="449">
        <v>0</v>
      </c>
      <c r="AC434" s="449">
        <v>0</v>
      </c>
      <c r="AD434" s="449">
        <v>0</v>
      </c>
      <c r="AE434" s="449">
        <v>0</v>
      </c>
      <c r="AF434" s="449">
        <v>0</v>
      </c>
      <c r="AG434" s="449">
        <v>0</v>
      </c>
      <c r="AH434" s="449">
        <v>0</v>
      </c>
      <c r="AI434" s="449">
        <v>0</v>
      </c>
      <c r="AJ434" s="449">
        <v>0</v>
      </c>
      <c r="AK434" s="449">
        <v>0</v>
      </c>
      <c r="AL434" s="449">
        <v>0</v>
      </c>
      <c r="AM434" s="400"/>
      <c r="AN434" s="500">
        <v>0</v>
      </c>
      <c r="AO434" s="449">
        <v>0</v>
      </c>
      <c r="AP434" s="449">
        <v>0</v>
      </c>
      <c r="AQ434" s="453" t="s">
        <v>1519</v>
      </c>
      <c r="AR434" s="449">
        <v>0</v>
      </c>
      <c r="AS434" s="449">
        <v>0</v>
      </c>
      <c r="AT434" s="426">
        <v>0</v>
      </c>
      <c r="AU434" s="421"/>
      <c r="AV434" s="449">
        <v>0</v>
      </c>
      <c r="AW434" s="449">
        <v>0</v>
      </c>
      <c r="AX434" s="449">
        <v>0</v>
      </c>
      <c r="AY434" s="449">
        <v>0</v>
      </c>
      <c r="AZ434" s="449">
        <v>0</v>
      </c>
      <c r="BA434" s="449">
        <v>0</v>
      </c>
      <c r="BB434" s="449">
        <v>0</v>
      </c>
      <c r="BC434" s="449">
        <v>0</v>
      </c>
      <c r="BD434" s="449">
        <v>0</v>
      </c>
      <c r="BE434" s="449">
        <v>0</v>
      </c>
      <c r="BF434" s="449">
        <v>0</v>
      </c>
      <c r="BG434" s="449">
        <v>0</v>
      </c>
      <c r="BH434" s="400"/>
      <c r="BI434" s="449">
        <v>0</v>
      </c>
      <c r="BJ434" s="449">
        <v>0</v>
      </c>
      <c r="BK434" s="449">
        <v>0</v>
      </c>
      <c r="BL434" s="771">
        <v>0</v>
      </c>
      <c r="BM434" s="449">
        <v>0</v>
      </c>
      <c r="BN434" s="449">
        <v>0</v>
      </c>
      <c r="BO434" s="449">
        <v>0</v>
      </c>
      <c r="BP434" s="449">
        <v>0</v>
      </c>
      <c r="BQ434" s="449">
        <v>0</v>
      </c>
      <c r="BR434" s="449">
        <v>0</v>
      </c>
      <c r="BS434" s="449">
        <v>0</v>
      </c>
      <c r="BT434" s="449">
        <v>0</v>
      </c>
    </row>
    <row r="435" spans="1:72" hidden="1" x14ac:dyDescent="0.25">
      <c r="A435" s="502" t="s">
        <v>735</v>
      </c>
      <c r="B435" s="502" t="s">
        <v>736</v>
      </c>
      <c r="C435" s="541"/>
      <c r="D435" s="500">
        <v>0</v>
      </c>
      <c r="E435" s="449">
        <v>0</v>
      </c>
      <c r="F435" s="449">
        <v>0</v>
      </c>
      <c r="G435" s="421">
        <v>0</v>
      </c>
      <c r="H435" s="449">
        <v>0</v>
      </c>
      <c r="I435" s="449">
        <v>0</v>
      </c>
      <c r="J435" s="426">
        <v>0</v>
      </c>
      <c r="K435" s="421"/>
      <c r="L435" s="449">
        <v>0</v>
      </c>
      <c r="M435" s="449">
        <v>0</v>
      </c>
      <c r="N435" s="449">
        <v>0</v>
      </c>
      <c r="O435" s="449">
        <v>0</v>
      </c>
      <c r="P435" s="449">
        <v>0</v>
      </c>
      <c r="Q435" s="449">
        <v>0</v>
      </c>
      <c r="R435" s="449">
        <v>0</v>
      </c>
      <c r="S435" s="449">
        <v>0</v>
      </c>
      <c r="T435" s="449">
        <v>0</v>
      </c>
      <c r="U435" s="449">
        <v>0</v>
      </c>
      <c r="V435" s="449">
        <v>0</v>
      </c>
      <c r="W435" s="449">
        <v>0</v>
      </c>
      <c r="X435" s="449"/>
      <c r="Y435" s="449">
        <v>0</v>
      </c>
      <c r="Z435" s="531"/>
      <c r="AA435" s="449">
        <v>0</v>
      </c>
      <c r="AB435" s="449">
        <v>0</v>
      </c>
      <c r="AC435" s="449">
        <v>0</v>
      </c>
      <c r="AD435" s="449">
        <v>0</v>
      </c>
      <c r="AE435" s="449">
        <v>0</v>
      </c>
      <c r="AF435" s="449">
        <v>0</v>
      </c>
      <c r="AG435" s="449">
        <v>0</v>
      </c>
      <c r="AH435" s="449">
        <v>0</v>
      </c>
      <c r="AI435" s="449">
        <v>0</v>
      </c>
      <c r="AJ435" s="449">
        <v>0</v>
      </c>
      <c r="AK435" s="449">
        <v>0</v>
      </c>
      <c r="AL435" s="449">
        <v>0</v>
      </c>
      <c r="AM435" s="400"/>
      <c r="AN435" s="500">
        <v>0</v>
      </c>
      <c r="AO435" s="449">
        <v>0</v>
      </c>
      <c r="AP435" s="449">
        <v>0</v>
      </c>
      <c r="AQ435" s="453" t="s">
        <v>1519</v>
      </c>
      <c r="AR435" s="449">
        <v>0</v>
      </c>
      <c r="AS435" s="449">
        <v>0</v>
      </c>
      <c r="AT435" s="426">
        <v>0</v>
      </c>
      <c r="AU435" s="421"/>
      <c r="AV435" s="449">
        <v>0</v>
      </c>
      <c r="AW435" s="449">
        <v>0</v>
      </c>
      <c r="AX435" s="449">
        <v>0</v>
      </c>
      <c r="AY435" s="449">
        <v>0</v>
      </c>
      <c r="AZ435" s="449">
        <v>0</v>
      </c>
      <c r="BA435" s="449">
        <v>0</v>
      </c>
      <c r="BB435" s="449">
        <v>0</v>
      </c>
      <c r="BC435" s="449">
        <v>0</v>
      </c>
      <c r="BD435" s="449">
        <v>0</v>
      </c>
      <c r="BE435" s="449">
        <v>0</v>
      </c>
      <c r="BF435" s="449">
        <v>0</v>
      </c>
      <c r="BG435" s="449">
        <v>0</v>
      </c>
      <c r="BH435" s="400"/>
      <c r="BI435" s="449">
        <v>0</v>
      </c>
      <c r="BJ435" s="449">
        <v>0</v>
      </c>
      <c r="BK435" s="449">
        <v>0</v>
      </c>
      <c r="BL435" s="771">
        <v>0</v>
      </c>
      <c r="BM435" s="449">
        <v>0</v>
      </c>
      <c r="BN435" s="449">
        <v>0</v>
      </c>
      <c r="BO435" s="449">
        <v>0</v>
      </c>
      <c r="BP435" s="449">
        <v>0</v>
      </c>
      <c r="BQ435" s="449">
        <v>0</v>
      </c>
      <c r="BR435" s="449">
        <v>0</v>
      </c>
      <c r="BS435" s="449">
        <v>0</v>
      </c>
      <c r="BT435" s="449">
        <v>0</v>
      </c>
    </row>
    <row r="436" spans="1:72" hidden="1" x14ac:dyDescent="0.25">
      <c r="A436" s="502" t="s">
        <v>737</v>
      </c>
      <c r="B436" s="502" t="s">
        <v>738</v>
      </c>
      <c r="C436" s="541"/>
      <c r="D436" s="500">
        <v>0</v>
      </c>
      <c r="E436" s="449">
        <v>0</v>
      </c>
      <c r="F436" s="449">
        <v>0</v>
      </c>
      <c r="G436" s="421">
        <v>0</v>
      </c>
      <c r="H436" s="449">
        <v>0</v>
      </c>
      <c r="I436" s="449">
        <v>0</v>
      </c>
      <c r="J436" s="426">
        <v>0</v>
      </c>
      <c r="K436" s="421"/>
      <c r="L436" s="449">
        <v>0</v>
      </c>
      <c r="M436" s="449">
        <v>0</v>
      </c>
      <c r="N436" s="449">
        <v>0</v>
      </c>
      <c r="O436" s="449">
        <v>0</v>
      </c>
      <c r="P436" s="449">
        <v>0</v>
      </c>
      <c r="Q436" s="449">
        <v>0</v>
      </c>
      <c r="R436" s="449">
        <v>0</v>
      </c>
      <c r="S436" s="449">
        <v>0</v>
      </c>
      <c r="T436" s="449">
        <v>0</v>
      </c>
      <c r="U436" s="449">
        <v>0</v>
      </c>
      <c r="V436" s="449">
        <v>0</v>
      </c>
      <c r="W436" s="449">
        <v>0</v>
      </c>
      <c r="X436" s="449"/>
      <c r="Y436" s="449">
        <v>0</v>
      </c>
      <c r="Z436" s="531"/>
      <c r="AA436" s="449">
        <v>0</v>
      </c>
      <c r="AB436" s="449">
        <v>0</v>
      </c>
      <c r="AC436" s="449">
        <v>0</v>
      </c>
      <c r="AD436" s="449">
        <v>0</v>
      </c>
      <c r="AE436" s="449">
        <v>0</v>
      </c>
      <c r="AF436" s="449">
        <v>0</v>
      </c>
      <c r="AG436" s="449">
        <v>0</v>
      </c>
      <c r="AH436" s="449">
        <v>0</v>
      </c>
      <c r="AI436" s="449">
        <v>0</v>
      </c>
      <c r="AJ436" s="449">
        <v>0</v>
      </c>
      <c r="AK436" s="449">
        <v>0</v>
      </c>
      <c r="AL436" s="449">
        <v>0</v>
      </c>
      <c r="AM436" s="400"/>
      <c r="AN436" s="500">
        <v>0</v>
      </c>
      <c r="AO436" s="449">
        <v>0</v>
      </c>
      <c r="AP436" s="449">
        <v>0</v>
      </c>
      <c r="AQ436" s="453" t="s">
        <v>1519</v>
      </c>
      <c r="AR436" s="449">
        <v>0</v>
      </c>
      <c r="AS436" s="449">
        <v>0</v>
      </c>
      <c r="AT436" s="426">
        <v>0</v>
      </c>
      <c r="AU436" s="421"/>
      <c r="AV436" s="449">
        <v>0</v>
      </c>
      <c r="AW436" s="449">
        <v>0</v>
      </c>
      <c r="AX436" s="449">
        <v>0</v>
      </c>
      <c r="AY436" s="449">
        <v>0</v>
      </c>
      <c r="AZ436" s="449">
        <v>0</v>
      </c>
      <c r="BA436" s="449">
        <v>0</v>
      </c>
      <c r="BB436" s="449">
        <v>0</v>
      </c>
      <c r="BC436" s="449">
        <v>0</v>
      </c>
      <c r="BD436" s="449">
        <v>0</v>
      </c>
      <c r="BE436" s="449">
        <v>0</v>
      </c>
      <c r="BF436" s="449">
        <v>0</v>
      </c>
      <c r="BG436" s="449">
        <v>0</v>
      </c>
      <c r="BH436" s="400"/>
      <c r="BI436" s="449">
        <v>0</v>
      </c>
      <c r="BJ436" s="449">
        <v>0</v>
      </c>
      <c r="BK436" s="449">
        <v>0</v>
      </c>
      <c r="BL436" s="771">
        <v>0</v>
      </c>
      <c r="BM436" s="449">
        <v>0</v>
      </c>
      <c r="BN436" s="449">
        <v>0</v>
      </c>
      <c r="BO436" s="449">
        <v>0</v>
      </c>
      <c r="BP436" s="449">
        <v>0</v>
      </c>
      <c r="BQ436" s="449">
        <v>0</v>
      </c>
      <c r="BR436" s="449">
        <v>0</v>
      </c>
      <c r="BS436" s="449">
        <v>0</v>
      </c>
      <c r="BT436" s="449">
        <v>0</v>
      </c>
    </row>
    <row r="437" spans="1:72" hidden="1" x14ac:dyDescent="0.25">
      <c r="A437" s="502" t="s">
        <v>739</v>
      </c>
      <c r="B437" s="502" t="s">
        <v>740</v>
      </c>
      <c r="C437" s="541"/>
      <c r="D437" s="500">
        <v>0</v>
      </c>
      <c r="E437" s="449">
        <v>0</v>
      </c>
      <c r="F437" s="449">
        <v>0</v>
      </c>
      <c r="G437" s="421">
        <v>0</v>
      </c>
      <c r="H437" s="449">
        <v>0</v>
      </c>
      <c r="I437" s="449">
        <v>0</v>
      </c>
      <c r="J437" s="426">
        <v>0</v>
      </c>
      <c r="K437" s="421"/>
      <c r="L437" s="449">
        <v>0</v>
      </c>
      <c r="M437" s="449">
        <v>0</v>
      </c>
      <c r="N437" s="449">
        <v>0</v>
      </c>
      <c r="O437" s="449">
        <v>0</v>
      </c>
      <c r="P437" s="449">
        <v>0</v>
      </c>
      <c r="Q437" s="449">
        <v>0</v>
      </c>
      <c r="R437" s="449">
        <v>0</v>
      </c>
      <c r="S437" s="449">
        <v>0</v>
      </c>
      <c r="T437" s="449">
        <v>0</v>
      </c>
      <c r="U437" s="449">
        <v>0</v>
      </c>
      <c r="V437" s="449">
        <v>0</v>
      </c>
      <c r="W437" s="449">
        <v>0</v>
      </c>
      <c r="X437" s="449"/>
      <c r="Y437" s="449">
        <v>0</v>
      </c>
      <c r="Z437" s="531"/>
      <c r="AA437" s="449">
        <v>0</v>
      </c>
      <c r="AB437" s="449">
        <v>0</v>
      </c>
      <c r="AC437" s="449">
        <v>0</v>
      </c>
      <c r="AD437" s="449">
        <v>0</v>
      </c>
      <c r="AE437" s="449">
        <v>0</v>
      </c>
      <c r="AF437" s="449">
        <v>0</v>
      </c>
      <c r="AG437" s="449">
        <v>0</v>
      </c>
      <c r="AH437" s="449">
        <v>0</v>
      </c>
      <c r="AI437" s="449">
        <v>0</v>
      </c>
      <c r="AJ437" s="449">
        <v>0</v>
      </c>
      <c r="AK437" s="449">
        <v>0</v>
      </c>
      <c r="AL437" s="449">
        <v>0</v>
      </c>
      <c r="AM437" s="400"/>
      <c r="AN437" s="500">
        <v>0</v>
      </c>
      <c r="AO437" s="449">
        <v>0</v>
      </c>
      <c r="AP437" s="449">
        <v>0</v>
      </c>
      <c r="AQ437" s="453" t="s">
        <v>1519</v>
      </c>
      <c r="AR437" s="449">
        <v>0</v>
      </c>
      <c r="AS437" s="449">
        <v>0</v>
      </c>
      <c r="AT437" s="426">
        <v>0</v>
      </c>
      <c r="AU437" s="421"/>
      <c r="AV437" s="449">
        <v>0</v>
      </c>
      <c r="AW437" s="449">
        <v>0</v>
      </c>
      <c r="AX437" s="449">
        <v>0</v>
      </c>
      <c r="AY437" s="449">
        <v>0</v>
      </c>
      <c r="AZ437" s="449">
        <v>0</v>
      </c>
      <c r="BA437" s="449">
        <v>0</v>
      </c>
      <c r="BB437" s="449">
        <v>0</v>
      </c>
      <c r="BC437" s="449">
        <v>0</v>
      </c>
      <c r="BD437" s="449">
        <v>0</v>
      </c>
      <c r="BE437" s="449">
        <v>0</v>
      </c>
      <c r="BF437" s="449">
        <v>0</v>
      </c>
      <c r="BG437" s="449">
        <v>0</v>
      </c>
      <c r="BH437" s="400"/>
      <c r="BI437" s="449">
        <v>0</v>
      </c>
      <c r="BJ437" s="449">
        <v>0</v>
      </c>
      <c r="BK437" s="449">
        <v>0</v>
      </c>
      <c r="BL437" s="771">
        <v>0</v>
      </c>
      <c r="BM437" s="449">
        <v>0</v>
      </c>
      <c r="BN437" s="449">
        <v>0</v>
      </c>
      <c r="BO437" s="449">
        <v>0</v>
      </c>
      <c r="BP437" s="449">
        <v>0</v>
      </c>
      <c r="BQ437" s="449">
        <v>0</v>
      </c>
      <c r="BR437" s="449">
        <v>0</v>
      </c>
      <c r="BS437" s="449">
        <v>0</v>
      </c>
      <c r="BT437" s="449">
        <v>0</v>
      </c>
    </row>
    <row r="438" spans="1:72" x14ac:dyDescent="0.25">
      <c r="A438" s="502" t="s">
        <v>741</v>
      </c>
      <c r="B438" s="502" t="s">
        <v>742</v>
      </c>
      <c r="C438" s="541"/>
      <c r="D438" s="500">
        <v>6762</v>
      </c>
      <c r="E438" s="449">
        <v>6762</v>
      </c>
      <c r="F438" s="449">
        <v>0</v>
      </c>
      <c r="G438" s="421">
        <v>0</v>
      </c>
      <c r="H438" s="449">
        <v>6762</v>
      </c>
      <c r="I438" s="449">
        <v>0</v>
      </c>
      <c r="J438" s="426">
        <v>0</v>
      </c>
      <c r="K438" s="421"/>
      <c r="L438" s="449">
        <v>196.15</v>
      </c>
      <c r="M438" s="449">
        <v>379.23</v>
      </c>
      <c r="N438" s="449">
        <v>274.62</v>
      </c>
      <c r="O438" s="449">
        <v>381.53999999999996</v>
      </c>
      <c r="P438" s="449">
        <v>261.53999999999996</v>
      </c>
      <c r="Q438" s="449">
        <v>326.92000000000007</v>
      </c>
      <c r="R438" s="449">
        <v>823.66666666666663</v>
      </c>
      <c r="S438" s="449">
        <v>823.66666666666674</v>
      </c>
      <c r="T438" s="449">
        <v>823.66666666666674</v>
      </c>
      <c r="U438" s="449">
        <v>823.66666666666663</v>
      </c>
      <c r="V438" s="449">
        <v>823.66666666666652</v>
      </c>
      <c r="W438" s="449">
        <v>823.66666666666606</v>
      </c>
      <c r="X438" s="449"/>
      <c r="Y438" s="449">
        <v>6762</v>
      </c>
      <c r="Z438" s="531"/>
      <c r="AA438" s="449">
        <v>563.5</v>
      </c>
      <c r="AB438" s="449">
        <v>563.5</v>
      </c>
      <c r="AC438" s="449">
        <v>563.5</v>
      </c>
      <c r="AD438" s="449">
        <v>563.5</v>
      </c>
      <c r="AE438" s="449">
        <v>563.5</v>
      </c>
      <c r="AF438" s="449">
        <v>563.5</v>
      </c>
      <c r="AG438" s="449">
        <v>563.5</v>
      </c>
      <c r="AH438" s="449">
        <v>563.5</v>
      </c>
      <c r="AI438" s="449">
        <v>563.5</v>
      </c>
      <c r="AJ438" s="449">
        <v>563.5</v>
      </c>
      <c r="AK438" s="449">
        <v>563.5</v>
      </c>
      <c r="AL438" s="449">
        <v>563.5</v>
      </c>
      <c r="AM438" s="400"/>
      <c r="AN438" s="500">
        <v>6762</v>
      </c>
      <c r="AO438" s="449">
        <v>3535.9999999999995</v>
      </c>
      <c r="AP438" s="449">
        <v>-3226.0000000000005</v>
      </c>
      <c r="AQ438" s="453">
        <v>-0.47707778763679393</v>
      </c>
      <c r="AR438" s="449">
        <v>3535.9999999999995</v>
      </c>
      <c r="AS438" s="449">
        <v>0</v>
      </c>
      <c r="AT438" s="426">
        <v>0</v>
      </c>
      <c r="AU438" s="421"/>
      <c r="AV438" s="449">
        <v>294.66666666666669</v>
      </c>
      <c r="AW438" s="449">
        <v>294.66666666666669</v>
      </c>
      <c r="AX438" s="449">
        <v>294.66666666666669</v>
      </c>
      <c r="AY438" s="449">
        <v>294.66666666666669</v>
      </c>
      <c r="AZ438" s="449">
        <v>294.66666666666669</v>
      </c>
      <c r="BA438" s="449">
        <v>294.66666666666669</v>
      </c>
      <c r="BB438" s="449">
        <v>294.66666666666669</v>
      </c>
      <c r="BC438" s="449">
        <v>294.66666666666669</v>
      </c>
      <c r="BD438" s="449">
        <v>294.66666666666669</v>
      </c>
      <c r="BE438" s="449">
        <v>294.66666666666669</v>
      </c>
      <c r="BF438" s="449">
        <v>294.66666666666669</v>
      </c>
      <c r="BG438" s="449">
        <v>294.66666666666669</v>
      </c>
      <c r="BH438" s="400"/>
      <c r="BI438" s="449">
        <v>294.66666666666669</v>
      </c>
      <c r="BJ438" s="449">
        <v>294.66666666666669</v>
      </c>
      <c r="BK438" s="449">
        <v>294.66666666666669</v>
      </c>
      <c r="BL438" s="771">
        <v>294.66666666666669</v>
      </c>
      <c r="BM438" s="449">
        <v>294.66666666666669</v>
      </c>
      <c r="BN438" s="449">
        <v>294.66666666666669</v>
      </c>
      <c r="BO438" s="449">
        <v>294.66666666666669</v>
      </c>
      <c r="BP438" s="449">
        <v>294.66666666666669</v>
      </c>
      <c r="BQ438" s="449">
        <v>294.66666666666669</v>
      </c>
      <c r="BR438" s="449">
        <v>294.66666666666669</v>
      </c>
      <c r="BS438" s="449">
        <v>294.66666666666669</v>
      </c>
      <c r="BT438" s="449">
        <v>294.66666666666669</v>
      </c>
    </row>
    <row r="439" spans="1:72" x14ac:dyDescent="0.25">
      <c r="A439" s="502" t="s">
        <v>743</v>
      </c>
      <c r="B439" s="502" t="s">
        <v>744</v>
      </c>
      <c r="C439" s="541"/>
      <c r="D439" s="500">
        <v>0</v>
      </c>
      <c r="E439" s="449">
        <v>0</v>
      </c>
      <c r="F439" s="449">
        <v>0</v>
      </c>
      <c r="G439" s="421">
        <v>0</v>
      </c>
      <c r="H439" s="449">
        <v>0</v>
      </c>
      <c r="I439" s="449">
        <v>0</v>
      </c>
      <c r="J439" s="426">
        <v>0</v>
      </c>
      <c r="K439" s="421"/>
      <c r="L439" s="449">
        <v>0</v>
      </c>
      <c r="M439" s="449">
        <v>0</v>
      </c>
      <c r="N439" s="449">
        <v>0</v>
      </c>
      <c r="O439" s="449">
        <v>0</v>
      </c>
      <c r="P439" s="449">
        <v>0</v>
      </c>
      <c r="Q439" s="449">
        <v>0</v>
      </c>
      <c r="R439" s="449">
        <v>0</v>
      </c>
      <c r="S439" s="449">
        <v>0</v>
      </c>
      <c r="T439" s="449">
        <v>0</v>
      </c>
      <c r="U439" s="449">
        <v>0</v>
      </c>
      <c r="V439" s="449">
        <v>0</v>
      </c>
      <c r="W439" s="449">
        <v>0</v>
      </c>
      <c r="X439" s="449"/>
      <c r="Y439" s="449">
        <v>0</v>
      </c>
      <c r="Z439" s="531"/>
      <c r="AA439" s="449">
        <v>0</v>
      </c>
      <c r="AB439" s="449">
        <v>0</v>
      </c>
      <c r="AC439" s="449">
        <v>0</v>
      </c>
      <c r="AD439" s="449">
        <v>0</v>
      </c>
      <c r="AE439" s="449">
        <v>0</v>
      </c>
      <c r="AF439" s="449">
        <v>0</v>
      </c>
      <c r="AG439" s="449">
        <v>0</v>
      </c>
      <c r="AH439" s="449">
        <v>0</v>
      </c>
      <c r="AI439" s="449">
        <v>0</v>
      </c>
      <c r="AJ439" s="449">
        <v>0</v>
      </c>
      <c r="AK439" s="449">
        <v>0</v>
      </c>
      <c r="AL439" s="449">
        <v>0</v>
      </c>
      <c r="AM439" s="400"/>
      <c r="AN439" s="500">
        <v>0</v>
      </c>
      <c r="AO439" s="449">
        <v>3619.1999999999994</v>
      </c>
      <c r="AP439" s="449">
        <v>3619.1999999999994</v>
      </c>
      <c r="AQ439" s="453" t="s">
        <v>1519</v>
      </c>
      <c r="AR439" s="449">
        <v>3619.1999999999994</v>
      </c>
      <c r="AS439" s="449">
        <v>0</v>
      </c>
      <c r="AT439" s="426">
        <v>0</v>
      </c>
      <c r="AU439" s="421"/>
      <c r="AV439" s="449">
        <v>301.59999999999997</v>
      </c>
      <c r="AW439" s="449">
        <v>301.59999999999997</v>
      </c>
      <c r="AX439" s="449">
        <v>301.59999999999997</v>
      </c>
      <c r="AY439" s="449">
        <v>301.59999999999997</v>
      </c>
      <c r="AZ439" s="449">
        <v>301.59999999999997</v>
      </c>
      <c r="BA439" s="449">
        <v>301.59999999999997</v>
      </c>
      <c r="BB439" s="449">
        <v>301.59999999999997</v>
      </c>
      <c r="BC439" s="449">
        <v>301.59999999999997</v>
      </c>
      <c r="BD439" s="449">
        <v>301.59999999999997</v>
      </c>
      <c r="BE439" s="449">
        <v>301.59999999999997</v>
      </c>
      <c r="BF439" s="449">
        <v>301.59999999999997</v>
      </c>
      <c r="BG439" s="449">
        <v>301.59999999999997</v>
      </c>
      <c r="BH439" s="400"/>
      <c r="BI439" s="449">
        <v>301.59999999999997</v>
      </c>
      <c r="BJ439" s="449">
        <v>301.59999999999997</v>
      </c>
      <c r="BK439" s="449">
        <v>301.59999999999997</v>
      </c>
      <c r="BL439" s="771">
        <v>301.59999999999997</v>
      </c>
      <c r="BM439" s="449">
        <v>301.59999999999997</v>
      </c>
      <c r="BN439" s="449">
        <v>301.59999999999997</v>
      </c>
      <c r="BO439" s="449">
        <v>301.59999999999997</v>
      </c>
      <c r="BP439" s="449">
        <v>301.59999999999997</v>
      </c>
      <c r="BQ439" s="449">
        <v>301.59999999999997</v>
      </c>
      <c r="BR439" s="449">
        <v>301.59999999999997</v>
      </c>
      <c r="BS439" s="449">
        <v>301.59999999999997</v>
      </c>
      <c r="BT439" s="449">
        <v>301.59999999999997</v>
      </c>
    </row>
    <row r="440" spans="1:72" x14ac:dyDescent="0.25">
      <c r="A440" s="502" t="s">
        <v>745</v>
      </c>
      <c r="B440" s="502" t="s">
        <v>746</v>
      </c>
      <c r="C440" s="541"/>
      <c r="D440" s="500">
        <v>2480</v>
      </c>
      <c r="E440" s="449">
        <v>2480</v>
      </c>
      <c r="F440" s="449">
        <v>0</v>
      </c>
      <c r="G440" s="421">
        <v>0</v>
      </c>
      <c r="H440" s="449">
        <v>2480</v>
      </c>
      <c r="I440" s="449">
        <v>0</v>
      </c>
      <c r="J440" s="426">
        <v>0</v>
      </c>
      <c r="K440" s="421"/>
      <c r="L440" s="449">
        <v>143.06</v>
      </c>
      <c r="M440" s="449">
        <v>276.60000000000002</v>
      </c>
      <c r="N440" s="449">
        <v>200.3</v>
      </c>
      <c r="O440" s="449">
        <v>310.76</v>
      </c>
      <c r="P440" s="449">
        <v>190.76</v>
      </c>
      <c r="Q440" s="449">
        <v>238.45000000000005</v>
      </c>
      <c r="R440" s="449">
        <v>186.67833333333331</v>
      </c>
      <c r="S440" s="449">
        <v>186.67833333333334</v>
      </c>
      <c r="T440" s="449">
        <v>186.67833333333334</v>
      </c>
      <c r="U440" s="449">
        <v>186.67833333333337</v>
      </c>
      <c r="V440" s="449">
        <v>186.67833333333328</v>
      </c>
      <c r="W440" s="449">
        <v>186.67833333333328</v>
      </c>
      <c r="X440" s="449"/>
      <c r="Y440" s="449">
        <v>2480</v>
      </c>
      <c r="Z440" s="531"/>
      <c r="AA440" s="449">
        <v>206.66666666666666</v>
      </c>
      <c r="AB440" s="449">
        <v>206.66666666666666</v>
      </c>
      <c r="AC440" s="449">
        <v>206.66666666666666</v>
      </c>
      <c r="AD440" s="449">
        <v>206.66666666666666</v>
      </c>
      <c r="AE440" s="449">
        <v>206.66666666666666</v>
      </c>
      <c r="AF440" s="449">
        <v>206.66666666666666</v>
      </c>
      <c r="AG440" s="449">
        <v>206.66666666666666</v>
      </c>
      <c r="AH440" s="449">
        <v>206.66666666666666</v>
      </c>
      <c r="AI440" s="449">
        <v>206.66666666666666</v>
      </c>
      <c r="AJ440" s="449">
        <v>206.66666666666666</v>
      </c>
      <c r="AK440" s="449">
        <v>206.66666666666666</v>
      </c>
      <c r="AL440" s="449">
        <v>206.66666666666666</v>
      </c>
      <c r="AM440" s="400"/>
      <c r="AN440" s="500">
        <v>2480</v>
      </c>
      <c r="AO440" s="449">
        <v>2554.400000000001</v>
      </c>
      <c r="AP440" s="449">
        <v>74.400000000001</v>
      </c>
      <c r="AQ440" s="453">
        <v>3.0000000000000405E-2</v>
      </c>
      <c r="AR440" s="449">
        <v>2554.400000000001</v>
      </c>
      <c r="AS440" s="449">
        <v>0</v>
      </c>
      <c r="AT440" s="426">
        <v>0</v>
      </c>
      <c r="AU440" s="421"/>
      <c r="AV440" s="449">
        <v>212.86666666666667</v>
      </c>
      <c r="AW440" s="449">
        <v>212.86666666666667</v>
      </c>
      <c r="AX440" s="449">
        <v>212.86666666666667</v>
      </c>
      <c r="AY440" s="449">
        <v>212.86666666666667</v>
      </c>
      <c r="AZ440" s="449">
        <v>212.86666666666667</v>
      </c>
      <c r="BA440" s="449">
        <v>212.86666666666667</v>
      </c>
      <c r="BB440" s="449">
        <v>212.86666666666667</v>
      </c>
      <c r="BC440" s="449">
        <v>212.86666666666667</v>
      </c>
      <c r="BD440" s="449">
        <v>212.86666666666667</v>
      </c>
      <c r="BE440" s="449">
        <v>212.86666666666667</v>
      </c>
      <c r="BF440" s="449">
        <v>212.86666666666667</v>
      </c>
      <c r="BG440" s="449">
        <v>212.86666666666667</v>
      </c>
      <c r="BH440" s="400"/>
      <c r="BI440" s="449">
        <v>212.86666666666667</v>
      </c>
      <c r="BJ440" s="449">
        <v>212.86666666666667</v>
      </c>
      <c r="BK440" s="449">
        <v>212.86666666666667</v>
      </c>
      <c r="BL440" s="771">
        <v>212.86666666666667</v>
      </c>
      <c r="BM440" s="449">
        <v>212.86666666666667</v>
      </c>
      <c r="BN440" s="449">
        <v>212.86666666666667</v>
      </c>
      <c r="BO440" s="449">
        <v>212.86666666666667</v>
      </c>
      <c r="BP440" s="449">
        <v>212.86666666666667</v>
      </c>
      <c r="BQ440" s="449">
        <v>212.86666666666667</v>
      </c>
      <c r="BR440" s="449">
        <v>212.86666666666667</v>
      </c>
      <c r="BS440" s="449">
        <v>212.86666666666667</v>
      </c>
      <c r="BT440" s="449">
        <v>212.86666666666667</v>
      </c>
    </row>
    <row r="441" spans="1:72" x14ac:dyDescent="0.25">
      <c r="A441" s="502" t="s">
        <v>747</v>
      </c>
      <c r="B441" s="502" t="s">
        <v>748</v>
      </c>
      <c r="C441" s="541"/>
      <c r="D441" s="500">
        <v>2760</v>
      </c>
      <c r="E441" s="449">
        <v>4960</v>
      </c>
      <c r="F441" s="449">
        <v>-2200</v>
      </c>
      <c r="G441" s="421">
        <v>-0.44354838709677419</v>
      </c>
      <c r="H441" s="449">
        <v>2760</v>
      </c>
      <c r="I441" s="449">
        <v>0</v>
      </c>
      <c r="J441" s="426">
        <v>0</v>
      </c>
      <c r="K441" s="421"/>
      <c r="L441" s="449">
        <v>0</v>
      </c>
      <c r="M441" s="449">
        <v>307.83999999999997</v>
      </c>
      <c r="N441" s="449">
        <v>222.91000000000003</v>
      </c>
      <c r="O441" s="449">
        <v>212.27999999999997</v>
      </c>
      <c r="P441" s="449">
        <v>212.26999999999998</v>
      </c>
      <c r="Q441" s="449">
        <v>265.37000000000012</v>
      </c>
      <c r="R441" s="449">
        <v>256.55500000000001</v>
      </c>
      <c r="S441" s="449">
        <v>256.55499999999995</v>
      </c>
      <c r="T441" s="449">
        <v>256.55499999999995</v>
      </c>
      <c r="U441" s="449">
        <v>256.55500000000001</v>
      </c>
      <c r="V441" s="449">
        <v>256.55500000000006</v>
      </c>
      <c r="W441" s="449">
        <v>256.55500000000029</v>
      </c>
      <c r="X441" s="449"/>
      <c r="Y441" s="449">
        <v>2760</v>
      </c>
      <c r="Z441" s="531"/>
      <c r="AA441" s="449">
        <v>230</v>
      </c>
      <c r="AB441" s="449">
        <v>230</v>
      </c>
      <c r="AC441" s="449">
        <v>230</v>
      </c>
      <c r="AD441" s="449">
        <v>230</v>
      </c>
      <c r="AE441" s="449">
        <v>230</v>
      </c>
      <c r="AF441" s="449">
        <v>230</v>
      </c>
      <c r="AG441" s="449">
        <v>230</v>
      </c>
      <c r="AH441" s="449">
        <v>230</v>
      </c>
      <c r="AI441" s="449">
        <v>230</v>
      </c>
      <c r="AJ441" s="449">
        <v>230</v>
      </c>
      <c r="AK441" s="449">
        <v>230</v>
      </c>
      <c r="AL441" s="449">
        <v>230</v>
      </c>
      <c r="AM441" s="400"/>
      <c r="AN441" s="500">
        <v>2760</v>
      </c>
      <c r="AO441" s="449">
        <v>5642.800000000002</v>
      </c>
      <c r="AP441" s="449">
        <v>2882.800000000002</v>
      </c>
      <c r="AQ441" s="453">
        <v>1.0444927536231892</v>
      </c>
      <c r="AR441" s="449">
        <v>5642.800000000002</v>
      </c>
      <c r="AS441" s="449">
        <v>0</v>
      </c>
      <c r="AT441" s="426">
        <v>0</v>
      </c>
      <c r="AU441" s="421"/>
      <c r="AV441" s="449">
        <v>470.23333333333335</v>
      </c>
      <c r="AW441" s="449">
        <v>470.23333333333335</v>
      </c>
      <c r="AX441" s="449">
        <v>470.23333333333335</v>
      </c>
      <c r="AY441" s="449">
        <v>470.23333333333335</v>
      </c>
      <c r="AZ441" s="449">
        <v>470.23333333333335</v>
      </c>
      <c r="BA441" s="449">
        <v>470.23333333333335</v>
      </c>
      <c r="BB441" s="449">
        <v>470.23333333333335</v>
      </c>
      <c r="BC441" s="449">
        <v>470.23333333333335</v>
      </c>
      <c r="BD441" s="449">
        <v>470.23333333333335</v>
      </c>
      <c r="BE441" s="449">
        <v>470.23333333333335</v>
      </c>
      <c r="BF441" s="449">
        <v>470.23333333333335</v>
      </c>
      <c r="BG441" s="449">
        <v>470.23333333333335</v>
      </c>
      <c r="BH441" s="400"/>
      <c r="BI441" s="449">
        <v>470.23333333333335</v>
      </c>
      <c r="BJ441" s="449">
        <v>470.23333333333335</v>
      </c>
      <c r="BK441" s="449">
        <v>470.23333333333335</v>
      </c>
      <c r="BL441" s="771">
        <v>470.23333333333335</v>
      </c>
      <c r="BM441" s="449">
        <v>470.23333333333335</v>
      </c>
      <c r="BN441" s="449">
        <v>470.23333333333335</v>
      </c>
      <c r="BO441" s="449">
        <v>470.23333333333335</v>
      </c>
      <c r="BP441" s="449">
        <v>470.23333333333335</v>
      </c>
      <c r="BQ441" s="449">
        <v>470.23333333333335</v>
      </c>
      <c r="BR441" s="449">
        <v>470.23333333333335</v>
      </c>
      <c r="BS441" s="449">
        <v>470.23333333333335</v>
      </c>
      <c r="BT441" s="449">
        <v>470.23333333333335</v>
      </c>
    </row>
    <row r="442" spans="1:72" x14ac:dyDescent="0.25">
      <c r="A442" s="537" t="s">
        <v>749</v>
      </c>
      <c r="B442" s="537" t="s">
        <v>750</v>
      </c>
      <c r="C442" s="541"/>
      <c r="D442" s="500">
        <v>0</v>
      </c>
      <c r="E442" s="449">
        <v>0</v>
      </c>
      <c r="F442" s="449">
        <v>0</v>
      </c>
      <c r="G442" s="421">
        <v>0</v>
      </c>
      <c r="H442" s="449">
        <v>0</v>
      </c>
      <c r="I442" s="449">
        <v>0</v>
      </c>
      <c r="J442" s="426">
        <v>0</v>
      </c>
      <c r="K442" s="421"/>
      <c r="L442" s="449">
        <v>0</v>
      </c>
      <c r="M442" s="449">
        <v>0</v>
      </c>
      <c r="N442" s="449">
        <v>0</v>
      </c>
      <c r="O442" s="449">
        <v>0</v>
      </c>
      <c r="P442" s="449">
        <v>0</v>
      </c>
      <c r="Q442" s="449">
        <v>0</v>
      </c>
      <c r="R442" s="449">
        <v>0</v>
      </c>
      <c r="S442" s="449">
        <v>0</v>
      </c>
      <c r="T442" s="449">
        <v>0</v>
      </c>
      <c r="U442" s="449">
        <v>0</v>
      </c>
      <c r="V442" s="449">
        <v>0</v>
      </c>
      <c r="W442" s="449">
        <v>0</v>
      </c>
      <c r="X442" s="449"/>
      <c r="Y442" s="449">
        <v>0</v>
      </c>
      <c r="Z442" s="531"/>
      <c r="AA442" s="449">
        <v>0</v>
      </c>
      <c r="AB442" s="449">
        <v>0</v>
      </c>
      <c r="AC442" s="449">
        <v>0</v>
      </c>
      <c r="AD442" s="449">
        <v>0</v>
      </c>
      <c r="AE442" s="449">
        <v>0</v>
      </c>
      <c r="AF442" s="449">
        <v>0</v>
      </c>
      <c r="AG442" s="449">
        <v>0</v>
      </c>
      <c r="AH442" s="449">
        <v>0</v>
      </c>
      <c r="AI442" s="449">
        <v>0</v>
      </c>
      <c r="AJ442" s="449">
        <v>0</v>
      </c>
      <c r="AK442" s="449">
        <v>0</v>
      </c>
      <c r="AL442" s="449">
        <v>0</v>
      </c>
      <c r="AM442" s="400"/>
      <c r="AN442" s="500">
        <v>0</v>
      </c>
      <c r="AO442" s="449">
        <v>0</v>
      </c>
      <c r="AP442" s="449">
        <v>0</v>
      </c>
      <c r="AQ442" s="453" t="s">
        <v>1519</v>
      </c>
      <c r="AR442" s="449">
        <v>0</v>
      </c>
      <c r="AS442" s="449">
        <v>0</v>
      </c>
      <c r="AT442" s="426">
        <v>0</v>
      </c>
      <c r="AU442" s="421"/>
      <c r="AV442" s="449">
        <v>0</v>
      </c>
      <c r="AW442" s="449">
        <v>0</v>
      </c>
      <c r="AX442" s="449">
        <v>0</v>
      </c>
      <c r="AY442" s="449">
        <v>0</v>
      </c>
      <c r="AZ442" s="449">
        <v>0</v>
      </c>
      <c r="BA442" s="449">
        <v>0</v>
      </c>
      <c r="BB442" s="449">
        <v>0</v>
      </c>
      <c r="BC442" s="449">
        <v>0</v>
      </c>
      <c r="BD442" s="449">
        <v>0</v>
      </c>
      <c r="BE442" s="449">
        <v>0</v>
      </c>
      <c r="BF442" s="449">
        <v>0</v>
      </c>
      <c r="BG442" s="449">
        <v>0</v>
      </c>
      <c r="BH442" s="400"/>
      <c r="BI442" s="449">
        <v>0</v>
      </c>
      <c r="BJ442" s="449">
        <v>0</v>
      </c>
      <c r="BK442" s="449">
        <v>0</v>
      </c>
      <c r="BL442" s="771">
        <v>0</v>
      </c>
      <c r="BM442" s="449">
        <v>0</v>
      </c>
      <c r="BN442" s="449">
        <v>0</v>
      </c>
      <c r="BO442" s="449">
        <v>0</v>
      </c>
      <c r="BP442" s="449">
        <v>0</v>
      </c>
      <c r="BQ442" s="449">
        <v>0</v>
      </c>
      <c r="BR442" s="449">
        <v>0</v>
      </c>
      <c r="BS442" s="449">
        <v>0</v>
      </c>
      <c r="BT442" s="449">
        <v>0</v>
      </c>
    </row>
    <row r="443" spans="1:72" x14ac:dyDescent="0.25">
      <c r="A443" s="502" t="s">
        <v>751</v>
      </c>
      <c r="B443" s="502" t="s">
        <v>752</v>
      </c>
      <c r="C443" s="541"/>
      <c r="D443" s="500">
        <v>4492</v>
      </c>
      <c r="E443" s="449">
        <v>4492</v>
      </c>
      <c r="F443" s="449">
        <v>0</v>
      </c>
      <c r="G443" s="421">
        <v>0</v>
      </c>
      <c r="H443" s="449">
        <v>4492</v>
      </c>
      <c r="I443" s="449">
        <v>0</v>
      </c>
      <c r="J443" s="426">
        <v>0</v>
      </c>
      <c r="K443" s="421"/>
      <c r="L443" s="449">
        <v>140.54</v>
      </c>
      <c r="M443" s="449">
        <v>264.10000000000002</v>
      </c>
      <c r="N443" s="449">
        <v>242.83000000000004</v>
      </c>
      <c r="O443" s="449">
        <v>222.63</v>
      </c>
      <c r="P443" s="449">
        <v>112</v>
      </c>
      <c r="Q443" s="449">
        <v>65.739999999999895</v>
      </c>
      <c r="R443" s="449">
        <v>574.02666666666664</v>
      </c>
      <c r="S443" s="449">
        <v>574.02666666666664</v>
      </c>
      <c r="T443" s="449">
        <v>574.02666666666664</v>
      </c>
      <c r="U443" s="449">
        <v>574.02666666666664</v>
      </c>
      <c r="V443" s="449">
        <v>574.02666666666664</v>
      </c>
      <c r="W443" s="449">
        <v>574.02666666666664</v>
      </c>
      <c r="X443" s="449"/>
      <c r="Y443" s="449">
        <v>4492</v>
      </c>
      <c r="Z443" s="531"/>
      <c r="AA443" s="449">
        <v>374.33333333333331</v>
      </c>
      <c r="AB443" s="449">
        <v>374.33333333333331</v>
      </c>
      <c r="AC443" s="449">
        <v>374.33333333333331</v>
      </c>
      <c r="AD443" s="449">
        <v>374.33333333333331</v>
      </c>
      <c r="AE443" s="449">
        <v>374.33333333333331</v>
      </c>
      <c r="AF443" s="449">
        <v>374.33333333333331</v>
      </c>
      <c r="AG443" s="449">
        <v>374.33333333333331</v>
      </c>
      <c r="AH443" s="449">
        <v>374.33333333333331</v>
      </c>
      <c r="AI443" s="449">
        <v>374.33333333333331</v>
      </c>
      <c r="AJ443" s="449">
        <v>374.33333333333331</v>
      </c>
      <c r="AK443" s="449">
        <v>374.33333333333331</v>
      </c>
      <c r="AL443" s="449">
        <v>374.33333333333331</v>
      </c>
      <c r="AM443" s="400"/>
      <c r="AN443" s="500">
        <v>4492</v>
      </c>
      <c r="AO443" s="449">
        <v>1820.96</v>
      </c>
      <c r="AP443" s="449">
        <v>-2671.04</v>
      </c>
      <c r="AQ443" s="453">
        <v>-0.59462154942119327</v>
      </c>
      <c r="AR443" s="449">
        <v>1820.96</v>
      </c>
      <c r="AS443" s="449">
        <v>0</v>
      </c>
      <c r="AT443" s="426">
        <v>0</v>
      </c>
      <c r="AU443" s="421"/>
      <c r="AV443" s="449">
        <v>151.74666666666667</v>
      </c>
      <c r="AW443" s="449">
        <v>151.74666666666667</v>
      </c>
      <c r="AX443" s="449">
        <v>151.74666666666667</v>
      </c>
      <c r="AY443" s="449">
        <v>151.74666666666667</v>
      </c>
      <c r="AZ443" s="449">
        <v>151.74666666666667</v>
      </c>
      <c r="BA443" s="449">
        <v>151.74666666666667</v>
      </c>
      <c r="BB443" s="449">
        <v>151.74666666666667</v>
      </c>
      <c r="BC443" s="449">
        <v>151.74666666666667</v>
      </c>
      <c r="BD443" s="449">
        <v>151.74666666666667</v>
      </c>
      <c r="BE443" s="449">
        <v>151.74666666666667</v>
      </c>
      <c r="BF443" s="449">
        <v>151.74666666666667</v>
      </c>
      <c r="BG443" s="449">
        <v>151.74666666666667</v>
      </c>
      <c r="BH443" s="400"/>
      <c r="BI443" s="449">
        <v>151.74666666666667</v>
      </c>
      <c r="BJ443" s="449">
        <v>151.74666666666667</v>
      </c>
      <c r="BK443" s="449">
        <v>151.74666666666667</v>
      </c>
      <c r="BL443" s="771">
        <v>151.74666666666667</v>
      </c>
      <c r="BM443" s="449">
        <v>151.74666666666667</v>
      </c>
      <c r="BN443" s="449">
        <v>151.74666666666667</v>
      </c>
      <c r="BO443" s="449">
        <v>151.74666666666667</v>
      </c>
      <c r="BP443" s="449">
        <v>151.74666666666667</v>
      </c>
      <c r="BQ443" s="449">
        <v>151.74666666666667</v>
      </c>
      <c r="BR443" s="449">
        <v>151.74666666666667</v>
      </c>
      <c r="BS443" s="449">
        <v>151.74666666666667</v>
      </c>
      <c r="BT443" s="449">
        <v>151.74666666666667</v>
      </c>
    </row>
    <row r="444" spans="1:72" x14ac:dyDescent="0.25">
      <c r="A444" s="537" t="s">
        <v>753</v>
      </c>
      <c r="B444" s="537" t="s">
        <v>754</v>
      </c>
      <c r="C444" s="541"/>
      <c r="D444" s="500">
        <v>0</v>
      </c>
      <c r="E444" s="449">
        <v>0</v>
      </c>
      <c r="F444" s="449">
        <v>0</v>
      </c>
      <c r="G444" s="421">
        <v>0</v>
      </c>
      <c r="H444" s="449">
        <v>0</v>
      </c>
      <c r="I444" s="449">
        <v>0</v>
      </c>
      <c r="J444" s="426">
        <v>0</v>
      </c>
      <c r="K444" s="421"/>
      <c r="L444" s="449">
        <v>0</v>
      </c>
      <c r="M444" s="449">
        <v>0</v>
      </c>
      <c r="N444" s="449">
        <v>0</v>
      </c>
      <c r="O444" s="449">
        <v>0</v>
      </c>
      <c r="P444" s="449">
        <v>0</v>
      </c>
      <c r="Q444" s="449">
        <v>0</v>
      </c>
      <c r="R444" s="449">
        <v>0</v>
      </c>
      <c r="S444" s="449">
        <v>0</v>
      </c>
      <c r="T444" s="449">
        <v>0</v>
      </c>
      <c r="U444" s="449">
        <v>0</v>
      </c>
      <c r="V444" s="449">
        <v>0</v>
      </c>
      <c r="W444" s="449">
        <v>0</v>
      </c>
      <c r="X444" s="449"/>
      <c r="Y444" s="449">
        <v>0</v>
      </c>
      <c r="Z444" s="531"/>
      <c r="AA444" s="449">
        <v>0</v>
      </c>
      <c r="AB444" s="449">
        <v>0</v>
      </c>
      <c r="AC444" s="449">
        <v>0</v>
      </c>
      <c r="AD444" s="449">
        <v>0</v>
      </c>
      <c r="AE444" s="449">
        <v>0</v>
      </c>
      <c r="AF444" s="449">
        <v>0</v>
      </c>
      <c r="AG444" s="449">
        <v>0</v>
      </c>
      <c r="AH444" s="449">
        <v>0</v>
      </c>
      <c r="AI444" s="449">
        <v>0</v>
      </c>
      <c r="AJ444" s="449">
        <v>0</v>
      </c>
      <c r="AK444" s="449">
        <v>0</v>
      </c>
      <c r="AL444" s="449">
        <v>0</v>
      </c>
      <c r="AM444" s="400"/>
      <c r="AN444" s="500">
        <v>0</v>
      </c>
      <c r="AO444" s="449">
        <v>0</v>
      </c>
      <c r="AP444" s="449">
        <v>0</v>
      </c>
      <c r="AQ444" s="453" t="s">
        <v>1519</v>
      </c>
      <c r="AR444" s="449">
        <v>0</v>
      </c>
      <c r="AS444" s="449">
        <v>0</v>
      </c>
      <c r="AT444" s="426">
        <v>0</v>
      </c>
      <c r="AU444" s="421"/>
      <c r="AV444" s="449">
        <v>0</v>
      </c>
      <c r="AW444" s="449">
        <v>0</v>
      </c>
      <c r="AX444" s="449">
        <v>0</v>
      </c>
      <c r="AY444" s="449">
        <v>0</v>
      </c>
      <c r="AZ444" s="449">
        <v>0</v>
      </c>
      <c r="BA444" s="449">
        <v>0</v>
      </c>
      <c r="BB444" s="449">
        <v>0</v>
      </c>
      <c r="BC444" s="449">
        <v>0</v>
      </c>
      <c r="BD444" s="449">
        <v>0</v>
      </c>
      <c r="BE444" s="449">
        <v>0</v>
      </c>
      <c r="BF444" s="449">
        <v>0</v>
      </c>
      <c r="BG444" s="449">
        <v>0</v>
      </c>
      <c r="BH444" s="400"/>
      <c r="BI444" s="449">
        <v>0</v>
      </c>
      <c r="BJ444" s="449">
        <v>0</v>
      </c>
      <c r="BK444" s="449">
        <v>0</v>
      </c>
      <c r="BL444" s="771">
        <v>0</v>
      </c>
      <c r="BM444" s="449">
        <v>0</v>
      </c>
      <c r="BN444" s="449">
        <v>0</v>
      </c>
      <c r="BO444" s="449">
        <v>0</v>
      </c>
      <c r="BP444" s="449">
        <v>0</v>
      </c>
      <c r="BQ444" s="449">
        <v>0</v>
      </c>
      <c r="BR444" s="449">
        <v>0</v>
      </c>
      <c r="BS444" s="449">
        <v>0</v>
      </c>
      <c r="BT444" s="449">
        <v>0</v>
      </c>
    </row>
    <row r="445" spans="1:72" x14ac:dyDescent="0.25">
      <c r="A445" s="502" t="s">
        <v>755</v>
      </c>
      <c r="B445" s="502" t="s">
        <v>756</v>
      </c>
      <c r="C445" s="543"/>
      <c r="D445" s="500">
        <v>6430</v>
      </c>
      <c r="E445" s="449">
        <v>6430</v>
      </c>
      <c r="F445" s="449">
        <v>0</v>
      </c>
      <c r="G445" s="421">
        <v>0</v>
      </c>
      <c r="H445" s="449">
        <v>6430</v>
      </c>
      <c r="I445" s="449">
        <v>0</v>
      </c>
      <c r="J445" s="426">
        <v>0</v>
      </c>
      <c r="K445" s="421"/>
      <c r="L445" s="449">
        <v>0</v>
      </c>
      <c r="M445" s="449">
        <v>0</v>
      </c>
      <c r="N445" s="449">
        <v>0</v>
      </c>
      <c r="O445" s="449">
        <v>0</v>
      </c>
      <c r="P445" s="449">
        <v>0</v>
      </c>
      <c r="Q445" s="449">
        <v>0</v>
      </c>
      <c r="R445" s="449">
        <v>1071.6666666666667</v>
      </c>
      <c r="S445" s="449">
        <v>1071.6666666666665</v>
      </c>
      <c r="T445" s="449">
        <v>1071.6666666666667</v>
      </c>
      <c r="U445" s="449">
        <v>1071.6666666666667</v>
      </c>
      <c r="V445" s="449">
        <v>1071.6666666666665</v>
      </c>
      <c r="W445" s="449">
        <v>1071.6666666666661</v>
      </c>
      <c r="X445" s="449"/>
      <c r="Y445" s="449">
        <v>6430</v>
      </c>
      <c r="Z445" s="531"/>
      <c r="AA445" s="449">
        <v>535.83333333333337</v>
      </c>
      <c r="AB445" s="449">
        <v>535.83333333333337</v>
      </c>
      <c r="AC445" s="449">
        <v>535.83333333333337</v>
      </c>
      <c r="AD445" s="449">
        <v>535.83333333333337</v>
      </c>
      <c r="AE445" s="449">
        <v>535.83333333333337</v>
      </c>
      <c r="AF445" s="449">
        <v>535.83333333333337</v>
      </c>
      <c r="AG445" s="449">
        <v>535.83333333333337</v>
      </c>
      <c r="AH445" s="449">
        <v>535.83333333333337</v>
      </c>
      <c r="AI445" s="449">
        <v>535.83333333333337</v>
      </c>
      <c r="AJ445" s="449">
        <v>535.83333333333337</v>
      </c>
      <c r="AK445" s="449">
        <v>535.83333333333337</v>
      </c>
      <c r="AL445" s="449">
        <v>535.83333333333337</v>
      </c>
      <c r="AM445" s="400"/>
      <c r="AN445" s="500">
        <v>6430</v>
      </c>
      <c r="AO445" s="449">
        <v>7070.4176706827311</v>
      </c>
      <c r="AP445" s="449">
        <v>640.41767068273111</v>
      </c>
      <c r="AQ445" s="453">
        <v>9.9598393574297214E-2</v>
      </c>
      <c r="AR445" s="449">
        <v>7070.4176706827311</v>
      </c>
      <c r="AS445" s="449">
        <v>0</v>
      </c>
      <c r="AT445" s="426">
        <v>0</v>
      </c>
      <c r="AU445" s="421"/>
      <c r="AV445" s="449">
        <v>589.20147255689426</v>
      </c>
      <c r="AW445" s="449">
        <v>589.20147255689426</v>
      </c>
      <c r="AX445" s="449">
        <v>589.20147255689426</v>
      </c>
      <c r="AY445" s="449">
        <v>589.20147255689426</v>
      </c>
      <c r="AZ445" s="449">
        <v>589.20147255689426</v>
      </c>
      <c r="BA445" s="449">
        <v>589.20147255689426</v>
      </c>
      <c r="BB445" s="449">
        <v>589.20147255689426</v>
      </c>
      <c r="BC445" s="449">
        <v>589.20147255689426</v>
      </c>
      <c r="BD445" s="449">
        <v>589.20147255689426</v>
      </c>
      <c r="BE445" s="449">
        <v>589.20147255689426</v>
      </c>
      <c r="BF445" s="449">
        <v>589.20147255689426</v>
      </c>
      <c r="BG445" s="449">
        <v>589.20147255689426</v>
      </c>
      <c r="BH445" s="400"/>
      <c r="BI445" s="449">
        <v>589.20147255689426</v>
      </c>
      <c r="BJ445" s="449">
        <v>589.20147255689426</v>
      </c>
      <c r="BK445" s="449">
        <v>589.20147255689426</v>
      </c>
      <c r="BL445" s="771">
        <v>589.20147255689426</v>
      </c>
      <c r="BM445" s="449">
        <v>589.20147255689426</v>
      </c>
      <c r="BN445" s="449">
        <v>589.20147255689426</v>
      </c>
      <c r="BO445" s="449">
        <v>589.20147255689426</v>
      </c>
      <c r="BP445" s="449">
        <v>589.20147255689426</v>
      </c>
      <c r="BQ445" s="449">
        <v>589.20147255689426</v>
      </c>
      <c r="BR445" s="449">
        <v>589.20147255689426</v>
      </c>
      <c r="BS445" s="449">
        <v>589.20147255689426</v>
      </c>
      <c r="BT445" s="449">
        <v>589.20147255689426</v>
      </c>
    </row>
    <row r="446" spans="1:72" x14ac:dyDescent="0.25">
      <c r="A446" s="502" t="s">
        <v>757</v>
      </c>
      <c r="B446" s="502" t="s">
        <v>758</v>
      </c>
      <c r="C446" s="543"/>
      <c r="D446" s="500">
        <v>4000</v>
      </c>
      <c r="E446" s="449">
        <v>6430</v>
      </c>
      <c r="F446" s="449">
        <v>-2430</v>
      </c>
      <c r="G446" s="421">
        <v>-0.37791601866251945</v>
      </c>
      <c r="H446" s="449">
        <v>4000</v>
      </c>
      <c r="I446" s="449">
        <v>0</v>
      </c>
      <c r="J446" s="426">
        <v>0</v>
      </c>
      <c r="K446" s="421"/>
      <c r="L446" s="449">
        <v>175</v>
      </c>
      <c r="M446" s="449">
        <v>93.730000000000018</v>
      </c>
      <c r="N446" s="449">
        <v>100</v>
      </c>
      <c r="O446" s="449">
        <v>0</v>
      </c>
      <c r="P446" s="449">
        <v>269.73</v>
      </c>
      <c r="Q446" s="449">
        <v>104.14999999999998</v>
      </c>
      <c r="R446" s="449">
        <v>542.89833333333331</v>
      </c>
      <c r="S446" s="449">
        <v>542.89833333333331</v>
      </c>
      <c r="T446" s="449">
        <v>542.89833333333331</v>
      </c>
      <c r="U446" s="449">
        <v>542.89833333333343</v>
      </c>
      <c r="V446" s="449">
        <v>542.89833333333331</v>
      </c>
      <c r="W446" s="449">
        <v>542.89833333333354</v>
      </c>
      <c r="X446" s="449"/>
      <c r="Y446" s="449">
        <v>4000</v>
      </c>
      <c r="Z446" s="531"/>
      <c r="AA446" s="449">
        <v>333.33333333333331</v>
      </c>
      <c r="AB446" s="449">
        <v>333.33333333333331</v>
      </c>
      <c r="AC446" s="449">
        <v>333.33333333333331</v>
      </c>
      <c r="AD446" s="449">
        <v>333.33333333333331</v>
      </c>
      <c r="AE446" s="449">
        <v>333.33333333333331</v>
      </c>
      <c r="AF446" s="449">
        <v>333.33333333333331</v>
      </c>
      <c r="AG446" s="449">
        <v>333.33333333333331</v>
      </c>
      <c r="AH446" s="449">
        <v>333.33333333333331</v>
      </c>
      <c r="AI446" s="449">
        <v>333.33333333333331</v>
      </c>
      <c r="AJ446" s="449">
        <v>333.33333333333331</v>
      </c>
      <c r="AK446" s="449">
        <v>333.33333333333331</v>
      </c>
      <c r="AL446" s="449">
        <v>333.33333333333331</v>
      </c>
      <c r="AM446" s="400"/>
      <c r="AN446" s="500">
        <v>4000</v>
      </c>
      <c r="AO446" s="449">
        <v>4398.3935742971889</v>
      </c>
      <c r="AP446" s="449">
        <v>398.39357429718893</v>
      </c>
      <c r="AQ446" s="453">
        <v>9.9598393574297228E-2</v>
      </c>
      <c r="AR446" s="449">
        <v>4398.3935742971889</v>
      </c>
      <c r="AS446" s="449">
        <v>0</v>
      </c>
      <c r="AT446" s="426">
        <v>0</v>
      </c>
      <c r="AU446" s="421"/>
      <c r="AV446" s="449">
        <v>366.53279785809906</v>
      </c>
      <c r="AW446" s="449">
        <v>366.53279785809906</v>
      </c>
      <c r="AX446" s="449">
        <v>366.53279785809906</v>
      </c>
      <c r="AY446" s="449">
        <v>366.53279785809906</v>
      </c>
      <c r="AZ446" s="449">
        <v>366.53279785809906</v>
      </c>
      <c r="BA446" s="449">
        <v>366.53279785809906</v>
      </c>
      <c r="BB446" s="449">
        <v>366.53279785809906</v>
      </c>
      <c r="BC446" s="449">
        <v>366.53279785809906</v>
      </c>
      <c r="BD446" s="449">
        <v>366.53279785809906</v>
      </c>
      <c r="BE446" s="449">
        <v>366.53279785809906</v>
      </c>
      <c r="BF446" s="449">
        <v>366.53279785809906</v>
      </c>
      <c r="BG446" s="449">
        <v>366.53279785809906</v>
      </c>
      <c r="BH446" s="400"/>
      <c r="BI446" s="449">
        <v>366.53279785809906</v>
      </c>
      <c r="BJ446" s="449">
        <v>366.53279785809906</v>
      </c>
      <c r="BK446" s="449">
        <v>366.53279785809906</v>
      </c>
      <c r="BL446" s="771">
        <v>366.53279785809906</v>
      </c>
      <c r="BM446" s="449">
        <v>366.53279785809906</v>
      </c>
      <c r="BN446" s="449">
        <v>366.53279785809906</v>
      </c>
      <c r="BO446" s="449">
        <v>366.53279785809906</v>
      </c>
      <c r="BP446" s="449">
        <v>366.53279785809906</v>
      </c>
      <c r="BQ446" s="449">
        <v>366.53279785809906</v>
      </c>
      <c r="BR446" s="449">
        <v>366.53279785809906</v>
      </c>
      <c r="BS446" s="449">
        <v>366.53279785809906</v>
      </c>
      <c r="BT446" s="449">
        <v>366.53279785809906</v>
      </c>
    </row>
    <row r="447" spans="1:72" x14ac:dyDescent="0.25">
      <c r="A447" s="502" t="s">
        <v>759</v>
      </c>
      <c r="B447" s="502" t="s">
        <v>760</v>
      </c>
      <c r="C447" s="543"/>
      <c r="D447" s="500">
        <v>965</v>
      </c>
      <c r="E447" s="449">
        <v>965</v>
      </c>
      <c r="F447" s="449">
        <v>0</v>
      </c>
      <c r="G447" s="421">
        <v>0</v>
      </c>
      <c r="H447" s="449">
        <v>965</v>
      </c>
      <c r="I447" s="449">
        <v>0</v>
      </c>
      <c r="J447" s="426">
        <v>0</v>
      </c>
      <c r="K447" s="421"/>
      <c r="L447" s="449">
        <v>178.33</v>
      </c>
      <c r="M447" s="449">
        <v>72.789999999999992</v>
      </c>
      <c r="N447" s="449">
        <v>0</v>
      </c>
      <c r="O447" s="449">
        <v>0</v>
      </c>
      <c r="P447" s="449">
        <v>136.02999999999997</v>
      </c>
      <c r="Q447" s="449">
        <v>0</v>
      </c>
      <c r="R447" s="449">
        <v>96.308333333333337</v>
      </c>
      <c r="S447" s="449">
        <v>96.308333333333337</v>
      </c>
      <c r="T447" s="449">
        <v>96.308333333333337</v>
      </c>
      <c r="U447" s="449">
        <v>96.308333333333323</v>
      </c>
      <c r="V447" s="449">
        <v>96.308333333333337</v>
      </c>
      <c r="W447" s="449">
        <v>96.308333333333394</v>
      </c>
      <c r="X447" s="449"/>
      <c r="Y447" s="449">
        <v>965</v>
      </c>
      <c r="Z447" s="531"/>
      <c r="AA447" s="449">
        <v>80.416666666666671</v>
      </c>
      <c r="AB447" s="449">
        <v>80.416666666666671</v>
      </c>
      <c r="AC447" s="449">
        <v>80.416666666666671</v>
      </c>
      <c r="AD447" s="449">
        <v>80.416666666666671</v>
      </c>
      <c r="AE447" s="449">
        <v>80.416666666666671</v>
      </c>
      <c r="AF447" s="449">
        <v>80.416666666666671</v>
      </c>
      <c r="AG447" s="449">
        <v>80.416666666666671</v>
      </c>
      <c r="AH447" s="449">
        <v>80.416666666666671</v>
      </c>
      <c r="AI447" s="449">
        <v>80.416666666666671</v>
      </c>
      <c r="AJ447" s="449">
        <v>80.416666666666671</v>
      </c>
      <c r="AK447" s="449">
        <v>80.416666666666671</v>
      </c>
      <c r="AL447" s="449">
        <v>80.416666666666671</v>
      </c>
      <c r="AM447" s="400"/>
      <c r="AN447" s="500">
        <v>965</v>
      </c>
      <c r="AO447" s="449">
        <v>1061.1124497991971</v>
      </c>
      <c r="AP447" s="449">
        <v>96.112449799197066</v>
      </c>
      <c r="AQ447" s="453">
        <v>9.9598393574297478E-2</v>
      </c>
      <c r="AR447" s="449">
        <v>1061.1124497991971</v>
      </c>
      <c r="AS447" s="449">
        <v>0</v>
      </c>
      <c r="AT447" s="426">
        <v>0</v>
      </c>
      <c r="AU447" s="421"/>
      <c r="AV447" s="449">
        <v>88.426037483266398</v>
      </c>
      <c r="AW447" s="449">
        <v>88.426037483266398</v>
      </c>
      <c r="AX447" s="449">
        <v>88.426037483266398</v>
      </c>
      <c r="AY447" s="449">
        <v>88.426037483266398</v>
      </c>
      <c r="AZ447" s="449">
        <v>88.426037483266398</v>
      </c>
      <c r="BA447" s="449">
        <v>88.426037483266398</v>
      </c>
      <c r="BB447" s="449">
        <v>88.426037483266398</v>
      </c>
      <c r="BC447" s="449">
        <v>88.426037483266398</v>
      </c>
      <c r="BD447" s="449">
        <v>88.426037483266398</v>
      </c>
      <c r="BE447" s="449">
        <v>88.426037483266398</v>
      </c>
      <c r="BF447" s="449">
        <v>88.426037483266398</v>
      </c>
      <c r="BG447" s="449">
        <v>88.426037483266398</v>
      </c>
      <c r="BH447" s="400"/>
      <c r="BI447" s="449">
        <v>88.426037483266398</v>
      </c>
      <c r="BJ447" s="449">
        <v>88.426037483266398</v>
      </c>
      <c r="BK447" s="449">
        <v>88.426037483266398</v>
      </c>
      <c r="BL447" s="771">
        <v>88.426037483266398</v>
      </c>
      <c r="BM447" s="449">
        <v>88.426037483266398</v>
      </c>
      <c r="BN447" s="449">
        <v>88.426037483266398</v>
      </c>
      <c r="BO447" s="449">
        <v>88.426037483266398</v>
      </c>
      <c r="BP447" s="449">
        <v>88.426037483266398</v>
      </c>
      <c r="BQ447" s="449">
        <v>88.426037483266398</v>
      </c>
      <c r="BR447" s="449">
        <v>88.426037483266398</v>
      </c>
      <c r="BS447" s="449">
        <v>88.426037483266398</v>
      </c>
      <c r="BT447" s="449">
        <v>88.426037483266398</v>
      </c>
    </row>
    <row r="448" spans="1:72" x14ac:dyDescent="0.25">
      <c r="A448" s="502" t="s">
        <v>761</v>
      </c>
      <c r="B448" s="502" t="s">
        <v>762</v>
      </c>
      <c r="C448" s="543"/>
      <c r="D448" s="500">
        <v>4823</v>
      </c>
      <c r="E448" s="449">
        <v>4823</v>
      </c>
      <c r="F448" s="449">
        <v>0</v>
      </c>
      <c r="G448" s="421">
        <v>0</v>
      </c>
      <c r="H448" s="449">
        <v>4823</v>
      </c>
      <c r="I448" s="449">
        <v>0</v>
      </c>
      <c r="J448" s="426">
        <v>0</v>
      </c>
      <c r="K448" s="421"/>
      <c r="L448" s="449">
        <v>0</v>
      </c>
      <c r="M448" s="449">
        <v>777.06</v>
      </c>
      <c r="N448" s="449">
        <v>0</v>
      </c>
      <c r="O448" s="449">
        <v>44.940000000000055</v>
      </c>
      <c r="P448" s="449">
        <v>255.21000000000004</v>
      </c>
      <c r="Q448" s="449">
        <v>0</v>
      </c>
      <c r="R448" s="449">
        <v>624.29833333333329</v>
      </c>
      <c r="S448" s="449">
        <v>624.2983333333334</v>
      </c>
      <c r="T448" s="449">
        <v>624.2983333333334</v>
      </c>
      <c r="U448" s="449">
        <v>624.29833333333352</v>
      </c>
      <c r="V448" s="449">
        <v>624.2983333333334</v>
      </c>
      <c r="W448" s="449">
        <v>624.29833333333318</v>
      </c>
      <c r="X448" s="449"/>
      <c r="Y448" s="449">
        <v>4823</v>
      </c>
      <c r="Z448" s="531"/>
      <c r="AA448" s="449">
        <v>401.91666666666669</v>
      </c>
      <c r="AB448" s="449">
        <v>401.91666666666669</v>
      </c>
      <c r="AC448" s="449">
        <v>401.91666666666669</v>
      </c>
      <c r="AD448" s="449">
        <v>401.91666666666669</v>
      </c>
      <c r="AE448" s="449">
        <v>401.91666666666669</v>
      </c>
      <c r="AF448" s="449">
        <v>401.91666666666669</v>
      </c>
      <c r="AG448" s="449">
        <v>401.91666666666669</v>
      </c>
      <c r="AH448" s="449">
        <v>401.91666666666669</v>
      </c>
      <c r="AI448" s="449">
        <v>401.91666666666669</v>
      </c>
      <c r="AJ448" s="449">
        <v>401.91666666666669</v>
      </c>
      <c r="AK448" s="449">
        <v>401.91666666666669</v>
      </c>
      <c r="AL448" s="449">
        <v>401.91666666666669</v>
      </c>
      <c r="AM448" s="400"/>
      <c r="AN448" s="500">
        <v>4823</v>
      </c>
      <c r="AO448" s="449">
        <v>5303.3630522088351</v>
      </c>
      <c r="AP448" s="449">
        <v>480.36305220883514</v>
      </c>
      <c r="AQ448" s="453">
        <v>9.9598393574297145E-2</v>
      </c>
      <c r="AR448" s="449">
        <v>5303.3630522088351</v>
      </c>
      <c r="AS448" s="449">
        <v>0</v>
      </c>
      <c r="AT448" s="426">
        <v>0</v>
      </c>
      <c r="AU448" s="421"/>
      <c r="AV448" s="449">
        <v>441.94692101740293</v>
      </c>
      <c r="AW448" s="449">
        <v>441.94692101740293</v>
      </c>
      <c r="AX448" s="449">
        <v>441.94692101740293</v>
      </c>
      <c r="AY448" s="449">
        <v>441.94692101740293</v>
      </c>
      <c r="AZ448" s="449">
        <v>441.94692101740293</v>
      </c>
      <c r="BA448" s="449">
        <v>441.94692101740293</v>
      </c>
      <c r="BB448" s="449">
        <v>441.94692101740293</v>
      </c>
      <c r="BC448" s="449">
        <v>441.94692101740293</v>
      </c>
      <c r="BD448" s="449">
        <v>441.94692101740293</v>
      </c>
      <c r="BE448" s="449">
        <v>441.94692101740293</v>
      </c>
      <c r="BF448" s="449">
        <v>441.94692101740293</v>
      </c>
      <c r="BG448" s="449">
        <v>441.94692101740293</v>
      </c>
      <c r="BH448" s="400"/>
      <c r="BI448" s="449">
        <v>441.94692101740293</v>
      </c>
      <c r="BJ448" s="449">
        <v>441.94692101740293</v>
      </c>
      <c r="BK448" s="449">
        <v>441.94692101740293</v>
      </c>
      <c r="BL448" s="771">
        <v>441.94692101740293</v>
      </c>
      <c r="BM448" s="449">
        <v>441.94692101740293</v>
      </c>
      <c r="BN448" s="449">
        <v>441.94692101740293</v>
      </c>
      <c r="BO448" s="449">
        <v>441.94692101740293</v>
      </c>
      <c r="BP448" s="449">
        <v>441.94692101740293</v>
      </c>
      <c r="BQ448" s="449">
        <v>441.94692101740293</v>
      </c>
      <c r="BR448" s="449">
        <v>441.94692101740293</v>
      </c>
      <c r="BS448" s="449">
        <v>441.94692101740293</v>
      </c>
      <c r="BT448" s="449">
        <v>441.94692101740293</v>
      </c>
    </row>
    <row r="449" spans="1:74" x14ac:dyDescent="0.25">
      <c r="A449" s="502" t="s">
        <v>763</v>
      </c>
      <c r="B449" s="502" t="s">
        <v>764</v>
      </c>
      <c r="C449" s="597"/>
      <c r="D449" s="500">
        <v>28000</v>
      </c>
      <c r="E449" s="449">
        <v>32150</v>
      </c>
      <c r="F449" s="449">
        <v>-4150</v>
      </c>
      <c r="G449" s="421">
        <v>-0.12908242612752721</v>
      </c>
      <c r="H449" s="449">
        <v>28000</v>
      </c>
      <c r="I449" s="449">
        <v>0</v>
      </c>
      <c r="J449" s="426">
        <v>0</v>
      </c>
      <c r="K449" s="421"/>
      <c r="L449" s="449">
        <v>258.68</v>
      </c>
      <c r="M449" s="449">
        <v>2493.98</v>
      </c>
      <c r="N449" s="449">
        <v>642.91000000000031</v>
      </c>
      <c r="O449" s="449">
        <v>255.21000000000004</v>
      </c>
      <c r="P449" s="449">
        <v>2901.77</v>
      </c>
      <c r="Q449" s="449">
        <v>18.729999999999563</v>
      </c>
      <c r="R449" s="449">
        <v>3571.4533333333334</v>
      </c>
      <c r="S449" s="449">
        <v>3571.4533333333334</v>
      </c>
      <c r="T449" s="449">
        <v>3571.4533333333334</v>
      </c>
      <c r="U449" s="449">
        <v>3571.4533333333334</v>
      </c>
      <c r="V449" s="449">
        <v>3571.4533333333329</v>
      </c>
      <c r="W449" s="449">
        <v>3571.4533333333311</v>
      </c>
      <c r="X449" s="449"/>
      <c r="Y449" s="449">
        <v>28000</v>
      </c>
      <c r="Z449" s="531"/>
      <c r="AA449" s="449">
        <v>2333.3333333333335</v>
      </c>
      <c r="AB449" s="449">
        <v>2333.3333333333335</v>
      </c>
      <c r="AC449" s="449">
        <v>2333.3333333333335</v>
      </c>
      <c r="AD449" s="449">
        <v>2333.3333333333335</v>
      </c>
      <c r="AE449" s="449">
        <v>2333.3333333333335</v>
      </c>
      <c r="AF449" s="449">
        <v>2333.3333333333335</v>
      </c>
      <c r="AG449" s="449">
        <v>2333.3333333333335</v>
      </c>
      <c r="AH449" s="449">
        <v>2333.3333333333335</v>
      </c>
      <c r="AI449" s="449">
        <v>2333.3333333333335</v>
      </c>
      <c r="AJ449" s="449">
        <v>2333.3333333333335</v>
      </c>
      <c r="AK449" s="449">
        <v>2333.3333333333335</v>
      </c>
      <c r="AL449" s="449">
        <v>2333.3333333333335</v>
      </c>
      <c r="AM449" s="400"/>
      <c r="AN449" s="500">
        <v>28000</v>
      </c>
      <c r="AO449" s="449">
        <v>30788.755020080316</v>
      </c>
      <c r="AP449" s="449">
        <v>2788.7550200803162</v>
      </c>
      <c r="AQ449" s="453">
        <v>9.9598393574297006E-2</v>
      </c>
      <c r="AR449" s="449">
        <v>30788.755020080316</v>
      </c>
      <c r="AS449" s="449">
        <v>0</v>
      </c>
      <c r="AT449" s="426">
        <v>0</v>
      </c>
      <c r="AU449" s="421"/>
      <c r="AV449" s="449">
        <v>6157.7510040160641</v>
      </c>
      <c r="AW449" s="449">
        <v>6157.7510040160641</v>
      </c>
      <c r="AX449" s="449">
        <v>4105.1673360107088</v>
      </c>
      <c r="AY449" s="449">
        <v>4105.1673360107088</v>
      </c>
      <c r="AZ449" s="449">
        <v>4105.1673360107088</v>
      </c>
      <c r="BA449" s="449">
        <v>879.67871485943772</v>
      </c>
      <c r="BB449" s="449">
        <v>879.67871485943772</v>
      </c>
      <c r="BC449" s="449">
        <v>879.67871485943772</v>
      </c>
      <c r="BD449" s="449">
        <v>879.67871485943772</v>
      </c>
      <c r="BE449" s="449">
        <v>879.67871485943772</v>
      </c>
      <c r="BF449" s="449">
        <v>879.67871485943772</v>
      </c>
      <c r="BG449" s="449">
        <v>879.67871485943772</v>
      </c>
      <c r="BH449" s="400"/>
      <c r="BI449" s="449">
        <v>6157.7510040160641</v>
      </c>
      <c r="BJ449" s="449">
        <v>6157.7510040160641</v>
      </c>
      <c r="BK449" s="449">
        <v>4105.1673360107088</v>
      </c>
      <c r="BL449" s="771">
        <v>4105.1673360107088</v>
      </c>
      <c r="BM449" s="449">
        <v>4105.1673360107088</v>
      </c>
      <c r="BN449" s="449">
        <v>879.67871485943772</v>
      </c>
      <c r="BO449" s="449">
        <v>879.67871485943772</v>
      </c>
      <c r="BP449" s="449">
        <v>879.67871485943772</v>
      </c>
      <c r="BQ449" s="449">
        <v>879.67871485943772</v>
      </c>
      <c r="BR449" s="449">
        <v>879.67871485943772</v>
      </c>
      <c r="BS449" s="449">
        <v>879.67871485943772</v>
      </c>
      <c r="BT449" s="449">
        <v>879.67871485943772</v>
      </c>
      <c r="BU449" s="400"/>
      <c r="BV449" s="400"/>
    </row>
    <row r="450" spans="1:74" x14ac:dyDescent="0.25">
      <c r="A450" s="537" t="s">
        <v>765</v>
      </c>
      <c r="B450" s="537" t="s">
        <v>766</v>
      </c>
      <c r="C450" s="597"/>
      <c r="D450" s="500">
        <v>5362.33</v>
      </c>
      <c r="E450" s="449">
        <v>0</v>
      </c>
      <c r="F450" s="449">
        <v>5362.33</v>
      </c>
      <c r="G450" s="421">
        <v>0</v>
      </c>
      <c r="H450" s="449">
        <v>0</v>
      </c>
      <c r="I450" s="449">
        <v>5362.33</v>
      </c>
      <c r="J450" s="426">
        <v>0</v>
      </c>
      <c r="K450" s="421"/>
      <c r="L450" s="449">
        <v>0</v>
      </c>
      <c r="M450" s="449">
        <v>2934.32</v>
      </c>
      <c r="N450" s="449">
        <v>0</v>
      </c>
      <c r="O450" s="449">
        <v>10.389999999999873</v>
      </c>
      <c r="P450" s="449">
        <v>2417.62</v>
      </c>
      <c r="Q450" s="449">
        <v>0</v>
      </c>
      <c r="R450" s="449">
        <v>0</v>
      </c>
      <c r="S450" s="449">
        <v>0</v>
      </c>
      <c r="T450" s="449">
        <v>0</v>
      </c>
      <c r="U450" s="449">
        <v>0</v>
      </c>
      <c r="V450" s="449">
        <v>0</v>
      </c>
      <c r="W450" s="449">
        <v>0</v>
      </c>
      <c r="X450" s="449"/>
      <c r="Y450" s="449">
        <v>5362.33</v>
      </c>
      <c r="Z450" s="531"/>
      <c r="AA450" s="449">
        <v>0</v>
      </c>
      <c r="AB450" s="449">
        <v>0</v>
      </c>
      <c r="AC450" s="449">
        <v>0</v>
      </c>
      <c r="AD450" s="449">
        <v>0</v>
      </c>
      <c r="AE450" s="449">
        <v>0</v>
      </c>
      <c r="AF450" s="449">
        <v>0</v>
      </c>
      <c r="AG450" s="449">
        <v>0</v>
      </c>
      <c r="AH450" s="449">
        <v>0</v>
      </c>
      <c r="AI450" s="449">
        <v>0</v>
      </c>
      <c r="AJ450" s="449">
        <v>0</v>
      </c>
      <c r="AK450" s="449">
        <v>0</v>
      </c>
      <c r="AL450" s="449">
        <v>0</v>
      </c>
      <c r="AM450" s="400"/>
      <c r="AN450" s="500">
        <v>5362.33</v>
      </c>
      <c r="AO450" s="449">
        <v>5896.4094538152576</v>
      </c>
      <c r="AP450" s="449">
        <v>534.07945381525769</v>
      </c>
      <c r="AQ450" s="453">
        <v>9.9598393574296562E-2</v>
      </c>
      <c r="AR450" s="449">
        <v>5896.4094538152576</v>
      </c>
      <c r="AS450" s="449">
        <v>0</v>
      </c>
      <c r="AT450" s="426">
        <v>0</v>
      </c>
      <c r="AU450" s="421"/>
      <c r="AV450" s="449">
        <v>1179.2818907630522</v>
      </c>
      <c r="AW450" s="449">
        <v>1179.2818907630522</v>
      </c>
      <c r="AX450" s="449">
        <v>786.18792717536803</v>
      </c>
      <c r="AY450" s="449">
        <v>786.18792717536803</v>
      </c>
      <c r="AZ450" s="449">
        <v>786.18792717536803</v>
      </c>
      <c r="BA450" s="449">
        <v>168.46884153757887</v>
      </c>
      <c r="BB450" s="449">
        <v>168.46884153757887</v>
      </c>
      <c r="BC450" s="449">
        <v>168.46884153757887</v>
      </c>
      <c r="BD450" s="449">
        <v>168.46884153757887</v>
      </c>
      <c r="BE450" s="449">
        <v>168.46884153757887</v>
      </c>
      <c r="BF450" s="449">
        <v>168.46884153757887</v>
      </c>
      <c r="BG450" s="449">
        <v>168.46884153757887</v>
      </c>
      <c r="BH450" s="400"/>
      <c r="BI450" s="449">
        <v>1179.2818907630522</v>
      </c>
      <c r="BJ450" s="449">
        <v>1179.2818907630522</v>
      </c>
      <c r="BK450" s="449">
        <v>786.18792717536803</v>
      </c>
      <c r="BL450" s="771">
        <v>786.18792717536803</v>
      </c>
      <c r="BM450" s="449">
        <v>786.18792717536803</v>
      </c>
      <c r="BN450" s="449">
        <v>168.46884153757887</v>
      </c>
      <c r="BO450" s="449">
        <v>168.46884153757887</v>
      </c>
      <c r="BP450" s="449">
        <v>168.46884153757887</v>
      </c>
      <c r="BQ450" s="449">
        <v>168.46884153757887</v>
      </c>
      <c r="BR450" s="449">
        <v>168.46884153757887</v>
      </c>
      <c r="BS450" s="449">
        <v>168.46884153757887</v>
      </c>
      <c r="BT450" s="449">
        <v>168.46884153757887</v>
      </c>
      <c r="BU450" s="400"/>
      <c r="BV450" s="400"/>
    </row>
    <row r="451" spans="1:74" x14ac:dyDescent="0.25">
      <c r="A451" s="502" t="s">
        <v>767</v>
      </c>
      <c r="B451" s="502" t="s">
        <v>768</v>
      </c>
      <c r="C451" s="597"/>
      <c r="D451" s="500">
        <v>5000</v>
      </c>
      <c r="E451" s="449">
        <v>8038</v>
      </c>
      <c r="F451" s="449">
        <v>-3038</v>
      </c>
      <c r="G451" s="421">
        <v>-0.37795471510325951</v>
      </c>
      <c r="H451" s="449">
        <v>5000</v>
      </c>
      <c r="I451" s="449">
        <v>0</v>
      </c>
      <c r="J451" s="426">
        <v>0</v>
      </c>
      <c r="K451" s="421"/>
      <c r="L451" s="449">
        <v>0</v>
      </c>
      <c r="M451" s="449">
        <v>273</v>
      </c>
      <c r="N451" s="449">
        <v>0</v>
      </c>
      <c r="O451" s="449">
        <v>0</v>
      </c>
      <c r="P451" s="449">
        <v>-30</v>
      </c>
      <c r="Q451" s="449">
        <v>30</v>
      </c>
      <c r="R451" s="449">
        <v>787.83333333333337</v>
      </c>
      <c r="S451" s="449">
        <v>787.83333333333326</v>
      </c>
      <c r="T451" s="449">
        <v>787.83333333333326</v>
      </c>
      <c r="U451" s="449">
        <v>787.83333333333337</v>
      </c>
      <c r="V451" s="449">
        <v>787.83333333333326</v>
      </c>
      <c r="W451" s="449">
        <v>787.83333333333303</v>
      </c>
      <c r="X451" s="449"/>
      <c r="Y451" s="449">
        <v>5000</v>
      </c>
      <c r="Z451" s="531"/>
      <c r="AA451" s="449">
        <v>416.66666666666669</v>
      </c>
      <c r="AB451" s="449">
        <v>416.66666666666669</v>
      </c>
      <c r="AC451" s="449">
        <v>416.66666666666669</v>
      </c>
      <c r="AD451" s="449">
        <v>416.66666666666669</v>
      </c>
      <c r="AE451" s="449">
        <v>416.66666666666669</v>
      </c>
      <c r="AF451" s="449">
        <v>416.66666666666669</v>
      </c>
      <c r="AG451" s="449">
        <v>416.66666666666669</v>
      </c>
      <c r="AH451" s="449">
        <v>416.66666666666669</v>
      </c>
      <c r="AI451" s="449">
        <v>416.66666666666669</v>
      </c>
      <c r="AJ451" s="449">
        <v>416.66666666666669</v>
      </c>
      <c r="AK451" s="449">
        <v>416.66666666666669</v>
      </c>
      <c r="AL451" s="449">
        <v>416.66666666666669</v>
      </c>
      <c r="AM451" s="400"/>
      <c r="AN451" s="500">
        <v>5000</v>
      </c>
      <c r="AO451" s="449">
        <v>5497.9919678714868</v>
      </c>
      <c r="AP451" s="449">
        <v>497.99196787148685</v>
      </c>
      <c r="AQ451" s="453">
        <v>9.9598393574297367E-2</v>
      </c>
      <c r="AR451" s="449">
        <v>5497.9919678714868</v>
      </c>
      <c r="AS451" s="449">
        <v>0</v>
      </c>
      <c r="AT451" s="426">
        <v>0</v>
      </c>
      <c r="AU451" s="421"/>
      <c r="AV451" s="449">
        <v>1099.5983935742972</v>
      </c>
      <c r="AW451" s="449">
        <v>1099.5983935742972</v>
      </c>
      <c r="AX451" s="449">
        <v>733.06559571619812</v>
      </c>
      <c r="AY451" s="449">
        <v>733.06559571619812</v>
      </c>
      <c r="AZ451" s="449">
        <v>733.06559571619812</v>
      </c>
      <c r="BA451" s="449">
        <v>157.08548479632816</v>
      </c>
      <c r="BB451" s="449">
        <v>157.08548479632816</v>
      </c>
      <c r="BC451" s="449">
        <v>157.08548479632816</v>
      </c>
      <c r="BD451" s="449">
        <v>157.08548479632816</v>
      </c>
      <c r="BE451" s="449">
        <v>157.08548479632816</v>
      </c>
      <c r="BF451" s="449">
        <v>157.08548479632816</v>
      </c>
      <c r="BG451" s="449">
        <v>157.08548479632816</v>
      </c>
      <c r="BH451" s="400"/>
      <c r="BI451" s="449">
        <v>1099.5983935742972</v>
      </c>
      <c r="BJ451" s="449">
        <v>1099.5983935742972</v>
      </c>
      <c r="BK451" s="449">
        <v>733.06559571619812</v>
      </c>
      <c r="BL451" s="771">
        <v>733.06559571619812</v>
      </c>
      <c r="BM451" s="449">
        <v>733.06559571619812</v>
      </c>
      <c r="BN451" s="449">
        <v>157.08548479632816</v>
      </c>
      <c r="BO451" s="449">
        <v>157.08548479632816</v>
      </c>
      <c r="BP451" s="449">
        <v>157.08548479632816</v>
      </c>
      <c r="BQ451" s="449">
        <v>157.08548479632816</v>
      </c>
      <c r="BR451" s="449">
        <v>157.08548479632816</v>
      </c>
      <c r="BS451" s="449">
        <v>157.08548479632816</v>
      </c>
      <c r="BT451" s="449">
        <v>157.08548479632816</v>
      </c>
      <c r="BU451" s="400"/>
      <c r="BV451" s="400"/>
    </row>
    <row r="452" spans="1:74" x14ac:dyDescent="0.25">
      <c r="A452" s="753" t="s">
        <v>1751</v>
      </c>
      <c r="B452" s="753" t="s">
        <v>768</v>
      </c>
      <c r="C452" s="597"/>
      <c r="D452" s="500"/>
      <c r="E452" s="449"/>
      <c r="F452" s="449"/>
      <c r="G452" s="421"/>
      <c r="H452" s="449"/>
      <c r="I452" s="449"/>
      <c r="J452" s="426"/>
      <c r="K452" s="421"/>
      <c r="L452" s="449"/>
      <c r="M452" s="449"/>
      <c r="N452" s="449"/>
      <c r="O452" s="449"/>
      <c r="P452" s="449"/>
      <c r="Q452" s="449"/>
      <c r="R452" s="449"/>
      <c r="S452" s="449"/>
      <c r="T452" s="449"/>
      <c r="U452" s="449"/>
      <c r="V452" s="449"/>
      <c r="W452" s="449"/>
      <c r="X452" s="449"/>
      <c r="Y452" s="449"/>
      <c r="Z452" s="531"/>
      <c r="AA452" s="449"/>
      <c r="AB452" s="449"/>
      <c r="AC452" s="449"/>
      <c r="AD452" s="449"/>
      <c r="AE452" s="449"/>
      <c r="AF452" s="449"/>
      <c r="AG452" s="449"/>
      <c r="AH452" s="449"/>
      <c r="AI452" s="449"/>
      <c r="AJ452" s="449"/>
      <c r="AK452" s="449"/>
      <c r="AL452" s="449"/>
      <c r="AM452" s="400"/>
      <c r="AN452" s="500"/>
      <c r="AO452" s="449"/>
      <c r="AP452" s="449"/>
      <c r="AQ452" s="453"/>
      <c r="AR452" s="449"/>
      <c r="AS452" s="449"/>
      <c r="AT452" s="426"/>
      <c r="AU452" s="421"/>
      <c r="AV452" s="449"/>
      <c r="AW452" s="449"/>
      <c r="AX452" s="449"/>
      <c r="AY452" s="449"/>
      <c r="AZ452" s="449"/>
      <c r="BA452" s="449"/>
      <c r="BB452" s="449"/>
      <c r="BC452" s="449"/>
      <c r="BD452" s="449"/>
      <c r="BE452" s="449"/>
      <c r="BF452" s="449"/>
      <c r="BG452" s="449"/>
      <c r="BH452" s="400"/>
      <c r="BI452" s="449"/>
      <c r="BJ452" s="449"/>
      <c r="BK452" s="449"/>
      <c r="BL452" s="771"/>
      <c r="BM452" s="449"/>
      <c r="BN452" s="449"/>
      <c r="BO452" s="449"/>
      <c r="BP452" s="449"/>
      <c r="BQ452" s="449"/>
      <c r="BR452" s="449"/>
      <c r="BS452" s="449"/>
      <c r="BT452" s="449"/>
      <c r="BU452" s="400"/>
      <c r="BV452" s="400"/>
    </row>
    <row r="453" spans="1:74" x14ac:dyDescent="0.25">
      <c r="A453" s="502" t="s">
        <v>769</v>
      </c>
      <c r="B453" s="502" t="s">
        <v>770</v>
      </c>
      <c r="C453" s="596"/>
      <c r="D453" s="500">
        <v>19290</v>
      </c>
      <c r="E453" s="449">
        <v>19290</v>
      </c>
      <c r="F453" s="449">
        <v>0</v>
      </c>
      <c r="G453" s="421">
        <v>0</v>
      </c>
      <c r="H453" s="449">
        <v>19290</v>
      </c>
      <c r="I453" s="449">
        <v>0</v>
      </c>
      <c r="J453" s="426">
        <v>0</v>
      </c>
      <c r="K453" s="421"/>
      <c r="L453" s="449">
        <v>0</v>
      </c>
      <c r="M453" s="449">
        <v>0</v>
      </c>
      <c r="N453" s="449">
        <v>2662.2</v>
      </c>
      <c r="O453" s="449">
        <v>0</v>
      </c>
      <c r="P453" s="449">
        <v>0</v>
      </c>
      <c r="Q453" s="449">
        <v>1523.3400000000001</v>
      </c>
      <c r="R453" s="449">
        <v>2517.41</v>
      </c>
      <c r="S453" s="449">
        <v>2517.41</v>
      </c>
      <c r="T453" s="449">
        <v>2517.41</v>
      </c>
      <c r="U453" s="449">
        <v>2517.41</v>
      </c>
      <c r="V453" s="449">
        <v>2517.41</v>
      </c>
      <c r="W453" s="449">
        <v>2517.41</v>
      </c>
      <c r="X453" s="449"/>
      <c r="Y453" s="449">
        <v>19290</v>
      </c>
      <c r="Z453" s="531"/>
      <c r="AA453" s="449">
        <v>1607.5</v>
      </c>
      <c r="AB453" s="449">
        <v>1607.5</v>
      </c>
      <c r="AC453" s="449">
        <v>1607.5</v>
      </c>
      <c r="AD453" s="449">
        <v>1607.5</v>
      </c>
      <c r="AE453" s="449">
        <v>1607.5</v>
      </c>
      <c r="AF453" s="449">
        <v>1607.5</v>
      </c>
      <c r="AG453" s="449">
        <v>1607.5</v>
      </c>
      <c r="AH453" s="449">
        <v>1607.5</v>
      </c>
      <c r="AI453" s="449">
        <v>1607.5</v>
      </c>
      <c r="AJ453" s="449">
        <v>1607.5</v>
      </c>
      <c r="AK453" s="449">
        <v>1607.5</v>
      </c>
      <c r="AL453" s="449">
        <v>1607.5</v>
      </c>
      <c r="AM453" s="400"/>
      <c r="AN453" s="500">
        <v>19290</v>
      </c>
      <c r="AO453" s="449">
        <v>21211.253012048197</v>
      </c>
      <c r="AP453" s="449">
        <v>1921.253012048197</v>
      </c>
      <c r="AQ453" s="453">
        <v>9.9598393574297409E-2</v>
      </c>
      <c r="AR453" s="449">
        <v>21211.253012048197</v>
      </c>
      <c r="AS453" s="449">
        <v>0</v>
      </c>
      <c r="AT453" s="426">
        <v>0</v>
      </c>
      <c r="AU453" s="421"/>
      <c r="AV453" s="449">
        <v>4242.2506024096392</v>
      </c>
      <c r="AW453" s="449">
        <v>4242.2506024096392</v>
      </c>
      <c r="AX453" s="449">
        <v>2828.1670682730924</v>
      </c>
      <c r="AY453" s="449">
        <v>2828.1670682730924</v>
      </c>
      <c r="AZ453" s="449">
        <v>2828.1670682730924</v>
      </c>
      <c r="BA453" s="449">
        <v>606.03580034423408</v>
      </c>
      <c r="BB453" s="449">
        <v>606.03580034423408</v>
      </c>
      <c r="BC453" s="449">
        <v>606.03580034423408</v>
      </c>
      <c r="BD453" s="449">
        <v>606.03580034423408</v>
      </c>
      <c r="BE453" s="449">
        <v>606.03580034423408</v>
      </c>
      <c r="BF453" s="449">
        <v>606.03580034423408</v>
      </c>
      <c r="BG453" s="449">
        <v>606.03580034423408</v>
      </c>
      <c r="BH453" s="400"/>
      <c r="BI453" s="449">
        <v>4242.2506024096392</v>
      </c>
      <c r="BJ453" s="449">
        <v>4242.2506024096392</v>
      </c>
      <c r="BK453" s="449">
        <v>2828.1670682730924</v>
      </c>
      <c r="BL453" s="771">
        <v>2828.1670682730924</v>
      </c>
      <c r="BM453" s="449">
        <v>2828.1670682730924</v>
      </c>
      <c r="BN453" s="449">
        <v>606.03580034423408</v>
      </c>
      <c r="BO453" s="449">
        <v>606.03580034423408</v>
      </c>
      <c r="BP453" s="449">
        <v>606.03580034423408</v>
      </c>
      <c r="BQ453" s="449">
        <v>606.03580034423408</v>
      </c>
      <c r="BR453" s="449">
        <v>606.03580034423408</v>
      </c>
      <c r="BS453" s="449">
        <v>606.03580034423408</v>
      </c>
      <c r="BT453" s="449">
        <v>606.03580034423408</v>
      </c>
      <c r="BU453" s="400"/>
      <c r="BV453" s="400"/>
    </row>
    <row r="454" spans="1:74" x14ac:dyDescent="0.25">
      <c r="A454" s="502" t="s">
        <v>771</v>
      </c>
      <c r="B454" s="502" t="s">
        <v>772</v>
      </c>
      <c r="C454" s="596"/>
      <c r="D454" s="500">
        <v>3376</v>
      </c>
      <c r="E454" s="449">
        <v>3376</v>
      </c>
      <c r="F454" s="449">
        <v>0</v>
      </c>
      <c r="G454" s="421">
        <v>0</v>
      </c>
      <c r="H454" s="449">
        <v>3376</v>
      </c>
      <c r="I454" s="449">
        <v>0</v>
      </c>
      <c r="J454" s="426">
        <v>0</v>
      </c>
      <c r="K454" s="421"/>
      <c r="L454" s="449">
        <v>668.04</v>
      </c>
      <c r="M454" s="449">
        <v>0</v>
      </c>
      <c r="N454" s="449">
        <v>498.85000000000014</v>
      </c>
      <c r="O454" s="449">
        <v>0</v>
      </c>
      <c r="P454" s="449">
        <v>0</v>
      </c>
      <c r="Q454" s="449">
        <v>0</v>
      </c>
      <c r="R454" s="449">
        <v>368.18499999999995</v>
      </c>
      <c r="S454" s="449">
        <v>368.185</v>
      </c>
      <c r="T454" s="449">
        <v>368.185</v>
      </c>
      <c r="U454" s="449">
        <v>368.18499999999995</v>
      </c>
      <c r="V454" s="449">
        <v>368.18499999999995</v>
      </c>
      <c r="W454" s="449">
        <v>368.18499999999995</v>
      </c>
      <c r="X454" s="449"/>
      <c r="Y454" s="449">
        <v>3376</v>
      </c>
      <c r="Z454" s="531"/>
      <c r="AA454" s="449">
        <v>281.33333333333331</v>
      </c>
      <c r="AB454" s="449">
        <v>281.33333333333331</v>
      </c>
      <c r="AC454" s="449">
        <v>281.33333333333331</v>
      </c>
      <c r="AD454" s="449">
        <v>281.33333333333331</v>
      </c>
      <c r="AE454" s="449">
        <v>281.33333333333331</v>
      </c>
      <c r="AF454" s="449">
        <v>281.33333333333331</v>
      </c>
      <c r="AG454" s="449">
        <v>281.33333333333331</v>
      </c>
      <c r="AH454" s="449">
        <v>281.33333333333331</v>
      </c>
      <c r="AI454" s="449">
        <v>281.33333333333331</v>
      </c>
      <c r="AJ454" s="449">
        <v>281.33333333333331</v>
      </c>
      <c r="AK454" s="449">
        <v>281.33333333333331</v>
      </c>
      <c r="AL454" s="449">
        <v>281.33333333333331</v>
      </c>
      <c r="AM454" s="400"/>
      <c r="AN454" s="500">
        <v>3376</v>
      </c>
      <c r="AO454" s="449">
        <v>3712.2441767068271</v>
      </c>
      <c r="AP454" s="449">
        <v>336.24417670682715</v>
      </c>
      <c r="AQ454" s="453">
        <v>9.9598393574297145E-2</v>
      </c>
      <c r="AR454" s="449">
        <v>3712.2441767068271</v>
      </c>
      <c r="AS454" s="449">
        <v>0</v>
      </c>
      <c r="AT454" s="426">
        <v>0</v>
      </c>
      <c r="AU454" s="421"/>
      <c r="AV454" s="449">
        <v>309.35368139223561</v>
      </c>
      <c r="AW454" s="449">
        <v>309.35368139223561</v>
      </c>
      <c r="AX454" s="449">
        <v>309.35368139223561</v>
      </c>
      <c r="AY454" s="449">
        <v>309.35368139223561</v>
      </c>
      <c r="AZ454" s="449">
        <v>309.35368139223561</v>
      </c>
      <c r="BA454" s="449">
        <v>309.35368139223561</v>
      </c>
      <c r="BB454" s="449">
        <v>309.35368139223561</v>
      </c>
      <c r="BC454" s="449">
        <v>309.35368139223561</v>
      </c>
      <c r="BD454" s="449">
        <v>309.35368139223561</v>
      </c>
      <c r="BE454" s="449">
        <v>309.35368139223561</v>
      </c>
      <c r="BF454" s="449">
        <v>309.35368139223561</v>
      </c>
      <c r="BG454" s="449">
        <v>309.35368139223561</v>
      </c>
      <c r="BH454" s="400"/>
      <c r="BI454" s="449">
        <v>309.35368139223561</v>
      </c>
      <c r="BJ454" s="449">
        <v>309.35368139223561</v>
      </c>
      <c r="BK454" s="449">
        <v>309.35368139223561</v>
      </c>
      <c r="BL454" s="771">
        <v>309.35368139223561</v>
      </c>
      <c r="BM454" s="449">
        <v>309.35368139223561</v>
      </c>
      <c r="BN454" s="449">
        <v>309.35368139223561</v>
      </c>
      <c r="BO454" s="449">
        <v>309.35368139223561</v>
      </c>
      <c r="BP454" s="449">
        <v>309.35368139223561</v>
      </c>
      <c r="BQ454" s="449">
        <v>309.35368139223561</v>
      </c>
      <c r="BR454" s="449">
        <v>309.35368139223561</v>
      </c>
      <c r="BS454" s="449">
        <v>309.35368139223561</v>
      </c>
      <c r="BT454" s="449">
        <v>309.35368139223561</v>
      </c>
      <c r="BU454" s="400"/>
      <c r="BV454" s="400"/>
    </row>
    <row r="455" spans="1:74" x14ac:dyDescent="0.25">
      <c r="A455" s="753" t="s">
        <v>1752</v>
      </c>
      <c r="B455" s="753" t="s">
        <v>772</v>
      </c>
      <c r="C455" s="596"/>
      <c r="D455" s="500"/>
      <c r="E455" s="449"/>
      <c r="F455" s="449"/>
      <c r="G455" s="421"/>
      <c r="H455" s="449"/>
      <c r="I455" s="449"/>
      <c r="J455" s="426"/>
      <c r="K455" s="421"/>
      <c r="L455" s="449"/>
      <c r="M455" s="449"/>
      <c r="N455" s="449"/>
      <c r="O455" s="449"/>
      <c r="P455" s="449"/>
      <c r="Q455" s="449"/>
      <c r="R455" s="449"/>
      <c r="S455" s="449"/>
      <c r="T455" s="449"/>
      <c r="U455" s="449"/>
      <c r="V455" s="449"/>
      <c r="W455" s="449"/>
      <c r="X455" s="449"/>
      <c r="Y455" s="449"/>
      <c r="Z455" s="531"/>
      <c r="AA455" s="449"/>
      <c r="AB455" s="449"/>
      <c r="AC455" s="449"/>
      <c r="AD455" s="449"/>
      <c r="AE455" s="449"/>
      <c r="AF455" s="449"/>
      <c r="AG455" s="449"/>
      <c r="AH455" s="449"/>
      <c r="AI455" s="449"/>
      <c r="AJ455" s="449"/>
      <c r="AK455" s="449"/>
      <c r="AL455" s="449"/>
      <c r="AM455" s="400"/>
      <c r="AN455" s="500"/>
      <c r="AO455" s="449"/>
      <c r="AP455" s="449"/>
      <c r="AQ455" s="453"/>
      <c r="AR455" s="449"/>
      <c r="AS455" s="449"/>
      <c r="AT455" s="426"/>
      <c r="AU455" s="421"/>
      <c r="AV455" s="449"/>
      <c r="AW455" s="449"/>
      <c r="AX455" s="449"/>
      <c r="AY455" s="449"/>
      <c r="AZ455" s="449"/>
      <c r="BA455" s="449"/>
      <c r="BB455" s="449"/>
      <c r="BC455" s="449"/>
      <c r="BD455" s="449"/>
      <c r="BE455" s="449"/>
      <c r="BF455" s="449"/>
      <c r="BG455" s="449"/>
      <c r="BH455" s="400"/>
      <c r="BI455" s="449"/>
      <c r="BJ455" s="449"/>
      <c r="BK455" s="449"/>
      <c r="BL455" s="771"/>
      <c r="BM455" s="449"/>
      <c r="BN455" s="449"/>
      <c r="BO455" s="449"/>
      <c r="BP455" s="449"/>
      <c r="BQ455" s="449"/>
      <c r="BR455" s="449"/>
      <c r="BS455" s="449"/>
      <c r="BT455" s="449"/>
      <c r="BU455" s="400"/>
      <c r="BV455" s="400"/>
    </row>
    <row r="456" spans="1:74" x14ac:dyDescent="0.25">
      <c r="A456" s="502" t="s">
        <v>773</v>
      </c>
      <c r="B456" s="502" t="s">
        <v>774</v>
      </c>
      <c r="C456" s="538"/>
      <c r="D456" s="500">
        <v>10931</v>
      </c>
      <c r="E456" s="449">
        <v>10931</v>
      </c>
      <c r="F456" s="449">
        <v>0</v>
      </c>
      <c r="G456" s="421">
        <v>0</v>
      </c>
      <c r="H456" s="449">
        <v>10931</v>
      </c>
      <c r="I456" s="449">
        <v>0</v>
      </c>
      <c r="J456" s="426">
        <v>0</v>
      </c>
      <c r="K456" s="421"/>
      <c r="L456" s="449">
        <v>0</v>
      </c>
      <c r="M456" s="449">
        <v>0</v>
      </c>
      <c r="N456" s="449">
        <v>0</v>
      </c>
      <c r="O456" s="449">
        <v>0</v>
      </c>
      <c r="P456" s="449">
        <v>150</v>
      </c>
      <c r="Q456" s="449">
        <v>0</v>
      </c>
      <c r="R456" s="449">
        <v>1796.8333333333333</v>
      </c>
      <c r="S456" s="449">
        <v>1796.8333333333333</v>
      </c>
      <c r="T456" s="449">
        <v>1796.8333333333335</v>
      </c>
      <c r="U456" s="449">
        <v>1796.8333333333333</v>
      </c>
      <c r="V456" s="449">
        <v>1796.8333333333335</v>
      </c>
      <c r="W456" s="449">
        <v>1796.8333333333339</v>
      </c>
      <c r="X456" s="449"/>
      <c r="Y456" s="449">
        <v>10931</v>
      </c>
      <c r="Z456" s="531"/>
      <c r="AA456" s="449">
        <v>910.91666666666663</v>
      </c>
      <c r="AB456" s="449">
        <v>910.91666666666663</v>
      </c>
      <c r="AC456" s="449">
        <v>910.91666666666663</v>
      </c>
      <c r="AD456" s="449">
        <v>910.91666666666663</v>
      </c>
      <c r="AE456" s="449">
        <v>910.91666666666663</v>
      </c>
      <c r="AF456" s="449">
        <v>910.91666666666663</v>
      </c>
      <c r="AG456" s="449">
        <v>910.91666666666663</v>
      </c>
      <c r="AH456" s="449">
        <v>910.91666666666663</v>
      </c>
      <c r="AI456" s="449">
        <v>910.91666666666663</v>
      </c>
      <c r="AJ456" s="449">
        <v>910.91666666666663</v>
      </c>
      <c r="AK456" s="449">
        <v>910.91666666666663</v>
      </c>
      <c r="AL456" s="449">
        <v>910.91666666666663</v>
      </c>
      <c r="AM456" s="400"/>
      <c r="AN456" s="500">
        <v>10931</v>
      </c>
      <c r="AO456" s="449">
        <v>12019.710040160644</v>
      </c>
      <c r="AP456" s="449">
        <v>1088.710040160644</v>
      </c>
      <c r="AQ456" s="453">
        <v>9.9598393574297311E-2</v>
      </c>
      <c r="AR456" s="449">
        <v>12019.710040160644</v>
      </c>
      <c r="AS456" s="449">
        <v>0</v>
      </c>
      <c r="AT456" s="426">
        <v>0</v>
      </c>
      <c r="AU456" s="421"/>
      <c r="AV456" s="449">
        <v>1001.6425033467203</v>
      </c>
      <c r="AW456" s="449">
        <v>1001.6425033467203</v>
      </c>
      <c r="AX456" s="449">
        <v>1001.6425033467203</v>
      </c>
      <c r="AY456" s="449">
        <v>1001.6425033467203</v>
      </c>
      <c r="AZ456" s="449">
        <v>1001.6425033467203</v>
      </c>
      <c r="BA456" s="449">
        <v>1001.6425033467203</v>
      </c>
      <c r="BB456" s="449">
        <v>1001.6425033467203</v>
      </c>
      <c r="BC456" s="449">
        <v>1001.6425033467203</v>
      </c>
      <c r="BD456" s="449">
        <v>1001.6425033467203</v>
      </c>
      <c r="BE456" s="449">
        <v>1001.6425033467203</v>
      </c>
      <c r="BF456" s="449">
        <v>1001.6425033467203</v>
      </c>
      <c r="BG456" s="449">
        <v>1001.6425033467203</v>
      </c>
      <c r="BH456" s="400"/>
      <c r="BI456" s="449">
        <v>1001.6425033467203</v>
      </c>
      <c r="BJ456" s="449">
        <v>1001.6425033467203</v>
      </c>
      <c r="BK456" s="449">
        <v>1001.6425033467203</v>
      </c>
      <c r="BL456" s="771">
        <v>1001.6425033467203</v>
      </c>
      <c r="BM456" s="449">
        <v>1001.6425033467203</v>
      </c>
      <c r="BN456" s="449">
        <v>1001.6425033467203</v>
      </c>
      <c r="BO456" s="449">
        <v>1001.6425033467203</v>
      </c>
      <c r="BP456" s="449">
        <v>1001.6425033467203</v>
      </c>
      <c r="BQ456" s="449">
        <v>1001.6425033467203</v>
      </c>
      <c r="BR456" s="449">
        <v>1001.6425033467203</v>
      </c>
      <c r="BS456" s="449">
        <v>1001.6425033467203</v>
      </c>
      <c r="BT456" s="449">
        <v>1001.6425033467203</v>
      </c>
      <c r="BU456" s="400"/>
      <c r="BV456" s="400"/>
    </row>
    <row r="457" spans="1:74" x14ac:dyDescent="0.25">
      <c r="A457" s="502" t="s">
        <v>775</v>
      </c>
      <c r="B457" s="502" t="s">
        <v>776</v>
      </c>
      <c r="C457" s="596"/>
      <c r="D457" s="500">
        <v>11684</v>
      </c>
      <c r="E457" s="449">
        <v>15683</v>
      </c>
      <c r="F457" s="449">
        <v>-3999</v>
      </c>
      <c r="G457" s="421">
        <v>-0.25498947905375247</v>
      </c>
      <c r="H457" s="449">
        <v>11684</v>
      </c>
      <c r="I457" s="449">
        <v>0</v>
      </c>
      <c r="J457" s="426">
        <v>0</v>
      </c>
      <c r="K457" s="421"/>
      <c r="L457" s="449">
        <v>0</v>
      </c>
      <c r="M457" s="449">
        <v>208.97</v>
      </c>
      <c r="N457" s="449">
        <v>98.940000000000026</v>
      </c>
      <c r="O457" s="449">
        <v>86.94</v>
      </c>
      <c r="P457" s="449">
        <v>287.79999999999995</v>
      </c>
      <c r="Q457" s="449">
        <v>-294</v>
      </c>
      <c r="R457" s="449">
        <v>1882.5583333333334</v>
      </c>
      <c r="S457" s="449">
        <v>1882.5583333333332</v>
      </c>
      <c r="T457" s="449">
        <v>1882.5583333333334</v>
      </c>
      <c r="U457" s="449">
        <v>1882.5583333333334</v>
      </c>
      <c r="V457" s="449">
        <v>1882.5583333333334</v>
      </c>
      <c r="W457" s="449">
        <v>1882.5583333333343</v>
      </c>
      <c r="X457" s="449"/>
      <c r="Y457" s="449">
        <v>11684</v>
      </c>
      <c r="Z457" s="531"/>
      <c r="AA457" s="449">
        <v>973.66666666666663</v>
      </c>
      <c r="AB457" s="449">
        <v>973.66666666666663</v>
      </c>
      <c r="AC457" s="449">
        <v>973.66666666666663</v>
      </c>
      <c r="AD457" s="449">
        <v>973.66666666666663</v>
      </c>
      <c r="AE457" s="449">
        <v>973.66666666666663</v>
      </c>
      <c r="AF457" s="449">
        <v>973.66666666666663</v>
      </c>
      <c r="AG457" s="449">
        <v>973.66666666666663</v>
      </c>
      <c r="AH457" s="449">
        <v>973.66666666666663</v>
      </c>
      <c r="AI457" s="449">
        <v>973.66666666666663</v>
      </c>
      <c r="AJ457" s="449">
        <v>973.66666666666663</v>
      </c>
      <c r="AK457" s="449">
        <v>973.66666666666663</v>
      </c>
      <c r="AL457" s="449">
        <v>973.66666666666663</v>
      </c>
      <c r="AM457" s="400"/>
      <c r="AN457" s="500">
        <v>11684</v>
      </c>
      <c r="AO457" s="449">
        <v>12847.707630522085</v>
      </c>
      <c r="AP457" s="449">
        <v>1163.7076305220853</v>
      </c>
      <c r="AQ457" s="453">
        <v>9.9598393574296923E-2</v>
      </c>
      <c r="AR457" s="449">
        <v>12847.707630522085</v>
      </c>
      <c r="AS457" s="449">
        <v>0</v>
      </c>
      <c r="AT457" s="426">
        <v>0</v>
      </c>
      <c r="AU457" s="421"/>
      <c r="AV457" s="449">
        <v>1070.6423025435074</v>
      </c>
      <c r="AW457" s="449">
        <v>1070.6423025435074</v>
      </c>
      <c r="AX457" s="449">
        <v>1070.6423025435074</v>
      </c>
      <c r="AY457" s="449">
        <v>1070.6423025435074</v>
      </c>
      <c r="AZ457" s="449">
        <v>1070.6423025435074</v>
      </c>
      <c r="BA457" s="449">
        <v>1070.6423025435074</v>
      </c>
      <c r="BB457" s="449">
        <v>1070.6423025435074</v>
      </c>
      <c r="BC457" s="449">
        <v>1070.6423025435074</v>
      </c>
      <c r="BD457" s="449">
        <v>1070.6423025435074</v>
      </c>
      <c r="BE457" s="449">
        <v>1070.6423025435074</v>
      </c>
      <c r="BF457" s="449">
        <v>1070.6423025435074</v>
      </c>
      <c r="BG457" s="449">
        <v>1070.6423025435074</v>
      </c>
      <c r="BH457" s="400"/>
      <c r="BI457" s="449">
        <v>1070.6423025435074</v>
      </c>
      <c r="BJ457" s="449">
        <v>1070.6423025435074</v>
      </c>
      <c r="BK457" s="449">
        <v>1070.6423025435074</v>
      </c>
      <c r="BL457" s="771">
        <v>1070.6423025435074</v>
      </c>
      <c r="BM457" s="449">
        <v>1070.6423025435074</v>
      </c>
      <c r="BN457" s="449">
        <v>1070.6423025435074</v>
      </c>
      <c r="BO457" s="449">
        <v>1070.6423025435074</v>
      </c>
      <c r="BP457" s="449">
        <v>1070.6423025435074</v>
      </c>
      <c r="BQ457" s="449">
        <v>1070.6423025435074</v>
      </c>
      <c r="BR457" s="449">
        <v>1070.6423025435074</v>
      </c>
      <c r="BS457" s="449">
        <v>1070.6423025435074</v>
      </c>
      <c r="BT457" s="449">
        <v>1070.6423025435074</v>
      </c>
      <c r="BU457" s="400"/>
      <c r="BV457" s="400"/>
    </row>
    <row r="458" spans="1:74" x14ac:dyDescent="0.25">
      <c r="A458" s="753" t="s">
        <v>1753</v>
      </c>
      <c r="B458" s="753" t="s">
        <v>776</v>
      </c>
      <c r="C458" s="596"/>
      <c r="D458" s="500"/>
      <c r="E458" s="449"/>
      <c r="F458" s="449"/>
      <c r="G458" s="421"/>
      <c r="H458" s="449"/>
      <c r="I458" s="449"/>
      <c r="J458" s="426"/>
      <c r="K458" s="421"/>
      <c r="L458" s="449"/>
      <c r="M458" s="449"/>
      <c r="N458" s="449"/>
      <c r="O458" s="449"/>
      <c r="P458" s="449"/>
      <c r="Q458" s="449"/>
      <c r="R458" s="449"/>
      <c r="S458" s="449"/>
      <c r="T458" s="449"/>
      <c r="U458" s="449"/>
      <c r="V458" s="449"/>
      <c r="W458" s="449"/>
      <c r="X458" s="449"/>
      <c r="Y458" s="449"/>
      <c r="Z458" s="531"/>
      <c r="AA458" s="449"/>
      <c r="AB458" s="449"/>
      <c r="AC458" s="449"/>
      <c r="AD458" s="449"/>
      <c r="AE458" s="449"/>
      <c r="AF458" s="449"/>
      <c r="AG458" s="449"/>
      <c r="AH458" s="449"/>
      <c r="AI458" s="449"/>
      <c r="AJ458" s="449"/>
      <c r="AK458" s="449"/>
      <c r="AL458" s="449"/>
      <c r="AM458" s="400"/>
      <c r="AN458" s="500"/>
      <c r="AO458" s="449"/>
      <c r="AP458" s="449"/>
      <c r="AQ458" s="453"/>
      <c r="AR458" s="449"/>
      <c r="AS458" s="449"/>
      <c r="AT458" s="426"/>
      <c r="AU458" s="421"/>
      <c r="AV458" s="449"/>
      <c r="AW458" s="449"/>
      <c r="AX458" s="449"/>
      <c r="AY458" s="449"/>
      <c r="AZ458" s="449"/>
      <c r="BA458" s="449"/>
      <c r="BB458" s="449"/>
      <c r="BC458" s="449"/>
      <c r="BD458" s="449"/>
      <c r="BE458" s="449"/>
      <c r="BF458" s="449"/>
      <c r="BG458" s="449"/>
      <c r="BH458" s="531"/>
      <c r="BI458" s="449"/>
      <c r="BJ458" s="449"/>
      <c r="BK458" s="449"/>
      <c r="BL458" s="771"/>
      <c r="BM458" s="449"/>
      <c r="BN458" s="449"/>
      <c r="BO458" s="449"/>
      <c r="BP458" s="449"/>
      <c r="BQ458" s="449"/>
      <c r="BR458" s="449"/>
      <c r="BS458" s="449"/>
      <c r="BT458" s="449"/>
      <c r="BU458" s="400"/>
      <c r="BV458" s="400"/>
    </row>
    <row r="459" spans="1:74" s="536" customFormat="1" ht="15.75" thickBot="1" x14ac:dyDescent="0.3">
      <c r="A459" s="524"/>
      <c r="B459" s="524" t="s">
        <v>777</v>
      </c>
      <c r="C459" s="598"/>
      <c r="D459" s="532">
        <v>900847.50999999989</v>
      </c>
      <c r="E459" s="533">
        <v>933999</v>
      </c>
      <c r="F459" s="533">
        <v>-33151.490000000107</v>
      </c>
      <c r="G459" s="520">
        <v>-3.5494138644688172E-2</v>
      </c>
      <c r="H459" s="533">
        <v>845508</v>
      </c>
      <c r="I459" s="533">
        <v>55339.509999999893</v>
      </c>
      <c r="J459" s="521">
        <v>6.5451196203938813E-2</v>
      </c>
      <c r="K459" s="507"/>
      <c r="L459" s="533">
        <v>44064.579999999987</v>
      </c>
      <c r="M459" s="533">
        <v>84380.150000000009</v>
      </c>
      <c r="N459" s="533">
        <v>60318.180000000015</v>
      </c>
      <c r="O459" s="533">
        <v>82503.19</v>
      </c>
      <c r="P459" s="533">
        <v>78112.930000000008</v>
      </c>
      <c r="Q459" s="533">
        <v>69796.699999999983</v>
      </c>
      <c r="R459" s="533">
        <v>80278.63</v>
      </c>
      <c r="S459" s="533">
        <v>80278.63</v>
      </c>
      <c r="T459" s="533">
        <v>80278.63</v>
      </c>
      <c r="U459" s="533">
        <v>80278.63</v>
      </c>
      <c r="V459" s="533">
        <v>80278.629999999976</v>
      </c>
      <c r="W459" s="533">
        <v>80278.62999999999</v>
      </c>
      <c r="X459" s="533"/>
      <c r="Y459" s="533">
        <v>900847.51</v>
      </c>
      <c r="Z459" s="508"/>
      <c r="AA459" s="533">
        <v>70459.000000000015</v>
      </c>
      <c r="AB459" s="533">
        <v>70459.000000000015</v>
      </c>
      <c r="AC459" s="533">
        <v>70459.000000000015</v>
      </c>
      <c r="AD459" s="533">
        <v>70459.000000000015</v>
      </c>
      <c r="AE459" s="533">
        <v>70459.000000000015</v>
      </c>
      <c r="AF459" s="533">
        <v>70459.000000000015</v>
      </c>
      <c r="AG459" s="533">
        <v>70459.000000000015</v>
      </c>
      <c r="AH459" s="533">
        <v>70459.000000000015</v>
      </c>
      <c r="AI459" s="533">
        <v>70459.000000000015</v>
      </c>
      <c r="AJ459" s="533">
        <v>70459.000000000015</v>
      </c>
      <c r="AK459" s="533">
        <v>70459.000000000015</v>
      </c>
      <c r="AL459" s="533">
        <v>70459.000000000015</v>
      </c>
      <c r="AN459" s="532">
        <v>900847.50999999989</v>
      </c>
      <c r="AO459" s="533">
        <v>932598.59729219286</v>
      </c>
      <c r="AP459" s="533">
        <v>31751.087292192969</v>
      </c>
      <c r="AQ459" s="523">
        <v>3.5245795697645847E-2</v>
      </c>
      <c r="AR459" s="533">
        <v>932598.59729219286</v>
      </c>
      <c r="AS459" s="533">
        <v>0</v>
      </c>
      <c r="AT459" s="521">
        <v>0</v>
      </c>
      <c r="AU459" s="507"/>
      <c r="AV459" s="533">
        <v>83112.564210627868</v>
      </c>
      <c r="AW459" s="533">
        <v>83112.564210627868</v>
      </c>
      <c r="AX459" s="533">
        <v>78886.270247040171</v>
      </c>
      <c r="AY459" s="533">
        <v>102886.27024704019</v>
      </c>
      <c r="AZ459" s="533">
        <v>78886.270247040171</v>
      </c>
      <c r="BA459" s="533">
        <v>72244.951161402409</v>
      </c>
      <c r="BB459" s="533">
        <v>72244.951161402409</v>
      </c>
      <c r="BC459" s="533">
        <v>72244.951161402409</v>
      </c>
      <c r="BD459" s="533">
        <v>72244.951161402409</v>
      </c>
      <c r="BE459" s="533">
        <v>72244.951161402409</v>
      </c>
      <c r="BF459" s="533">
        <v>72244.951161402409</v>
      </c>
      <c r="BG459" s="533">
        <v>72244.951161402409</v>
      </c>
      <c r="BH459" s="508"/>
      <c r="BI459" s="533">
        <v>83112.564210627868</v>
      </c>
      <c r="BJ459" s="533">
        <v>83112.564210627868</v>
      </c>
      <c r="BK459" s="533">
        <v>78886.270247040171</v>
      </c>
      <c r="BL459" s="777">
        <v>102886.27024704019</v>
      </c>
      <c r="BM459" s="533">
        <v>78886.270247040171</v>
      </c>
      <c r="BN459" s="533">
        <v>72244.951161402409</v>
      </c>
      <c r="BO459" s="533">
        <v>72244.951161402409</v>
      </c>
      <c r="BP459" s="533">
        <v>72244.951161402409</v>
      </c>
      <c r="BQ459" s="533">
        <v>72244.951161402409</v>
      </c>
      <c r="BR459" s="533">
        <v>72244.951161402409</v>
      </c>
      <c r="BS459" s="533">
        <v>72244.951161402409</v>
      </c>
      <c r="BT459" s="533">
        <v>72244.951161402409</v>
      </c>
      <c r="BV459" s="400"/>
    </row>
    <row r="460" spans="1:74" ht="15.75" thickTop="1" x14ac:dyDescent="0.25">
      <c r="A460" s="502"/>
      <c r="B460" s="502"/>
      <c r="C460" s="596"/>
      <c r="D460" s="500"/>
      <c r="E460" s="449"/>
      <c r="F460" s="449"/>
      <c r="G460" s="421"/>
      <c r="H460" s="449"/>
      <c r="I460" s="449"/>
      <c r="J460" s="426"/>
      <c r="K460" s="421"/>
      <c r="L460" s="449"/>
      <c r="M460" s="449"/>
      <c r="N460" s="449"/>
      <c r="O460" s="449"/>
      <c r="P460" s="449"/>
      <c r="Q460" s="449"/>
      <c r="R460" s="449"/>
      <c r="S460" s="449"/>
      <c r="T460" s="449"/>
      <c r="U460" s="449"/>
      <c r="V460" s="449"/>
      <c r="W460" s="449"/>
      <c r="X460" s="449"/>
      <c r="Y460" s="449"/>
      <c r="Z460" s="531"/>
      <c r="AA460" s="449"/>
      <c r="AB460" s="449"/>
      <c r="AC460" s="449"/>
      <c r="AD460" s="449"/>
      <c r="AE460" s="449"/>
      <c r="AF460" s="449"/>
      <c r="AG460" s="449"/>
      <c r="AH460" s="449"/>
      <c r="AI460" s="449"/>
      <c r="AJ460" s="449"/>
      <c r="AK460" s="449"/>
      <c r="AL460" s="449"/>
      <c r="AM460" s="400"/>
      <c r="AN460" s="500"/>
      <c r="AO460" s="449"/>
      <c r="AP460" s="449"/>
      <c r="AQ460" s="453"/>
      <c r="AR460" s="449"/>
      <c r="AS460" s="449"/>
      <c r="AT460" s="426"/>
      <c r="AU460" s="421"/>
      <c r="AV460" s="449"/>
      <c r="AW460" s="449"/>
      <c r="AX460" s="449"/>
      <c r="AY460" s="449"/>
      <c r="AZ460" s="449"/>
      <c r="BA460" s="449"/>
      <c r="BB460" s="449"/>
      <c r="BC460" s="449"/>
      <c r="BD460" s="449"/>
      <c r="BE460" s="449"/>
      <c r="BF460" s="449"/>
      <c r="BG460" s="449"/>
      <c r="BH460" s="531"/>
      <c r="BI460" s="449"/>
      <c r="BJ460" s="449"/>
      <c r="BK460" s="449"/>
      <c r="BL460" s="771"/>
      <c r="BM460" s="449"/>
      <c r="BN460" s="449"/>
      <c r="BO460" s="449"/>
      <c r="BP460" s="449"/>
      <c r="BQ460" s="449"/>
      <c r="BR460" s="449"/>
      <c r="BS460" s="449"/>
      <c r="BT460" s="449"/>
      <c r="BU460" s="400"/>
      <c r="BV460" s="400"/>
    </row>
    <row r="461" spans="1:74" ht="15.75" x14ac:dyDescent="0.25">
      <c r="A461" s="502"/>
      <c r="B461" s="525" t="s">
        <v>778</v>
      </c>
      <c r="C461" s="596"/>
      <c r="D461" s="500"/>
      <c r="E461" s="449"/>
      <c r="F461" s="449"/>
      <c r="G461" s="421"/>
      <c r="H461" s="449"/>
      <c r="I461" s="449"/>
      <c r="J461" s="426"/>
      <c r="K461" s="421"/>
      <c r="L461" s="449"/>
      <c r="M461" s="449"/>
      <c r="N461" s="449"/>
      <c r="O461" s="449"/>
      <c r="P461" s="449"/>
      <c r="Q461" s="449"/>
      <c r="R461" s="449"/>
      <c r="S461" s="449"/>
      <c r="T461" s="449"/>
      <c r="U461" s="449"/>
      <c r="V461" s="449"/>
      <c r="W461" s="449"/>
      <c r="X461" s="449"/>
      <c r="Y461" s="449"/>
      <c r="Z461" s="531"/>
      <c r="AA461" s="449"/>
      <c r="AB461" s="449"/>
      <c r="AC461" s="449"/>
      <c r="AD461" s="449"/>
      <c r="AE461" s="449"/>
      <c r="AF461" s="449"/>
      <c r="AG461" s="449"/>
      <c r="AH461" s="449"/>
      <c r="AI461" s="449"/>
      <c r="AJ461" s="449"/>
      <c r="AK461" s="449"/>
      <c r="AL461" s="449"/>
      <c r="AM461" s="400"/>
      <c r="AN461" s="500"/>
      <c r="AO461" s="449"/>
      <c r="AP461" s="449"/>
      <c r="AQ461" s="453"/>
      <c r="AR461" s="449"/>
      <c r="AS461" s="449"/>
      <c r="AT461" s="426"/>
      <c r="AU461" s="421"/>
      <c r="AV461" s="449"/>
      <c r="AW461" s="449"/>
      <c r="AX461" s="449"/>
      <c r="AY461" s="449"/>
      <c r="AZ461" s="449"/>
      <c r="BA461" s="449"/>
      <c r="BB461" s="449"/>
      <c r="BC461" s="449"/>
      <c r="BD461" s="449"/>
      <c r="BE461" s="449"/>
      <c r="BF461" s="449"/>
      <c r="BG461" s="449"/>
      <c r="BH461" s="531"/>
      <c r="BI461" s="449"/>
      <c r="BJ461" s="449"/>
      <c r="BK461" s="449"/>
      <c r="BL461" s="771"/>
      <c r="BM461" s="449"/>
      <c r="BN461" s="449"/>
      <c r="BO461" s="449"/>
      <c r="BP461" s="449"/>
      <c r="BQ461" s="449"/>
      <c r="BR461" s="449"/>
      <c r="BS461" s="449"/>
      <c r="BT461" s="449"/>
      <c r="BU461" s="400"/>
      <c r="BV461" s="400"/>
    </row>
    <row r="462" spans="1:74" ht="9" customHeight="1" x14ac:dyDescent="0.25">
      <c r="A462" s="502"/>
      <c r="B462" s="502"/>
      <c r="C462" s="596"/>
      <c r="D462" s="500"/>
      <c r="E462" s="449"/>
      <c r="F462" s="449"/>
      <c r="G462" s="421"/>
      <c r="H462" s="449"/>
      <c r="I462" s="449"/>
      <c r="J462" s="426"/>
      <c r="K462" s="421"/>
      <c r="L462" s="449"/>
      <c r="M462" s="449"/>
      <c r="N462" s="449"/>
      <c r="O462" s="449"/>
      <c r="P462" s="449"/>
      <c r="Q462" s="449"/>
      <c r="R462" s="449"/>
      <c r="S462" s="449"/>
      <c r="T462" s="449"/>
      <c r="U462" s="449"/>
      <c r="V462" s="449"/>
      <c r="W462" s="449"/>
      <c r="X462" s="449"/>
      <c r="Y462" s="449"/>
      <c r="Z462" s="531"/>
      <c r="AA462" s="449"/>
      <c r="AB462" s="449"/>
      <c r="AC462" s="449"/>
      <c r="AD462" s="449"/>
      <c r="AE462" s="449"/>
      <c r="AF462" s="449"/>
      <c r="AG462" s="449"/>
      <c r="AH462" s="449"/>
      <c r="AI462" s="449"/>
      <c r="AJ462" s="449"/>
      <c r="AK462" s="449"/>
      <c r="AL462" s="449"/>
      <c r="AM462" s="400"/>
      <c r="AN462" s="500"/>
      <c r="AO462" s="449"/>
      <c r="AP462" s="449"/>
      <c r="AQ462" s="453"/>
      <c r="AR462" s="449"/>
      <c r="AS462" s="449"/>
      <c r="AT462" s="426"/>
      <c r="AU462" s="421"/>
      <c r="AV462" s="449"/>
      <c r="AW462" s="449"/>
      <c r="AX462" s="449"/>
      <c r="AY462" s="449"/>
      <c r="AZ462" s="449"/>
      <c r="BA462" s="449"/>
      <c r="BB462" s="449"/>
      <c r="BC462" s="449"/>
      <c r="BD462" s="449"/>
      <c r="BE462" s="449"/>
      <c r="BF462" s="449"/>
      <c r="BG462" s="449"/>
      <c r="BH462" s="531"/>
      <c r="BI462" s="449"/>
      <c r="BJ462" s="449"/>
      <c r="BK462" s="449"/>
      <c r="BL462" s="771"/>
      <c r="BM462" s="449"/>
      <c r="BN462" s="449"/>
      <c r="BO462" s="449"/>
      <c r="BP462" s="449"/>
      <c r="BQ462" s="449"/>
      <c r="BR462" s="449"/>
      <c r="BS462" s="449"/>
      <c r="BT462" s="449"/>
      <c r="BU462" s="400"/>
      <c r="BV462" s="400"/>
    </row>
    <row r="463" spans="1:74" x14ac:dyDescent="0.25">
      <c r="A463" s="615" t="s">
        <v>779</v>
      </c>
      <c r="B463" s="502" t="s">
        <v>780</v>
      </c>
      <c r="C463" s="600" t="s">
        <v>781</v>
      </c>
      <c r="D463" s="500">
        <v>196100</v>
      </c>
      <c r="E463" s="449">
        <v>173164.42543399998</v>
      </c>
      <c r="F463" s="449">
        <v>22935.574566000025</v>
      </c>
      <c r="G463" s="421">
        <v>0.13244969056731407</v>
      </c>
      <c r="H463" s="449">
        <v>196100</v>
      </c>
      <c r="I463" s="449">
        <v>0</v>
      </c>
      <c r="J463" s="426">
        <v>0</v>
      </c>
      <c r="K463" s="421"/>
      <c r="L463" s="449">
        <v>14205.61</v>
      </c>
      <c r="M463" s="449">
        <v>13955.599999999999</v>
      </c>
      <c r="N463" s="449">
        <v>20862.700000000004</v>
      </c>
      <c r="O463" s="449">
        <v>16257.96</v>
      </c>
      <c r="P463" s="449">
        <v>16257.980000000003</v>
      </c>
      <c r="Q463" s="449">
        <v>16641.64</v>
      </c>
      <c r="R463" s="449">
        <v>16319.751666666665</v>
      </c>
      <c r="S463" s="449">
        <v>16319.751666666667</v>
      </c>
      <c r="T463" s="449">
        <v>16319.751666666667</v>
      </c>
      <c r="U463" s="449">
        <v>16319.751666666669</v>
      </c>
      <c r="V463" s="449">
        <v>16319.751666666663</v>
      </c>
      <c r="W463" s="449">
        <v>16319.751666666649</v>
      </c>
      <c r="X463" s="449"/>
      <c r="Y463" s="449">
        <v>196100</v>
      </c>
      <c r="Z463" s="531"/>
      <c r="AA463" s="449">
        <v>16341.666666666666</v>
      </c>
      <c r="AB463" s="449">
        <v>16341.666666666666</v>
      </c>
      <c r="AC463" s="449">
        <v>16341.666666666666</v>
      </c>
      <c r="AD463" s="449">
        <v>16341.666666666666</v>
      </c>
      <c r="AE463" s="449">
        <v>16341.666666666666</v>
      </c>
      <c r="AF463" s="449">
        <v>16341.666666666666</v>
      </c>
      <c r="AG463" s="449">
        <v>16341.666666666666</v>
      </c>
      <c r="AH463" s="449">
        <v>16341.666666666666</v>
      </c>
      <c r="AI463" s="449">
        <v>16341.666666666666</v>
      </c>
      <c r="AJ463" s="449">
        <v>16341.666666666666</v>
      </c>
      <c r="AK463" s="449">
        <v>16341.666666666666</v>
      </c>
      <c r="AL463" s="449">
        <v>16341.666666666666</v>
      </c>
      <c r="AM463" s="400"/>
      <c r="AN463" s="500">
        <v>196100</v>
      </c>
      <c r="AO463" s="449">
        <v>215631.24497991972</v>
      </c>
      <c r="AP463" s="449">
        <v>19531.24497991972</v>
      </c>
      <c r="AQ463" s="453">
        <v>9.9598393574297395E-2</v>
      </c>
      <c r="AR463" s="449">
        <v>215631.24497991972</v>
      </c>
      <c r="AS463" s="449">
        <v>0</v>
      </c>
      <c r="AT463" s="426">
        <v>0</v>
      </c>
      <c r="AU463" s="421"/>
      <c r="AV463" s="449">
        <v>17969.270414993309</v>
      </c>
      <c r="AW463" s="449">
        <v>17969.270414993309</v>
      </c>
      <c r="AX463" s="449">
        <v>17969.270414993309</v>
      </c>
      <c r="AY463" s="449">
        <v>17969.270414993309</v>
      </c>
      <c r="AZ463" s="449">
        <v>17969.270414993309</v>
      </c>
      <c r="BA463" s="449">
        <v>17969.270414993309</v>
      </c>
      <c r="BB463" s="449">
        <v>17969.270414993309</v>
      </c>
      <c r="BC463" s="449">
        <v>17969.270414993309</v>
      </c>
      <c r="BD463" s="449">
        <v>17969.270414993309</v>
      </c>
      <c r="BE463" s="449">
        <v>17969.270414993309</v>
      </c>
      <c r="BF463" s="449">
        <v>17969.270414993309</v>
      </c>
      <c r="BG463" s="449">
        <v>17969.270414993309</v>
      </c>
      <c r="BH463" s="400"/>
      <c r="BI463" s="449">
        <v>17969.270414993309</v>
      </c>
      <c r="BJ463" s="449">
        <v>17969.270414993309</v>
      </c>
      <c r="BK463" s="449">
        <v>17969.270414993309</v>
      </c>
      <c r="BL463" s="771">
        <v>17969.270414993309</v>
      </c>
      <c r="BM463" s="449">
        <v>17969.270414993309</v>
      </c>
      <c r="BN463" s="449">
        <v>17969.270414993309</v>
      </c>
      <c r="BO463" s="449">
        <v>17969.270414993309</v>
      </c>
      <c r="BP463" s="449">
        <v>17969.270414993309</v>
      </c>
      <c r="BQ463" s="449">
        <v>17969.270414993309</v>
      </c>
      <c r="BR463" s="449">
        <v>17969.270414993309</v>
      </c>
      <c r="BS463" s="449">
        <v>17969.270414993309</v>
      </c>
      <c r="BT463" s="449">
        <v>17969.270414993309</v>
      </c>
      <c r="BU463" s="400"/>
      <c r="BV463" s="400"/>
    </row>
    <row r="464" spans="1:74" x14ac:dyDescent="0.25">
      <c r="A464" s="502" t="s">
        <v>782</v>
      </c>
      <c r="B464" s="502" t="s">
        <v>783</v>
      </c>
      <c r="C464" s="630"/>
      <c r="D464" s="500">
        <v>51500</v>
      </c>
      <c r="E464" s="449">
        <v>51500</v>
      </c>
      <c r="F464" s="449">
        <v>0</v>
      </c>
      <c r="G464" s="421">
        <v>0</v>
      </c>
      <c r="H464" s="449">
        <v>51500</v>
      </c>
      <c r="I464" s="449">
        <v>0</v>
      </c>
      <c r="J464" s="426">
        <v>0</v>
      </c>
      <c r="K464" s="421"/>
      <c r="L464" s="449">
        <v>2971.16</v>
      </c>
      <c r="M464" s="449">
        <v>5744.23</v>
      </c>
      <c r="N464" s="449">
        <v>4159.6200000000008</v>
      </c>
      <c r="O464" s="449">
        <v>3961.5399999999991</v>
      </c>
      <c r="P464" s="449">
        <v>3961.5400000000009</v>
      </c>
      <c r="Q464" s="449">
        <v>4951.93</v>
      </c>
      <c r="R464" s="449">
        <v>4291.663333333333</v>
      </c>
      <c r="S464" s="449">
        <v>4291.663333333333</v>
      </c>
      <c r="T464" s="449">
        <v>4291.6633333333339</v>
      </c>
      <c r="U464" s="449">
        <v>4291.6633333333348</v>
      </c>
      <c r="V464" s="449">
        <v>4291.6633333333339</v>
      </c>
      <c r="W464" s="449">
        <v>4291.6633333333302</v>
      </c>
      <c r="X464" s="449"/>
      <c r="Y464" s="449">
        <v>51500</v>
      </c>
      <c r="Z464" s="531"/>
      <c r="AA464" s="449">
        <v>4291.666666666667</v>
      </c>
      <c r="AB464" s="449">
        <v>4291.666666666667</v>
      </c>
      <c r="AC464" s="449">
        <v>4291.666666666667</v>
      </c>
      <c r="AD464" s="449">
        <v>4291.666666666667</v>
      </c>
      <c r="AE464" s="449">
        <v>4291.666666666667</v>
      </c>
      <c r="AF464" s="449">
        <v>4291.666666666667</v>
      </c>
      <c r="AG464" s="449">
        <v>4291.666666666667</v>
      </c>
      <c r="AH464" s="449">
        <v>4291.666666666667</v>
      </c>
      <c r="AI464" s="449">
        <v>4291.666666666667</v>
      </c>
      <c r="AJ464" s="449">
        <v>4291.666666666667</v>
      </c>
      <c r="AK464" s="449">
        <v>4291.666666666667</v>
      </c>
      <c r="AL464" s="449">
        <v>4291.666666666667</v>
      </c>
      <c r="AM464" s="400"/>
      <c r="AN464" s="500">
        <v>51500</v>
      </c>
      <c r="AO464" s="449">
        <v>53044.999999999993</v>
      </c>
      <c r="AP464" s="449">
        <v>1544.9999999999927</v>
      </c>
      <c r="AQ464" s="453">
        <v>2.999999999999986E-2</v>
      </c>
      <c r="AR464" s="449">
        <v>53044.999999999993</v>
      </c>
      <c r="AS464" s="449">
        <v>0</v>
      </c>
      <c r="AT464" s="426">
        <v>0</v>
      </c>
      <c r="AU464" s="421"/>
      <c r="AV464" s="449">
        <v>4420.416666666667</v>
      </c>
      <c r="AW464" s="449">
        <v>4420.416666666667</v>
      </c>
      <c r="AX464" s="449">
        <v>4420.416666666667</v>
      </c>
      <c r="AY464" s="449">
        <v>4420.416666666667</v>
      </c>
      <c r="AZ464" s="449">
        <v>4420.416666666667</v>
      </c>
      <c r="BA464" s="449">
        <v>4420.416666666667</v>
      </c>
      <c r="BB464" s="449">
        <v>4420.416666666667</v>
      </c>
      <c r="BC464" s="449">
        <v>4420.416666666667</v>
      </c>
      <c r="BD464" s="449">
        <v>4420.416666666667</v>
      </c>
      <c r="BE464" s="449">
        <v>4420.416666666667</v>
      </c>
      <c r="BF464" s="449">
        <v>4420.416666666667</v>
      </c>
      <c r="BG464" s="449">
        <v>4420.416666666667</v>
      </c>
      <c r="BH464" s="400"/>
      <c r="BI464" s="449">
        <v>4420.416666666667</v>
      </c>
      <c r="BJ464" s="449">
        <v>4420.416666666667</v>
      </c>
      <c r="BK464" s="449">
        <v>4420.416666666667</v>
      </c>
      <c r="BL464" s="771">
        <v>4420.416666666667</v>
      </c>
      <c r="BM464" s="449">
        <v>4420.416666666667</v>
      </c>
      <c r="BN464" s="449">
        <v>4420.416666666667</v>
      </c>
      <c r="BO464" s="449">
        <v>4420.416666666667</v>
      </c>
      <c r="BP464" s="449">
        <v>4420.416666666667</v>
      </c>
      <c r="BQ464" s="449">
        <v>4420.416666666667</v>
      </c>
      <c r="BR464" s="449">
        <v>4420.416666666667</v>
      </c>
      <c r="BS464" s="449">
        <v>4420.416666666667</v>
      </c>
      <c r="BT464" s="449">
        <v>4420.416666666667</v>
      </c>
      <c r="BU464" s="400"/>
      <c r="BV464" s="400"/>
    </row>
    <row r="465" spans="1:74" x14ac:dyDescent="0.25">
      <c r="A465" s="502" t="s">
        <v>784</v>
      </c>
      <c r="B465" s="502" t="s">
        <v>785</v>
      </c>
      <c r="C465" s="630"/>
      <c r="D465" s="500">
        <v>3000</v>
      </c>
      <c r="E465" s="449">
        <v>3000</v>
      </c>
      <c r="F465" s="449">
        <v>0</v>
      </c>
      <c r="G465" s="421">
        <v>0</v>
      </c>
      <c r="H465" s="449">
        <v>3000</v>
      </c>
      <c r="I465" s="449">
        <v>0</v>
      </c>
      <c r="J465" s="426">
        <v>0</v>
      </c>
      <c r="K465" s="421"/>
      <c r="L465" s="449">
        <v>0</v>
      </c>
      <c r="M465" s="449">
        <v>0</v>
      </c>
      <c r="N465" s="449">
        <v>0</v>
      </c>
      <c r="O465" s="449">
        <v>3000</v>
      </c>
      <c r="P465" s="449">
        <v>0</v>
      </c>
      <c r="Q465" s="449">
        <v>0</v>
      </c>
      <c r="R465" s="449">
        <v>0</v>
      </c>
      <c r="S465" s="449">
        <v>0</v>
      </c>
      <c r="T465" s="449">
        <v>0</v>
      </c>
      <c r="U465" s="449">
        <v>0</v>
      </c>
      <c r="V465" s="449">
        <v>0</v>
      </c>
      <c r="W465" s="449">
        <v>0</v>
      </c>
      <c r="X465" s="449"/>
      <c r="Y465" s="449">
        <v>3000</v>
      </c>
      <c r="Z465" s="531"/>
      <c r="AA465" s="449">
        <v>250</v>
      </c>
      <c r="AB465" s="449">
        <v>250</v>
      </c>
      <c r="AC465" s="449">
        <v>250</v>
      </c>
      <c r="AD465" s="449">
        <v>250</v>
      </c>
      <c r="AE465" s="449">
        <v>250</v>
      </c>
      <c r="AF465" s="449">
        <v>250</v>
      </c>
      <c r="AG465" s="449">
        <v>250</v>
      </c>
      <c r="AH465" s="449">
        <v>250</v>
      </c>
      <c r="AI465" s="449">
        <v>250</v>
      </c>
      <c r="AJ465" s="449">
        <v>250</v>
      </c>
      <c r="AK465" s="449">
        <v>250</v>
      </c>
      <c r="AL465" s="449">
        <v>250</v>
      </c>
      <c r="AM465" s="400"/>
      <c r="AN465" s="500">
        <v>3000</v>
      </c>
      <c r="AO465" s="449">
        <v>3000</v>
      </c>
      <c r="AP465" s="449">
        <v>0</v>
      </c>
      <c r="AQ465" s="453">
        <v>0</v>
      </c>
      <c r="AR465" s="449">
        <v>3000</v>
      </c>
      <c r="AS465" s="449">
        <v>0</v>
      </c>
      <c r="AT465" s="426">
        <v>0</v>
      </c>
      <c r="AU465" s="421"/>
      <c r="AV465" s="449">
        <v>0</v>
      </c>
      <c r="AW465" s="449">
        <v>0</v>
      </c>
      <c r="AX465" s="449">
        <v>0</v>
      </c>
      <c r="AY465" s="449">
        <v>3000</v>
      </c>
      <c r="AZ465" s="449">
        <v>0</v>
      </c>
      <c r="BA465" s="449">
        <v>0</v>
      </c>
      <c r="BB465" s="449">
        <v>0</v>
      </c>
      <c r="BC465" s="449">
        <v>0</v>
      </c>
      <c r="BD465" s="449">
        <v>0</v>
      </c>
      <c r="BE465" s="449">
        <v>0</v>
      </c>
      <c r="BF465" s="449">
        <v>0</v>
      </c>
      <c r="BG465" s="449">
        <v>0</v>
      </c>
      <c r="BH465" s="400"/>
      <c r="BI465" s="449">
        <v>0</v>
      </c>
      <c r="BJ465" s="449">
        <v>0</v>
      </c>
      <c r="BK465" s="449">
        <v>0</v>
      </c>
      <c r="BL465" s="771">
        <v>3000</v>
      </c>
      <c r="BM465" s="449">
        <v>0</v>
      </c>
      <c r="BN465" s="449">
        <v>0</v>
      </c>
      <c r="BO465" s="449">
        <v>0</v>
      </c>
      <c r="BP465" s="449">
        <v>0</v>
      </c>
      <c r="BQ465" s="449">
        <v>0</v>
      </c>
      <c r="BR465" s="449">
        <v>0</v>
      </c>
      <c r="BS465" s="449">
        <v>0</v>
      </c>
      <c r="BT465" s="449">
        <v>0</v>
      </c>
      <c r="BU465" s="400"/>
      <c r="BV465" s="400"/>
    </row>
    <row r="466" spans="1:74" x14ac:dyDescent="0.25">
      <c r="A466" s="612" t="s">
        <v>786</v>
      </c>
      <c r="B466" s="502" t="s">
        <v>787</v>
      </c>
      <c r="C466" s="541"/>
      <c r="D466" s="500">
        <v>5565</v>
      </c>
      <c r="E466" s="449">
        <v>5565.25</v>
      </c>
      <c r="F466" s="449">
        <v>-0.25</v>
      </c>
      <c r="G466" s="421">
        <v>-4.4921611787430936E-5</v>
      </c>
      <c r="H466" s="449">
        <v>5565</v>
      </c>
      <c r="I466" s="449">
        <v>0</v>
      </c>
      <c r="J466" s="426">
        <v>0</v>
      </c>
      <c r="K466" s="421"/>
      <c r="L466" s="449">
        <v>463.85</v>
      </c>
      <c r="M466" s="449">
        <v>891.14</v>
      </c>
      <c r="N466" s="449">
        <v>467.93000000000006</v>
      </c>
      <c r="O466" s="449">
        <v>532.55999999999995</v>
      </c>
      <c r="P466" s="449">
        <v>303.05999999999995</v>
      </c>
      <c r="Q466" s="449">
        <v>378.82000000000016</v>
      </c>
      <c r="R466" s="449">
        <v>421.27333333333331</v>
      </c>
      <c r="S466" s="449">
        <v>421.27333333333337</v>
      </c>
      <c r="T466" s="449">
        <v>421.27333333333331</v>
      </c>
      <c r="U466" s="449">
        <v>421.27333333333326</v>
      </c>
      <c r="V466" s="449">
        <v>421.27333333333308</v>
      </c>
      <c r="W466" s="449">
        <v>421.27333333333263</v>
      </c>
      <c r="X466" s="449"/>
      <c r="Y466" s="449">
        <v>5565</v>
      </c>
      <c r="Z466" s="531"/>
      <c r="AA466" s="449">
        <v>463.75</v>
      </c>
      <c r="AB466" s="449">
        <v>463.75</v>
      </c>
      <c r="AC466" s="449">
        <v>463.75</v>
      </c>
      <c r="AD466" s="449">
        <v>463.75</v>
      </c>
      <c r="AE466" s="449">
        <v>463.75</v>
      </c>
      <c r="AF466" s="449">
        <v>463.75</v>
      </c>
      <c r="AG466" s="449">
        <v>463.75</v>
      </c>
      <c r="AH466" s="449">
        <v>463.75</v>
      </c>
      <c r="AI466" s="449">
        <v>463.75</v>
      </c>
      <c r="AJ466" s="449">
        <v>463.75</v>
      </c>
      <c r="AK466" s="449">
        <v>463.75</v>
      </c>
      <c r="AL466" s="449">
        <v>463.75</v>
      </c>
      <c r="AM466" s="400"/>
      <c r="AN466" s="500">
        <v>5565</v>
      </c>
      <c r="AO466" s="449">
        <v>5678.94</v>
      </c>
      <c r="AP466" s="449">
        <v>113.9399999999996</v>
      </c>
      <c r="AQ466" s="453">
        <v>2.0474393530997233E-2</v>
      </c>
      <c r="AR466" s="449">
        <v>5678.94</v>
      </c>
      <c r="AS466" s="449">
        <v>0</v>
      </c>
      <c r="AT466" s="426">
        <v>0</v>
      </c>
      <c r="AU466" s="421"/>
      <c r="AV466" s="449">
        <v>473.24500000000006</v>
      </c>
      <c r="AW466" s="449">
        <v>473.24500000000006</v>
      </c>
      <c r="AX466" s="449">
        <v>473.24500000000006</v>
      </c>
      <c r="AY466" s="449">
        <v>473.24500000000006</v>
      </c>
      <c r="AZ466" s="449">
        <v>473.24500000000006</v>
      </c>
      <c r="BA466" s="449">
        <v>473.24500000000006</v>
      </c>
      <c r="BB466" s="449">
        <v>473.24500000000006</v>
      </c>
      <c r="BC466" s="449">
        <v>473.24500000000006</v>
      </c>
      <c r="BD466" s="449">
        <v>473.24500000000006</v>
      </c>
      <c r="BE466" s="449">
        <v>473.24500000000006</v>
      </c>
      <c r="BF466" s="449">
        <v>473.24500000000006</v>
      </c>
      <c r="BG466" s="449">
        <v>473.24500000000006</v>
      </c>
      <c r="BH466" s="400"/>
      <c r="BI466" s="449">
        <v>473.24500000000006</v>
      </c>
      <c r="BJ466" s="449">
        <v>473.24500000000006</v>
      </c>
      <c r="BK466" s="449">
        <v>473.24500000000006</v>
      </c>
      <c r="BL466" s="771">
        <v>473.24500000000006</v>
      </c>
      <c r="BM466" s="449">
        <v>473.24500000000006</v>
      </c>
      <c r="BN466" s="449">
        <v>473.24500000000006</v>
      </c>
      <c r="BO466" s="449">
        <v>473.24500000000006</v>
      </c>
      <c r="BP466" s="449">
        <v>473.24500000000006</v>
      </c>
      <c r="BQ466" s="449">
        <v>473.24500000000006</v>
      </c>
      <c r="BR466" s="449">
        <v>473.24500000000006</v>
      </c>
      <c r="BS466" s="449">
        <v>473.24500000000006</v>
      </c>
      <c r="BT466" s="449">
        <v>473.24500000000006</v>
      </c>
      <c r="BU466" s="400"/>
      <c r="BV466" s="400"/>
    </row>
    <row r="467" spans="1:74" x14ac:dyDescent="0.25">
      <c r="A467" s="502" t="s">
        <v>788</v>
      </c>
      <c r="B467" s="502" t="s">
        <v>789</v>
      </c>
      <c r="C467" s="541"/>
      <c r="D467" s="500">
        <v>8702</v>
      </c>
      <c r="E467" s="449">
        <v>8702.1999999999989</v>
      </c>
      <c r="F467" s="449">
        <v>-0.19999999999890861</v>
      </c>
      <c r="G467" s="421">
        <v>-2.2982694031268946E-5</v>
      </c>
      <c r="H467" s="449">
        <v>8702</v>
      </c>
      <c r="I467" s="449">
        <v>0</v>
      </c>
      <c r="J467" s="426">
        <v>0</v>
      </c>
      <c r="K467" s="421"/>
      <c r="L467" s="449">
        <v>525.74</v>
      </c>
      <c r="M467" s="449">
        <v>525.74</v>
      </c>
      <c r="N467" s="449">
        <v>860.81999999999994</v>
      </c>
      <c r="O467" s="449">
        <v>1914.3300000000002</v>
      </c>
      <c r="P467" s="449">
        <v>859.21</v>
      </c>
      <c r="Q467" s="449">
        <v>616.85999999999967</v>
      </c>
      <c r="R467" s="449">
        <v>566.55000000000007</v>
      </c>
      <c r="S467" s="449">
        <v>566.54999999999995</v>
      </c>
      <c r="T467" s="449">
        <v>566.54999999999995</v>
      </c>
      <c r="U467" s="449">
        <v>566.54999999999984</v>
      </c>
      <c r="V467" s="449">
        <v>566.54999999999973</v>
      </c>
      <c r="W467" s="449">
        <v>566.54999999999927</v>
      </c>
      <c r="X467" s="449"/>
      <c r="Y467" s="449">
        <v>8702</v>
      </c>
      <c r="Z467" s="531"/>
      <c r="AA467" s="449">
        <v>725.16666666666663</v>
      </c>
      <c r="AB467" s="449">
        <v>725.16666666666663</v>
      </c>
      <c r="AC467" s="449">
        <v>725.16666666666663</v>
      </c>
      <c r="AD467" s="449">
        <v>725.16666666666663</v>
      </c>
      <c r="AE467" s="449">
        <v>725.16666666666663</v>
      </c>
      <c r="AF467" s="449">
        <v>725.16666666666663</v>
      </c>
      <c r="AG467" s="449">
        <v>725.16666666666663</v>
      </c>
      <c r="AH467" s="449">
        <v>725.16666666666663</v>
      </c>
      <c r="AI467" s="449">
        <v>725.16666666666663</v>
      </c>
      <c r="AJ467" s="449">
        <v>725.16666666666663</v>
      </c>
      <c r="AK467" s="449">
        <v>725.16666666666663</v>
      </c>
      <c r="AL467" s="449">
        <v>725.16666666666663</v>
      </c>
      <c r="AM467" s="400"/>
      <c r="AN467" s="500">
        <v>8702</v>
      </c>
      <c r="AO467" s="449">
        <v>8094.6670000000022</v>
      </c>
      <c r="AP467" s="449">
        <v>-607.33299999999781</v>
      </c>
      <c r="AQ467" s="453">
        <v>-6.9792346586991238E-2</v>
      </c>
      <c r="AR467" s="449">
        <v>8094.6670000000022</v>
      </c>
      <c r="AS467" s="449">
        <v>0</v>
      </c>
      <c r="AT467" s="426">
        <v>0</v>
      </c>
      <c r="AU467" s="421"/>
      <c r="AV467" s="449">
        <v>674.5555833333334</v>
      </c>
      <c r="AW467" s="449">
        <v>674.5555833333334</v>
      </c>
      <c r="AX467" s="449">
        <v>674.5555833333334</v>
      </c>
      <c r="AY467" s="449">
        <v>674.5555833333334</v>
      </c>
      <c r="AZ467" s="449">
        <v>674.5555833333334</v>
      </c>
      <c r="BA467" s="449">
        <v>674.5555833333334</v>
      </c>
      <c r="BB467" s="449">
        <v>674.5555833333334</v>
      </c>
      <c r="BC467" s="449">
        <v>674.5555833333334</v>
      </c>
      <c r="BD467" s="449">
        <v>674.5555833333334</v>
      </c>
      <c r="BE467" s="449">
        <v>674.5555833333334</v>
      </c>
      <c r="BF467" s="449">
        <v>674.5555833333334</v>
      </c>
      <c r="BG467" s="449">
        <v>674.5555833333334</v>
      </c>
      <c r="BH467" s="400"/>
      <c r="BI467" s="449">
        <v>674.5555833333334</v>
      </c>
      <c r="BJ467" s="449">
        <v>674.5555833333334</v>
      </c>
      <c r="BK467" s="449">
        <v>674.5555833333334</v>
      </c>
      <c r="BL467" s="771">
        <v>674.5555833333334</v>
      </c>
      <c r="BM467" s="449">
        <v>674.5555833333334</v>
      </c>
      <c r="BN467" s="449">
        <v>674.5555833333334</v>
      </c>
      <c r="BO467" s="449">
        <v>674.5555833333334</v>
      </c>
      <c r="BP467" s="449">
        <v>674.5555833333334</v>
      </c>
      <c r="BQ467" s="449">
        <v>674.5555833333334</v>
      </c>
      <c r="BR467" s="449">
        <v>674.5555833333334</v>
      </c>
      <c r="BS467" s="449">
        <v>674.5555833333334</v>
      </c>
      <c r="BT467" s="449">
        <v>674.5555833333334</v>
      </c>
      <c r="BU467" s="400"/>
      <c r="BV467" s="400"/>
    </row>
    <row r="468" spans="1:74" hidden="1" x14ac:dyDescent="0.25">
      <c r="A468" s="502" t="s">
        <v>790</v>
      </c>
      <c r="B468" s="502" t="s">
        <v>791</v>
      </c>
      <c r="C468" s="541"/>
      <c r="D468" s="500">
        <v>0</v>
      </c>
      <c r="E468" s="449">
        <v>0</v>
      </c>
      <c r="F468" s="449">
        <v>0</v>
      </c>
      <c r="G468" s="421">
        <v>0</v>
      </c>
      <c r="H468" s="449">
        <v>0</v>
      </c>
      <c r="I468" s="449">
        <v>0</v>
      </c>
      <c r="J468" s="426">
        <v>0</v>
      </c>
      <c r="K468" s="421"/>
      <c r="L468" s="449">
        <v>0</v>
      </c>
      <c r="M468" s="449">
        <v>0</v>
      </c>
      <c r="N468" s="449">
        <v>0</v>
      </c>
      <c r="O468" s="449">
        <v>0</v>
      </c>
      <c r="P468" s="449">
        <v>0</v>
      </c>
      <c r="Q468" s="449">
        <v>0</v>
      </c>
      <c r="R468" s="449">
        <v>0</v>
      </c>
      <c r="S468" s="449">
        <v>0</v>
      </c>
      <c r="T468" s="449">
        <v>0</v>
      </c>
      <c r="U468" s="449">
        <v>0</v>
      </c>
      <c r="V468" s="449">
        <v>0</v>
      </c>
      <c r="W468" s="449">
        <v>0</v>
      </c>
      <c r="X468" s="449"/>
      <c r="Y468" s="449">
        <v>0</v>
      </c>
      <c r="Z468" s="531"/>
      <c r="AA468" s="449">
        <v>0</v>
      </c>
      <c r="AB468" s="449">
        <v>0</v>
      </c>
      <c r="AC468" s="449">
        <v>0</v>
      </c>
      <c r="AD468" s="449">
        <v>0</v>
      </c>
      <c r="AE468" s="449">
        <v>0</v>
      </c>
      <c r="AF468" s="449">
        <v>0</v>
      </c>
      <c r="AG468" s="449">
        <v>0</v>
      </c>
      <c r="AH468" s="449">
        <v>0</v>
      </c>
      <c r="AI468" s="449">
        <v>0</v>
      </c>
      <c r="AJ468" s="449">
        <v>0</v>
      </c>
      <c r="AK468" s="449">
        <v>0</v>
      </c>
      <c r="AL468" s="449">
        <v>0</v>
      </c>
      <c r="AM468" s="400"/>
      <c r="AN468" s="500">
        <v>0</v>
      </c>
      <c r="AO468" s="449">
        <v>0</v>
      </c>
      <c r="AP468" s="449">
        <v>0</v>
      </c>
      <c r="AQ468" s="453" t="s">
        <v>1519</v>
      </c>
      <c r="AR468" s="449">
        <v>0</v>
      </c>
      <c r="AS468" s="449">
        <v>0</v>
      </c>
      <c r="AT468" s="426">
        <v>0</v>
      </c>
      <c r="AU468" s="421"/>
      <c r="AV468" s="449">
        <v>0</v>
      </c>
      <c r="AW468" s="449">
        <v>0</v>
      </c>
      <c r="AX468" s="449">
        <v>0</v>
      </c>
      <c r="AY468" s="449">
        <v>0</v>
      </c>
      <c r="AZ468" s="449">
        <v>0</v>
      </c>
      <c r="BA468" s="449">
        <v>0</v>
      </c>
      <c r="BB468" s="449">
        <v>0</v>
      </c>
      <c r="BC468" s="449">
        <v>0</v>
      </c>
      <c r="BD468" s="449">
        <v>0</v>
      </c>
      <c r="BE468" s="449">
        <v>0</v>
      </c>
      <c r="BF468" s="449">
        <v>0</v>
      </c>
      <c r="BG468" s="449">
        <v>0</v>
      </c>
      <c r="BH468" s="400"/>
      <c r="BI468" s="449">
        <v>0</v>
      </c>
      <c r="BJ468" s="449">
        <v>0</v>
      </c>
      <c r="BK468" s="449">
        <v>0</v>
      </c>
      <c r="BL468" s="771">
        <v>0</v>
      </c>
      <c r="BM468" s="449">
        <v>0</v>
      </c>
      <c r="BN468" s="449">
        <v>0</v>
      </c>
      <c r="BO468" s="449">
        <v>0</v>
      </c>
      <c r="BP468" s="449">
        <v>0</v>
      </c>
      <c r="BQ468" s="449">
        <v>0</v>
      </c>
      <c r="BR468" s="449">
        <v>0</v>
      </c>
      <c r="BS468" s="449">
        <v>0</v>
      </c>
      <c r="BT468" s="449">
        <v>0</v>
      </c>
      <c r="BU468" s="400"/>
      <c r="BV468" s="400"/>
    </row>
    <row r="469" spans="1:74" hidden="1" x14ac:dyDescent="0.25">
      <c r="A469" s="502" t="s">
        <v>792</v>
      </c>
      <c r="B469" s="502" t="s">
        <v>793</v>
      </c>
      <c r="C469" s="541"/>
      <c r="D469" s="500">
        <v>0</v>
      </c>
      <c r="E469" s="449">
        <v>0</v>
      </c>
      <c r="F469" s="449">
        <v>0</v>
      </c>
      <c r="G469" s="421">
        <v>0</v>
      </c>
      <c r="H469" s="449">
        <v>0</v>
      </c>
      <c r="I469" s="449">
        <v>0</v>
      </c>
      <c r="J469" s="426">
        <v>0</v>
      </c>
      <c r="K469" s="421"/>
      <c r="L469" s="449">
        <v>0</v>
      </c>
      <c r="M469" s="449">
        <v>0</v>
      </c>
      <c r="N469" s="449">
        <v>0</v>
      </c>
      <c r="O469" s="449">
        <v>0</v>
      </c>
      <c r="P469" s="449">
        <v>0</v>
      </c>
      <c r="Q469" s="449">
        <v>0</v>
      </c>
      <c r="R469" s="449">
        <v>0</v>
      </c>
      <c r="S469" s="449">
        <v>0</v>
      </c>
      <c r="T469" s="449">
        <v>0</v>
      </c>
      <c r="U469" s="449">
        <v>0</v>
      </c>
      <c r="V469" s="449">
        <v>0</v>
      </c>
      <c r="W469" s="449">
        <v>0</v>
      </c>
      <c r="X469" s="449"/>
      <c r="Y469" s="449">
        <v>0</v>
      </c>
      <c r="Z469" s="531"/>
      <c r="AA469" s="449">
        <v>0</v>
      </c>
      <c r="AB469" s="449">
        <v>0</v>
      </c>
      <c r="AC469" s="449">
        <v>0</v>
      </c>
      <c r="AD469" s="449">
        <v>0</v>
      </c>
      <c r="AE469" s="449">
        <v>0</v>
      </c>
      <c r="AF469" s="449">
        <v>0</v>
      </c>
      <c r="AG469" s="449">
        <v>0</v>
      </c>
      <c r="AH469" s="449">
        <v>0</v>
      </c>
      <c r="AI469" s="449">
        <v>0</v>
      </c>
      <c r="AJ469" s="449">
        <v>0</v>
      </c>
      <c r="AK469" s="449">
        <v>0</v>
      </c>
      <c r="AL469" s="449">
        <v>0</v>
      </c>
      <c r="AM469" s="400"/>
      <c r="AN469" s="500">
        <v>0</v>
      </c>
      <c r="AO469" s="449">
        <v>0</v>
      </c>
      <c r="AP469" s="449">
        <v>0</v>
      </c>
      <c r="AQ469" s="453" t="s">
        <v>1519</v>
      </c>
      <c r="AR469" s="449">
        <v>0</v>
      </c>
      <c r="AS469" s="449">
        <v>0</v>
      </c>
      <c r="AT469" s="426">
        <v>0</v>
      </c>
      <c r="AU469" s="421"/>
      <c r="AV469" s="449">
        <v>0</v>
      </c>
      <c r="AW469" s="449">
        <v>0</v>
      </c>
      <c r="AX469" s="449">
        <v>0</v>
      </c>
      <c r="AY469" s="449">
        <v>0</v>
      </c>
      <c r="AZ469" s="449">
        <v>0</v>
      </c>
      <c r="BA469" s="449">
        <v>0</v>
      </c>
      <c r="BB469" s="449">
        <v>0</v>
      </c>
      <c r="BC469" s="449">
        <v>0</v>
      </c>
      <c r="BD469" s="449">
        <v>0</v>
      </c>
      <c r="BE469" s="449">
        <v>0</v>
      </c>
      <c r="BF469" s="449">
        <v>0</v>
      </c>
      <c r="BG469" s="449">
        <v>0</v>
      </c>
      <c r="BH469" s="400"/>
      <c r="BI469" s="449">
        <v>0</v>
      </c>
      <c r="BJ469" s="449">
        <v>0</v>
      </c>
      <c r="BK469" s="449">
        <v>0</v>
      </c>
      <c r="BL469" s="771">
        <v>0</v>
      </c>
      <c r="BM469" s="449">
        <v>0</v>
      </c>
      <c r="BN469" s="449">
        <v>0</v>
      </c>
      <c r="BO469" s="449">
        <v>0</v>
      </c>
      <c r="BP469" s="449">
        <v>0</v>
      </c>
      <c r="BQ469" s="449">
        <v>0</v>
      </c>
      <c r="BR469" s="449">
        <v>0</v>
      </c>
      <c r="BS469" s="449">
        <v>0</v>
      </c>
      <c r="BT469" s="449">
        <v>0</v>
      </c>
      <c r="BU469" s="400"/>
      <c r="BV469" s="400"/>
    </row>
    <row r="470" spans="1:74" x14ac:dyDescent="0.25">
      <c r="A470" s="502" t="s">
        <v>794</v>
      </c>
      <c r="B470" s="502" t="s">
        <v>795</v>
      </c>
      <c r="C470" s="541"/>
      <c r="D470" s="500">
        <v>2060</v>
      </c>
      <c r="E470" s="449">
        <v>2060</v>
      </c>
      <c r="F470" s="449">
        <v>0</v>
      </c>
      <c r="G470" s="421">
        <v>0</v>
      </c>
      <c r="H470" s="449">
        <v>2060</v>
      </c>
      <c r="I470" s="449">
        <v>0</v>
      </c>
      <c r="J470" s="426">
        <v>0</v>
      </c>
      <c r="K470" s="421"/>
      <c r="L470" s="449">
        <v>118.85</v>
      </c>
      <c r="M470" s="449">
        <v>229.77</v>
      </c>
      <c r="N470" s="449">
        <v>166.38</v>
      </c>
      <c r="O470" s="449">
        <v>278.46000000000004</v>
      </c>
      <c r="P470" s="449">
        <v>158.45999999999992</v>
      </c>
      <c r="Q470" s="449">
        <v>198.08000000000004</v>
      </c>
      <c r="R470" s="449">
        <v>151.66666666666666</v>
      </c>
      <c r="S470" s="449">
        <v>151.66666666666666</v>
      </c>
      <c r="T470" s="449">
        <v>151.66666666666663</v>
      </c>
      <c r="U470" s="449">
        <v>151.66666666666666</v>
      </c>
      <c r="V470" s="449">
        <v>151.66666666666663</v>
      </c>
      <c r="W470" s="449">
        <v>151.66666666666652</v>
      </c>
      <c r="X470" s="449"/>
      <c r="Y470" s="449">
        <v>2060</v>
      </c>
      <c r="Z470" s="531"/>
      <c r="AA470" s="449">
        <v>171.66666666666666</v>
      </c>
      <c r="AB470" s="449">
        <v>171.66666666666666</v>
      </c>
      <c r="AC470" s="449">
        <v>171.66666666666666</v>
      </c>
      <c r="AD470" s="449">
        <v>171.66666666666666</v>
      </c>
      <c r="AE470" s="449">
        <v>171.66666666666666</v>
      </c>
      <c r="AF470" s="449">
        <v>171.66666666666666</v>
      </c>
      <c r="AG470" s="449">
        <v>171.66666666666666</v>
      </c>
      <c r="AH470" s="449">
        <v>171.66666666666666</v>
      </c>
      <c r="AI470" s="449">
        <v>171.66666666666666</v>
      </c>
      <c r="AJ470" s="449">
        <v>171.66666666666666</v>
      </c>
      <c r="AK470" s="449">
        <v>171.66666666666666</v>
      </c>
      <c r="AL470" s="449">
        <v>171.66666666666666</v>
      </c>
      <c r="AM470" s="400"/>
      <c r="AN470" s="500">
        <v>2060</v>
      </c>
      <c r="AO470" s="449">
        <v>2121.7999999999997</v>
      </c>
      <c r="AP470" s="449">
        <v>61.799999999999727</v>
      </c>
      <c r="AQ470" s="453">
        <v>2.9999999999999867E-2</v>
      </c>
      <c r="AR470" s="449">
        <v>2121.7999999999997</v>
      </c>
      <c r="AS470" s="449">
        <v>0</v>
      </c>
      <c r="AT470" s="426">
        <v>0</v>
      </c>
      <c r="AU470" s="421"/>
      <c r="AV470" s="449">
        <v>176.81666666666669</v>
      </c>
      <c r="AW470" s="449">
        <v>176.81666666666669</v>
      </c>
      <c r="AX470" s="449">
        <v>176.81666666666669</v>
      </c>
      <c r="AY470" s="449">
        <v>176.81666666666669</v>
      </c>
      <c r="AZ470" s="449">
        <v>176.81666666666669</v>
      </c>
      <c r="BA470" s="449">
        <v>176.81666666666669</v>
      </c>
      <c r="BB470" s="449">
        <v>176.81666666666669</v>
      </c>
      <c r="BC470" s="449">
        <v>176.81666666666669</v>
      </c>
      <c r="BD470" s="449">
        <v>176.81666666666669</v>
      </c>
      <c r="BE470" s="449">
        <v>176.81666666666669</v>
      </c>
      <c r="BF470" s="449">
        <v>176.81666666666669</v>
      </c>
      <c r="BG470" s="449">
        <v>176.81666666666669</v>
      </c>
      <c r="BH470" s="400"/>
      <c r="BI470" s="449">
        <v>176.81666666666669</v>
      </c>
      <c r="BJ470" s="449">
        <v>176.81666666666669</v>
      </c>
      <c r="BK470" s="449">
        <v>176.81666666666669</v>
      </c>
      <c r="BL470" s="771">
        <v>176.81666666666669</v>
      </c>
      <c r="BM470" s="449">
        <v>176.81666666666669</v>
      </c>
      <c r="BN470" s="449">
        <v>176.81666666666669</v>
      </c>
      <c r="BO470" s="449">
        <v>176.81666666666669</v>
      </c>
      <c r="BP470" s="449">
        <v>176.81666666666669</v>
      </c>
      <c r="BQ470" s="449">
        <v>176.81666666666669</v>
      </c>
      <c r="BR470" s="449">
        <v>176.81666666666669</v>
      </c>
      <c r="BS470" s="449">
        <v>176.81666666666669</v>
      </c>
      <c r="BT470" s="449">
        <v>176.81666666666669</v>
      </c>
      <c r="BU470" s="400"/>
      <c r="BV470" s="400"/>
    </row>
    <row r="471" spans="1:74" x14ac:dyDescent="0.25">
      <c r="A471" s="502" t="s">
        <v>796</v>
      </c>
      <c r="B471" s="502" t="s">
        <v>797</v>
      </c>
      <c r="C471" s="601" t="s">
        <v>798</v>
      </c>
      <c r="D471" s="500">
        <v>4823</v>
      </c>
      <c r="E471" s="449">
        <v>4822.5</v>
      </c>
      <c r="F471" s="449">
        <v>0.5</v>
      </c>
      <c r="G471" s="421">
        <v>1.0368066355624676E-4</v>
      </c>
      <c r="H471" s="449">
        <v>4823</v>
      </c>
      <c r="I471" s="449">
        <v>0</v>
      </c>
      <c r="J471" s="426">
        <v>0</v>
      </c>
      <c r="K471" s="421"/>
      <c r="L471" s="449">
        <v>0</v>
      </c>
      <c r="M471" s="449">
        <v>325</v>
      </c>
      <c r="N471" s="449">
        <v>0</v>
      </c>
      <c r="O471" s="449">
        <v>0</v>
      </c>
      <c r="P471" s="449">
        <v>11</v>
      </c>
      <c r="Q471" s="449">
        <v>61.029999999998836</v>
      </c>
      <c r="R471" s="449">
        <v>737.66166666666686</v>
      </c>
      <c r="S471" s="449">
        <v>737.66166666666686</v>
      </c>
      <c r="T471" s="449">
        <v>737.66166666666686</v>
      </c>
      <c r="U471" s="449">
        <v>737.66166666666686</v>
      </c>
      <c r="V471" s="449">
        <v>737.66166666666686</v>
      </c>
      <c r="W471" s="449">
        <v>737.66166666666686</v>
      </c>
      <c r="X471" s="449"/>
      <c r="Y471" s="449">
        <v>4823</v>
      </c>
      <c r="Z471" s="531"/>
      <c r="AA471" s="449">
        <v>401.91666666666669</v>
      </c>
      <c r="AB471" s="449">
        <v>401.91666666666669</v>
      </c>
      <c r="AC471" s="449">
        <v>401.91666666666669</v>
      </c>
      <c r="AD471" s="449">
        <v>401.91666666666669</v>
      </c>
      <c r="AE471" s="449">
        <v>401.91666666666669</v>
      </c>
      <c r="AF471" s="449">
        <v>401.91666666666669</v>
      </c>
      <c r="AG471" s="449">
        <v>401.91666666666669</v>
      </c>
      <c r="AH471" s="449">
        <v>401.91666666666669</v>
      </c>
      <c r="AI471" s="449">
        <v>401.91666666666669</v>
      </c>
      <c r="AJ471" s="449">
        <v>401.91666666666669</v>
      </c>
      <c r="AK471" s="449">
        <v>401.91666666666669</v>
      </c>
      <c r="AL471" s="449">
        <v>401.91666666666669</v>
      </c>
      <c r="AM471" s="400"/>
      <c r="AN471" s="500">
        <v>4823</v>
      </c>
      <c r="AO471" s="449">
        <v>4967.6900000000014</v>
      </c>
      <c r="AP471" s="449">
        <v>144.69000000000142</v>
      </c>
      <c r="AQ471" s="453">
        <v>3.0000000000000294E-2</v>
      </c>
      <c r="AR471" s="449">
        <v>4967.6900000000014</v>
      </c>
      <c r="AS471" s="449">
        <v>0</v>
      </c>
      <c r="AT471" s="426">
        <v>0</v>
      </c>
      <c r="AU471" s="421"/>
      <c r="AV471" s="449">
        <v>413.97416666666669</v>
      </c>
      <c r="AW471" s="449">
        <v>413.97416666666669</v>
      </c>
      <c r="AX471" s="449">
        <v>413.97416666666669</v>
      </c>
      <c r="AY471" s="449">
        <v>413.97416666666669</v>
      </c>
      <c r="AZ471" s="449">
        <v>413.97416666666669</v>
      </c>
      <c r="BA471" s="449">
        <v>413.97416666666669</v>
      </c>
      <c r="BB471" s="449">
        <v>413.97416666666669</v>
      </c>
      <c r="BC471" s="449">
        <v>413.97416666666669</v>
      </c>
      <c r="BD471" s="449">
        <v>413.97416666666669</v>
      </c>
      <c r="BE471" s="449">
        <v>413.97416666666669</v>
      </c>
      <c r="BF471" s="449">
        <v>413.97416666666669</v>
      </c>
      <c r="BG471" s="449">
        <v>413.97416666666669</v>
      </c>
      <c r="BH471" s="400"/>
      <c r="BI471" s="449">
        <v>413.97416666666669</v>
      </c>
      <c r="BJ471" s="449">
        <v>413.97416666666669</v>
      </c>
      <c r="BK471" s="449">
        <v>413.97416666666669</v>
      </c>
      <c r="BL471" s="771">
        <v>413.97416666666669</v>
      </c>
      <c r="BM471" s="449">
        <v>413.97416666666669</v>
      </c>
      <c r="BN471" s="449">
        <v>413.97416666666669</v>
      </c>
      <c r="BO471" s="449">
        <v>413.97416666666669</v>
      </c>
      <c r="BP471" s="449">
        <v>413.97416666666669</v>
      </c>
      <c r="BQ471" s="449">
        <v>413.97416666666669</v>
      </c>
      <c r="BR471" s="449">
        <v>413.97416666666669</v>
      </c>
      <c r="BS471" s="449">
        <v>413.97416666666669</v>
      </c>
      <c r="BT471" s="449">
        <v>413.97416666666669</v>
      </c>
      <c r="BU471" s="400"/>
      <c r="BV471" s="400"/>
    </row>
    <row r="472" spans="1:74" x14ac:dyDescent="0.25">
      <c r="A472" s="502" t="s">
        <v>799</v>
      </c>
      <c r="B472" s="502" t="s">
        <v>800</v>
      </c>
      <c r="C472" s="538"/>
      <c r="D472" s="500">
        <v>2000</v>
      </c>
      <c r="E472" s="449">
        <v>482.25</v>
      </c>
      <c r="F472" s="449">
        <v>1517.75</v>
      </c>
      <c r="G472" s="421">
        <v>3.1472265422498702</v>
      </c>
      <c r="H472" s="449">
        <v>2000</v>
      </c>
      <c r="I472" s="449">
        <v>0</v>
      </c>
      <c r="J472" s="426">
        <v>0</v>
      </c>
      <c r="K472" s="421"/>
      <c r="L472" s="449">
        <v>82.2</v>
      </c>
      <c r="M472" s="449">
        <v>280.85000000000002</v>
      </c>
      <c r="N472" s="449">
        <v>-45.100000000000023</v>
      </c>
      <c r="O472" s="449">
        <v>-142.54999999999998</v>
      </c>
      <c r="P472" s="449">
        <v>364.37</v>
      </c>
      <c r="Q472" s="449">
        <v>-52</v>
      </c>
      <c r="R472" s="449">
        <v>252.03833333333333</v>
      </c>
      <c r="S472" s="449">
        <v>252.03833333333333</v>
      </c>
      <c r="T472" s="449">
        <v>252.03833333333336</v>
      </c>
      <c r="U472" s="449">
        <v>252.03833333333333</v>
      </c>
      <c r="V472" s="449">
        <v>252.0383333333333</v>
      </c>
      <c r="W472" s="449">
        <v>252.03833333333341</v>
      </c>
      <c r="X472" s="449"/>
      <c r="Y472" s="449">
        <v>2000</v>
      </c>
      <c r="Z472" s="531"/>
      <c r="AA472" s="449">
        <v>166.66666666666666</v>
      </c>
      <c r="AB472" s="449">
        <v>166.66666666666666</v>
      </c>
      <c r="AC472" s="449">
        <v>166.66666666666666</v>
      </c>
      <c r="AD472" s="449">
        <v>166.66666666666666</v>
      </c>
      <c r="AE472" s="449">
        <v>166.66666666666666</v>
      </c>
      <c r="AF472" s="449">
        <v>166.66666666666666</v>
      </c>
      <c r="AG472" s="449">
        <v>166.66666666666666</v>
      </c>
      <c r="AH472" s="449">
        <v>166.66666666666666</v>
      </c>
      <c r="AI472" s="449">
        <v>166.66666666666666</v>
      </c>
      <c r="AJ472" s="449">
        <v>166.66666666666666</v>
      </c>
      <c r="AK472" s="449">
        <v>166.66666666666666</v>
      </c>
      <c r="AL472" s="449">
        <v>166.66666666666666</v>
      </c>
      <c r="AM472" s="400"/>
      <c r="AN472" s="500">
        <v>2000</v>
      </c>
      <c r="AO472" s="449">
        <v>2199.1967871485945</v>
      </c>
      <c r="AP472" s="449">
        <v>199.19678714859447</v>
      </c>
      <c r="AQ472" s="453">
        <v>9.9598393574297228E-2</v>
      </c>
      <c r="AR472" s="449">
        <v>2199.1967871485945</v>
      </c>
      <c r="AS472" s="449">
        <v>0</v>
      </c>
      <c r="AT472" s="426">
        <v>0</v>
      </c>
      <c r="AU472" s="421"/>
      <c r="AV472" s="449">
        <v>183.26639892904953</v>
      </c>
      <c r="AW472" s="449">
        <v>183.26639892904953</v>
      </c>
      <c r="AX472" s="449">
        <v>183.26639892904953</v>
      </c>
      <c r="AY472" s="449">
        <v>183.26639892904953</v>
      </c>
      <c r="AZ472" s="449">
        <v>183.26639892904953</v>
      </c>
      <c r="BA472" s="449">
        <v>183.26639892904953</v>
      </c>
      <c r="BB472" s="449">
        <v>183.26639892904953</v>
      </c>
      <c r="BC472" s="449">
        <v>183.26639892904953</v>
      </c>
      <c r="BD472" s="449">
        <v>183.26639892904953</v>
      </c>
      <c r="BE472" s="449">
        <v>183.26639892904953</v>
      </c>
      <c r="BF472" s="449">
        <v>183.26639892904953</v>
      </c>
      <c r="BG472" s="449">
        <v>183.26639892904953</v>
      </c>
      <c r="BH472" s="400"/>
      <c r="BI472" s="449">
        <v>183.26639892904953</v>
      </c>
      <c r="BJ472" s="449">
        <v>183.26639892904953</v>
      </c>
      <c r="BK472" s="449">
        <v>183.26639892904953</v>
      </c>
      <c r="BL472" s="771">
        <v>183.26639892904953</v>
      </c>
      <c r="BM472" s="449">
        <v>183.26639892904953</v>
      </c>
      <c r="BN472" s="449">
        <v>183.26639892904953</v>
      </c>
      <c r="BO472" s="449">
        <v>183.26639892904953</v>
      </c>
      <c r="BP472" s="449">
        <v>183.26639892904953</v>
      </c>
      <c r="BQ472" s="449">
        <v>183.26639892904953</v>
      </c>
      <c r="BR472" s="449">
        <v>183.26639892904953</v>
      </c>
      <c r="BS472" s="449">
        <v>183.26639892904953</v>
      </c>
      <c r="BT472" s="449">
        <v>183.26639892904953</v>
      </c>
      <c r="BU472" s="400"/>
      <c r="BV472" s="400"/>
    </row>
    <row r="473" spans="1:74" x14ac:dyDescent="0.25">
      <c r="A473" s="502" t="s">
        <v>801</v>
      </c>
      <c r="B473" s="502" t="s">
        <v>802</v>
      </c>
      <c r="C473" s="538" t="s">
        <v>803</v>
      </c>
      <c r="D473" s="500">
        <v>45975</v>
      </c>
      <c r="E473" s="449">
        <v>45974.5</v>
      </c>
      <c r="F473" s="449">
        <v>0.5</v>
      </c>
      <c r="G473" s="421">
        <v>1.0875594079326584E-5</v>
      </c>
      <c r="H473" s="449">
        <v>45975</v>
      </c>
      <c r="I473" s="449">
        <v>0</v>
      </c>
      <c r="J473" s="426">
        <v>0</v>
      </c>
      <c r="K473" s="421"/>
      <c r="L473" s="449">
        <v>2065.89</v>
      </c>
      <c r="M473" s="449">
        <v>3700.23</v>
      </c>
      <c r="N473" s="449">
        <v>16442.830000000002</v>
      </c>
      <c r="O473" s="449">
        <v>-15585.84</v>
      </c>
      <c r="P473" s="449">
        <v>354.53999999999905</v>
      </c>
      <c r="Q473" s="449">
        <v>351.78999999999996</v>
      </c>
      <c r="R473" s="449">
        <v>6440.9266666666663</v>
      </c>
      <c r="S473" s="449">
        <v>6440.9266666666672</v>
      </c>
      <c r="T473" s="449">
        <v>6440.9266666666672</v>
      </c>
      <c r="U473" s="449">
        <v>6440.9266666666672</v>
      </c>
      <c r="V473" s="449">
        <v>6440.9266666666663</v>
      </c>
      <c r="W473" s="449">
        <v>6440.9266666666663</v>
      </c>
      <c r="X473" s="449"/>
      <c r="Y473" s="449">
        <v>45975</v>
      </c>
      <c r="Z473" s="531"/>
      <c r="AA473" s="449">
        <v>3831.25</v>
      </c>
      <c r="AB473" s="449">
        <v>3831.25</v>
      </c>
      <c r="AC473" s="449">
        <v>3831.25</v>
      </c>
      <c r="AD473" s="449">
        <v>3831.25</v>
      </c>
      <c r="AE473" s="449">
        <v>3831.25</v>
      </c>
      <c r="AF473" s="449">
        <v>3831.25</v>
      </c>
      <c r="AG473" s="449">
        <v>3831.25</v>
      </c>
      <c r="AH473" s="449">
        <v>3831.25</v>
      </c>
      <c r="AI473" s="449">
        <v>3831.25</v>
      </c>
      <c r="AJ473" s="449">
        <v>3831.25</v>
      </c>
      <c r="AK473" s="449">
        <v>3831.25</v>
      </c>
      <c r="AL473" s="449">
        <v>3831.25</v>
      </c>
      <c r="AM473" s="400"/>
      <c r="AN473" s="500">
        <v>45975</v>
      </c>
      <c r="AO473" s="449">
        <v>50554.036144578313</v>
      </c>
      <c r="AP473" s="449">
        <v>4579.0361445783128</v>
      </c>
      <c r="AQ473" s="453">
        <v>9.9598393574297173E-2</v>
      </c>
      <c r="AR473" s="449">
        <v>50554.036144578313</v>
      </c>
      <c r="AS473" s="449">
        <v>0</v>
      </c>
      <c r="AT473" s="426">
        <v>0</v>
      </c>
      <c r="AU473" s="421"/>
      <c r="AV473" s="449">
        <v>4212.8363453815264</v>
      </c>
      <c r="AW473" s="449">
        <v>4212.8363453815264</v>
      </c>
      <c r="AX473" s="449">
        <v>4212.8363453815264</v>
      </c>
      <c r="AY473" s="449">
        <v>4212.8363453815264</v>
      </c>
      <c r="AZ473" s="449">
        <v>4212.8363453815264</v>
      </c>
      <c r="BA473" s="449">
        <v>4212.8363453815264</v>
      </c>
      <c r="BB473" s="449">
        <v>4212.8363453815264</v>
      </c>
      <c r="BC473" s="449">
        <v>4212.8363453815264</v>
      </c>
      <c r="BD473" s="449">
        <v>4212.8363453815264</v>
      </c>
      <c r="BE473" s="449">
        <v>4212.8363453815264</v>
      </c>
      <c r="BF473" s="449">
        <v>4212.8363453815264</v>
      </c>
      <c r="BG473" s="449">
        <v>4212.8363453815264</v>
      </c>
      <c r="BH473" s="400"/>
      <c r="BI473" s="449">
        <v>4212.8363453815264</v>
      </c>
      <c r="BJ473" s="449">
        <v>4212.8363453815264</v>
      </c>
      <c r="BK473" s="449">
        <v>4212.8363453815264</v>
      </c>
      <c r="BL473" s="771">
        <v>4212.8363453815264</v>
      </c>
      <c r="BM473" s="449">
        <v>4212.8363453815264</v>
      </c>
      <c r="BN473" s="449">
        <v>4212.8363453815264</v>
      </c>
      <c r="BO473" s="449">
        <v>4212.8363453815264</v>
      </c>
      <c r="BP473" s="449">
        <v>4212.8363453815264</v>
      </c>
      <c r="BQ473" s="449">
        <v>4212.8363453815264</v>
      </c>
      <c r="BR473" s="449">
        <v>4212.8363453815264</v>
      </c>
      <c r="BS473" s="449">
        <v>4212.8363453815264</v>
      </c>
      <c r="BT473" s="449">
        <v>4212.8363453815264</v>
      </c>
      <c r="BU473" s="400"/>
      <c r="BV473" s="400"/>
    </row>
    <row r="474" spans="1:74" x14ac:dyDescent="0.25">
      <c r="A474" s="502"/>
      <c r="B474" s="502"/>
      <c r="C474" s="538"/>
      <c r="D474" s="500"/>
      <c r="E474" s="449"/>
      <c r="F474" s="449"/>
      <c r="G474" s="421"/>
      <c r="H474" s="449"/>
      <c r="I474" s="449"/>
      <c r="J474" s="426"/>
      <c r="K474" s="421"/>
      <c r="L474" s="449"/>
      <c r="M474" s="449"/>
      <c r="N474" s="449"/>
      <c r="O474" s="449"/>
      <c r="P474" s="449"/>
      <c r="Q474" s="449"/>
      <c r="R474" s="449"/>
      <c r="S474" s="449"/>
      <c r="T474" s="449"/>
      <c r="U474" s="449"/>
      <c r="V474" s="449"/>
      <c r="W474" s="449"/>
      <c r="X474" s="449"/>
      <c r="Y474" s="449"/>
      <c r="Z474" s="531"/>
      <c r="AA474" s="449"/>
      <c r="AB474" s="449"/>
      <c r="AC474" s="449"/>
      <c r="AD474" s="449"/>
      <c r="AE474" s="449"/>
      <c r="AF474" s="449"/>
      <c r="AG474" s="449"/>
      <c r="AH474" s="449"/>
      <c r="AI474" s="449"/>
      <c r="AJ474" s="449"/>
      <c r="AK474" s="449"/>
      <c r="AL474" s="449"/>
      <c r="AM474" s="400"/>
      <c r="AN474" s="500"/>
      <c r="AO474" s="449"/>
      <c r="AP474" s="449"/>
      <c r="AQ474" s="453"/>
      <c r="AR474" s="449"/>
      <c r="AS474" s="449"/>
      <c r="AT474" s="426"/>
      <c r="AU474" s="421"/>
      <c r="AV474" s="449"/>
      <c r="AW474" s="449"/>
      <c r="AX474" s="449"/>
      <c r="AY474" s="449"/>
      <c r="AZ474" s="449"/>
      <c r="BA474" s="449"/>
      <c r="BB474" s="449"/>
      <c r="BC474" s="449"/>
      <c r="BD474" s="449"/>
      <c r="BE474" s="449"/>
      <c r="BF474" s="449"/>
      <c r="BG474" s="449"/>
      <c r="BH474" s="531"/>
      <c r="BI474" s="449"/>
      <c r="BJ474" s="449"/>
      <c r="BK474" s="449"/>
      <c r="BL474" s="771"/>
      <c r="BM474" s="449"/>
      <c r="BN474" s="449"/>
      <c r="BO474" s="449"/>
      <c r="BP474" s="449"/>
      <c r="BQ474" s="449"/>
      <c r="BR474" s="449"/>
      <c r="BS474" s="449"/>
      <c r="BT474" s="449"/>
      <c r="BU474" s="400"/>
      <c r="BV474" s="400"/>
    </row>
    <row r="475" spans="1:74" s="536" customFormat="1" ht="15.75" thickBot="1" x14ac:dyDescent="0.3">
      <c r="A475" s="524"/>
      <c r="B475" s="524" t="s">
        <v>804</v>
      </c>
      <c r="C475" s="535"/>
      <c r="D475" s="532">
        <v>319725</v>
      </c>
      <c r="E475" s="533">
        <v>295271.12543399999</v>
      </c>
      <c r="F475" s="533">
        <v>24453.874566000013</v>
      </c>
      <c r="G475" s="520">
        <v>8.2818374231672126E-2</v>
      </c>
      <c r="H475" s="533">
        <v>319725</v>
      </c>
      <c r="I475" s="533">
        <v>0</v>
      </c>
      <c r="J475" s="521">
        <v>0</v>
      </c>
      <c r="K475" s="507"/>
      <c r="L475" s="533">
        <v>20433.3</v>
      </c>
      <c r="M475" s="533">
        <v>25652.559999999998</v>
      </c>
      <c r="N475" s="533">
        <v>42915.180000000008</v>
      </c>
      <c r="O475" s="533">
        <v>10216.460000000003</v>
      </c>
      <c r="P475" s="533">
        <v>22270.160000000003</v>
      </c>
      <c r="Q475" s="533">
        <v>23148.15</v>
      </c>
      <c r="R475" s="533">
        <v>29181.531666666666</v>
      </c>
      <c r="S475" s="533">
        <v>29181.531666666669</v>
      </c>
      <c r="T475" s="533">
        <v>29181.531666666669</v>
      </c>
      <c r="U475" s="533">
        <v>29181.531666666673</v>
      </c>
      <c r="V475" s="533">
        <v>29181.531666666666</v>
      </c>
      <c r="W475" s="533">
        <v>29181.531666666644</v>
      </c>
      <c r="X475" s="533"/>
      <c r="Y475" s="533">
        <v>319725</v>
      </c>
      <c r="Z475" s="508"/>
      <c r="AA475" s="533">
        <v>26643.750000000004</v>
      </c>
      <c r="AB475" s="533">
        <v>26643.750000000004</v>
      </c>
      <c r="AC475" s="533">
        <v>26643.750000000004</v>
      </c>
      <c r="AD475" s="533">
        <v>26643.750000000004</v>
      </c>
      <c r="AE475" s="533">
        <v>26643.750000000004</v>
      </c>
      <c r="AF475" s="533">
        <v>26643.750000000004</v>
      </c>
      <c r="AG475" s="533">
        <v>26643.750000000004</v>
      </c>
      <c r="AH475" s="533">
        <v>26643.750000000004</v>
      </c>
      <c r="AI475" s="533">
        <v>26643.750000000004</v>
      </c>
      <c r="AJ475" s="533">
        <v>26643.750000000004</v>
      </c>
      <c r="AK475" s="533">
        <v>26643.750000000004</v>
      </c>
      <c r="AL475" s="533">
        <v>26643.750000000004</v>
      </c>
      <c r="AN475" s="532">
        <v>319725</v>
      </c>
      <c r="AO475" s="533">
        <v>345292.5749116466</v>
      </c>
      <c r="AP475" s="533">
        <v>25567.574911646603</v>
      </c>
      <c r="AQ475" s="523">
        <v>7.9967393577751511E-2</v>
      </c>
      <c r="AR475" s="533">
        <v>345292.5749116466</v>
      </c>
      <c r="AS475" s="533">
        <v>0</v>
      </c>
      <c r="AT475" s="521">
        <v>0</v>
      </c>
      <c r="AU475" s="507"/>
      <c r="AV475" s="533">
        <v>28524.381242637217</v>
      </c>
      <c r="AW475" s="533">
        <v>28524.381242637217</v>
      </c>
      <c r="AX475" s="533">
        <v>28524.381242637217</v>
      </c>
      <c r="AY475" s="533">
        <v>31524.381242637217</v>
      </c>
      <c r="AZ475" s="533">
        <v>28524.381242637217</v>
      </c>
      <c r="BA475" s="533">
        <v>28524.381242637217</v>
      </c>
      <c r="BB475" s="533">
        <v>28524.381242637217</v>
      </c>
      <c r="BC475" s="533">
        <v>28524.381242637217</v>
      </c>
      <c r="BD475" s="533">
        <v>28524.381242637217</v>
      </c>
      <c r="BE475" s="533">
        <v>28524.381242637217</v>
      </c>
      <c r="BF475" s="533">
        <v>28524.381242637217</v>
      </c>
      <c r="BG475" s="533">
        <v>28524.381242637217</v>
      </c>
      <c r="BH475" s="508"/>
      <c r="BI475" s="533">
        <v>28524.381242637217</v>
      </c>
      <c r="BJ475" s="533">
        <v>28524.381242637217</v>
      </c>
      <c r="BK475" s="533">
        <v>28524.381242637217</v>
      </c>
      <c r="BL475" s="777">
        <v>31524.381242637217</v>
      </c>
      <c r="BM475" s="533">
        <v>28524.381242637217</v>
      </c>
      <c r="BN475" s="533">
        <v>28524.381242637217</v>
      </c>
      <c r="BO475" s="533">
        <v>28524.381242637217</v>
      </c>
      <c r="BP475" s="533">
        <v>28524.381242637217</v>
      </c>
      <c r="BQ475" s="533">
        <v>28524.381242637217</v>
      </c>
      <c r="BR475" s="533">
        <v>28524.381242637217</v>
      </c>
      <c r="BS475" s="533">
        <v>28524.381242637217</v>
      </c>
      <c r="BT475" s="533">
        <v>28524.381242637217</v>
      </c>
      <c r="BV475" s="400"/>
    </row>
    <row r="476" spans="1:74" ht="15.75" thickTop="1" x14ac:dyDescent="0.25">
      <c r="A476" s="502"/>
      <c r="B476" s="502"/>
      <c r="C476" s="538"/>
      <c r="D476" s="500"/>
      <c r="E476" s="449"/>
      <c r="F476" s="449"/>
      <c r="G476" s="421"/>
      <c r="H476" s="449"/>
      <c r="I476" s="449"/>
      <c r="J476" s="426"/>
      <c r="K476" s="421"/>
      <c r="L476" s="449"/>
      <c r="M476" s="449"/>
      <c r="N476" s="449"/>
      <c r="O476" s="449"/>
      <c r="P476" s="449"/>
      <c r="Q476" s="449"/>
      <c r="R476" s="449"/>
      <c r="S476" s="449"/>
      <c r="T476" s="449"/>
      <c r="U476" s="449"/>
      <c r="V476" s="449"/>
      <c r="W476" s="449"/>
      <c r="X476" s="449"/>
      <c r="Y476" s="449"/>
      <c r="Z476" s="531"/>
      <c r="AA476" s="449"/>
      <c r="AB476" s="449"/>
      <c r="AC476" s="449"/>
      <c r="AD476" s="449"/>
      <c r="AE476" s="449"/>
      <c r="AF476" s="449"/>
      <c r="AG476" s="449"/>
      <c r="AH476" s="449"/>
      <c r="AI476" s="449"/>
      <c r="AJ476" s="449"/>
      <c r="AK476" s="449"/>
      <c r="AL476" s="449"/>
      <c r="AM476" s="400"/>
      <c r="AN476" s="500"/>
      <c r="AO476" s="449"/>
      <c r="AP476" s="449"/>
      <c r="AQ476" s="453"/>
      <c r="AR476" s="449"/>
      <c r="AS476" s="449"/>
      <c r="AT476" s="426"/>
      <c r="AU476" s="421"/>
      <c r="AV476" s="449"/>
      <c r="AW476" s="449"/>
      <c r="AX476" s="449"/>
      <c r="AY476" s="449"/>
      <c r="AZ476" s="449"/>
      <c r="BA476" s="449"/>
      <c r="BB476" s="449"/>
      <c r="BC476" s="449"/>
      <c r="BD476" s="449"/>
      <c r="BE476" s="449"/>
      <c r="BF476" s="449"/>
      <c r="BG476" s="449"/>
      <c r="BH476" s="531"/>
      <c r="BI476" s="449"/>
      <c r="BJ476" s="449"/>
      <c r="BK476" s="449"/>
      <c r="BL476" s="771"/>
      <c r="BM476" s="449"/>
      <c r="BN476" s="449"/>
      <c r="BO476" s="449"/>
      <c r="BP476" s="449"/>
      <c r="BQ476" s="449"/>
      <c r="BR476" s="449"/>
      <c r="BS476" s="449"/>
      <c r="BT476" s="449"/>
      <c r="BU476" s="400"/>
      <c r="BV476" s="400"/>
    </row>
    <row r="477" spans="1:74" ht="15.75" x14ac:dyDescent="0.25">
      <c r="A477" s="502"/>
      <c r="B477" s="525" t="s">
        <v>805</v>
      </c>
      <c r="C477" s="538"/>
      <c r="D477" s="500"/>
      <c r="E477" s="449"/>
      <c r="F477" s="449"/>
      <c r="G477" s="421"/>
      <c r="H477" s="449"/>
      <c r="I477" s="449"/>
      <c r="J477" s="426"/>
      <c r="K477" s="421"/>
      <c r="L477" s="449"/>
      <c r="M477" s="449"/>
      <c r="N477" s="449"/>
      <c r="O477" s="449"/>
      <c r="P477" s="449"/>
      <c r="Q477" s="449"/>
      <c r="R477" s="449"/>
      <c r="S477" s="449"/>
      <c r="T477" s="449"/>
      <c r="U477" s="449"/>
      <c r="V477" s="449"/>
      <c r="W477" s="449"/>
      <c r="X477" s="449"/>
      <c r="Y477" s="449"/>
      <c r="Z477" s="531"/>
      <c r="AA477" s="449"/>
      <c r="AB477" s="449"/>
      <c r="AC477" s="449"/>
      <c r="AD477" s="449"/>
      <c r="AE477" s="449"/>
      <c r="AF477" s="449"/>
      <c r="AG477" s="449"/>
      <c r="AH477" s="449"/>
      <c r="AI477" s="449"/>
      <c r="AJ477" s="449"/>
      <c r="AK477" s="449"/>
      <c r="AL477" s="449"/>
      <c r="AM477" s="400"/>
      <c r="AN477" s="500"/>
      <c r="AO477" s="449"/>
      <c r="AP477" s="449"/>
      <c r="AQ477" s="453"/>
      <c r="AR477" s="449"/>
      <c r="AS477" s="449"/>
      <c r="AT477" s="426"/>
      <c r="AU477" s="421"/>
      <c r="AV477" s="449"/>
      <c r="AW477" s="449"/>
      <c r="AX477" s="449"/>
      <c r="AY477" s="449"/>
      <c r="AZ477" s="449"/>
      <c r="BA477" s="449"/>
      <c r="BB477" s="449"/>
      <c r="BC477" s="449"/>
      <c r="BD477" s="449"/>
      <c r="BE477" s="449"/>
      <c r="BF477" s="449"/>
      <c r="BG477" s="449"/>
      <c r="BH477" s="531"/>
      <c r="BI477" s="449"/>
      <c r="BJ477" s="449"/>
      <c r="BK477" s="449"/>
      <c r="BL477" s="771"/>
      <c r="BM477" s="449"/>
      <c r="BN477" s="449"/>
      <c r="BO477" s="449"/>
      <c r="BP477" s="449"/>
      <c r="BQ477" s="449"/>
      <c r="BR477" s="449"/>
      <c r="BS477" s="449"/>
      <c r="BT477" s="449"/>
      <c r="BU477" s="400"/>
      <c r="BV477" s="400"/>
    </row>
    <row r="478" spans="1:74" ht="7.5" customHeight="1" x14ac:dyDescent="0.25">
      <c r="A478" s="502"/>
      <c r="B478" s="502"/>
      <c r="C478" s="538"/>
      <c r="D478" s="500"/>
      <c r="E478" s="449"/>
      <c r="F478" s="449"/>
      <c r="G478" s="421"/>
      <c r="H478" s="449"/>
      <c r="I478" s="449"/>
      <c r="J478" s="426"/>
      <c r="K478" s="421"/>
      <c r="L478" s="449"/>
      <c r="M478" s="449"/>
      <c r="N478" s="449"/>
      <c r="O478" s="449"/>
      <c r="P478" s="449"/>
      <c r="Q478" s="449"/>
      <c r="R478" s="449"/>
      <c r="S478" s="449"/>
      <c r="T478" s="449"/>
      <c r="U478" s="449"/>
      <c r="V478" s="449"/>
      <c r="W478" s="449"/>
      <c r="X478" s="449"/>
      <c r="Y478" s="449"/>
      <c r="Z478" s="531"/>
      <c r="AA478" s="449"/>
      <c r="AB478" s="449"/>
      <c r="AC478" s="449"/>
      <c r="AD478" s="449"/>
      <c r="AE478" s="449"/>
      <c r="AF478" s="449"/>
      <c r="AG478" s="449"/>
      <c r="AH478" s="449"/>
      <c r="AI478" s="449"/>
      <c r="AJ478" s="449"/>
      <c r="AK478" s="449"/>
      <c r="AL478" s="449"/>
      <c r="AM478" s="400"/>
      <c r="AN478" s="500"/>
      <c r="AO478" s="449"/>
      <c r="AP478" s="449"/>
      <c r="AQ478" s="453"/>
      <c r="AR478" s="449"/>
      <c r="AS478" s="449"/>
      <c r="AT478" s="426"/>
      <c r="AU478" s="421"/>
      <c r="AV478" s="449"/>
      <c r="AW478" s="449"/>
      <c r="AX478" s="449"/>
      <c r="AY478" s="449"/>
      <c r="AZ478" s="449"/>
      <c r="BA478" s="449"/>
      <c r="BB478" s="449"/>
      <c r="BC478" s="449"/>
      <c r="BD478" s="449"/>
      <c r="BE478" s="449"/>
      <c r="BF478" s="449"/>
      <c r="BG478" s="449"/>
      <c r="BH478" s="531"/>
      <c r="BI478" s="449"/>
      <c r="BJ478" s="449"/>
      <c r="BK478" s="449"/>
      <c r="BL478" s="771"/>
      <c r="BM478" s="449"/>
      <c r="BN478" s="449"/>
      <c r="BO478" s="449"/>
      <c r="BP478" s="449"/>
      <c r="BQ478" s="449"/>
      <c r="BR478" s="449"/>
      <c r="BS478" s="449"/>
      <c r="BT478" s="449"/>
      <c r="BU478" s="400"/>
      <c r="BV478" s="400"/>
    </row>
    <row r="479" spans="1:74" x14ac:dyDescent="0.25">
      <c r="A479" s="502" t="s">
        <v>806</v>
      </c>
      <c r="B479" s="502" t="s">
        <v>807</v>
      </c>
      <c r="C479" s="630"/>
      <c r="D479" s="500">
        <v>90664</v>
      </c>
      <c r="E479" s="449">
        <v>90664</v>
      </c>
      <c r="F479" s="449">
        <v>0</v>
      </c>
      <c r="G479" s="421">
        <v>0</v>
      </c>
      <c r="H479" s="449">
        <v>90664</v>
      </c>
      <c r="I479" s="449">
        <v>0</v>
      </c>
      <c r="J479" s="426">
        <v>0</v>
      </c>
      <c r="K479" s="421"/>
      <c r="L479" s="449">
        <v>8059.16</v>
      </c>
      <c r="M479" s="449">
        <v>17036.150000000001</v>
      </c>
      <c r="N479" s="449">
        <v>12383.649999999998</v>
      </c>
      <c r="O479" s="449">
        <v>-8363.7560000000012</v>
      </c>
      <c r="P479" s="449">
        <v>10078.330000000002</v>
      </c>
      <c r="Q479" s="449">
        <v>12363.070000000007</v>
      </c>
      <c r="R479" s="449">
        <v>6517.8993333333319</v>
      </c>
      <c r="S479" s="449">
        <v>6517.8993333333319</v>
      </c>
      <c r="T479" s="449">
        <v>6517.899333333331</v>
      </c>
      <c r="U479" s="449">
        <v>6517.8993333333301</v>
      </c>
      <c r="V479" s="449">
        <v>6517.8993333333274</v>
      </c>
      <c r="W479" s="449">
        <v>6517.8993333333347</v>
      </c>
      <c r="X479" s="449"/>
      <c r="Y479" s="449">
        <v>90664</v>
      </c>
      <c r="Z479" s="531"/>
      <c r="AA479" s="449">
        <v>7555.333333333333</v>
      </c>
      <c r="AB479" s="449">
        <v>7555.333333333333</v>
      </c>
      <c r="AC479" s="449">
        <v>7555.333333333333</v>
      </c>
      <c r="AD479" s="449">
        <v>7555.333333333333</v>
      </c>
      <c r="AE479" s="449">
        <v>7555.333333333333</v>
      </c>
      <c r="AF479" s="449">
        <v>7555.333333333333</v>
      </c>
      <c r="AG479" s="449">
        <v>7555.333333333333</v>
      </c>
      <c r="AH479" s="449">
        <v>7555.333333333333</v>
      </c>
      <c r="AI479" s="449">
        <v>7555.333333333333</v>
      </c>
      <c r="AJ479" s="449">
        <v>7555.333333333333</v>
      </c>
      <c r="AK479" s="449">
        <v>7555.333333333333</v>
      </c>
      <c r="AL479" s="449">
        <v>7555.333333333333</v>
      </c>
      <c r="AM479" s="400"/>
      <c r="AN479" s="500">
        <v>90664</v>
      </c>
      <c r="AO479" s="449">
        <v>82136.690800000011</v>
      </c>
      <c r="AP479" s="449">
        <v>-8527.3091999999888</v>
      </c>
      <c r="AQ479" s="453">
        <v>-9.4053970705020612E-2</v>
      </c>
      <c r="AR479" s="449">
        <v>82136.690800000011</v>
      </c>
      <c r="AS479" s="449">
        <v>0</v>
      </c>
      <c r="AT479" s="426">
        <v>0</v>
      </c>
      <c r="AU479" s="421"/>
      <c r="AV479" s="449">
        <v>6844.7242333333343</v>
      </c>
      <c r="AW479" s="449">
        <v>6844.7242333333343</v>
      </c>
      <c r="AX479" s="449">
        <v>6844.7242333333343</v>
      </c>
      <c r="AY479" s="449">
        <v>6844.7242333333343</v>
      </c>
      <c r="AZ479" s="449">
        <v>6844.7242333333343</v>
      </c>
      <c r="BA479" s="449">
        <v>6844.7242333333343</v>
      </c>
      <c r="BB479" s="449">
        <v>6844.7242333333343</v>
      </c>
      <c r="BC479" s="449">
        <v>6844.7242333333343</v>
      </c>
      <c r="BD479" s="449">
        <v>6844.7242333333343</v>
      </c>
      <c r="BE479" s="449">
        <v>6844.7242333333343</v>
      </c>
      <c r="BF479" s="449">
        <v>6844.7242333333343</v>
      </c>
      <c r="BG479" s="449">
        <v>6844.7242333333343</v>
      </c>
      <c r="BH479" s="400"/>
      <c r="BI479" s="449">
        <v>6844.7242333333343</v>
      </c>
      <c r="BJ479" s="449">
        <v>6844.7242333333343</v>
      </c>
      <c r="BK479" s="449">
        <v>6844.7242333333343</v>
      </c>
      <c r="BL479" s="771">
        <v>6844.7242333333343</v>
      </c>
      <c r="BM479" s="449">
        <v>6844.7242333333343</v>
      </c>
      <c r="BN479" s="449">
        <v>6844.7242333333343</v>
      </c>
      <c r="BO479" s="449">
        <v>6844.7242333333343</v>
      </c>
      <c r="BP479" s="449">
        <v>6844.7242333333343</v>
      </c>
      <c r="BQ479" s="449">
        <v>6844.7242333333343</v>
      </c>
      <c r="BR479" s="449">
        <v>6844.7242333333343</v>
      </c>
      <c r="BS479" s="449">
        <v>6844.7242333333343</v>
      </c>
      <c r="BT479" s="449">
        <v>6844.7242333333343</v>
      </c>
      <c r="BU479" s="400"/>
      <c r="BV479" s="400"/>
    </row>
    <row r="480" spans="1:74" x14ac:dyDescent="0.25">
      <c r="A480" s="502" t="s">
        <v>808</v>
      </c>
      <c r="B480" s="502" t="s">
        <v>809</v>
      </c>
      <c r="C480" s="630"/>
      <c r="D480" s="500">
        <v>64399</v>
      </c>
      <c r="E480" s="449">
        <v>64399</v>
      </c>
      <c r="F480" s="449">
        <v>0</v>
      </c>
      <c r="G480" s="421">
        <v>0</v>
      </c>
      <c r="H480" s="449">
        <v>64399</v>
      </c>
      <c r="I480" s="449">
        <v>0</v>
      </c>
      <c r="J480" s="426">
        <v>0</v>
      </c>
      <c r="K480" s="421"/>
      <c r="L480" s="449">
        <v>0</v>
      </c>
      <c r="M480" s="449">
        <v>0</v>
      </c>
      <c r="N480" s="449">
        <v>0</v>
      </c>
      <c r="O480" s="449">
        <v>19410.135999999999</v>
      </c>
      <c r="P480" s="449">
        <v>0</v>
      </c>
      <c r="Q480" s="449">
        <v>0</v>
      </c>
      <c r="R480" s="449">
        <v>7498.1440000000002</v>
      </c>
      <c r="S480" s="449">
        <v>7498.1440000000002</v>
      </c>
      <c r="T480" s="449">
        <v>7498.1440000000002</v>
      </c>
      <c r="U480" s="449">
        <v>7498.1440000000002</v>
      </c>
      <c r="V480" s="449">
        <v>7498.1440000000002</v>
      </c>
      <c r="W480" s="449">
        <v>7498.1440000000002</v>
      </c>
      <c r="X480" s="449"/>
      <c r="Y480" s="449">
        <v>64399</v>
      </c>
      <c r="Z480" s="531"/>
      <c r="AA480" s="449">
        <v>5366.583333333333</v>
      </c>
      <c r="AB480" s="449">
        <v>5366.583333333333</v>
      </c>
      <c r="AC480" s="449">
        <v>5366.583333333333</v>
      </c>
      <c r="AD480" s="449">
        <v>5366.583333333333</v>
      </c>
      <c r="AE480" s="449">
        <v>5366.583333333333</v>
      </c>
      <c r="AF480" s="449">
        <v>5366.583333333333</v>
      </c>
      <c r="AG480" s="449">
        <v>5366.583333333333</v>
      </c>
      <c r="AH480" s="449">
        <v>5366.583333333333</v>
      </c>
      <c r="AI480" s="449">
        <v>5366.583333333333</v>
      </c>
      <c r="AJ480" s="449">
        <v>5366.583333333333</v>
      </c>
      <c r="AK480" s="449">
        <v>5366.583333333333</v>
      </c>
      <c r="AL480" s="449">
        <v>5366.583333333333</v>
      </c>
      <c r="AM480" s="400"/>
      <c r="AN480" s="500">
        <v>64399</v>
      </c>
      <c r="AO480" s="449">
        <v>77921.56</v>
      </c>
      <c r="AP480" s="449">
        <v>13522.559999999998</v>
      </c>
      <c r="AQ480" s="453">
        <v>0.20998090032453917</v>
      </c>
      <c r="AR480" s="449">
        <v>77921.56</v>
      </c>
      <c r="AS480" s="449">
        <v>0</v>
      </c>
      <c r="AT480" s="426">
        <v>0</v>
      </c>
      <c r="AU480" s="421"/>
      <c r="AV480" s="449">
        <v>6493.4633333333331</v>
      </c>
      <c r="AW480" s="449">
        <v>6493.4633333333331</v>
      </c>
      <c r="AX480" s="449">
        <v>6493.4633333333331</v>
      </c>
      <c r="AY480" s="449">
        <v>6493.4633333333331</v>
      </c>
      <c r="AZ480" s="449">
        <v>6493.4633333333331</v>
      </c>
      <c r="BA480" s="449">
        <v>6493.4633333333331</v>
      </c>
      <c r="BB480" s="449">
        <v>6493.4633333333331</v>
      </c>
      <c r="BC480" s="449">
        <v>6493.4633333333331</v>
      </c>
      <c r="BD480" s="449">
        <v>6493.4633333333331</v>
      </c>
      <c r="BE480" s="449">
        <v>6493.4633333333331</v>
      </c>
      <c r="BF480" s="449">
        <v>6493.4633333333331</v>
      </c>
      <c r="BG480" s="449">
        <v>6493.4633333333331</v>
      </c>
      <c r="BH480" s="400"/>
      <c r="BI480" s="449">
        <v>6493.4633333333331</v>
      </c>
      <c r="BJ480" s="449">
        <v>6493.4633333333331</v>
      </c>
      <c r="BK480" s="449">
        <v>6493.4633333333331</v>
      </c>
      <c r="BL480" s="771">
        <v>6493.4633333333331</v>
      </c>
      <c r="BM480" s="449">
        <v>6493.4633333333331</v>
      </c>
      <c r="BN480" s="449">
        <v>6493.4633333333331</v>
      </c>
      <c r="BO480" s="449">
        <v>6493.4633333333331</v>
      </c>
      <c r="BP480" s="449">
        <v>6493.4633333333331</v>
      </c>
      <c r="BQ480" s="449">
        <v>6493.4633333333331</v>
      </c>
      <c r="BR480" s="449">
        <v>6493.4633333333331</v>
      </c>
      <c r="BS480" s="449">
        <v>6493.4633333333331</v>
      </c>
      <c r="BT480" s="449">
        <v>6493.4633333333331</v>
      </c>
      <c r="BU480" s="400"/>
      <c r="BV480" s="400"/>
    </row>
    <row r="481" spans="1:74" x14ac:dyDescent="0.25">
      <c r="A481" s="502" t="s">
        <v>810</v>
      </c>
      <c r="B481" s="502" t="s">
        <v>811</v>
      </c>
      <c r="C481" s="630"/>
      <c r="D481" s="500">
        <v>9000</v>
      </c>
      <c r="E481" s="449">
        <v>9000</v>
      </c>
      <c r="F481" s="449">
        <v>0</v>
      </c>
      <c r="G481" s="421">
        <v>0</v>
      </c>
      <c r="H481" s="449">
        <v>9000</v>
      </c>
      <c r="I481" s="449">
        <v>0</v>
      </c>
      <c r="J481" s="426">
        <v>0</v>
      </c>
      <c r="K481" s="421"/>
      <c r="L481" s="449">
        <v>0</v>
      </c>
      <c r="M481" s="449">
        <v>0</v>
      </c>
      <c r="N481" s="449">
        <v>0</v>
      </c>
      <c r="O481" s="449">
        <v>3000</v>
      </c>
      <c r="P481" s="449">
        <v>0</v>
      </c>
      <c r="Q481" s="449">
        <v>0</v>
      </c>
      <c r="R481" s="449">
        <v>1000</v>
      </c>
      <c r="S481" s="449">
        <v>1000</v>
      </c>
      <c r="T481" s="449">
        <v>1000</v>
      </c>
      <c r="U481" s="449">
        <v>1000</v>
      </c>
      <c r="V481" s="449">
        <v>1000</v>
      </c>
      <c r="W481" s="449">
        <v>1000</v>
      </c>
      <c r="X481" s="449"/>
      <c r="Y481" s="449">
        <v>9000</v>
      </c>
      <c r="Z481" s="531"/>
      <c r="AA481" s="449">
        <v>750</v>
      </c>
      <c r="AB481" s="449">
        <v>750</v>
      </c>
      <c r="AC481" s="449">
        <v>750</v>
      </c>
      <c r="AD481" s="449">
        <v>750</v>
      </c>
      <c r="AE481" s="449">
        <v>750</v>
      </c>
      <c r="AF481" s="449">
        <v>750</v>
      </c>
      <c r="AG481" s="449">
        <v>750</v>
      </c>
      <c r="AH481" s="449">
        <v>750</v>
      </c>
      <c r="AI481" s="449">
        <v>750</v>
      </c>
      <c r="AJ481" s="449">
        <v>750</v>
      </c>
      <c r="AK481" s="449">
        <v>750</v>
      </c>
      <c r="AL481" s="449">
        <v>750</v>
      </c>
      <c r="AM481" s="400"/>
      <c r="AN481" s="500">
        <v>9000</v>
      </c>
      <c r="AO481" s="449">
        <v>0</v>
      </c>
      <c r="AP481" s="449">
        <v>-9000</v>
      </c>
      <c r="AQ481" s="453">
        <v>-1</v>
      </c>
      <c r="AR481" s="449">
        <v>0</v>
      </c>
      <c r="AS481" s="449">
        <v>0</v>
      </c>
      <c r="AT481" s="426">
        <v>0</v>
      </c>
      <c r="AU481" s="421"/>
      <c r="AV481" s="449">
        <v>0</v>
      </c>
      <c r="AW481" s="449">
        <v>0</v>
      </c>
      <c r="AX481" s="449">
        <v>0</v>
      </c>
      <c r="AY481" s="449">
        <v>0</v>
      </c>
      <c r="AZ481" s="449">
        <v>0</v>
      </c>
      <c r="BA481" s="449">
        <v>0</v>
      </c>
      <c r="BB481" s="449">
        <v>0</v>
      </c>
      <c r="BC481" s="449">
        <v>0</v>
      </c>
      <c r="BD481" s="449">
        <v>0</v>
      </c>
      <c r="BE481" s="449">
        <v>0</v>
      </c>
      <c r="BF481" s="449">
        <v>0</v>
      </c>
      <c r="BG481" s="449">
        <v>0</v>
      </c>
      <c r="BH481" s="400"/>
      <c r="BI481" s="449">
        <v>0</v>
      </c>
      <c r="BJ481" s="449">
        <v>0</v>
      </c>
      <c r="BK481" s="449">
        <v>0</v>
      </c>
      <c r="BL481" s="771">
        <v>0</v>
      </c>
      <c r="BM481" s="449">
        <v>0</v>
      </c>
      <c r="BN481" s="449">
        <v>0</v>
      </c>
      <c r="BO481" s="449">
        <v>0</v>
      </c>
      <c r="BP481" s="449">
        <v>0</v>
      </c>
      <c r="BQ481" s="449">
        <v>0</v>
      </c>
      <c r="BR481" s="449">
        <v>0</v>
      </c>
      <c r="BS481" s="449">
        <v>0</v>
      </c>
      <c r="BT481" s="449">
        <v>0</v>
      </c>
      <c r="BU481" s="400"/>
      <c r="BV481" s="400"/>
    </row>
    <row r="482" spans="1:74" hidden="1" x14ac:dyDescent="0.25">
      <c r="A482" s="614" t="s">
        <v>812</v>
      </c>
      <c r="B482" s="614" t="s">
        <v>813</v>
      </c>
      <c r="C482" s="541"/>
      <c r="D482" s="500">
        <v>10770</v>
      </c>
      <c r="E482" s="449">
        <v>10770</v>
      </c>
      <c r="F482" s="449">
        <v>0</v>
      </c>
      <c r="G482" s="421">
        <v>0</v>
      </c>
      <c r="H482" s="449">
        <v>10770</v>
      </c>
      <c r="I482" s="449">
        <v>0</v>
      </c>
      <c r="J482" s="426">
        <v>0</v>
      </c>
      <c r="K482" s="421"/>
      <c r="L482" s="449">
        <v>0</v>
      </c>
      <c r="M482" s="449">
        <v>0</v>
      </c>
      <c r="N482" s="449">
        <v>0</v>
      </c>
      <c r="O482" s="449">
        <v>0</v>
      </c>
      <c r="P482" s="449">
        <v>0</v>
      </c>
      <c r="Q482" s="449">
        <v>0</v>
      </c>
      <c r="R482" s="449">
        <v>1795</v>
      </c>
      <c r="S482" s="449">
        <v>1795</v>
      </c>
      <c r="T482" s="449">
        <v>1795</v>
      </c>
      <c r="U482" s="449">
        <v>1795</v>
      </c>
      <c r="V482" s="449">
        <v>1795</v>
      </c>
      <c r="W482" s="449">
        <v>1795</v>
      </c>
      <c r="X482" s="449"/>
      <c r="Y482" s="449">
        <v>10770</v>
      </c>
      <c r="Z482" s="531"/>
      <c r="AA482" s="449">
        <v>897.5</v>
      </c>
      <c r="AB482" s="449">
        <v>897.5</v>
      </c>
      <c r="AC482" s="449">
        <v>897.5</v>
      </c>
      <c r="AD482" s="449">
        <v>897.5</v>
      </c>
      <c r="AE482" s="449">
        <v>897.5</v>
      </c>
      <c r="AF482" s="449">
        <v>897.5</v>
      </c>
      <c r="AG482" s="449">
        <v>897.5</v>
      </c>
      <c r="AH482" s="449">
        <v>897.5</v>
      </c>
      <c r="AI482" s="449">
        <v>897.5</v>
      </c>
      <c r="AJ482" s="449">
        <v>897.5</v>
      </c>
      <c r="AK482" s="449">
        <v>897.5</v>
      </c>
      <c r="AL482" s="449">
        <v>897.5</v>
      </c>
      <c r="AM482" s="400"/>
      <c r="AN482" s="500">
        <v>10770</v>
      </c>
      <c r="AO482" s="449">
        <v>0</v>
      </c>
      <c r="AP482" s="449">
        <v>-10770</v>
      </c>
      <c r="AQ482" s="453">
        <v>-1</v>
      </c>
      <c r="AR482" s="449">
        <v>0</v>
      </c>
      <c r="AS482" s="449">
        <v>0</v>
      </c>
      <c r="AT482" s="426">
        <v>0</v>
      </c>
      <c r="AU482" s="421"/>
      <c r="AV482" s="449">
        <v>0</v>
      </c>
      <c r="AW482" s="449">
        <v>0</v>
      </c>
      <c r="AX482" s="449">
        <v>0</v>
      </c>
      <c r="AY482" s="449">
        <v>0</v>
      </c>
      <c r="AZ482" s="449">
        <v>0</v>
      </c>
      <c r="BA482" s="449">
        <v>0</v>
      </c>
      <c r="BB482" s="449">
        <v>0</v>
      </c>
      <c r="BC482" s="449">
        <v>0</v>
      </c>
      <c r="BD482" s="449">
        <v>0</v>
      </c>
      <c r="BE482" s="449">
        <v>0</v>
      </c>
      <c r="BF482" s="449">
        <v>0</v>
      </c>
      <c r="BG482" s="449">
        <v>0</v>
      </c>
      <c r="BH482" s="400"/>
      <c r="BI482" s="449">
        <v>0</v>
      </c>
      <c r="BJ482" s="449">
        <v>0</v>
      </c>
      <c r="BK482" s="449">
        <v>0</v>
      </c>
      <c r="BL482" s="771">
        <v>0</v>
      </c>
      <c r="BM482" s="449">
        <v>0</v>
      </c>
      <c r="BN482" s="449">
        <v>0</v>
      </c>
      <c r="BO482" s="449">
        <v>0</v>
      </c>
      <c r="BP482" s="449">
        <v>0</v>
      </c>
      <c r="BQ482" s="449">
        <v>0</v>
      </c>
      <c r="BR482" s="449">
        <v>0</v>
      </c>
      <c r="BS482" s="449">
        <v>0</v>
      </c>
      <c r="BT482" s="449">
        <v>0</v>
      </c>
      <c r="BU482" s="400"/>
      <c r="BV482" s="400"/>
    </row>
    <row r="483" spans="1:74" x14ac:dyDescent="0.25">
      <c r="A483" s="502" t="s">
        <v>814</v>
      </c>
      <c r="B483" s="502" t="s">
        <v>815</v>
      </c>
      <c r="C483" s="541"/>
      <c r="D483" s="500">
        <v>21482</v>
      </c>
      <c r="E483" s="449">
        <v>11463</v>
      </c>
      <c r="F483" s="449">
        <v>10019</v>
      </c>
      <c r="G483" s="421">
        <v>0.8740294861729041</v>
      </c>
      <c r="H483" s="449">
        <v>21482</v>
      </c>
      <c r="I483" s="449">
        <v>0</v>
      </c>
      <c r="J483" s="426">
        <v>0</v>
      </c>
      <c r="K483" s="421"/>
      <c r="L483" s="449">
        <v>1422.68</v>
      </c>
      <c r="M483" s="449">
        <v>2842.59</v>
      </c>
      <c r="N483" s="449">
        <v>1365.6699999999992</v>
      </c>
      <c r="O483" s="449">
        <v>1465.3500000000004</v>
      </c>
      <c r="P483" s="449">
        <v>1087.8000000000002</v>
      </c>
      <c r="Q483" s="449">
        <v>1304.5699999999997</v>
      </c>
      <c r="R483" s="449">
        <v>1998.89</v>
      </c>
      <c r="S483" s="449">
        <v>1998.89</v>
      </c>
      <c r="T483" s="449">
        <v>1998.8900000000003</v>
      </c>
      <c r="U483" s="449">
        <v>1998.8900000000006</v>
      </c>
      <c r="V483" s="449">
        <v>1998.8900000000012</v>
      </c>
      <c r="W483" s="449">
        <v>1998.8899999999994</v>
      </c>
      <c r="X483" s="449"/>
      <c r="Y483" s="449">
        <v>21482</v>
      </c>
      <c r="Z483" s="531"/>
      <c r="AA483" s="449">
        <v>1790.1666666666667</v>
      </c>
      <c r="AB483" s="449">
        <v>1790.1666666666667</v>
      </c>
      <c r="AC483" s="449">
        <v>1790.1666666666667</v>
      </c>
      <c r="AD483" s="449">
        <v>1790.1666666666667</v>
      </c>
      <c r="AE483" s="449">
        <v>1790.1666666666667</v>
      </c>
      <c r="AF483" s="449">
        <v>1790.1666666666667</v>
      </c>
      <c r="AG483" s="449">
        <v>1790.1666666666667</v>
      </c>
      <c r="AH483" s="449">
        <v>1790.1666666666667</v>
      </c>
      <c r="AI483" s="449">
        <v>1790.1666666666667</v>
      </c>
      <c r="AJ483" s="449">
        <v>1790.1666666666667</v>
      </c>
      <c r="AK483" s="449">
        <v>1790.1666666666667</v>
      </c>
      <c r="AL483" s="449">
        <v>1790.1666666666667</v>
      </c>
      <c r="AM483" s="400"/>
      <c r="AN483" s="500">
        <v>21482</v>
      </c>
      <c r="AO483" s="449">
        <v>12485.5274782</v>
      </c>
      <c r="AP483" s="449">
        <v>-8996.4725218000003</v>
      </c>
      <c r="AQ483" s="453">
        <v>-0.41879119829624806</v>
      </c>
      <c r="AR483" s="449">
        <v>12485.5274782</v>
      </c>
      <c r="AS483" s="449">
        <v>0</v>
      </c>
      <c r="AT483" s="426">
        <v>0</v>
      </c>
      <c r="AU483" s="421"/>
      <c r="AV483" s="449">
        <v>1040.4606231833334</v>
      </c>
      <c r="AW483" s="449">
        <v>1040.4606231833334</v>
      </c>
      <c r="AX483" s="449">
        <v>1040.4606231833334</v>
      </c>
      <c r="AY483" s="449">
        <v>1040.4606231833334</v>
      </c>
      <c r="AZ483" s="449">
        <v>1040.4606231833334</v>
      </c>
      <c r="BA483" s="449">
        <v>1040.4606231833334</v>
      </c>
      <c r="BB483" s="449">
        <v>1040.4606231833334</v>
      </c>
      <c r="BC483" s="449">
        <v>1040.4606231833334</v>
      </c>
      <c r="BD483" s="449">
        <v>1040.4606231833334</v>
      </c>
      <c r="BE483" s="449">
        <v>1040.4606231833334</v>
      </c>
      <c r="BF483" s="449">
        <v>1040.4606231833334</v>
      </c>
      <c r="BG483" s="449">
        <v>1040.4606231833334</v>
      </c>
      <c r="BH483" s="400"/>
      <c r="BI483" s="449">
        <v>1040.4606231833334</v>
      </c>
      <c r="BJ483" s="449">
        <v>1040.4606231833334</v>
      </c>
      <c r="BK483" s="449">
        <v>1040.4606231833334</v>
      </c>
      <c r="BL483" s="771">
        <v>1040.4606231833334</v>
      </c>
      <c r="BM483" s="449">
        <v>1040.4606231833334</v>
      </c>
      <c r="BN483" s="449">
        <v>1040.4606231833334</v>
      </c>
      <c r="BO483" s="449">
        <v>1040.4606231833334</v>
      </c>
      <c r="BP483" s="449">
        <v>1040.4606231833334</v>
      </c>
      <c r="BQ483" s="449">
        <v>1040.4606231833334</v>
      </c>
      <c r="BR483" s="449">
        <v>1040.4606231833334</v>
      </c>
      <c r="BS483" s="449">
        <v>1040.4606231833334</v>
      </c>
      <c r="BT483" s="449">
        <v>1040.4606231833334</v>
      </c>
    </row>
    <row r="484" spans="1:74" x14ac:dyDescent="0.25">
      <c r="A484" s="502" t="s">
        <v>816</v>
      </c>
      <c r="B484" s="502" t="s">
        <v>817</v>
      </c>
      <c r="C484" s="541"/>
      <c r="D484" s="500">
        <v>0</v>
      </c>
      <c r="E484" s="449">
        <v>10019</v>
      </c>
      <c r="F484" s="449">
        <v>-10019</v>
      </c>
      <c r="G484" s="421">
        <v>-1</v>
      </c>
      <c r="H484" s="449">
        <v>0</v>
      </c>
      <c r="I484" s="449">
        <v>0</v>
      </c>
      <c r="J484" s="426">
        <v>0</v>
      </c>
      <c r="K484" s="421"/>
      <c r="L484" s="449">
        <v>0</v>
      </c>
      <c r="M484" s="449">
        <v>0</v>
      </c>
      <c r="N484" s="449">
        <v>0</v>
      </c>
      <c r="O484" s="449">
        <v>0</v>
      </c>
      <c r="P484" s="449">
        <v>0</v>
      </c>
      <c r="Q484" s="449">
        <v>0</v>
      </c>
      <c r="R484" s="449">
        <v>0</v>
      </c>
      <c r="S484" s="449">
        <v>0</v>
      </c>
      <c r="T484" s="449">
        <v>0</v>
      </c>
      <c r="U484" s="449">
        <v>0</v>
      </c>
      <c r="V484" s="449">
        <v>0</v>
      </c>
      <c r="W484" s="449">
        <v>0</v>
      </c>
      <c r="X484" s="449"/>
      <c r="Y484" s="449">
        <v>0</v>
      </c>
      <c r="Z484" s="531"/>
      <c r="AA484" s="449">
        <v>0</v>
      </c>
      <c r="AB484" s="449">
        <v>0</v>
      </c>
      <c r="AC484" s="449">
        <v>0</v>
      </c>
      <c r="AD484" s="449">
        <v>0</v>
      </c>
      <c r="AE484" s="449">
        <v>0</v>
      </c>
      <c r="AF484" s="449">
        <v>0</v>
      </c>
      <c r="AG484" s="449">
        <v>0</v>
      </c>
      <c r="AH484" s="449">
        <v>0</v>
      </c>
      <c r="AI484" s="449">
        <v>0</v>
      </c>
      <c r="AJ484" s="449">
        <v>0</v>
      </c>
      <c r="AK484" s="449">
        <v>0</v>
      </c>
      <c r="AL484" s="449">
        <v>0</v>
      </c>
      <c r="AM484" s="400"/>
      <c r="AN484" s="500">
        <v>0</v>
      </c>
      <c r="AO484" s="449">
        <v>12632.070140000003</v>
      </c>
      <c r="AP484" s="449">
        <v>12632.070140000003</v>
      </c>
      <c r="AQ484" s="453" t="s">
        <v>1519</v>
      </c>
      <c r="AR484" s="449">
        <v>12632.070140000003</v>
      </c>
      <c r="AS484" s="449">
        <v>0</v>
      </c>
      <c r="AT484" s="426">
        <v>0</v>
      </c>
      <c r="AU484" s="421"/>
      <c r="AV484" s="449">
        <v>1052.6725116666667</v>
      </c>
      <c r="AW484" s="449">
        <v>1052.6725116666667</v>
      </c>
      <c r="AX484" s="449">
        <v>1052.6725116666667</v>
      </c>
      <c r="AY484" s="449">
        <v>1052.6725116666667</v>
      </c>
      <c r="AZ484" s="449">
        <v>1052.6725116666667</v>
      </c>
      <c r="BA484" s="449">
        <v>1052.6725116666667</v>
      </c>
      <c r="BB484" s="449">
        <v>1052.6725116666667</v>
      </c>
      <c r="BC484" s="449">
        <v>1052.6725116666667</v>
      </c>
      <c r="BD484" s="449">
        <v>1052.6725116666667</v>
      </c>
      <c r="BE484" s="449">
        <v>1052.6725116666667</v>
      </c>
      <c r="BF484" s="449">
        <v>1052.6725116666667</v>
      </c>
      <c r="BG484" s="449">
        <v>1052.6725116666667</v>
      </c>
      <c r="BH484" s="400"/>
      <c r="BI484" s="449">
        <v>1052.6725116666667</v>
      </c>
      <c r="BJ484" s="449">
        <v>1052.6725116666667</v>
      </c>
      <c r="BK484" s="449">
        <v>1052.6725116666667</v>
      </c>
      <c r="BL484" s="771">
        <v>1052.6725116666667</v>
      </c>
      <c r="BM484" s="449">
        <v>1052.6725116666667</v>
      </c>
      <c r="BN484" s="449">
        <v>1052.6725116666667</v>
      </c>
      <c r="BO484" s="449">
        <v>1052.6725116666667</v>
      </c>
      <c r="BP484" s="449">
        <v>1052.6725116666667</v>
      </c>
      <c r="BQ484" s="449">
        <v>1052.6725116666667</v>
      </c>
      <c r="BR484" s="449">
        <v>1052.6725116666667</v>
      </c>
      <c r="BS484" s="449">
        <v>1052.6725116666667</v>
      </c>
      <c r="BT484" s="449">
        <v>1052.6725116666667</v>
      </c>
    </row>
    <row r="485" spans="1:74" ht="15" customHeight="1" x14ac:dyDescent="0.25">
      <c r="A485" s="502" t="s">
        <v>818</v>
      </c>
      <c r="B485" s="502" t="s">
        <v>819</v>
      </c>
      <c r="C485" s="541"/>
      <c r="D485" s="500">
        <v>26040</v>
      </c>
      <c r="E485" s="449">
        <v>14344</v>
      </c>
      <c r="F485" s="449">
        <v>11696</v>
      </c>
      <c r="G485" s="421">
        <v>0.81539319576129388</v>
      </c>
      <c r="H485" s="449">
        <v>26040</v>
      </c>
      <c r="I485" s="449">
        <v>0</v>
      </c>
      <c r="J485" s="426">
        <v>0</v>
      </c>
      <c r="K485" s="421"/>
      <c r="L485" s="449">
        <v>1447.58</v>
      </c>
      <c r="M485" s="449">
        <v>1447.58</v>
      </c>
      <c r="N485" s="449">
        <v>2370.2200000000003</v>
      </c>
      <c r="O485" s="449">
        <v>-1369.85</v>
      </c>
      <c r="P485" s="449">
        <v>5067.9799999999996</v>
      </c>
      <c r="Q485" s="449">
        <v>1679.7399999999998</v>
      </c>
      <c r="R485" s="449">
        <v>2566.125</v>
      </c>
      <c r="S485" s="449">
        <v>2566.125</v>
      </c>
      <c r="T485" s="449">
        <v>2566.125</v>
      </c>
      <c r="U485" s="449">
        <v>2566.125</v>
      </c>
      <c r="V485" s="449">
        <v>2566.125</v>
      </c>
      <c r="W485" s="449">
        <v>2566.125</v>
      </c>
      <c r="X485" s="449"/>
      <c r="Y485" s="449">
        <v>26040</v>
      </c>
      <c r="Z485" s="531"/>
      <c r="AA485" s="449">
        <v>2170</v>
      </c>
      <c r="AB485" s="449">
        <v>2170</v>
      </c>
      <c r="AC485" s="449">
        <v>2170</v>
      </c>
      <c r="AD485" s="449">
        <v>2170</v>
      </c>
      <c r="AE485" s="449">
        <v>2170</v>
      </c>
      <c r="AF485" s="449">
        <v>2170</v>
      </c>
      <c r="AG485" s="449">
        <v>2170</v>
      </c>
      <c r="AH485" s="449">
        <v>2170</v>
      </c>
      <c r="AI485" s="449">
        <v>2170</v>
      </c>
      <c r="AJ485" s="449">
        <v>2170</v>
      </c>
      <c r="AK485" s="449">
        <v>2170</v>
      </c>
      <c r="AL485" s="449">
        <v>2170</v>
      </c>
      <c r="AM485" s="400"/>
      <c r="AN485" s="500">
        <v>26040</v>
      </c>
      <c r="AO485" s="449">
        <v>12534.059016080004</v>
      </c>
      <c r="AP485" s="449">
        <v>-13505.940983919996</v>
      </c>
      <c r="AQ485" s="453">
        <v>-0.51866132810752674</v>
      </c>
      <c r="AR485" s="449">
        <v>12534.059016080004</v>
      </c>
      <c r="AS485" s="449">
        <v>0</v>
      </c>
      <c r="AT485" s="426">
        <v>0</v>
      </c>
      <c r="AU485" s="421"/>
      <c r="AV485" s="449">
        <v>1044.5049180066669</v>
      </c>
      <c r="AW485" s="449">
        <v>1044.5049180066669</v>
      </c>
      <c r="AX485" s="449">
        <v>1044.5049180066669</v>
      </c>
      <c r="AY485" s="449">
        <v>1044.5049180066669</v>
      </c>
      <c r="AZ485" s="449">
        <v>1044.5049180066669</v>
      </c>
      <c r="BA485" s="449">
        <v>1044.5049180066669</v>
      </c>
      <c r="BB485" s="449">
        <v>1044.5049180066669</v>
      </c>
      <c r="BC485" s="449">
        <v>1044.5049180066669</v>
      </c>
      <c r="BD485" s="449">
        <v>1044.5049180066669</v>
      </c>
      <c r="BE485" s="449">
        <v>1044.5049180066669</v>
      </c>
      <c r="BF485" s="449">
        <v>1044.5049180066669</v>
      </c>
      <c r="BG485" s="449">
        <v>1044.5049180066669</v>
      </c>
      <c r="BH485" s="400"/>
      <c r="BI485" s="449">
        <v>1044.5049180066669</v>
      </c>
      <c r="BJ485" s="449">
        <v>1044.5049180066669</v>
      </c>
      <c r="BK485" s="449">
        <v>1044.5049180066669</v>
      </c>
      <c r="BL485" s="771">
        <v>1044.5049180066669</v>
      </c>
      <c r="BM485" s="449">
        <v>1044.5049180066669</v>
      </c>
      <c r="BN485" s="449">
        <v>1044.5049180066669</v>
      </c>
      <c r="BO485" s="449">
        <v>1044.5049180066669</v>
      </c>
      <c r="BP485" s="449">
        <v>1044.5049180066669</v>
      </c>
      <c r="BQ485" s="449">
        <v>1044.5049180066669</v>
      </c>
      <c r="BR485" s="449">
        <v>1044.5049180066669</v>
      </c>
      <c r="BS485" s="449">
        <v>1044.5049180066669</v>
      </c>
      <c r="BT485" s="449">
        <v>1044.5049180066669</v>
      </c>
    </row>
    <row r="486" spans="1:74" ht="15" customHeight="1" x14ac:dyDescent="0.25">
      <c r="A486" s="502" t="s">
        <v>820</v>
      </c>
      <c r="B486" s="502" t="s">
        <v>821</v>
      </c>
      <c r="C486" s="541"/>
      <c r="D486" s="500">
        <v>0</v>
      </c>
      <c r="E486" s="449">
        <v>11696</v>
      </c>
      <c r="F486" s="449">
        <v>-11696</v>
      </c>
      <c r="G486" s="421">
        <v>-1</v>
      </c>
      <c r="H486" s="449">
        <v>0</v>
      </c>
      <c r="I486" s="449">
        <v>0</v>
      </c>
      <c r="J486" s="426">
        <v>0</v>
      </c>
      <c r="K486" s="421"/>
      <c r="L486" s="449">
        <v>0</v>
      </c>
      <c r="M486" s="449">
        <v>0</v>
      </c>
      <c r="N486" s="449">
        <v>0</v>
      </c>
      <c r="O486" s="449">
        <v>0</v>
      </c>
      <c r="P486" s="449">
        <v>0</v>
      </c>
      <c r="Q486" s="449">
        <v>0</v>
      </c>
      <c r="R486" s="449">
        <v>0</v>
      </c>
      <c r="S486" s="449">
        <v>0</v>
      </c>
      <c r="T486" s="449">
        <v>0</v>
      </c>
      <c r="U486" s="449">
        <v>0</v>
      </c>
      <c r="V486" s="449">
        <v>0</v>
      </c>
      <c r="W486" s="449">
        <v>0</v>
      </c>
      <c r="X486" s="449"/>
      <c r="Y486" s="449">
        <v>0</v>
      </c>
      <c r="Z486" s="531"/>
      <c r="AA486" s="449">
        <v>0</v>
      </c>
      <c r="AB486" s="449">
        <v>0</v>
      </c>
      <c r="AC486" s="449">
        <v>0</v>
      </c>
      <c r="AD486" s="449">
        <v>0</v>
      </c>
      <c r="AE486" s="449">
        <v>0</v>
      </c>
      <c r="AF486" s="449">
        <v>0</v>
      </c>
      <c r="AG486" s="449">
        <v>0</v>
      </c>
      <c r="AH486" s="449">
        <v>0</v>
      </c>
      <c r="AI486" s="449">
        <v>0</v>
      </c>
      <c r="AJ486" s="449">
        <v>0</v>
      </c>
      <c r="AK486" s="449">
        <v>0</v>
      </c>
      <c r="AL486" s="449">
        <v>0</v>
      </c>
      <c r="AM486" s="400"/>
      <c r="AN486" s="500">
        <v>0</v>
      </c>
      <c r="AO486" s="449">
        <v>11890.830056000001</v>
      </c>
      <c r="AP486" s="449">
        <v>11890.830056000001</v>
      </c>
      <c r="AQ486" s="453" t="s">
        <v>1519</v>
      </c>
      <c r="AR486" s="449">
        <v>11890.830056000001</v>
      </c>
      <c r="AS486" s="449">
        <v>0</v>
      </c>
      <c r="AT486" s="426">
        <v>0</v>
      </c>
      <c r="AU486" s="421"/>
      <c r="AV486" s="449">
        <v>990.90250466666691</v>
      </c>
      <c r="AW486" s="449">
        <v>990.90250466666691</v>
      </c>
      <c r="AX486" s="449">
        <v>990.90250466666691</v>
      </c>
      <c r="AY486" s="449">
        <v>990.90250466666691</v>
      </c>
      <c r="AZ486" s="449">
        <v>990.90250466666691</v>
      </c>
      <c r="BA486" s="449">
        <v>990.90250466666691</v>
      </c>
      <c r="BB486" s="449">
        <v>990.90250466666691</v>
      </c>
      <c r="BC486" s="449">
        <v>990.90250466666691</v>
      </c>
      <c r="BD486" s="449">
        <v>990.90250466666691</v>
      </c>
      <c r="BE486" s="449">
        <v>990.90250466666691</v>
      </c>
      <c r="BF486" s="449">
        <v>990.90250466666691</v>
      </c>
      <c r="BG486" s="449">
        <v>990.90250466666691</v>
      </c>
      <c r="BH486" s="400"/>
      <c r="BI486" s="449">
        <v>990.90250466666691</v>
      </c>
      <c r="BJ486" s="449">
        <v>990.90250466666691</v>
      </c>
      <c r="BK486" s="449">
        <v>990.90250466666691</v>
      </c>
      <c r="BL486" s="771">
        <v>990.90250466666691</v>
      </c>
      <c r="BM486" s="449">
        <v>990.90250466666691</v>
      </c>
      <c r="BN486" s="449">
        <v>990.90250466666691</v>
      </c>
      <c r="BO486" s="449">
        <v>990.90250466666691</v>
      </c>
      <c r="BP486" s="449">
        <v>990.90250466666691</v>
      </c>
      <c r="BQ486" s="449">
        <v>990.90250466666691</v>
      </c>
      <c r="BR486" s="449">
        <v>990.90250466666691</v>
      </c>
      <c r="BS486" s="449">
        <v>990.90250466666691</v>
      </c>
      <c r="BT486" s="449">
        <v>990.90250466666691</v>
      </c>
    </row>
    <row r="487" spans="1:74" ht="14.25" hidden="1" customHeight="1" x14ac:dyDescent="0.25">
      <c r="A487" s="502" t="s">
        <v>822</v>
      </c>
      <c r="B487" s="502" t="s">
        <v>823</v>
      </c>
      <c r="C487" s="541"/>
      <c r="D487" s="500">
        <v>0</v>
      </c>
      <c r="E487" s="449">
        <v>0</v>
      </c>
      <c r="F487" s="449">
        <v>0</v>
      </c>
      <c r="G487" s="421">
        <v>0</v>
      </c>
      <c r="H487" s="449">
        <v>0</v>
      </c>
      <c r="I487" s="449">
        <v>0</v>
      </c>
      <c r="J487" s="426">
        <v>0</v>
      </c>
      <c r="K487" s="421"/>
      <c r="L487" s="449">
        <v>0</v>
      </c>
      <c r="M487" s="449">
        <v>0</v>
      </c>
      <c r="N487" s="449">
        <v>0</v>
      </c>
      <c r="O487" s="449">
        <v>0</v>
      </c>
      <c r="P487" s="449">
        <v>0</v>
      </c>
      <c r="Q487" s="449">
        <v>0</v>
      </c>
      <c r="R487" s="449">
        <v>0</v>
      </c>
      <c r="S487" s="449">
        <v>0</v>
      </c>
      <c r="T487" s="449">
        <v>0</v>
      </c>
      <c r="U487" s="449">
        <v>0</v>
      </c>
      <c r="V487" s="449">
        <v>0</v>
      </c>
      <c r="W487" s="449">
        <v>0</v>
      </c>
      <c r="X487" s="449"/>
      <c r="Y487" s="449">
        <v>0</v>
      </c>
      <c r="Z487" s="531"/>
      <c r="AA487" s="449">
        <v>0</v>
      </c>
      <c r="AB487" s="449">
        <v>0</v>
      </c>
      <c r="AC487" s="449">
        <v>0</v>
      </c>
      <c r="AD487" s="449">
        <v>0</v>
      </c>
      <c r="AE487" s="449">
        <v>0</v>
      </c>
      <c r="AF487" s="449">
        <v>0</v>
      </c>
      <c r="AG487" s="449">
        <v>0</v>
      </c>
      <c r="AH487" s="449">
        <v>0</v>
      </c>
      <c r="AI487" s="449">
        <v>0</v>
      </c>
      <c r="AJ487" s="449">
        <v>0</v>
      </c>
      <c r="AK487" s="449">
        <v>0</v>
      </c>
      <c r="AL487" s="449">
        <v>0</v>
      </c>
      <c r="AM487" s="400"/>
      <c r="AN487" s="500">
        <v>0</v>
      </c>
      <c r="AO487" s="449">
        <v>0</v>
      </c>
      <c r="AP487" s="449">
        <v>0</v>
      </c>
      <c r="AQ487" s="453" t="s">
        <v>1519</v>
      </c>
      <c r="AR487" s="449">
        <v>0</v>
      </c>
      <c r="AS487" s="449">
        <v>0</v>
      </c>
      <c r="AT487" s="426">
        <v>0</v>
      </c>
      <c r="AU487" s="421"/>
      <c r="AV487" s="449">
        <v>0</v>
      </c>
      <c r="AW487" s="449">
        <v>0</v>
      </c>
      <c r="AX487" s="449">
        <v>0</v>
      </c>
      <c r="AY487" s="449">
        <v>0</v>
      </c>
      <c r="AZ487" s="449">
        <v>0</v>
      </c>
      <c r="BA487" s="449">
        <v>0</v>
      </c>
      <c r="BB487" s="449">
        <v>0</v>
      </c>
      <c r="BC487" s="449">
        <v>0</v>
      </c>
      <c r="BD487" s="449">
        <v>0</v>
      </c>
      <c r="BE487" s="449">
        <v>0</v>
      </c>
      <c r="BF487" s="449">
        <v>0</v>
      </c>
      <c r="BG487" s="449">
        <v>0</v>
      </c>
      <c r="BH487" s="400"/>
      <c r="BI487" s="449">
        <v>0</v>
      </c>
      <c r="BJ487" s="449">
        <v>0</v>
      </c>
      <c r="BK487" s="449">
        <v>0</v>
      </c>
      <c r="BL487" s="771">
        <v>0</v>
      </c>
      <c r="BM487" s="449">
        <v>0</v>
      </c>
      <c r="BN487" s="449">
        <v>0</v>
      </c>
      <c r="BO487" s="449">
        <v>0</v>
      </c>
      <c r="BP487" s="449">
        <v>0</v>
      </c>
      <c r="BQ487" s="449">
        <v>0</v>
      </c>
      <c r="BR487" s="449">
        <v>0</v>
      </c>
      <c r="BS487" s="449">
        <v>0</v>
      </c>
      <c r="BT487" s="449">
        <v>0</v>
      </c>
    </row>
    <row r="488" spans="1:74" s="633" customFormat="1" ht="14.25" hidden="1" customHeight="1" x14ac:dyDescent="0.25">
      <c r="A488" s="502" t="s">
        <v>824</v>
      </c>
      <c r="B488" s="502" t="s">
        <v>825</v>
      </c>
      <c r="C488" s="541"/>
      <c r="D488" s="500">
        <v>0</v>
      </c>
      <c r="E488" s="449">
        <v>0</v>
      </c>
      <c r="F488" s="449">
        <v>0</v>
      </c>
      <c r="G488" s="421">
        <v>0</v>
      </c>
      <c r="H488" s="449">
        <v>0</v>
      </c>
      <c r="I488" s="449">
        <v>0</v>
      </c>
      <c r="J488" s="426">
        <v>0</v>
      </c>
      <c r="K488" s="421"/>
      <c r="L488" s="449">
        <v>0</v>
      </c>
      <c r="M488" s="449">
        <v>0</v>
      </c>
      <c r="N488" s="449">
        <v>0</v>
      </c>
      <c r="O488" s="449">
        <v>0</v>
      </c>
      <c r="P488" s="449">
        <v>0</v>
      </c>
      <c r="Q488" s="449">
        <v>0</v>
      </c>
      <c r="R488" s="449">
        <v>0</v>
      </c>
      <c r="S488" s="449">
        <v>0</v>
      </c>
      <c r="T488" s="449">
        <v>0</v>
      </c>
      <c r="U488" s="449">
        <v>0</v>
      </c>
      <c r="V488" s="449">
        <v>0</v>
      </c>
      <c r="W488" s="449">
        <v>0</v>
      </c>
      <c r="X488" s="449"/>
      <c r="Y488" s="449">
        <v>0</v>
      </c>
      <c r="Z488" s="531"/>
      <c r="AA488" s="449">
        <v>0</v>
      </c>
      <c r="AB488" s="449">
        <v>0</v>
      </c>
      <c r="AC488" s="449">
        <v>0</v>
      </c>
      <c r="AD488" s="449">
        <v>0</v>
      </c>
      <c r="AE488" s="449">
        <v>0</v>
      </c>
      <c r="AF488" s="449">
        <v>0</v>
      </c>
      <c r="AG488" s="449">
        <v>0</v>
      </c>
      <c r="AH488" s="449">
        <v>0</v>
      </c>
      <c r="AI488" s="449">
        <v>0</v>
      </c>
      <c r="AJ488" s="449">
        <v>0</v>
      </c>
      <c r="AK488" s="449">
        <v>0</v>
      </c>
      <c r="AL488" s="449">
        <v>0</v>
      </c>
      <c r="AN488" s="500">
        <v>0</v>
      </c>
      <c r="AO488" s="449">
        <v>0</v>
      </c>
      <c r="AP488" s="449">
        <v>0</v>
      </c>
      <c r="AQ488" s="453" t="s">
        <v>1519</v>
      </c>
      <c r="AR488" s="449">
        <v>0</v>
      </c>
      <c r="AS488" s="449">
        <v>0</v>
      </c>
      <c r="AT488" s="426">
        <v>0</v>
      </c>
      <c r="AU488" s="421"/>
      <c r="AV488" s="449">
        <v>0</v>
      </c>
      <c r="AW488" s="449">
        <v>0</v>
      </c>
      <c r="AX488" s="449">
        <v>0</v>
      </c>
      <c r="AY488" s="449">
        <v>0</v>
      </c>
      <c r="AZ488" s="449">
        <v>0</v>
      </c>
      <c r="BA488" s="449">
        <v>0</v>
      </c>
      <c r="BB488" s="449">
        <v>0</v>
      </c>
      <c r="BC488" s="449">
        <v>0</v>
      </c>
      <c r="BD488" s="449">
        <v>0</v>
      </c>
      <c r="BE488" s="449">
        <v>0</v>
      </c>
      <c r="BF488" s="449">
        <v>0</v>
      </c>
      <c r="BG488" s="449">
        <v>0</v>
      </c>
      <c r="BH488" s="400"/>
      <c r="BI488" s="449">
        <v>0</v>
      </c>
      <c r="BJ488" s="449">
        <v>0</v>
      </c>
      <c r="BK488" s="449">
        <v>0</v>
      </c>
      <c r="BL488" s="771">
        <v>0</v>
      </c>
      <c r="BM488" s="449">
        <v>0</v>
      </c>
      <c r="BN488" s="449">
        <v>0</v>
      </c>
      <c r="BO488" s="449">
        <v>0</v>
      </c>
      <c r="BP488" s="449">
        <v>0</v>
      </c>
      <c r="BQ488" s="449">
        <v>0</v>
      </c>
      <c r="BR488" s="449">
        <v>0</v>
      </c>
      <c r="BS488" s="449">
        <v>0</v>
      </c>
      <c r="BT488" s="449">
        <v>0</v>
      </c>
    </row>
    <row r="489" spans="1:74" ht="15" customHeight="1" x14ac:dyDescent="0.25">
      <c r="A489" s="502" t="s">
        <v>826</v>
      </c>
      <c r="B489" s="502" t="s">
        <v>827</v>
      </c>
      <c r="C489" s="541"/>
      <c r="D489" s="500">
        <v>6203</v>
      </c>
      <c r="E489" s="449">
        <v>3627</v>
      </c>
      <c r="F489" s="449">
        <v>2576</v>
      </c>
      <c r="G489" s="421">
        <v>0.71022883926109737</v>
      </c>
      <c r="H489" s="449">
        <v>6203</v>
      </c>
      <c r="I489" s="449">
        <v>0</v>
      </c>
      <c r="J489" s="426">
        <v>0</v>
      </c>
      <c r="K489" s="421"/>
      <c r="L489" s="449">
        <v>280.54000000000002</v>
      </c>
      <c r="M489" s="449">
        <v>532.66000000000008</v>
      </c>
      <c r="N489" s="449">
        <v>414.71000000000004</v>
      </c>
      <c r="O489" s="449">
        <v>485.28999999999996</v>
      </c>
      <c r="P489" s="449">
        <v>326.69000000000005</v>
      </c>
      <c r="Q489" s="449">
        <v>397.99</v>
      </c>
      <c r="R489" s="449">
        <v>627.52</v>
      </c>
      <c r="S489" s="449">
        <v>627.52</v>
      </c>
      <c r="T489" s="449">
        <v>627.52</v>
      </c>
      <c r="U489" s="449">
        <v>627.51999999999987</v>
      </c>
      <c r="V489" s="449">
        <v>627.52</v>
      </c>
      <c r="W489" s="449">
        <v>627.52000000000044</v>
      </c>
      <c r="X489" s="449"/>
      <c r="Y489" s="449">
        <v>6203</v>
      </c>
      <c r="Z489" s="531"/>
      <c r="AA489" s="449">
        <v>516.91666666666663</v>
      </c>
      <c r="AB489" s="449">
        <v>516.91666666666663</v>
      </c>
      <c r="AC489" s="449">
        <v>516.91666666666663</v>
      </c>
      <c r="AD489" s="449">
        <v>516.91666666666663</v>
      </c>
      <c r="AE489" s="449">
        <v>516.91666666666663</v>
      </c>
      <c r="AF489" s="449">
        <v>516.91666666666663</v>
      </c>
      <c r="AG489" s="449">
        <v>516.91666666666663</v>
      </c>
      <c r="AH489" s="449">
        <v>516.91666666666663</v>
      </c>
      <c r="AI489" s="449">
        <v>516.91666666666663</v>
      </c>
      <c r="AJ489" s="449">
        <v>516.91666666666663</v>
      </c>
      <c r="AK489" s="449">
        <v>516.91666666666663</v>
      </c>
      <c r="AL489" s="449">
        <v>516.91666666666663</v>
      </c>
      <c r="AM489" s="400"/>
      <c r="AN489" s="500">
        <v>6203</v>
      </c>
      <c r="AO489" s="449">
        <v>3285.4600000000005</v>
      </c>
      <c r="AP489" s="449">
        <v>-2917.5399999999995</v>
      </c>
      <c r="AQ489" s="453">
        <v>-0.47034338223440264</v>
      </c>
      <c r="AR489" s="449">
        <v>3285.4600000000005</v>
      </c>
      <c r="AS489" s="449">
        <v>0</v>
      </c>
      <c r="AT489" s="426">
        <v>0</v>
      </c>
      <c r="AU489" s="421"/>
      <c r="AV489" s="449">
        <v>273.78833333333336</v>
      </c>
      <c r="AW489" s="449">
        <v>273.78833333333336</v>
      </c>
      <c r="AX489" s="449">
        <v>273.78833333333336</v>
      </c>
      <c r="AY489" s="449">
        <v>273.78833333333336</v>
      </c>
      <c r="AZ489" s="449">
        <v>273.78833333333336</v>
      </c>
      <c r="BA489" s="449">
        <v>273.78833333333336</v>
      </c>
      <c r="BB489" s="449">
        <v>273.78833333333336</v>
      </c>
      <c r="BC489" s="449">
        <v>273.78833333333336</v>
      </c>
      <c r="BD489" s="449">
        <v>273.78833333333336</v>
      </c>
      <c r="BE489" s="449">
        <v>273.78833333333336</v>
      </c>
      <c r="BF489" s="449">
        <v>273.78833333333336</v>
      </c>
      <c r="BG489" s="449">
        <v>273.78833333333336</v>
      </c>
      <c r="BH489" s="400"/>
      <c r="BI489" s="449">
        <v>273.78833333333336</v>
      </c>
      <c r="BJ489" s="449">
        <v>273.78833333333336</v>
      </c>
      <c r="BK489" s="449">
        <v>273.78833333333336</v>
      </c>
      <c r="BL489" s="771">
        <v>273.78833333333336</v>
      </c>
      <c r="BM489" s="449">
        <v>273.78833333333336</v>
      </c>
      <c r="BN489" s="449">
        <v>273.78833333333336</v>
      </c>
      <c r="BO489" s="449">
        <v>273.78833333333336</v>
      </c>
      <c r="BP489" s="449">
        <v>273.78833333333336</v>
      </c>
      <c r="BQ489" s="449">
        <v>273.78833333333336</v>
      </c>
      <c r="BR489" s="449">
        <v>273.78833333333336</v>
      </c>
      <c r="BS489" s="449">
        <v>273.78833333333336</v>
      </c>
      <c r="BT489" s="449">
        <v>273.78833333333336</v>
      </c>
    </row>
    <row r="490" spans="1:74" ht="15" customHeight="1" x14ac:dyDescent="0.25">
      <c r="A490" s="502" t="s">
        <v>828</v>
      </c>
      <c r="B490" s="502" t="s">
        <v>829</v>
      </c>
      <c r="C490" s="541"/>
      <c r="D490" s="500">
        <v>0</v>
      </c>
      <c r="E490" s="449">
        <v>2576</v>
      </c>
      <c r="F490" s="449">
        <v>-2576</v>
      </c>
      <c r="G490" s="421">
        <v>-1</v>
      </c>
      <c r="H490" s="449">
        <v>0</v>
      </c>
      <c r="I490" s="449">
        <v>0</v>
      </c>
      <c r="J490" s="426">
        <v>0</v>
      </c>
      <c r="K490" s="421"/>
      <c r="L490" s="449">
        <v>0</v>
      </c>
      <c r="M490" s="449">
        <v>0</v>
      </c>
      <c r="N490" s="449">
        <v>0</v>
      </c>
      <c r="O490" s="449">
        <v>0</v>
      </c>
      <c r="P490" s="449">
        <v>0</v>
      </c>
      <c r="Q490" s="449">
        <v>0</v>
      </c>
      <c r="R490" s="449">
        <v>0</v>
      </c>
      <c r="S490" s="449">
        <v>0</v>
      </c>
      <c r="T490" s="449">
        <v>0</v>
      </c>
      <c r="U490" s="449">
        <v>0</v>
      </c>
      <c r="V490" s="449">
        <v>0</v>
      </c>
      <c r="W490" s="449">
        <v>0</v>
      </c>
      <c r="X490" s="449"/>
      <c r="Y490" s="449">
        <v>0</v>
      </c>
      <c r="Z490" s="531"/>
      <c r="AA490" s="449">
        <v>0</v>
      </c>
      <c r="AB490" s="449">
        <v>0</v>
      </c>
      <c r="AC490" s="449">
        <v>0</v>
      </c>
      <c r="AD490" s="449">
        <v>0</v>
      </c>
      <c r="AE490" s="449">
        <v>0</v>
      </c>
      <c r="AF490" s="449">
        <v>0</v>
      </c>
      <c r="AG490" s="449">
        <v>0</v>
      </c>
      <c r="AH490" s="449">
        <v>0</v>
      </c>
      <c r="AI490" s="449">
        <v>0</v>
      </c>
      <c r="AJ490" s="449">
        <v>0</v>
      </c>
      <c r="AK490" s="449">
        <v>0</v>
      </c>
      <c r="AL490" s="449">
        <v>0</v>
      </c>
      <c r="AM490" s="400"/>
      <c r="AN490" s="500">
        <v>0</v>
      </c>
      <c r="AO490" s="449">
        <v>3342.24</v>
      </c>
      <c r="AP490" s="449">
        <v>3342.24</v>
      </c>
      <c r="AQ490" s="453" t="s">
        <v>1519</v>
      </c>
      <c r="AR490" s="449">
        <v>3342.24</v>
      </c>
      <c r="AS490" s="449">
        <v>0</v>
      </c>
      <c r="AT490" s="426">
        <v>0</v>
      </c>
      <c r="AU490" s="421"/>
      <c r="AV490" s="449">
        <v>278.52</v>
      </c>
      <c r="AW490" s="449">
        <v>278.52</v>
      </c>
      <c r="AX490" s="449">
        <v>278.52</v>
      </c>
      <c r="AY490" s="449">
        <v>278.52</v>
      </c>
      <c r="AZ490" s="449">
        <v>278.52</v>
      </c>
      <c r="BA490" s="449">
        <v>278.52</v>
      </c>
      <c r="BB490" s="449">
        <v>278.52</v>
      </c>
      <c r="BC490" s="449">
        <v>278.52</v>
      </c>
      <c r="BD490" s="449">
        <v>278.52</v>
      </c>
      <c r="BE490" s="449">
        <v>278.52</v>
      </c>
      <c r="BF490" s="449">
        <v>278.52</v>
      </c>
      <c r="BG490" s="449">
        <v>278.52</v>
      </c>
      <c r="BH490" s="400"/>
      <c r="BI490" s="449">
        <v>278.52</v>
      </c>
      <c r="BJ490" s="449">
        <v>278.52</v>
      </c>
      <c r="BK490" s="449">
        <v>278.52</v>
      </c>
      <c r="BL490" s="771">
        <v>278.52</v>
      </c>
      <c r="BM490" s="449">
        <v>278.52</v>
      </c>
      <c r="BN490" s="449">
        <v>278.52</v>
      </c>
      <c r="BO490" s="449">
        <v>278.52</v>
      </c>
      <c r="BP490" s="449">
        <v>278.52</v>
      </c>
      <c r="BQ490" s="449">
        <v>278.52</v>
      </c>
      <c r="BR490" s="449">
        <v>278.52</v>
      </c>
      <c r="BS490" s="449">
        <v>278.52</v>
      </c>
      <c r="BT490" s="449">
        <v>278.52</v>
      </c>
    </row>
    <row r="491" spans="1:74" ht="15" customHeight="1" x14ac:dyDescent="0.25">
      <c r="A491" s="502" t="s">
        <v>830</v>
      </c>
      <c r="B491" s="537" t="s">
        <v>831</v>
      </c>
      <c r="C491" s="541"/>
      <c r="D491" s="500">
        <v>0</v>
      </c>
      <c r="E491" s="449">
        <v>0</v>
      </c>
      <c r="F491" s="449">
        <v>0</v>
      </c>
      <c r="G491" s="421">
        <v>0</v>
      </c>
      <c r="H491" s="449">
        <v>0</v>
      </c>
      <c r="I491" s="449">
        <v>0</v>
      </c>
      <c r="J491" s="426">
        <v>0</v>
      </c>
      <c r="K491" s="421"/>
      <c r="L491" s="449">
        <v>0</v>
      </c>
      <c r="M491" s="449">
        <v>0</v>
      </c>
      <c r="N491" s="449">
        <v>0</v>
      </c>
      <c r="O491" s="449">
        <v>0</v>
      </c>
      <c r="P491" s="449">
        <v>0</v>
      </c>
      <c r="Q491" s="449">
        <v>0</v>
      </c>
      <c r="R491" s="449">
        <v>0</v>
      </c>
      <c r="S491" s="449">
        <v>0</v>
      </c>
      <c r="T491" s="449">
        <v>0</v>
      </c>
      <c r="U491" s="449">
        <v>0</v>
      </c>
      <c r="V491" s="449">
        <v>0</v>
      </c>
      <c r="W491" s="449">
        <v>0</v>
      </c>
      <c r="X491" s="449"/>
      <c r="Y491" s="449">
        <v>0</v>
      </c>
      <c r="Z491" s="531"/>
      <c r="AA491" s="449">
        <v>0</v>
      </c>
      <c r="AB491" s="449">
        <v>0</v>
      </c>
      <c r="AC491" s="449">
        <v>0</v>
      </c>
      <c r="AD491" s="449">
        <v>0</v>
      </c>
      <c r="AE491" s="449">
        <v>0</v>
      </c>
      <c r="AF491" s="449">
        <v>0</v>
      </c>
      <c r="AG491" s="449">
        <v>0</v>
      </c>
      <c r="AH491" s="449">
        <v>0</v>
      </c>
      <c r="AI491" s="449">
        <v>0</v>
      </c>
      <c r="AJ491" s="449">
        <v>0</v>
      </c>
      <c r="AK491" s="449">
        <v>0</v>
      </c>
      <c r="AL491" s="449">
        <v>0</v>
      </c>
      <c r="AM491" s="400"/>
      <c r="AN491" s="500">
        <v>0</v>
      </c>
      <c r="AO491" s="449">
        <v>54105.899999999987</v>
      </c>
      <c r="AP491" s="449">
        <v>54105.899999999987</v>
      </c>
      <c r="AQ491" s="453" t="s">
        <v>1519</v>
      </c>
      <c r="AR491" s="449">
        <v>54105.899999999987</v>
      </c>
      <c r="AS491" s="449">
        <v>0</v>
      </c>
      <c r="AT491" s="426">
        <v>0</v>
      </c>
      <c r="AU491" s="421"/>
      <c r="AV491" s="449">
        <v>4508.8249999999998</v>
      </c>
      <c r="AW491" s="449">
        <v>4508.8249999999998</v>
      </c>
      <c r="AX491" s="449">
        <v>4508.8249999999998</v>
      </c>
      <c r="AY491" s="449">
        <v>4508.8249999999998</v>
      </c>
      <c r="AZ491" s="449">
        <v>4508.8249999999998</v>
      </c>
      <c r="BA491" s="449">
        <v>4508.8249999999998</v>
      </c>
      <c r="BB491" s="449">
        <v>4508.8249999999998</v>
      </c>
      <c r="BC491" s="449">
        <v>4508.8249999999998</v>
      </c>
      <c r="BD491" s="449">
        <v>4508.8249999999998</v>
      </c>
      <c r="BE491" s="449">
        <v>4508.8249999999998</v>
      </c>
      <c r="BF491" s="449">
        <v>4508.8249999999998</v>
      </c>
      <c r="BG491" s="449">
        <v>4508.8249999999998</v>
      </c>
      <c r="BH491" s="400"/>
      <c r="BI491" s="449">
        <v>4508.8249999999998</v>
      </c>
      <c r="BJ491" s="449">
        <v>4508.8249999999998</v>
      </c>
      <c r="BK491" s="449">
        <v>4508.8249999999998</v>
      </c>
      <c r="BL491" s="771">
        <v>4508.8249999999998</v>
      </c>
      <c r="BM491" s="449">
        <v>4508.8249999999998</v>
      </c>
      <c r="BN491" s="449">
        <v>4508.8249999999998</v>
      </c>
      <c r="BO491" s="449">
        <v>4508.8249999999998</v>
      </c>
      <c r="BP491" s="449">
        <v>4508.8249999999998</v>
      </c>
      <c r="BQ491" s="449">
        <v>4508.8249999999998</v>
      </c>
      <c r="BR491" s="449">
        <v>4508.8249999999998</v>
      </c>
      <c r="BS491" s="449">
        <v>4508.8249999999998</v>
      </c>
      <c r="BT491" s="449">
        <v>4508.8249999999998</v>
      </c>
    </row>
    <row r="492" spans="1:74" ht="15" customHeight="1" x14ac:dyDescent="0.25">
      <c r="A492" s="537" t="s">
        <v>832</v>
      </c>
      <c r="B492" s="537" t="s">
        <v>833</v>
      </c>
      <c r="C492" s="541"/>
      <c r="D492" s="500">
        <v>0</v>
      </c>
      <c r="E492" s="449">
        <v>0</v>
      </c>
      <c r="F492" s="449">
        <v>0</v>
      </c>
      <c r="G492" s="421">
        <v>0</v>
      </c>
      <c r="H492" s="449">
        <v>0</v>
      </c>
      <c r="I492" s="449">
        <v>0</v>
      </c>
      <c r="J492" s="426">
        <v>0</v>
      </c>
      <c r="K492" s="421"/>
      <c r="L492" s="449">
        <v>0</v>
      </c>
      <c r="M492" s="449">
        <v>0</v>
      </c>
      <c r="N492" s="449">
        <v>0</v>
      </c>
      <c r="O492" s="449">
        <v>0</v>
      </c>
      <c r="P492" s="449">
        <v>0</v>
      </c>
      <c r="Q492" s="449">
        <v>0</v>
      </c>
      <c r="R492" s="449">
        <v>0</v>
      </c>
      <c r="S492" s="449">
        <v>0</v>
      </c>
      <c r="T492" s="449">
        <v>0</v>
      </c>
      <c r="U492" s="449">
        <v>0</v>
      </c>
      <c r="V492" s="449">
        <v>0</v>
      </c>
      <c r="W492" s="449">
        <v>0</v>
      </c>
      <c r="X492" s="449"/>
      <c r="Y492" s="449">
        <v>0</v>
      </c>
      <c r="Z492" s="531"/>
      <c r="AA492" s="449">
        <v>0</v>
      </c>
      <c r="AB492" s="449">
        <v>0</v>
      </c>
      <c r="AC492" s="449">
        <v>0</v>
      </c>
      <c r="AD492" s="449">
        <v>0</v>
      </c>
      <c r="AE492" s="449">
        <v>0</v>
      </c>
      <c r="AF492" s="449">
        <v>0</v>
      </c>
      <c r="AG492" s="449">
        <v>0</v>
      </c>
      <c r="AH492" s="449">
        <v>0</v>
      </c>
      <c r="AI492" s="449">
        <v>0</v>
      </c>
      <c r="AJ492" s="449">
        <v>0</v>
      </c>
      <c r="AK492" s="449">
        <v>0</v>
      </c>
      <c r="AL492" s="449">
        <v>0</v>
      </c>
      <c r="AM492" s="400"/>
      <c r="AN492" s="500">
        <v>0</v>
      </c>
      <c r="AO492" s="449">
        <v>3000</v>
      </c>
      <c r="AP492" s="449">
        <v>3000</v>
      </c>
      <c r="AQ492" s="453" t="s">
        <v>1519</v>
      </c>
      <c r="AR492" s="449">
        <v>3000</v>
      </c>
      <c r="AS492" s="449">
        <v>0</v>
      </c>
      <c r="AT492" s="426">
        <v>0</v>
      </c>
      <c r="AU492" s="421"/>
      <c r="AV492" s="449">
        <v>0</v>
      </c>
      <c r="AW492" s="449">
        <v>0</v>
      </c>
      <c r="AX492" s="449">
        <v>0</v>
      </c>
      <c r="AY492" s="449">
        <v>3000</v>
      </c>
      <c r="AZ492" s="449">
        <v>0</v>
      </c>
      <c r="BA492" s="449">
        <v>0</v>
      </c>
      <c r="BB492" s="449">
        <v>0</v>
      </c>
      <c r="BC492" s="449">
        <v>0</v>
      </c>
      <c r="BD492" s="449">
        <v>0</v>
      </c>
      <c r="BE492" s="449">
        <v>0</v>
      </c>
      <c r="BF492" s="449">
        <v>0</v>
      </c>
      <c r="BG492" s="449">
        <v>0</v>
      </c>
      <c r="BH492" s="400"/>
      <c r="BI492" s="449">
        <v>0</v>
      </c>
      <c r="BJ492" s="449">
        <v>0</v>
      </c>
      <c r="BK492" s="449">
        <v>0</v>
      </c>
      <c r="BL492" s="771">
        <v>3000</v>
      </c>
      <c r="BM492" s="449">
        <v>0</v>
      </c>
      <c r="BN492" s="449">
        <v>0</v>
      </c>
      <c r="BO492" s="449">
        <v>0</v>
      </c>
      <c r="BP492" s="449">
        <v>0</v>
      </c>
      <c r="BQ492" s="449">
        <v>0</v>
      </c>
      <c r="BR492" s="449">
        <v>0</v>
      </c>
      <c r="BS492" s="449">
        <v>0</v>
      </c>
      <c r="BT492" s="449">
        <v>0</v>
      </c>
    </row>
    <row r="493" spans="1:74" ht="15" customHeight="1" x14ac:dyDescent="0.25">
      <c r="A493" s="540" t="s">
        <v>834</v>
      </c>
      <c r="B493" s="537" t="s">
        <v>835</v>
      </c>
      <c r="C493" s="541"/>
      <c r="D493" s="500">
        <v>0</v>
      </c>
      <c r="E493" s="449">
        <v>0</v>
      </c>
      <c r="F493" s="449">
        <v>0</v>
      </c>
      <c r="G493" s="421">
        <v>0</v>
      </c>
      <c r="H493" s="449">
        <v>0</v>
      </c>
      <c r="I493" s="449">
        <v>0</v>
      </c>
      <c r="J493" s="426">
        <v>0</v>
      </c>
      <c r="K493" s="421"/>
      <c r="L493" s="449">
        <v>0</v>
      </c>
      <c r="M493" s="449">
        <v>0</v>
      </c>
      <c r="N493" s="449">
        <v>0</v>
      </c>
      <c r="O493" s="449">
        <v>0</v>
      </c>
      <c r="P493" s="449">
        <v>0</v>
      </c>
      <c r="Q493" s="449">
        <v>0</v>
      </c>
      <c r="R493" s="449">
        <v>0</v>
      </c>
      <c r="S493" s="449">
        <v>0</v>
      </c>
      <c r="T493" s="449">
        <v>0</v>
      </c>
      <c r="U493" s="449">
        <v>0</v>
      </c>
      <c r="V493" s="449">
        <v>0</v>
      </c>
      <c r="W493" s="449">
        <v>0</v>
      </c>
      <c r="X493" s="449"/>
      <c r="Y493" s="449">
        <v>0</v>
      </c>
      <c r="Z493" s="449"/>
      <c r="AA493" s="449">
        <v>0</v>
      </c>
      <c r="AB493" s="449">
        <v>0</v>
      </c>
      <c r="AC493" s="449">
        <v>0</v>
      </c>
      <c r="AD493" s="449">
        <v>0</v>
      </c>
      <c r="AE493" s="449">
        <v>0</v>
      </c>
      <c r="AF493" s="449">
        <v>0</v>
      </c>
      <c r="AG493" s="449">
        <v>0</v>
      </c>
      <c r="AH493" s="449">
        <v>0</v>
      </c>
      <c r="AI493" s="449">
        <v>0</v>
      </c>
      <c r="AJ493" s="449">
        <v>0</v>
      </c>
      <c r="AK493" s="449">
        <v>0</v>
      </c>
      <c r="AL493" s="449">
        <v>0</v>
      </c>
      <c r="AM493" s="400"/>
      <c r="AN493" s="500">
        <v>0</v>
      </c>
      <c r="AO493" s="449">
        <v>5760.1100000000006</v>
      </c>
      <c r="AP493" s="449">
        <v>5760.1100000000006</v>
      </c>
      <c r="AQ493" s="453" t="s">
        <v>1519</v>
      </c>
      <c r="AR493" s="449">
        <v>5760.1100000000006</v>
      </c>
      <c r="AS493" s="449">
        <v>0</v>
      </c>
      <c r="AT493" s="426">
        <v>0</v>
      </c>
      <c r="AU493" s="421"/>
      <c r="AV493" s="449">
        <v>480.00916666666672</v>
      </c>
      <c r="AW493" s="449">
        <v>480.00916666666672</v>
      </c>
      <c r="AX493" s="449">
        <v>480.00916666666672</v>
      </c>
      <c r="AY493" s="449">
        <v>480.00916666666672</v>
      </c>
      <c r="AZ493" s="449">
        <v>480.00916666666672</v>
      </c>
      <c r="BA493" s="449">
        <v>480.00916666666672</v>
      </c>
      <c r="BB493" s="449">
        <v>480.00916666666672</v>
      </c>
      <c r="BC493" s="449">
        <v>480.00916666666672</v>
      </c>
      <c r="BD493" s="449">
        <v>480.00916666666672</v>
      </c>
      <c r="BE493" s="449">
        <v>480.00916666666672</v>
      </c>
      <c r="BF493" s="449">
        <v>480.00916666666672</v>
      </c>
      <c r="BG493" s="449">
        <v>480.00916666666672</v>
      </c>
      <c r="BH493" s="400"/>
      <c r="BI493" s="449">
        <v>480.00916666666672</v>
      </c>
      <c r="BJ493" s="449">
        <v>480.00916666666672</v>
      </c>
      <c r="BK493" s="449">
        <v>480.00916666666672</v>
      </c>
      <c r="BL493" s="771">
        <v>480.00916666666672</v>
      </c>
      <c r="BM493" s="449">
        <v>480.00916666666672</v>
      </c>
      <c r="BN493" s="449">
        <v>480.00916666666672</v>
      </c>
      <c r="BO493" s="449">
        <v>480.00916666666672</v>
      </c>
      <c r="BP493" s="449">
        <v>480.00916666666672</v>
      </c>
      <c r="BQ493" s="449">
        <v>480.00916666666672</v>
      </c>
      <c r="BR493" s="449">
        <v>480.00916666666672</v>
      </c>
      <c r="BS493" s="449">
        <v>480.00916666666672</v>
      </c>
      <c r="BT493" s="449">
        <v>480.00916666666672</v>
      </c>
    </row>
    <row r="494" spans="1:74" ht="15" customHeight="1" x14ac:dyDescent="0.25">
      <c r="A494" s="540" t="s">
        <v>836</v>
      </c>
      <c r="B494" s="537" t="s">
        <v>837</v>
      </c>
      <c r="C494" s="541"/>
      <c r="D494" s="500">
        <v>0</v>
      </c>
      <c r="E494" s="449">
        <v>0</v>
      </c>
      <c r="F494" s="449">
        <v>0</v>
      </c>
      <c r="G494" s="421">
        <v>0</v>
      </c>
      <c r="H494" s="449">
        <v>0</v>
      </c>
      <c r="I494" s="449">
        <v>0</v>
      </c>
      <c r="J494" s="426">
        <v>0</v>
      </c>
      <c r="K494" s="421"/>
      <c r="L494" s="449">
        <v>0</v>
      </c>
      <c r="M494" s="449">
        <v>0</v>
      </c>
      <c r="N494" s="449">
        <v>0</v>
      </c>
      <c r="O494" s="449">
        <v>0</v>
      </c>
      <c r="P494" s="449">
        <v>0</v>
      </c>
      <c r="Q494" s="449">
        <v>0</v>
      </c>
      <c r="R494" s="449">
        <v>0</v>
      </c>
      <c r="S494" s="449">
        <v>0</v>
      </c>
      <c r="T494" s="449">
        <v>0</v>
      </c>
      <c r="U494" s="449">
        <v>0</v>
      </c>
      <c r="V494" s="449">
        <v>0</v>
      </c>
      <c r="W494" s="449">
        <v>0</v>
      </c>
      <c r="X494" s="449"/>
      <c r="Y494" s="449">
        <v>0</v>
      </c>
      <c r="Z494" s="449"/>
      <c r="AA494" s="449">
        <v>0</v>
      </c>
      <c r="AB494" s="449">
        <v>0</v>
      </c>
      <c r="AC494" s="449">
        <v>0</v>
      </c>
      <c r="AD494" s="449">
        <v>0</v>
      </c>
      <c r="AE494" s="449">
        <v>0</v>
      </c>
      <c r="AF494" s="449">
        <v>0</v>
      </c>
      <c r="AG494" s="449">
        <v>0</v>
      </c>
      <c r="AH494" s="449">
        <v>0</v>
      </c>
      <c r="AI494" s="449">
        <v>0</v>
      </c>
      <c r="AJ494" s="449">
        <v>0</v>
      </c>
      <c r="AK494" s="449">
        <v>0</v>
      </c>
      <c r="AL494" s="449">
        <v>0</v>
      </c>
      <c r="AM494" s="400"/>
      <c r="AN494" s="500">
        <v>0</v>
      </c>
      <c r="AO494" s="449">
        <v>8256.5603400000018</v>
      </c>
      <c r="AP494" s="449">
        <v>8256.5603400000018</v>
      </c>
      <c r="AQ494" s="453" t="s">
        <v>1519</v>
      </c>
      <c r="AR494" s="449">
        <v>8256.5603400000018</v>
      </c>
      <c r="AS494" s="449">
        <v>0</v>
      </c>
      <c r="AT494" s="426">
        <v>0</v>
      </c>
      <c r="AU494" s="421"/>
      <c r="AV494" s="449">
        <v>688.04669500000011</v>
      </c>
      <c r="AW494" s="449">
        <v>688.04669500000011</v>
      </c>
      <c r="AX494" s="449">
        <v>688.04669500000011</v>
      </c>
      <c r="AY494" s="449">
        <v>688.04669500000011</v>
      </c>
      <c r="AZ494" s="449">
        <v>688.04669500000011</v>
      </c>
      <c r="BA494" s="449">
        <v>688.04669500000011</v>
      </c>
      <c r="BB494" s="449">
        <v>688.04669500000011</v>
      </c>
      <c r="BC494" s="449">
        <v>688.04669500000011</v>
      </c>
      <c r="BD494" s="449">
        <v>688.04669500000011</v>
      </c>
      <c r="BE494" s="449">
        <v>688.04669500000011</v>
      </c>
      <c r="BF494" s="449">
        <v>688.04669500000011</v>
      </c>
      <c r="BG494" s="449">
        <v>688.04669500000011</v>
      </c>
      <c r="BH494" s="400"/>
      <c r="BI494" s="449">
        <v>688.04669500000011</v>
      </c>
      <c r="BJ494" s="449">
        <v>688.04669500000011</v>
      </c>
      <c r="BK494" s="449">
        <v>688.04669500000011</v>
      </c>
      <c r="BL494" s="771">
        <v>688.04669500000011</v>
      </c>
      <c r="BM494" s="449">
        <v>688.04669500000011</v>
      </c>
      <c r="BN494" s="449">
        <v>688.04669500000011</v>
      </c>
      <c r="BO494" s="449">
        <v>688.04669500000011</v>
      </c>
      <c r="BP494" s="449">
        <v>688.04669500000011</v>
      </c>
      <c r="BQ494" s="449">
        <v>688.04669500000011</v>
      </c>
      <c r="BR494" s="449">
        <v>688.04669500000011</v>
      </c>
      <c r="BS494" s="449">
        <v>688.04669500000011</v>
      </c>
      <c r="BT494" s="449">
        <v>688.04669500000011</v>
      </c>
    </row>
    <row r="495" spans="1:74" ht="15" customHeight="1" x14ac:dyDescent="0.25">
      <c r="A495" s="540" t="s">
        <v>838</v>
      </c>
      <c r="B495" s="537" t="s">
        <v>839</v>
      </c>
      <c r="C495" s="541"/>
      <c r="D495" s="500">
        <v>0</v>
      </c>
      <c r="E495" s="449">
        <v>0</v>
      </c>
      <c r="F495" s="449">
        <v>0</v>
      </c>
      <c r="G495" s="421">
        <v>0</v>
      </c>
      <c r="H495" s="449">
        <v>0</v>
      </c>
      <c r="I495" s="449">
        <v>0</v>
      </c>
      <c r="J495" s="426">
        <v>0</v>
      </c>
      <c r="K495" s="421"/>
      <c r="L495" s="449">
        <v>0</v>
      </c>
      <c r="M495" s="449">
        <v>0</v>
      </c>
      <c r="N495" s="449">
        <v>0</v>
      </c>
      <c r="O495" s="449">
        <v>0</v>
      </c>
      <c r="P495" s="449">
        <v>0</v>
      </c>
      <c r="Q495" s="449">
        <v>0</v>
      </c>
      <c r="R495" s="449">
        <v>0</v>
      </c>
      <c r="S495" s="449">
        <v>0</v>
      </c>
      <c r="T495" s="449">
        <v>0</v>
      </c>
      <c r="U495" s="449">
        <v>0</v>
      </c>
      <c r="V495" s="449">
        <v>0</v>
      </c>
      <c r="W495" s="449">
        <v>0</v>
      </c>
      <c r="X495" s="449"/>
      <c r="Y495" s="449">
        <v>0</v>
      </c>
      <c r="Z495" s="449"/>
      <c r="AA495" s="449">
        <v>0</v>
      </c>
      <c r="AB495" s="449">
        <v>0</v>
      </c>
      <c r="AC495" s="449">
        <v>0</v>
      </c>
      <c r="AD495" s="449">
        <v>0</v>
      </c>
      <c r="AE495" s="449">
        <v>0</v>
      </c>
      <c r="AF495" s="449">
        <v>0</v>
      </c>
      <c r="AG495" s="449">
        <v>0</v>
      </c>
      <c r="AH495" s="449">
        <v>0</v>
      </c>
      <c r="AI495" s="449">
        <v>0</v>
      </c>
      <c r="AJ495" s="449">
        <v>0</v>
      </c>
      <c r="AK495" s="449">
        <v>0</v>
      </c>
      <c r="AL495" s="449">
        <v>0</v>
      </c>
      <c r="AM495" s="400"/>
      <c r="AN495" s="500">
        <v>0</v>
      </c>
      <c r="AO495" s="449">
        <v>2164.2399999999993</v>
      </c>
      <c r="AP495" s="449">
        <v>2164.2399999999993</v>
      </c>
      <c r="AQ495" s="453" t="s">
        <v>1519</v>
      </c>
      <c r="AR495" s="449">
        <v>2164.2399999999993</v>
      </c>
      <c r="AS495" s="449">
        <v>0</v>
      </c>
      <c r="AT495" s="426">
        <v>0</v>
      </c>
      <c r="AU495" s="421"/>
      <c r="AV495" s="449">
        <v>180.35333333333332</v>
      </c>
      <c r="AW495" s="449">
        <v>180.35333333333332</v>
      </c>
      <c r="AX495" s="449">
        <v>180.35333333333332</v>
      </c>
      <c r="AY495" s="449">
        <v>180.35333333333332</v>
      </c>
      <c r="AZ495" s="449">
        <v>180.35333333333332</v>
      </c>
      <c r="BA495" s="449">
        <v>180.35333333333332</v>
      </c>
      <c r="BB495" s="449">
        <v>180.35333333333332</v>
      </c>
      <c r="BC495" s="449">
        <v>180.35333333333332</v>
      </c>
      <c r="BD495" s="449">
        <v>180.35333333333332</v>
      </c>
      <c r="BE495" s="449">
        <v>180.35333333333332</v>
      </c>
      <c r="BF495" s="449">
        <v>180.35333333333332</v>
      </c>
      <c r="BG495" s="449">
        <v>180.35333333333332</v>
      </c>
      <c r="BH495" s="400"/>
      <c r="BI495" s="449">
        <v>180.35333333333332</v>
      </c>
      <c r="BJ495" s="449">
        <v>180.35333333333332</v>
      </c>
      <c r="BK495" s="449">
        <v>180.35333333333332</v>
      </c>
      <c r="BL495" s="771">
        <v>180.35333333333332</v>
      </c>
      <c r="BM495" s="449">
        <v>180.35333333333332</v>
      </c>
      <c r="BN495" s="449">
        <v>180.35333333333332</v>
      </c>
      <c r="BO495" s="449">
        <v>180.35333333333332</v>
      </c>
      <c r="BP495" s="449">
        <v>180.35333333333332</v>
      </c>
      <c r="BQ495" s="449">
        <v>180.35333333333332</v>
      </c>
      <c r="BR495" s="449">
        <v>180.35333333333332</v>
      </c>
      <c r="BS495" s="449">
        <v>180.35333333333332</v>
      </c>
      <c r="BT495" s="449">
        <v>180.35333333333332</v>
      </c>
    </row>
    <row r="496" spans="1:74" ht="15" customHeight="1" x14ac:dyDescent="0.25">
      <c r="A496" s="537" t="s">
        <v>840</v>
      </c>
      <c r="B496" s="537" t="s">
        <v>841</v>
      </c>
      <c r="C496" s="541"/>
      <c r="D496" s="500">
        <v>0</v>
      </c>
      <c r="E496" s="449">
        <v>0</v>
      </c>
      <c r="F496" s="449">
        <v>0</v>
      </c>
      <c r="G496" s="421">
        <v>0</v>
      </c>
      <c r="H496" s="449">
        <v>0</v>
      </c>
      <c r="I496" s="449">
        <v>0</v>
      </c>
      <c r="J496" s="426">
        <v>0</v>
      </c>
      <c r="K496" s="421"/>
      <c r="L496" s="449">
        <v>0</v>
      </c>
      <c r="M496" s="449">
        <v>0</v>
      </c>
      <c r="N496" s="449">
        <v>0</v>
      </c>
      <c r="O496" s="449">
        <v>0</v>
      </c>
      <c r="P496" s="449">
        <v>0</v>
      </c>
      <c r="Q496" s="449">
        <v>0</v>
      </c>
      <c r="R496" s="449">
        <v>0</v>
      </c>
      <c r="S496" s="449">
        <v>0</v>
      </c>
      <c r="T496" s="449">
        <v>0</v>
      </c>
      <c r="U496" s="449">
        <v>0</v>
      </c>
      <c r="V496" s="449">
        <v>0</v>
      </c>
      <c r="W496" s="449">
        <v>0</v>
      </c>
      <c r="X496" s="449"/>
      <c r="Y496" s="449">
        <v>0</v>
      </c>
      <c r="Z496" s="531"/>
      <c r="AA496" s="449">
        <v>0</v>
      </c>
      <c r="AB496" s="449">
        <v>0</v>
      </c>
      <c r="AC496" s="449">
        <v>0</v>
      </c>
      <c r="AD496" s="449">
        <v>0</v>
      </c>
      <c r="AE496" s="449">
        <v>0</v>
      </c>
      <c r="AF496" s="449">
        <v>0</v>
      </c>
      <c r="AG496" s="449">
        <v>0</v>
      </c>
      <c r="AH496" s="449">
        <v>0</v>
      </c>
      <c r="AI496" s="449">
        <v>0</v>
      </c>
      <c r="AJ496" s="449">
        <v>0</v>
      </c>
      <c r="AK496" s="449">
        <v>0</v>
      </c>
      <c r="AL496" s="449">
        <v>0</v>
      </c>
      <c r="AM496" s="400"/>
      <c r="AN496" s="500">
        <v>0</v>
      </c>
      <c r="AO496" s="449">
        <v>0</v>
      </c>
      <c r="AP496" s="449">
        <v>0</v>
      </c>
      <c r="AQ496" s="453" t="s">
        <v>1519</v>
      </c>
      <c r="AR496" s="449">
        <v>0</v>
      </c>
      <c r="AS496" s="449">
        <v>0</v>
      </c>
      <c r="AT496" s="426">
        <v>0</v>
      </c>
      <c r="AU496" s="421"/>
      <c r="AV496" s="449">
        <v>0</v>
      </c>
      <c r="AW496" s="449">
        <v>0</v>
      </c>
      <c r="AX496" s="449">
        <v>0</v>
      </c>
      <c r="AY496" s="449">
        <v>0</v>
      </c>
      <c r="AZ496" s="449">
        <v>0</v>
      </c>
      <c r="BA496" s="449">
        <v>0</v>
      </c>
      <c r="BB496" s="449">
        <v>0</v>
      </c>
      <c r="BC496" s="449">
        <v>0</v>
      </c>
      <c r="BD496" s="449">
        <v>0</v>
      </c>
      <c r="BE496" s="449">
        <v>0</v>
      </c>
      <c r="BF496" s="449">
        <v>0</v>
      </c>
      <c r="BG496" s="449">
        <v>0</v>
      </c>
      <c r="BH496" s="400"/>
      <c r="BI496" s="449">
        <v>0</v>
      </c>
      <c r="BJ496" s="449">
        <v>0</v>
      </c>
      <c r="BK496" s="449">
        <v>0</v>
      </c>
      <c r="BL496" s="771">
        <v>0</v>
      </c>
      <c r="BM496" s="449">
        <v>0</v>
      </c>
      <c r="BN496" s="449">
        <v>0</v>
      </c>
      <c r="BO496" s="449">
        <v>0</v>
      </c>
      <c r="BP496" s="449">
        <v>0</v>
      </c>
      <c r="BQ496" s="449">
        <v>0</v>
      </c>
      <c r="BR496" s="449">
        <v>0</v>
      </c>
      <c r="BS496" s="449">
        <v>0</v>
      </c>
      <c r="BT496" s="449">
        <v>0</v>
      </c>
    </row>
    <row r="497" spans="1:72" ht="15" customHeight="1" x14ac:dyDescent="0.25">
      <c r="A497" s="537" t="s">
        <v>842</v>
      </c>
      <c r="B497" s="537" t="s">
        <v>843</v>
      </c>
      <c r="C497" s="541"/>
      <c r="D497" s="500">
        <v>0</v>
      </c>
      <c r="E497" s="449">
        <v>0</v>
      </c>
      <c r="F497" s="449">
        <v>0</v>
      </c>
      <c r="G497" s="421">
        <v>0</v>
      </c>
      <c r="H497" s="449">
        <v>0</v>
      </c>
      <c r="I497" s="449">
        <v>0</v>
      </c>
      <c r="J497" s="426">
        <v>0</v>
      </c>
      <c r="K497" s="421"/>
      <c r="L497" s="449">
        <v>0</v>
      </c>
      <c r="M497" s="449">
        <v>0</v>
      </c>
      <c r="N497" s="449">
        <v>0</v>
      </c>
      <c r="O497" s="449">
        <v>0</v>
      </c>
      <c r="P497" s="449">
        <v>0</v>
      </c>
      <c r="Q497" s="449">
        <v>0</v>
      </c>
      <c r="R497" s="449">
        <v>0</v>
      </c>
      <c r="S497" s="449">
        <v>0</v>
      </c>
      <c r="T497" s="449">
        <v>0</v>
      </c>
      <c r="U497" s="449">
        <v>0</v>
      </c>
      <c r="V497" s="449">
        <v>0</v>
      </c>
      <c r="W497" s="449">
        <v>0</v>
      </c>
      <c r="X497" s="449"/>
      <c r="Y497" s="449">
        <v>0</v>
      </c>
      <c r="Z497" s="531"/>
      <c r="AA497" s="449">
        <v>0</v>
      </c>
      <c r="AB497" s="449">
        <v>0</v>
      </c>
      <c r="AC497" s="449">
        <v>0</v>
      </c>
      <c r="AD497" s="449">
        <v>0</v>
      </c>
      <c r="AE497" s="449">
        <v>0</v>
      </c>
      <c r="AF497" s="449">
        <v>0</v>
      </c>
      <c r="AG497" s="449">
        <v>0</v>
      </c>
      <c r="AH497" s="449">
        <v>0</v>
      </c>
      <c r="AI497" s="449">
        <v>0</v>
      </c>
      <c r="AJ497" s="449">
        <v>0</v>
      </c>
      <c r="AK497" s="449">
        <v>0</v>
      </c>
      <c r="AL497" s="449">
        <v>0</v>
      </c>
      <c r="AM497" s="400"/>
      <c r="AN497" s="500">
        <v>0</v>
      </c>
      <c r="AO497" s="449">
        <v>0</v>
      </c>
      <c r="AP497" s="449">
        <v>0</v>
      </c>
      <c r="AQ497" s="453" t="s">
        <v>1519</v>
      </c>
      <c r="AR497" s="449">
        <v>0</v>
      </c>
      <c r="AS497" s="449">
        <v>0</v>
      </c>
      <c r="AT497" s="426">
        <v>0</v>
      </c>
      <c r="AU497" s="421"/>
      <c r="AV497" s="449">
        <v>0</v>
      </c>
      <c r="AW497" s="449">
        <v>0</v>
      </c>
      <c r="AX497" s="449">
        <v>0</v>
      </c>
      <c r="AY497" s="449">
        <v>0</v>
      </c>
      <c r="AZ497" s="449">
        <v>0</v>
      </c>
      <c r="BA497" s="449">
        <v>0</v>
      </c>
      <c r="BB497" s="449">
        <v>0</v>
      </c>
      <c r="BC497" s="449">
        <v>0</v>
      </c>
      <c r="BD497" s="449">
        <v>0</v>
      </c>
      <c r="BE497" s="449">
        <v>0</v>
      </c>
      <c r="BF497" s="449">
        <v>0</v>
      </c>
      <c r="BG497" s="449">
        <v>0</v>
      </c>
      <c r="BH497" s="400"/>
      <c r="BI497" s="449">
        <v>0</v>
      </c>
      <c r="BJ497" s="449">
        <v>0</v>
      </c>
      <c r="BK497" s="449">
        <v>0</v>
      </c>
      <c r="BL497" s="771">
        <v>0</v>
      </c>
      <c r="BM497" s="449">
        <v>0</v>
      </c>
      <c r="BN497" s="449">
        <v>0</v>
      </c>
      <c r="BO497" s="449">
        <v>0</v>
      </c>
      <c r="BP497" s="449">
        <v>0</v>
      </c>
      <c r="BQ497" s="449">
        <v>0</v>
      </c>
      <c r="BR497" s="449">
        <v>0</v>
      </c>
      <c r="BS497" s="449">
        <v>0</v>
      </c>
      <c r="BT497" s="449">
        <v>0</v>
      </c>
    </row>
    <row r="498" spans="1:72" ht="15" customHeight="1" x14ac:dyDescent="0.25">
      <c r="A498" s="617" t="s">
        <v>844</v>
      </c>
      <c r="B498" s="537" t="s">
        <v>845</v>
      </c>
      <c r="C498" s="541"/>
      <c r="D498" s="500">
        <v>0</v>
      </c>
      <c r="E498" s="449">
        <v>0</v>
      </c>
      <c r="F498" s="449">
        <v>0</v>
      </c>
      <c r="G498" s="421">
        <v>0</v>
      </c>
      <c r="H498" s="449">
        <v>0</v>
      </c>
      <c r="I498" s="449">
        <v>0</v>
      </c>
      <c r="J498" s="426">
        <v>0</v>
      </c>
      <c r="K498" s="421"/>
      <c r="L498" s="449">
        <v>0</v>
      </c>
      <c r="M498" s="449">
        <v>0</v>
      </c>
      <c r="N498" s="449">
        <v>0</v>
      </c>
      <c r="O498" s="449">
        <v>0</v>
      </c>
      <c r="P498" s="449">
        <v>0</v>
      </c>
      <c r="Q498" s="449">
        <v>0</v>
      </c>
      <c r="R498" s="449">
        <v>0</v>
      </c>
      <c r="S498" s="449">
        <v>0</v>
      </c>
      <c r="T498" s="449">
        <v>0</v>
      </c>
      <c r="U498" s="449">
        <v>0</v>
      </c>
      <c r="V498" s="449">
        <v>0</v>
      </c>
      <c r="W498" s="449">
        <v>0</v>
      </c>
      <c r="X498" s="449"/>
      <c r="Y498" s="449">
        <v>0</v>
      </c>
      <c r="Z498" s="449"/>
      <c r="AA498" s="449">
        <v>0</v>
      </c>
      <c r="AB498" s="449">
        <v>0</v>
      </c>
      <c r="AC498" s="449">
        <v>0</v>
      </c>
      <c r="AD498" s="449">
        <v>0</v>
      </c>
      <c r="AE498" s="449">
        <v>0</v>
      </c>
      <c r="AF498" s="449">
        <v>0</v>
      </c>
      <c r="AG498" s="449">
        <v>0</v>
      </c>
      <c r="AH498" s="449">
        <v>0</v>
      </c>
      <c r="AI498" s="449">
        <v>0</v>
      </c>
      <c r="AJ498" s="449">
        <v>0</v>
      </c>
      <c r="AK498" s="449">
        <v>0</v>
      </c>
      <c r="AL498" s="449">
        <v>0</v>
      </c>
      <c r="AM498" s="400"/>
      <c r="AN498" s="500">
        <v>0</v>
      </c>
      <c r="AO498" s="449">
        <v>0</v>
      </c>
      <c r="AP498" s="449">
        <v>0</v>
      </c>
      <c r="AQ498" s="453" t="s">
        <v>1519</v>
      </c>
      <c r="AR498" s="449">
        <v>0</v>
      </c>
      <c r="AS498" s="449">
        <v>0</v>
      </c>
      <c r="AT498" s="426">
        <v>0</v>
      </c>
      <c r="AU498" s="421"/>
      <c r="AV498" s="449">
        <v>0</v>
      </c>
      <c r="AW498" s="449">
        <v>0</v>
      </c>
      <c r="AX498" s="449">
        <v>0</v>
      </c>
      <c r="AY498" s="449">
        <v>0</v>
      </c>
      <c r="AZ498" s="449">
        <v>0</v>
      </c>
      <c r="BA498" s="449">
        <v>0</v>
      </c>
      <c r="BB498" s="449">
        <v>0</v>
      </c>
      <c r="BC498" s="449">
        <v>0</v>
      </c>
      <c r="BD498" s="449">
        <v>0</v>
      </c>
      <c r="BE498" s="449">
        <v>0</v>
      </c>
      <c r="BF498" s="449">
        <v>0</v>
      </c>
      <c r="BG498" s="449">
        <v>0</v>
      </c>
      <c r="BH498" s="400"/>
      <c r="BI498" s="449">
        <v>0</v>
      </c>
      <c r="BJ498" s="449">
        <v>0</v>
      </c>
      <c r="BK498" s="449">
        <v>0</v>
      </c>
      <c r="BL498" s="771">
        <v>0</v>
      </c>
      <c r="BM498" s="449">
        <v>0</v>
      </c>
      <c r="BN498" s="449">
        <v>0</v>
      </c>
      <c r="BO498" s="449">
        <v>0</v>
      </c>
      <c r="BP498" s="449">
        <v>0</v>
      </c>
      <c r="BQ498" s="449">
        <v>0</v>
      </c>
      <c r="BR498" s="449">
        <v>0</v>
      </c>
      <c r="BS498" s="449">
        <v>0</v>
      </c>
      <c r="BT498" s="449">
        <v>0</v>
      </c>
    </row>
    <row r="499" spans="1:72" ht="15" customHeight="1" x14ac:dyDescent="0.25">
      <c r="A499" s="617" t="s">
        <v>846</v>
      </c>
      <c r="B499" s="537" t="s">
        <v>847</v>
      </c>
      <c r="C499" s="541"/>
      <c r="D499" s="500">
        <v>0</v>
      </c>
      <c r="E499" s="449">
        <v>0</v>
      </c>
      <c r="F499" s="449">
        <v>0</v>
      </c>
      <c r="G499" s="421">
        <v>0</v>
      </c>
      <c r="H499" s="449">
        <v>0</v>
      </c>
      <c r="I499" s="449">
        <v>0</v>
      </c>
      <c r="J499" s="426">
        <v>0</v>
      </c>
      <c r="K499" s="421"/>
      <c r="L499" s="449">
        <v>0</v>
      </c>
      <c r="M499" s="449">
        <v>0</v>
      </c>
      <c r="N499" s="449">
        <v>0</v>
      </c>
      <c r="O499" s="449">
        <v>0</v>
      </c>
      <c r="P499" s="449">
        <v>0</v>
      </c>
      <c r="Q499" s="449">
        <v>0</v>
      </c>
      <c r="R499" s="449">
        <v>0</v>
      </c>
      <c r="S499" s="449">
        <v>0</v>
      </c>
      <c r="T499" s="449">
        <v>0</v>
      </c>
      <c r="U499" s="449">
        <v>0</v>
      </c>
      <c r="V499" s="449">
        <v>0</v>
      </c>
      <c r="W499" s="449">
        <v>0</v>
      </c>
      <c r="X499" s="449"/>
      <c r="Y499" s="449">
        <v>0</v>
      </c>
      <c r="Z499" s="449"/>
      <c r="AA499" s="449">
        <v>0</v>
      </c>
      <c r="AB499" s="449">
        <v>0</v>
      </c>
      <c r="AC499" s="449">
        <v>0</v>
      </c>
      <c r="AD499" s="449">
        <v>0</v>
      </c>
      <c r="AE499" s="449">
        <v>0</v>
      </c>
      <c r="AF499" s="449">
        <v>0</v>
      </c>
      <c r="AG499" s="449">
        <v>0</v>
      </c>
      <c r="AH499" s="449">
        <v>0</v>
      </c>
      <c r="AI499" s="449">
        <v>0</v>
      </c>
      <c r="AJ499" s="449">
        <v>0</v>
      </c>
      <c r="AK499" s="449">
        <v>0</v>
      </c>
      <c r="AL499" s="449">
        <v>0</v>
      </c>
      <c r="AM499" s="400"/>
      <c r="AN499" s="500">
        <v>0</v>
      </c>
      <c r="AO499" s="449">
        <v>0</v>
      </c>
      <c r="AP499" s="449">
        <v>0</v>
      </c>
      <c r="AQ499" s="453" t="s">
        <v>1519</v>
      </c>
      <c r="AR499" s="449">
        <v>0</v>
      </c>
      <c r="AS499" s="449">
        <v>0</v>
      </c>
      <c r="AT499" s="426">
        <v>0</v>
      </c>
      <c r="AU499" s="421"/>
      <c r="AV499" s="449">
        <v>0</v>
      </c>
      <c r="AW499" s="449">
        <v>0</v>
      </c>
      <c r="AX499" s="449">
        <v>0</v>
      </c>
      <c r="AY499" s="449">
        <v>0</v>
      </c>
      <c r="AZ499" s="449">
        <v>0</v>
      </c>
      <c r="BA499" s="449">
        <v>0</v>
      </c>
      <c r="BB499" s="449">
        <v>0</v>
      </c>
      <c r="BC499" s="449">
        <v>0</v>
      </c>
      <c r="BD499" s="449">
        <v>0</v>
      </c>
      <c r="BE499" s="449">
        <v>0</v>
      </c>
      <c r="BF499" s="449">
        <v>0</v>
      </c>
      <c r="BG499" s="449">
        <v>0</v>
      </c>
      <c r="BH499" s="400"/>
      <c r="BI499" s="449">
        <v>0</v>
      </c>
      <c r="BJ499" s="449">
        <v>0</v>
      </c>
      <c r="BK499" s="449">
        <v>0</v>
      </c>
      <c r="BL499" s="771">
        <v>0</v>
      </c>
      <c r="BM499" s="449">
        <v>0</v>
      </c>
      <c r="BN499" s="449">
        <v>0</v>
      </c>
      <c r="BO499" s="449">
        <v>0</v>
      </c>
      <c r="BP499" s="449">
        <v>0</v>
      </c>
      <c r="BQ499" s="449">
        <v>0</v>
      </c>
      <c r="BR499" s="449">
        <v>0</v>
      </c>
      <c r="BS499" s="449">
        <v>0</v>
      </c>
      <c r="BT499" s="449">
        <v>0</v>
      </c>
    </row>
    <row r="500" spans="1:72" ht="15" customHeight="1" x14ac:dyDescent="0.25">
      <c r="A500" s="617" t="s">
        <v>848</v>
      </c>
      <c r="B500" s="537" t="s">
        <v>849</v>
      </c>
      <c r="C500" s="541"/>
      <c r="D500" s="500">
        <v>0</v>
      </c>
      <c r="E500" s="449">
        <v>0</v>
      </c>
      <c r="F500" s="449">
        <v>0</v>
      </c>
      <c r="G500" s="421">
        <v>0</v>
      </c>
      <c r="H500" s="449">
        <v>0</v>
      </c>
      <c r="I500" s="449">
        <v>0</v>
      </c>
      <c r="J500" s="426">
        <v>0</v>
      </c>
      <c r="K500" s="421"/>
      <c r="L500" s="449">
        <v>0</v>
      </c>
      <c r="M500" s="449">
        <v>0</v>
      </c>
      <c r="N500" s="449">
        <v>0</v>
      </c>
      <c r="O500" s="449">
        <v>0</v>
      </c>
      <c r="P500" s="449">
        <v>0</v>
      </c>
      <c r="Q500" s="449">
        <v>0</v>
      </c>
      <c r="R500" s="449">
        <v>0</v>
      </c>
      <c r="S500" s="449">
        <v>0</v>
      </c>
      <c r="T500" s="449">
        <v>0</v>
      </c>
      <c r="U500" s="449">
        <v>0</v>
      </c>
      <c r="V500" s="449">
        <v>0</v>
      </c>
      <c r="W500" s="449">
        <v>0</v>
      </c>
      <c r="X500" s="449"/>
      <c r="Y500" s="449">
        <v>0</v>
      </c>
      <c r="Z500" s="449"/>
      <c r="AA500" s="449">
        <v>0</v>
      </c>
      <c r="AB500" s="449">
        <v>0</v>
      </c>
      <c r="AC500" s="449">
        <v>0</v>
      </c>
      <c r="AD500" s="449">
        <v>0</v>
      </c>
      <c r="AE500" s="449">
        <v>0</v>
      </c>
      <c r="AF500" s="449">
        <v>0</v>
      </c>
      <c r="AG500" s="449">
        <v>0</v>
      </c>
      <c r="AH500" s="449">
        <v>0</v>
      </c>
      <c r="AI500" s="449">
        <v>0</v>
      </c>
      <c r="AJ500" s="449">
        <v>0</v>
      </c>
      <c r="AK500" s="449">
        <v>0</v>
      </c>
      <c r="AL500" s="449">
        <v>0</v>
      </c>
      <c r="AM500" s="400"/>
      <c r="AN500" s="500">
        <v>0</v>
      </c>
      <c r="AO500" s="449">
        <v>0</v>
      </c>
      <c r="AP500" s="449">
        <v>0</v>
      </c>
      <c r="AQ500" s="453" t="s">
        <v>1519</v>
      </c>
      <c r="AR500" s="449">
        <v>0</v>
      </c>
      <c r="AS500" s="449">
        <v>0</v>
      </c>
      <c r="AT500" s="426">
        <v>0</v>
      </c>
      <c r="AU500" s="421"/>
      <c r="AV500" s="449">
        <v>0</v>
      </c>
      <c r="AW500" s="449">
        <v>0</v>
      </c>
      <c r="AX500" s="449">
        <v>0</v>
      </c>
      <c r="AY500" s="449">
        <v>0</v>
      </c>
      <c r="AZ500" s="449">
        <v>0</v>
      </c>
      <c r="BA500" s="449">
        <v>0</v>
      </c>
      <c r="BB500" s="449">
        <v>0</v>
      </c>
      <c r="BC500" s="449">
        <v>0</v>
      </c>
      <c r="BD500" s="449">
        <v>0</v>
      </c>
      <c r="BE500" s="449">
        <v>0</v>
      </c>
      <c r="BF500" s="449">
        <v>0</v>
      </c>
      <c r="BG500" s="449">
        <v>0</v>
      </c>
      <c r="BH500" s="400"/>
      <c r="BI500" s="449">
        <v>0</v>
      </c>
      <c r="BJ500" s="449">
        <v>0</v>
      </c>
      <c r="BK500" s="449">
        <v>0</v>
      </c>
      <c r="BL500" s="771">
        <v>0</v>
      </c>
      <c r="BM500" s="449">
        <v>0</v>
      </c>
      <c r="BN500" s="449">
        <v>0</v>
      </c>
      <c r="BO500" s="449">
        <v>0</v>
      </c>
      <c r="BP500" s="449">
        <v>0</v>
      </c>
      <c r="BQ500" s="449">
        <v>0</v>
      </c>
      <c r="BR500" s="449">
        <v>0</v>
      </c>
      <c r="BS500" s="449">
        <v>0</v>
      </c>
      <c r="BT500" s="449">
        <v>0</v>
      </c>
    </row>
    <row r="501" spans="1:72" ht="15" customHeight="1" x14ac:dyDescent="0.25">
      <c r="A501" s="502" t="s">
        <v>850</v>
      </c>
      <c r="B501" s="502" t="s">
        <v>851</v>
      </c>
      <c r="C501" s="538"/>
      <c r="D501" s="500">
        <v>48000</v>
      </c>
      <c r="E501" s="449">
        <v>41940</v>
      </c>
      <c r="F501" s="449">
        <v>6060</v>
      </c>
      <c r="G501" s="421">
        <v>0.14449213161659513</v>
      </c>
      <c r="H501" s="449">
        <v>48000</v>
      </c>
      <c r="I501" s="449">
        <v>0</v>
      </c>
      <c r="J501" s="426">
        <v>0</v>
      </c>
      <c r="K501" s="421"/>
      <c r="L501" s="449">
        <v>0</v>
      </c>
      <c r="M501" s="449">
        <v>0</v>
      </c>
      <c r="N501" s="449">
        <v>0</v>
      </c>
      <c r="O501" s="449">
        <v>0</v>
      </c>
      <c r="P501" s="449">
        <v>0</v>
      </c>
      <c r="Q501" s="449">
        <v>0</v>
      </c>
      <c r="R501" s="449">
        <v>8000</v>
      </c>
      <c r="S501" s="449">
        <v>8000</v>
      </c>
      <c r="T501" s="449">
        <v>8000</v>
      </c>
      <c r="U501" s="449">
        <v>8000</v>
      </c>
      <c r="V501" s="449">
        <v>8000</v>
      </c>
      <c r="W501" s="449">
        <v>8000</v>
      </c>
      <c r="X501" s="449"/>
      <c r="Y501" s="449">
        <v>48000</v>
      </c>
      <c r="Z501" s="531"/>
      <c r="AA501" s="449">
        <v>4000</v>
      </c>
      <c r="AB501" s="449">
        <v>4000</v>
      </c>
      <c r="AC501" s="449">
        <v>4000</v>
      </c>
      <c r="AD501" s="449">
        <v>4000</v>
      </c>
      <c r="AE501" s="449">
        <v>4000</v>
      </c>
      <c r="AF501" s="449">
        <v>4000</v>
      </c>
      <c r="AG501" s="449">
        <v>4000</v>
      </c>
      <c r="AH501" s="449">
        <v>4000</v>
      </c>
      <c r="AI501" s="449">
        <v>4000</v>
      </c>
      <c r="AJ501" s="449">
        <v>4000</v>
      </c>
      <c r="AK501" s="449">
        <v>4000</v>
      </c>
      <c r="AL501" s="449">
        <v>4000</v>
      </c>
      <c r="AM501" s="400"/>
      <c r="AN501" s="500">
        <v>48000</v>
      </c>
      <c r="AO501" s="449">
        <v>29664</v>
      </c>
      <c r="AP501" s="449">
        <v>-18336</v>
      </c>
      <c r="AQ501" s="453">
        <v>-0.38200000000000001</v>
      </c>
      <c r="AR501" s="449">
        <v>29664</v>
      </c>
      <c r="AS501" s="449">
        <v>0</v>
      </c>
      <c r="AT501" s="426">
        <v>0</v>
      </c>
      <c r="AU501" s="421"/>
      <c r="AV501" s="449">
        <v>2472</v>
      </c>
      <c r="AW501" s="449">
        <v>2472</v>
      </c>
      <c r="AX501" s="449">
        <v>2472</v>
      </c>
      <c r="AY501" s="449">
        <v>2472</v>
      </c>
      <c r="AZ501" s="449">
        <v>2472</v>
      </c>
      <c r="BA501" s="449">
        <v>2472</v>
      </c>
      <c r="BB501" s="449">
        <v>2472</v>
      </c>
      <c r="BC501" s="449">
        <v>2472</v>
      </c>
      <c r="BD501" s="449">
        <v>2472</v>
      </c>
      <c r="BE501" s="449">
        <v>2472</v>
      </c>
      <c r="BF501" s="449">
        <v>2472</v>
      </c>
      <c r="BG501" s="449">
        <v>2472</v>
      </c>
      <c r="BH501" s="400"/>
      <c r="BI501" s="449">
        <v>2472</v>
      </c>
      <c r="BJ501" s="449">
        <v>2472</v>
      </c>
      <c r="BK501" s="449">
        <v>2472</v>
      </c>
      <c r="BL501" s="771">
        <v>2472</v>
      </c>
      <c r="BM501" s="449">
        <v>2472</v>
      </c>
      <c r="BN501" s="449">
        <v>2472</v>
      </c>
      <c r="BO501" s="449">
        <v>2472</v>
      </c>
      <c r="BP501" s="449">
        <v>2472</v>
      </c>
      <c r="BQ501" s="449">
        <v>2472</v>
      </c>
      <c r="BR501" s="449">
        <v>2472</v>
      </c>
      <c r="BS501" s="449">
        <v>2472</v>
      </c>
      <c r="BT501" s="449">
        <v>2472</v>
      </c>
    </row>
    <row r="502" spans="1:72" ht="15" customHeight="1" x14ac:dyDescent="0.25">
      <c r="A502" s="537" t="s">
        <v>852</v>
      </c>
      <c r="B502" s="537" t="s">
        <v>853</v>
      </c>
      <c r="C502" s="541"/>
      <c r="D502" s="500">
        <v>0</v>
      </c>
      <c r="E502" s="449">
        <v>0</v>
      </c>
      <c r="F502" s="449">
        <v>0</v>
      </c>
      <c r="G502" s="421">
        <v>0</v>
      </c>
      <c r="H502" s="449">
        <v>0</v>
      </c>
      <c r="I502" s="449">
        <v>0</v>
      </c>
      <c r="J502" s="426">
        <v>0</v>
      </c>
      <c r="K502" s="421"/>
      <c r="L502" s="449">
        <v>0</v>
      </c>
      <c r="M502" s="449">
        <v>0</v>
      </c>
      <c r="N502" s="449">
        <v>0</v>
      </c>
      <c r="O502" s="449">
        <v>0</v>
      </c>
      <c r="P502" s="449">
        <v>0</v>
      </c>
      <c r="Q502" s="449">
        <v>0</v>
      </c>
      <c r="R502" s="449">
        <v>0</v>
      </c>
      <c r="S502" s="449">
        <v>0</v>
      </c>
      <c r="T502" s="449">
        <v>0</v>
      </c>
      <c r="U502" s="449">
        <v>0</v>
      </c>
      <c r="V502" s="449">
        <v>0</v>
      </c>
      <c r="W502" s="449">
        <v>0</v>
      </c>
      <c r="X502" s="449"/>
      <c r="Y502" s="449">
        <v>0</v>
      </c>
      <c r="Z502" s="449"/>
      <c r="AA502" s="449">
        <v>0</v>
      </c>
      <c r="AB502" s="449">
        <v>0</v>
      </c>
      <c r="AC502" s="449">
        <v>0</v>
      </c>
      <c r="AD502" s="449">
        <v>0</v>
      </c>
      <c r="AE502" s="449">
        <v>0</v>
      </c>
      <c r="AF502" s="449">
        <v>0</v>
      </c>
      <c r="AG502" s="449">
        <v>0</v>
      </c>
      <c r="AH502" s="449">
        <v>0</v>
      </c>
      <c r="AI502" s="449">
        <v>0</v>
      </c>
      <c r="AJ502" s="449">
        <v>0</v>
      </c>
      <c r="AK502" s="449">
        <v>0</v>
      </c>
      <c r="AL502" s="449">
        <v>0</v>
      </c>
      <c r="AM502" s="400"/>
      <c r="AN502" s="500">
        <v>0</v>
      </c>
      <c r="AO502" s="449">
        <v>19776</v>
      </c>
      <c r="AP502" s="449">
        <v>19776</v>
      </c>
      <c r="AQ502" s="453" t="s">
        <v>1519</v>
      </c>
      <c r="AR502" s="449">
        <v>19776</v>
      </c>
      <c r="AS502" s="449">
        <v>0</v>
      </c>
      <c r="AT502" s="426">
        <v>0</v>
      </c>
      <c r="AU502" s="421"/>
      <c r="AV502" s="449">
        <v>1648</v>
      </c>
      <c r="AW502" s="449">
        <v>1648</v>
      </c>
      <c r="AX502" s="449">
        <v>1648</v>
      </c>
      <c r="AY502" s="449">
        <v>1648</v>
      </c>
      <c r="AZ502" s="449">
        <v>1648</v>
      </c>
      <c r="BA502" s="449">
        <v>1648</v>
      </c>
      <c r="BB502" s="449">
        <v>1648</v>
      </c>
      <c r="BC502" s="449">
        <v>1648</v>
      </c>
      <c r="BD502" s="449">
        <v>1648</v>
      </c>
      <c r="BE502" s="449">
        <v>1648</v>
      </c>
      <c r="BF502" s="449">
        <v>1648</v>
      </c>
      <c r="BG502" s="449">
        <v>1648</v>
      </c>
      <c r="BH502" s="400"/>
      <c r="BI502" s="449">
        <v>1648</v>
      </c>
      <c r="BJ502" s="449">
        <v>1648</v>
      </c>
      <c r="BK502" s="449">
        <v>1648</v>
      </c>
      <c r="BL502" s="771">
        <v>1648</v>
      </c>
      <c r="BM502" s="449">
        <v>1648</v>
      </c>
      <c r="BN502" s="449">
        <v>1648</v>
      </c>
      <c r="BO502" s="449">
        <v>1648</v>
      </c>
      <c r="BP502" s="449">
        <v>1648</v>
      </c>
      <c r="BQ502" s="449">
        <v>1648</v>
      </c>
      <c r="BR502" s="449">
        <v>1648</v>
      </c>
      <c r="BS502" s="449">
        <v>1648</v>
      </c>
      <c r="BT502" s="449">
        <v>1648</v>
      </c>
    </row>
    <row r="503" spans="1:72" ht="15" customHeight="1" x14ac:dyDescent="0.25">
      <c r="A503" s="502" t="s">
        <v>854</v>
      </c>
      <c r="B503" s="502" t="s">
        <v>855</v>
      </c>
      <c r="C503" s="538"/>
      <c r="D503" s="500">
        <v>12000</v>
      </c>
      <c r="E503" s="449">
        <v>15000</v>
      </c>
      <c r="F503" s="449">
        <v>-3000</v>
      </c>
      <c r="G503" s="421">
        <v>-0.2</v>
      </c>
      <c r="H503" s="449">
        <v>12000</v>
      </c>
      <c r="I503" s="449">
        <v>0</v>
      </c>
      <c r="J503" s="426">
        <v>0</v>
      </c>
      <c r="K503" s="421"/>
      <c r="L503" s="449">
        <v>0</v>
      </c>
      <c r="M503" s="449">
        <v>1035.68</v>
      </c>
      <c r="N503" s="449">
        <v>0</v>
      </c>
      <c r="O503" s="449">
        <v>0</v>
      </c>
      <c r="P503" s="449">
        <v>1918.3499999999997</v>
      </c>
      <c r="Q503" s="449">
        <v>0</v>
      </c>
      <c r="R503" s="449">
        <v>1507.6616666666669</v>
      </c>
      <c r="S503" s="449">
        <v>1507.6616666666666</v>
      </c>
      <c r="T503" s="449">
        <v>1507.6616666666666</v>
      </c>
      <c r="U503" s="449">
        <v>1507.6616666666666</v>
      </c>
      <c r="V503" s="449">
        <v>1507.6616666666669</v>
      </c>
      <c r="W503" s="449">
        <v>1507.6616666666669</v>
      </c>
      <c r="X503" s="449"/>
      <c r="Y503" s="449">
        <v>12000</v>
      </c>
      <c r="Z503" s="531"/>
      <c r="AA503" s="449">
        <v>1000</v>
      </c>
      <c r="AB503" s="449">
        <v>1000</v>
      </c>
      <c r="AC503" s="449">
        <v>1000</v>
      </c>
      <c r="AD503" s="449">
        <v>1000</v>
      </c>
      <c r="AE503" s="449">
        <v>1000</v>
      </c>
      <c r="AF503" s="449">
        <v>1000</v>
      </c>
      <c r="AG503" s="449">
        <v>1000</v>
      </c>
      <c r="AH503" s="449">
        <v>1000</v>
      </c>
      <c r="AI503" s="449">
        <v>1000</v>
      </c>
      <c r="AJ503" s="449">
        <v>1000</v>
      </c>
      <c r="AK503" s="449">
        <v>1000</v>
      </c>
      <c r="AL503" s="449">
        <v>1000</v>
      </c>
      <c r="AM503" s="400"/>
      <c r="AN503" s="500">
        <v>12000</v>
      </c>
      <c r="AO503" s="449">
        <v>7416</v>
      </c>
      <c r="AP503" s="449">
        <v>-4584</v>
      </c>
      <c r="AQ503" s="453">
        <v>-0.38200000000000001</v>
      </c>
      <c r="AR503" s="449">
        <v>7416</v>
      </c>
      <c r="AS503" s="449">
        <v>0</v>
      </c>
      <c r="AT503" s="426">
        <v>0</v>
      </c>
      <c r="AU503" s="421"/>
      <c r="AV503" s="449">
        <v>618</v>
      </c>
      <c r="AW503" s="449">
        <v>618</v>
      </c>
      <c r="AX503" s="449">
        <v>618</v>
      </c>
      <c r="AY503" s="449">
        <v>618</v>
      </c>
      <c r="AZ503" s="449">
        <v>618</v>
      </c>
      <c r="BA503" s="449">
        <v>618</v>
      </c>
      <c r="BB503" s="449">
        <v>618</v>
      </c>
      <c r="BC503" s="449">
        <v>618</v>
      </c>
      <c r="BD503" s="449">
        <v>618</v>
      </c>
      <c r="BE503" s="449">
        <v>618</v>
      </c>
      <c r="BF503" s="449">
        <v>618</v>
      </c>
      <c r="BG503" s="449">
        <v>618</v>
      </c>
      <c r="BH503" s="400"/>
      <c r="BI503" s="449">
        <v>618</v>
      </c>
      <c r="BJ503" s="449">
        <v>618</v>
      </c>
      <c r="BK503" s="449">
        <v>618</v>
      </c>
      <c r="BL503" s="771">
        <v>618</v>
      </c>
      <c r="BM503" s="449">
        <v>618</v>
      </c>
      <c r="BN503" s="449">
        <v>618</v>
      </c>
      <c r="BO503" s="449">
        <v>618</v>
      </c>
      <c r="BP503" s="449">
        <v>618</v>
      </c>
      <c r="BQ503" s="449">
        <v>618</v>
      </c>
      <c r="BR503" s="449">
        <v>618</v>
      </c>
      <c r="BS503" s="449">
        <v>618</v>
      </c>
      <c r="BT503" s="449">
        <v>618</v>
      </c>
    </row>
    <row r="504" spans="1:72" ht="15" customHeight="1" x14ac:dyDescent="0.25">
      <c r="A504" s="537" t="s">
        <v>856</v>
      </c>
      <c r="B504" s="537" t="s">
        <v>857</v>
      </c>
      <c r="C504" s="541"/>
      <c r="D504" s="500">
        <v>0</v>
      </c>
      <c r="E504" s="449">
        <v>0</v>
      </c>
      <c r="F504" s="449">
        <v>0</v>
      </c>
      <c r="G504" s="421">
        <v>0</v>
      </c>
      <c r="H504" s="449">
        <v>0</v>
      </c>
      <c r="I504" s="449">
        <v>0</v>
      </c>
      <c r="J504" s="426">
        <v>0</v>
      </c>
      <c r="K504" s="421"/>
      <c r="L504" s="449">
        <v>0</v>
      </c>
      <c r="M504" s="449">
        <v>0</v>
      </c>
      <c r="N504" s="449">
        <v>0</v>
      </c>
      <c r="O504" s="449">
        <v>0</v>
      </c>
      <c r="P504" s="449">
        <v>0</v>
      </c>
      <c r="Q504" s="449">
        <v>0</v>
      </c>
      <c r="R504" s="449">
        <v>0</v>
      </c>
      <c r="S504" s="449">
        <v>0</v>
      </c>
      <c r="T504" s="449">
        <v>0</v>
      </c>
      <c r="U504" s="449">
        <v>0</v>
      </c>
      <c r="V504" s="449">
        <v>0</v>
      </c>
      <c r="W504" s="449">
        <v>0</v>
      </c>
      <c r="X504" s="449"/>
      <c r="Y504" s="449">
        <v>0</v>
      </c>
      <c r="Z504" s="449"/>
      <c r="AA504" s="449">
        <v>0</v>
      </c>
      <c r="AB504" s="449">
        <v>0</v>
      </c>
      <c r="AC504" s="449">
        <v>0</v>
      </c>
      <c r="AD504" s="449">
        <v>0</v>
      </c>
      <c r="AE504" s="449">
        <v>0</v>
      </c>
      <c r="AF504" s="449">
        <v>0</v>
      </c>
      <c r="AG504" s="449">
        <v>0</v>
      </c>
      <c r="AH504" s="449">
        <v>0</v>
      </c>
      <c r="AI504" s="449">
        <v>0</v>
      </c>
      <c r="AJ504" s="449">
        <v>0</v>
      </c>
      <c r="AK504" s="449">
        <v>0</v>
      </c>
      <c r="AL504" s="449">
        <v>0</v>
      </c>
      <c r="AM504" s="400"/>
      <c r="AN504" s="500">
        <v>0</v>
      </c>
      <c r="AO504" s="449">
        <v>4944</v>
      </c>
      <c r="AP504" s="449">
        <v>4944</v>
      </c>
      <c r="AQ504" s="453" t="s">
        <v>1519</v>
      </c>
      <c r="AR504" s="449">
        <v>4944</v>
      </c>
      <c r="AS504" s="449">
        <v>0</v>
      </c>
      <c r="AT504" s="426">
        <v>0</v>
      </c>
      <c r="AU504" s="421"/>
      <c r="AV504" s="449">
        <v>412</v>
      </c>
      <c r="AW504" s="449">
        <v>412</v>
      </c>
      <c r="AX504" s="449">
        <v>412</v>
      </c>
      <c r="AY504" s="449">
        <v>412</v>
      </c>
      <c r="AZ504" s="449">
        <v>412</v>
      </c>
      <c r="BA504" s="449">
        <v>412</v>
      </c>
      <c r="BB504" s="449">
        <v>412</v>
      </c>
      <c r="BC504" s="449">
        <v>412</v>
      </c>
      <c r="BD504" s="449">
        <v>412</v>
      </c>
      <c r="BE504" s="449">
        <v>412</v>
      </c>
      <c r="BF504" s="449">
        <v>412</v>
      </c>
      <c r="BG504" s="449">
        <v>412</v>
      </c>
      <c r="BH504" s="400"/>
      <c r="BI504" s="449">
        <v>412</v>
      </c>
      <c r="BJ504" s="449">
        <v>412</v>
      </c>
      <c r="BK504" s="449">
        <v>412</v>
      </c>
      <c r="BL504" s="771">
        <v>412</v>
      </c>
      <c r="BM504" s="449">
        <v>412</v>
      </c>
      <c r="BN504" s="449">
        <v>412</v>
      </c>
      <c r="BO504" s="449">
        <v>412</v>
      </c>
      <c r="BP504" s="449">
        <v>412</v>
      </c>
      <c r="BQ504" s="449">
        <v>412</v>
      </c>
      <c r="BR504" s="449">
        <v>412</v>
      </c>
      <c r="BS504" s="449">
        <v>412</v>
      </c>
      <c r="BT504" s="449">
        <v>412</v>
      </c>
    </row>
    <row r="505" spans="1:72" x14ac:dyDescent="0.25">
      <c r="A505" s="502" t="s">
        <v>858</v>
      </c>
      <c r="B505" s="502" t="s">
        <v>859</v>
      </c>
      <c r="C505" s="538"/>
      <c r="D505" s="500">
        <v>11500</v>
      </c>
      <c r="E505" s="449">
        <v>10000</v>
      </c>
      <c r="F505" s="449">
        <v>1500</v>
      </c>
      <c r="G505" s="421">
        <v>0.15</v>
      </c>
      <c r="H505" s="449">
        <v>11500</v>
      </c>
      <c r="I505" s="449">
        <v>0</v>
      </c>
      <c r="J505" s="426">
        <v>0</v>
      </c>
      <c r="K505" s="421"/>
      <c r="L505" s="449">
        <v>0</v>
      </c>
      <c r="M505" s="449">
        <v>0</v>
      </c>
      <c r="N505" s="449">
        <v>0</v>
      </c>
      <c r="O505" s="449">
        <v>0</v>
      </c>
      <c r="P505" s="449">
        <v>0</v>
      </c>
      <c r="Q505" s="449">
        <v>170</v>
      </c>
      <c r="R505" s="449">
        <v>1888.3333333333333</v>
      </c>
      <c r="S505" s="449">
        <v>1888.3333333333335</v>
      </c>
      <c r="T505" s="449">
        <v>1888.3333333333335</v>
      </c>
      <c r="U505" s="449">
        <v>1888.3333333333333</v>
      </c>
      <c r="V505" s="449">
        <v>1888.3333333333335</v>
      </c>
      <c r="W505" s="449">
        <v>1888.3333333333339</v>
      </c>
      <c r="X505" s="449"/>
      <c r="Y505" s="449">
        <v>11500</v>
      </c>
      <c r="Z505" s="531"/>
      <c r="AA505" s="449">
        <v>958.33333333333337</v>
      </c>
      <c r="AB505" s="449">
        <v>958.33333333333337</v>
      </c>
      <c r="AC505" s="449">
        <v>958.33333333333337</v>
      </c>
      <c r="AD505" s="449">
        <v>958.33333333333337</v>
      </c>
      <c r="AE505" s="449">
        <v>958.33333333333337</v>
      </c>
      <c r="AF505" s="449">
        <v>958.33333333333337</v>
      </c>
      <c r="AG505" s="449">
        <v>958.33333333333337</v>
      </c>
      <c r="AH505" s="449">
        <v>958.33333333333337</v>
      </c>
      <c r="AI505" s="449">
        <v>958.33333333333337</v>
      </c>
      <c r="AJ505" s="449">
        <v>958.33333333333337</v>
      </c>
      <c r="AK505" s="449">
        <v>958.33333333333337</v>
      </c>
      <c r="AL505" s="449">
        <v>958.33333333333337</v>
      </c>
      <c r="AM505" s="400"/>
      <c r="AN505" s="500">
        <v>11500</v>
      </c>
      <c r="AO505" s="449">
        <v>11845.000000000002</v>
      </c>
      <c r="AP505" s="449">
        <v>345.00000000000182</v>
      </c>
      <c r="AQ505" s="453">
        <v>3.0000000000000158E-2</v>
      </c>
      <c r="AR505" s="449">
        <v>11845.000000000002</v>
      </c>
      <c r="AS505" s="449">
        <v>0</v>
      </c>
      <c r="AT505" s="426">
        <v>0</v>
      </c>
      <c r="AU505" s="421"/>
      <c r="AV505" s="449">
        <v>987.08333333333337</v>
      </c>
      <c r="AW505" s="449">
        <v>987.08333333333337</v>
      </c>
      <c r="AX505" s="449">
        <v>987.08333333333337</v>
      </c>
      <c r="AY505" s="449">
        <v>987.08333333333337</v>
      </c>
      <c r="AZ505" s="449">
        <v>987.08333333333337</v>
      </c>
      <c r="BA505" s="449">
        <v>987.08333333333337</v>
      </c>
      <c r="BB505" s="449">
        <v>987.08333333333337</v>
      </c>
      <c r="BC505" s="449">
        <v>987.08333333333337</v>
      </c>
      <c r="BD505" s="449">
        <v>987.08333333333337</v>
      </c>
      <c r="BE505" s="449">
        <v>987.08333333333337</v>
      </c>
      <c r="BF505" s="449">
        <v>987.08333333333337</v>
      </c>
      <c r="BG505" s="449">
        <v>987.08333333333337</v>
      </c>
      <c r="BH505" s="400"/>
      <c r="BI505" s="449">
        <v>987.08333333333337</v>
      </c>
      <c r="BJ505" s="449">
        <v>987.08333333333337</v>
      </c>
      <c r="BK505" s="449">
        <v>987.08333333333337</v>
      </c>
      <c r="BL505" s="771">
        <v>987.08333333333337</v>
      </c>
      <c r="BM505" s="449">
        <v>987.08333333333337</v>
      </c>
      <c r="BN505" s="449">
        <v>987.08333333333337</v>
      </c>
      <c r="BO505" s="449">
        <v>987.08333333333337</v>
      </c>
      <c r="BP505" s="449">
        <v>987.08333333333337</v>
      </c>
      <c r="BQ505" s="449">
        <v>987.08333333333337</v>
      </c>
      <c r="BR505" s="449">
        <v>987.08333333333337</v>
      </c>
      <c r="BS505" s="449">
        <v>987.08333333333337</v>
      </c>
      <c r="BT505" s="449">
        <v>987.08333333333337</v>
      </c>
    </row>
    <row r="506" spans="1:72" x14ac:dyDescent="0.25">
      <c r="A506" s="502" t="s">
        <v>860</v>
      </c>
      <c r="B506" s="502" t="s">
        <v>861</v>
      </c>
      <c r="C506" s="538"/>
      <c r="D506" s="500">
        <v>5345</v>
      </c>
      <c r="E506" s="449">
        <v>2200</v>
      </c>
      <c r="F506" s="449">
        <v>3145</v>
      </c>
      <c r="G506" s="421">
        <v>1.4295454545454545</v>
      </c>
      <c r="H506" s="449">
        <v>2200</v>
      </c>
      <c r="I506" s="449">
        <v>3145</v>
      </c>
      <c r="J506" s="426">
        <v>1.4295454545454545</v>
      </c>
      <c r="K506" s="421"/>
      <c r="L506" s="449">
        <v>0</v>
      </c>
      <c r="M506" s="449">
        <v>5345</v>
      </c>
      <c r="N506" s="449">
        <v>0</v>
      </c>
      <c r="O506" s="449">
        <v>0</v>
      </c>
      <c r="P506" s="449">
        <v>0</v>
      </c>
      <c r="Q506" s="449">
        <v>0</v>
      </c>
      <c r="R506" s="449">
        <v>0</v>
      </c>
      <c r="S506" s="449">
        <v>0</v>
      </c>
      <c r="T506" s="449">
        <v>0</v>
      </c>
      <c r="U506" s="449">
        <v>0</v>
      </c>
      <c r="V506" s="449">
        <v>0</v>
      </c>
      <c r="W506" s="449">
        <v>0</v>
      </c>
      <c r="X506" s="449"/>
      <c r="Y506" s="449">
        <v>5345</v>
      </c>
      <c r="Z506" s="531"/>
      <c r="AA506" s="449">
        <v>183.33333333333334</v>
      </c>
      <c r="AB506" s="449">
        <v>183.33333333333334</v>
      </c>
      <c r="AC506" s="449">
        <v>183.33333333333334</v>
      </c>
      <c r="AD506" s="449">
        <v>183.33333333333334</v>
      </c>
      <c r="AE506" s="449">
        <v>183.33333333333334</v>
      </c>
      <c r="AF506" s="449">
        <v>183.33333333333334</v>
      </c>
      <c r="AG506" s="449">
        <v>183.33333333333334</v>
      </c>
      <c r="AH506" s="449">
        <v>183.33333333333334</v>
      </c>
      <c r="AI506" s="449">
        <v>183.33333333333334</v>
      </c>
      <c r="AJ506" s="449">
        <v>183.33333333333334</v>
      </c>
      <c r="AK506" s="449">
        <v>183.33333333333334</v>
      </c>
      <c r="AL506" s="449">
        <v>183.33333333333334</v>
      </c>
      <c r="AM506" s="400"/>
      <c r="AN506" s="500">
        <v>5345</v>
      </c>
      <c r="AO506" s="449">
        <v>5505.3500000000022</v>
      </c>
      <c r="AP506" s="449">
        <v>160.35000000000218</v>
      </c>
      <c r="AQ506" s="453">
        <v>3.0000000000000408E-2</v>
      </c>
      <c r="AR506" s="449">
        <v>5505.3500000000022</v>
      </c>
      <c r="AS506" s="449">
        <v>0</v>
      </c>
      <c r="AT506" s="426">
        <v>0</v>
      </c>
      <c r="AU506" s="421"/>
      <c r="AV506" s="449">
        <v>458.7791666666667</v>
      </c>
      <c r="AW506" s="449">
        <v>458.7791666666667</v>
      </c>
      <c r="AX506" s="449">
        <v>458.7791666666667</v>
      </c>
      <c r="AY506" s="449">
        <v>458.7791666666667</v>
      </c>
      <c r="AZ506" s="449">
        <v>458.7791666666667</v>
      </c>
      <c r="BA506" s="449">
        <v>458.7791666666667</v>
      </c>
      <c r="BB506" s="449">
        <v>458.7791666666667</v>
      </c>
      <c r="BC506" s="449">
        <v>458.7791666666667</v>
      </c>
      <c r="BD506" s="449">
        <v>458.7791666666667</v>
      </c>
      <c r="BE506" s="449">
        <v>458.7791666666667</v>
      </c>
      <c r="BF506" s="449">
        <v>458.7791666666667</v>
      </c>
      <c r="BG506" s="449">
        <v>458.7791666666667</v>
      </c>
      <c r="BH506" s="400"/>
      <c r="BI506" s="449">
        <v>458.7791666666667</v>
      </c>
      <c r="BJ506" s="449">
        <v>458.7791666666667</v>
      </c>
      <c r="BK506" s="449">
        <v>458.7791666666667</v>
      </c>
      <c r="BL506" s="771">
        <v>458.7791666666667</v>
      </c>
      <c r="BM506" s="449">
        <v>458.7791666666667</v>
      </c>
      <c r="BN506" s="449">
        <v>458.7791666666667</v>
      </c>
      <c r="BO506" s="449">
        <v>458.7791666666667</v>
      </c>
      <c r="BP506" s="449">
        <v>458.7791666666667</v>
      </c>
      <c r="BQ506" s="449">
        <v>458.7791666666667</v>
      </c>
      <c r="BR506" s="449">
        <v>458.7791666666667</v>
      </c>
      <c r="BS506" s="449">
        <v>458.7791666666667</v>
      </c>
      <c r="BT506" s="449">
        <v>458.7791666666667</v>
      </c>
    </row>
    <row r="507" spans="1:72" x14ac:dyDescent="0.25">
      <c r="A507" s="502" t="s">
        <v>862</v>
      </c>
      <c r="B507" s="502" t="s">
        <v>863</v>
      </c>
      <c r="C507" s="538"/>
      <c r="D507" s="500">
        <v>25000</v>
      </c>
      <c r="E507" s="449">
        <v>25000</v>
      </c>
      <c r="F507" s="449">
        <v>0</v>
      </c>
      <c r="G507" s="421">
        <v>0</v>
      </c>
      <c r="H507" s="449">
        <v>25000</v>
      </c>
      <c r="I507" s="449">
        <v>0</v>
      </c>
      <c r="J507" s="426">
        <v>0</v>
      </c>
      <c r="K507" s="421"/>
      <c r="L507" s="449">
        <v>3450.35</v>
      </c>
      <c r="M507" s="449">
        <v>2342.4500000000003</v>
      </c>
      <c r="N507" s="449">
        <v>7035.9999999999991</v>
      </c>
      <c r="O507" s="449">
        <v>5777.8500000000022</v>
      </c>
      <c r="P507" s="449">
        <v>0</v>
      </c>
      <c r="Q507" s="449">
        <v>0</v>
      </c>
      <c r="R507" s="449">
        <v>1065.5583333333332</v>
      </c>
      <c r="S507" s="449">
        <v>1065.5583333333329</v>
      </c>
      <c r="T507" s="449">
        <v>1065.5583333333325</v>
      </c>
      <c r="U507" s="449">
        <v>1065.5583333333318</v>
      </c>
      <c r="V507" s="449">
        <v>1065.5583333333325</v>
      </c>
      <c r="W507" s="449">
        <v>1065.5583333333343</v>
      </c>
      <c r="X507" s="449"/>
      <c r="Y507" s="449">
        <v>25000</v>
      </c>
      <c r="Z507" s="531"/>
      <c r="AA507" s="449">
        <v>2083.3333333333335</v>
      </c>
      <c r="AB507" s="449">
        <v>2083.3333333333335</v>
      </c>
      <c r="AC507" s="449">
        <v>2083.3333333333335</v>
      </c>
      <c r="AD507" s="449">
        <v>2083.3333333333335</v>
      </c>
      <c r="AE507" s="449">
        <v>2083.3333333333335</v>
      </c>
      <c r="AF507" s="449">
        <v>2083.3333333333335</v>
      </c>
      <c r="AG507" s="449">
        <v>2083.3333333333335</v>
      </c>
      <c r="AH507" s="449">
        <v>2083.3333333333335</v>
      </c>
      <c r="AI507" s="449">
        <v>2083.3333333333335</v>
      </c>
      <c r="AJ507" s="449">
        <v>2083.3333333333335</v>
      </c>
      <c r="AK507" s="449">
        <v>2083.3333333333335</v>
      </c>
      <c r="AL507" s="449">
        <v>2083.3333333333335</v>
      </c>
      <c r="AM507" s="400"/>
      <c r="AN507" s="500">
        <v>25000</v>
      </c>
      <c r="AO507" s="449">
        <v>25749.999999999996</v>
      </c>
      <c r="AP507" s="449">
        <v>749.99999999999636</v>
      </c>
      <c r="AQ507" s="453">
        <v>2.9999999999999853E-2</v>
      </c>
      <c r="AR507" s="449">
        <v>25749.999999999996</v>
      </c>
      <c r="AS507" s="449">
        <v>0</v>
      </c>
      <c r="AT507" s="426">
        <v>0</v>
      </c>
      <c r="AU507" s="421"/>
      <c r="AV507" s="449">
        <v>2145.8333333333335</v>
      </c>
      <c r="AW507" s="449">
        <v>2145.8333333333335</v>
      </c>
      <c r="AX507" s="449">
        <v>2145.8333333333335</v>
      </c>
      <c r="AY507" s="449">
        <v>2145.8333333333335</v>
      </c>
      <c r="AZ507" s="449">
        <v>2145.8333333333335</v>
      </c>
      <c r="BA507" s="449">
        <v>2145.8333333333335</v>
      </c>
      <c r="BB507" s="449">
        <v>2145.8333333333335</v>
      </c>
      <c r="BC507" s="449">
        <v>2145.8333333333335</v>
      </c>
      <c r="BD507" s="449">
        <v>2145.8333333333335</v>
      </c>
      <c r="BE507" s="449">
        <v>2145.8333333333335</v>
      </c>
      <c r="BF507" s="449">
        <v>2145.8333333333335</v>
      </c>
      <c r="BG507" s="449">
        <v>2145.8333333333335</v>
      </c>
      <c r="BH507" s="400"/>
      <c r="BI507" s="449">
        <v>2145.8333333333335</v>
      </c>
      <c r="BJ507" s="449">
        <v>2145.8333333333335</v>
      </c>
      <c r="BK507" s="449">
        <v>2145.8333333333335</v>
      </c>
      <c r="BL507" s="771">
        <v>2145.8333333333335</v>
      </c>
      <c r="BM507" s="449">
        <v>2145.8333333333335</v>
      </c>
      <c r="BN507" s="449">
        <v>2145.8333333333335</v>
      </c>
      <c r="BO507" s="449">
        <v>2145.8333333333335</v>
      </c>
      <c r="BP507" s="449">
        <v>2145.8333333333335</v>
      </c>
      <c r="BQ507" s="449">
        <v>2145.8333333333335</v>
      </c>
      <c r="BR507" s="449">
        <v>2145.8333333333335</v>
      </c>
      <c r="BS507" s="449">
        <v>2145.8333333333335</v>
      </c>
      <c r="BT507" s="449">
        <v>2145.8333333333335</v>
      </c>
    </row>
    <row r="508" spans="1:72" x14ac:dyDescent="0.25">
      <c r="A508" s="753" t="s">
        <v>1756</v>
      </c>
      <c r="B508" s="753" t="s">
        <v>863</v>
      </c>
      <c r="C508" s="538"/>
      <c r="D508" s="500"/>
      <c r="E508" s="449"/>
      <c r="F508" s="449"/>
      <c r="G508" s="421"/>
      <c r="H508" s="449"/>
      <c r="I508" s="449"/>
      <c r="J508" s="426"/>
      <c r="K508" s="421"/>
      <c r="L508" s="449"/>
      <c r="M508" s="449"/>
      <c r="N508" s="449"/>
      <c r="O508" s="449"/>
      <c r="P508" s="449"/>
      <c r="Q508" s="449"/>
      <c r="R508" s="449"/>
      <c r="S508" s="449"/>
      <c r="T508" s="449"/>
      <c r="U508" s="449"/>
      <c r="V508" s="449"/>
      <c r="W508" s="449"/>
      <c r="X508" s="449"/>
      <c r="Y508" s="449"/>
      <c r="Z508" s="531"/>
      <c r="AA508" s="449"/>
      <c r="AB508" s="449"/>
      <c r="AC508" s="449"/>
      <c r="AD508" s="449"/>
      <c r="AE508" s="449"/>
      <c r="AF508" s="449"/>
      <c r="AG508" s="449"/>
      <c r="AH508" s="449"/>
      <c r="AI508" s="449"/>
      <c r="AJ508" s="449"/>
      <c r="AK508" s="449"/>
      <c r="AL508" s="449"/>
      <c r="AM508" s="400"/>
      <c r="AN508" s="500"/>
      <c r="AO508" s="449"/>
      <c r="AP508" s="449"/>
      <c r="AQ508" s="453"/>
      <c r="AR508" s="449"/>
      <c r="AS508" s="449"/>
      <c r="AT508" s="426"/>
      <c r="AU508" s="421"/>
      <c r="AV508" s="449"/>
      <c r="AW508" s="449"/>
      <c r="AX508" s="449"/>
      <c r="AY508" s="449"/>
      <c r="AZ508" s="449"/>
      <c r="BA508" s="449"/>
      <c r="BB508" s="449"/>
      <c r="BC508" s="449"/>
      <c r="BD508" s="449"/>
      <c r="BE508" s="449"/>
      <c r="BF508" s="449"/>
      <c r="BG508" s="449"/>
      <c r="BH508" s="400"/>
      <c r="BI508" s="449"/>
      <c r="BJ508" s="449"/>
      <c r="BK508" s="449"/>
      <c r="BL508" s="771"/>
      <c r="BM508" s="449"/>
      <c r="BN508" s="449"/>
      <c r="BO508" s="449"/>
      <c r="BP508" s="449"/>
      <c r="BQ508" s="449"/>
      <c r="BR508" s="449"/>
      <c r="BS508" s="449"/>
      <c r="BT508" s="449"/>
    </row>
    <row r="509" spans="1:72" x14ac:dyDescent="0.25">
      <c r="A509" s="502" t="s">
        <v>864</v>
      </c>
      <c r="B509" s="502" t="s">
        <v>865</v>
      </c>
      <c r="C509" s="538"/>
      <c r="D509" s="500">
        <v>70000</v>
      </c>
      <c r="E509" s="449">
        <v>70000</v>
      </c>
      <c r="F509" s="449">
        <v>0</v>
      </c>
      <c r="G509" s="421">
        <v>0</v>
      </c>
      <c r="H509" s="449">
        <v>70000</v>
      </c>
      <c r="I509" s="449">
        <v>0</v>
      </c>
      <c r="J509" s="426">
        <v>0</v>
      </c>
      <c r="K509" s="421"/>
      <c r="L509" s="449">
        <v>1469.49</v>
      </c>
      <c r="M509" s="449">
        <v>16462.11</v>
      </c>
      <c r="N509" s="449">
        <v>2281.0399999999972</v>
      </c>
      <c r="O509" s="449">
        <v>3396.6100000000006</v>
      </c>
      <c r="P509" s="449">
        <v>3157.0400000000009</v>
      </c>
      <c r="Q509" s="449">
        <v>598.80999999999767</v>
      </c>
      <c r="R509" s="449">
        <v>7105.8166666666666</v>
      </c>
      <c r="S509" s="449">
        <v>7105.8166666666675</v>
      </c>
      <c r="T509" s="449">
        <v>7105.8166666666675</v>
      </c>
      <c r="U509" s="449">
        <v>7105.8166666666684</v>
      </c>
      <c r="V509" s="449">
        <v>7105.8166666666693</v>
      </c>
      <c r="W509" s="449">
        <v>7105.8166666666657</v>
      </c>
      <c r="X509" s="449"/>
      <c r="Y509" s="449">
        <v>70000</v>
      </c>
      <c r="Z509" s="531"/>
      <c r="AA509" s="449">
        <v>5833.333333333333</v>
      </c>
      <c r="AB509" s="449">
        <v>5833.333333333333</v>
      </c>
      <c r="AC509" s="449">
        <v>5833.333333333333</v>
      </c>
      <c r="AD509" s="449">
        <v>5833.333333333333</v>
      </c>
      <c r="AE509" s="449">
        <v>5833.333333333333</v>
      </c>
      <c r="AF509" s="449">
        <v>5833.333333333333</v>
      </c>
      <c r="AG509" s="449">
        <v>5833.333333333333</v>
      </c>
      <c r="AH509" s="449">
        <v>5833.333333333333</v>
      </c>
      <c r="AI509" s="449">
        <v>5833.333333333333</v>
      </c>
      <c r="AJ509" s="449">
        <v>5833.333333333333</v>
      </c>
      <c r="AK509" s="449">
        <v>5833.333333333333</v>
      </c>
      <c r="AL509" s="449">
        <v>5833.333333333333</v>
      </c>
      <c r="AM509" s="400"/>
      <c r="AN509" s="500">
        <v>70000</v>
      </c>
      <c r="AO509" s="449">
        <v>43259.999999999993</v>
      </c>
      <c r="AP509" s="449">
        <v>-26740.000000000007</v>
      </c>
      <c r="AQ509" s="453">
        <v>-0.38200000000000012</v>
      </c>
      <c r="AR509" s="449">
        <v>43259.999999999993</v>
      </c>
      <c r="AS509" s="449">
        <v>0</v>
      </c>
      <c r="AT509" s="426">
        <v>0</v>
      </c>
      <c r="AU509" s="421"/>
      <c r="AV509" s="449">
        <v>3604.9999999999995</v>
      </c>
      <c r="AW509" s="449">
        <v>3604.9999999999995</v>
      </c>
      <c r="AX509" s="449">
        <v>3604.9999999999995</v>
      </c>
      <c r="AY509" s="449">
        <v>3604.9999999999995</v>
      </c>
      <c r="AZ509" s="449">
        <v>3604.9999999999995</v>
      </c>
      <c r="BA509" s="449">
        <v>3604.9999999999995</v>
      </c>
      <c r="BB509" s="449">
        <v>3604.9999999999995</v>
      </c>
      <c r="BC509" s="449">
        <v>3604.9999999999995</v>
      </c>
      <c r="BD509" s="449">
        <v>3604.9999999999995</v>
      </c>
      <c r="BE509" s="449">
        <v>3604.9999999999995</v>
      </c>
      <c r="BF509" s="449">
        <v>3604.9999999999995</v>
      </c>
      <c r="BG509" s="449">
        <v>3604.9999999999995</v>
      </c>
      <c r="BH509" s="400"/>
      <c r="BI509" s="449">
        <v>3604.9999999999995</v>
      </c>
      <c r="BJ509" s="449">
        <v>3604.9999999999995</v>
      </c>
      <c r="BK509" s="449">
        <v>3604.9999999999995</v>
      </c>
      <c r="BL509" s="771">
        <v>3604.9999999999995</v>
      </c>
      <c r="BM509" s="449">
        <v>3604.9999999999995</v>
      </c>
      <c r="BN509" s="449">
        <v>3604.9999999999995</v>
      </c>
      <c r="BO509" s="449">
        <v>3604.9999999999995</v>
      </c>
      <c r="BP509" s="449">
        <v>3604.9999999999995</v>
      </c>
      <c r="BQ509" s="449">
        <v>3604.9999999999995</v>
      </c>
      <c r="BR509" s="449">
        <v>3604.9999999999995</v>
      </c>
      <c r="BS509" s="449">
        <v>3604.9999999999995</v>
      </c>
      <c r="BT509" s="449">
        <v>3604.9999999999995</v>
      </c>
    </row>
    <row r="510" spans="1:72" ht="15" customHeight="1" x14ac:dyDescent="0.25">
      <c r="A510" s="537" t="s">
        <v>866</v>
      </c>
      <c r="B510" s="537" t="s">
        <v>867</v>
      </c>
      <c r="C510" s="541"/>
      <c r="D510" s="500">
        <v>0</v>
      </c>
      <c r="E510" s="449">
        <v>0</v>
      </c>
      <c r="F510" s="449">
        <v>0</v>
      </c>
      <c r="G510" s="421">
        <v>0</v>
      </c>
      <c r="H510" s="449">
        <v>0</v>
      </c>
      <c r="I510" s="449">
        <v>0</v>
      </c>
      <c r="J510" s="426">
        <v>0</v>
      </c>
      <c r="K510" s="421"/>
      <c r="L510" s="449">
        <v>0</v>
      </c>
      <c r="M510" s="449">
        <v>0</v>
      </c>
      <c r="N510" s="449">
        <v>0</v>
      </c>
      <c r="O510" s="449">
        <v>0</v>
      </c>
      <c r="P510" s="449">
        <v>0</v>
      </c>
      <c r="Q510" s="449">
        <v>0</v>
      </c>
      <c r="R510" s="449">
        <v>0</v>
      </c>
      <c r="S510" s="449">
        <v>0</v>
      </c>
      <c r="T510" s="449">
        <v>0</v>
      </c>
      <c r="U510" s="449">
        <v>0</v>
      </c>
      <c r="V510" s="449">
        <v>0</v>
      </c>
      <c r="W510" s="449">
        <v>0</v>
      </c>
      <c r="X510" s="449"/>
      <c r="Y510" s="449">
        <v>0</v>
      </c>
      <c r="Z510" s="449"/>
      <c r="AA510" s="449">
        <v>0</v>
      </c>
      <c r="AB510" s="449">
        <v>0</v>
      </c>
      <c r="AC510" s="449">
        <v>0</v>
      </c>
      <c r="AD510" s="449">
        <v>0</v>
      </c>
      <c r="AE510" s="449">
        <v>0</v>
      </c>
      <c r="AF510" s="449">
        <v>0</v>
      </c>
      <c r="AG510" s="449">
        <v>0</v>
      </c>
      <c r="AH510" s="449">
        <v>0</v>
      </c>
      <c r="AI510" s="449">
        <v>0</v>
      </c>
      <c r="AJ510" s="449">
        <v>0</v>
      </c>
      <c r="AK510" s="449">
        <v>0</v>
      </c>
      <c r="AL510" s="449">
        <v>0</v>
      </c>
      <c r="AM510" s="400"/>
      <c r="AN510" s="500">
        <v>0</v>
      </c>
      <c r="AO510" s="449">
        <v>28839.999999999996</v>
      </c>
      <c r="AP510" s="449">
        <v>28839.999999999996</v>
      </c>
      <c r="AQ510" s="453" t="s">
        <v>1519</v>
      </c>
      <c r="AR510" s="449">
        <v>28839.999999999996</v>
      </c>
      <c r="AS510" s="449">
        <v>0</v>
      </c>
      <c r="AT510" s="426">
        <v>0</v>
      </c>
      <c r="AU510" s="421"/>
      <c r="AV510" s="449">
        <v>2403.3333333333335</v>
      </c>
      <c r="AW510" s="449">
        <v>2403.3333333333335</v>
      </c>
      <c r="AX510" s="449">
        <v>2403.3333333333335</v>
      </c>
      <c r="AY510" s="449">
        <v>2403.3333333333335</v>
      </c>
      <c r="AZ510" s="449">
        <v>2403.3333333333335</v>
      </c>
      <c r="BA510" s="449">
        <v>2403.3333333333335</v>
      </c>
      <c r="BB510" s="449">
        <v>2403.3333333333335</v>
      </c>
      <c r="BC510" s="449">
        <v>2403.3333333333335</v>
      </c>
      <c r="BD510" s="449">
        <v>2403.3333333333335</v>
      </c>
      <c r="BE510" s="449">
        <v>2403.3333333333335</v>
      </c>
      <c r="BF510" s="449">
        <v>2403.3333333333335</v>
      </c>
      <c r="BG510" s="449">
        <v>2403.3333333333335</v>
      </c>
      <c r="BH510" s="400"/>
      <c r="BI510" s="449">
        <v>2403.3333333333335</v>
      </c>
      <c r="BJ510" s="449">
        <v>2403.3333333333335</v>
      </c>
      <c r="BK510" s="449">
        <v>2403.3333333333335</v>
      </c>
      <c r="BL510" s="771">
        <v>2403.3333333333335</v>
      </c>
      <c r="BM510" s="449">
        <v>2403.3333333333335</v>
      </c>
      <c r="BN510" s="449">
        <v>2403.3333333333335</v>
      </c>
      <c r="BO510" s="449">
        <v>2403.3333333333335</v>
      </c>
      <c r="BP510" s="449">
        <v>2403.3333333333335</v>
      </c>
      <c r="BQ510" s="449">
        <v>2403.3333333333335</v>
      </c>
      <c r="BR510" s="449">
        <v>2403.3333333333335</v>
      </c>
      <c r="BS510" s="449">
        <v>2403.3333333333335</v>
      </c>
      <c r="BT510" s="449">
        <v>2403.3333333333335</v>
      </c>
    </row>
    <row r="511" spans="1:72" x14ac:dyDescent="0.25">
      <c r="A511" s="502" t="s">
        <v>868</v>
      </c>
      <c r="B511" s="502" t="s">
        <v>869</v>
      </c>
      <c r="C511" s="538"/>
      <c r="D511" s="500">
        <v>5000</v>
      </c>
      <c r="E511" s="449">
        <v>5000</v>
      </c>
      <c r="F511" s="449">
        <v>0</v>
      </c>
      <c r="G511" s="421">
        <v>0</v>
      </c>
      <c r="H511" s="449">
        <v>5000</v>
      </c>
      <c r="I511" s="449">
        <v>0</v>
      </c>
      <c r="J511" s="426">
        <v>0</v>
      </c>
      <c r="K511" s="421"/>
      <c r="L511" s="449">
        <v>0</v>
      </c>
      <c r="M511" s="449">
        <v>1109.0400000000081</v>
      </c>
      <c r="N511" s="449">
        <v>595.5</v>
      </c>
      <c r="O511" s="449">
        <v>1.4551915228366852E-11</v>
      </c>
      <c r="P511" s="449">
        <v>-1.4551915228366852E-11</v>
      </c>
      <c r="Q511" s="449">
        <v>-8.1854523159563541E-12</v>
      </c>
      <c r="R511" s="449">
        <v>549.24333333333334</v>
      </c>
      <c r="S511" s="449">
        <v>549.24333333333334</v>
      </c>
      <c r="T511" s="449">
        <v>549.24333333333334</v>
      </c>
      <c r="U511" s="449">
        <v>549.24333333333334</v>
      </c>
      <c r="V511" s="449">
        <v>549.24333333333334</v>
      </c>
      <c r="W511" s="449">
        <v>549.24333333333379</v>
      </c>
      <c r="X511" s="449"/>
      <c r="Y511" s="449">
        <v>5000</v>
      </c>
      <c r="Z511" s="531"/>
      <c r="AA511" s="449">
        <v>416.66666666666669</v>
      </c>
      <c r="AB511" s="449">
        <v>416.66666666666669</v>
      </c>
      <c r="AC511" s="449">
        <v>416.66666666666669</v>
      </c>
      <c r="AD511" s="449">
        <v>416.66666666666669</v>
      </c>
      <c r="AE511" s="449">
        <v>416.66666666666669</v>
      </c>
      <c r="AF511" s="449">
        <v>416.66666666666669</v>
      </c>
      <c r="AG511" s="449">
        <v>416.66666666666669</v>
      </c>
      <c r="AH511" s="449">
        <v>416.66666666666669</v>
      </c>
      <c r="AI511" s="449">
        <v>416.66666666666669</v>
      </c>
      <c r="AJ511" s="449">
        <v>416.66666666666669</v>
      </c>
      <c r="AK511" s="449">
        <v>416.66666666666669</v>
      </c>
      <c r="AL511" s="449">
        <v>416.66666666666669</v>
      </c>
      <c r="AM511" s="400"/>
      <c r="AN511" s="500">
        <v>5000</v>
      </c>
      <c r="AO511" s="449">
        <v>5150</v>
      </c>
      <c r="AP511" s="449">
        <v>150</v>
      </c>
      <c r="AQ511" s="453">
        <v>0.03</v>
      </c>
      <c r="AR511" s="449">
        <v>5150</v>
      </c>
      <c r="AS511" s="449">
        <v>0</v>
      </c>
      <c r="AT511" s="426">
        <v>0</v>
      </c>
      <c r="AU511" s="421"/>
      <c r="AV511" s="449">
        <v>429.16666666666669</v>
      </c>
      <c r="AW511" s="449">
        <v>429.16666666666669</v>
      </c>
      <c r="AX511" s="449">
        <v>429.16666666666669</v>
      </c>
      <c r="AY511" s="449">
        <v>429.16666666666669</v>
      </c>
      <c r="AZ511" s="449">
        <v>429.16666666666669</v>
      </c>
      <c r="BA511" s="449">
        <v>429.16666666666669</v>
      </c>
      <c r="BB511" s="449">
        <v>429.16666666666669</v>
      </c>
      <c r="BC511" s="449">
        <v>429.16666666666669</v>
      </c>
      <c r="BD511" s="449">
        <v>429.16666666666669</v>
      </c>
      <c r="BE511" s="449">
        <v>429.16666666666669</v>
      </c>
      <c r="BF511" s="449">
        <v>429.16666666666669</v>
      </c>
      <c r="BG511" s="449">
        <v>429.16666666666669</v>
      </c>
      <c r="BH511" s="400"/>
      <c r="BI511" s="449">
        <v>429.16666666666669</v>
      </c>
      <c r="BJ511" s="449">
        <v>429.16666666666669</v>
      </c>
      <c r="BK511" s="449">
        <v>429.16666666666669</v>
      </c>
      <c r="BL511" s="771">
        <v>429.16666666666669</v>
      </c>
      <c r="BM511" s="449">
        <v>429.16666666666669</v>
      </c>
      <c r="BN511" s="449">
        <v>429.16666666666669</v>
      </c>
      <c r="BO511" s="449">
        <v>429.16666666666669</v>
      </c>
      <c r="BP511" s="449">
        <v>429.16666666666669</v>
      </c>
      <c r="BQ511" s="449">
        <v>429.16666666666669</v>
      </c>
      <c r="BR511" s="449">
        <v>429.16666666666669</v>
      </c>
      <c r="BS511" s="449">
        <v>429.16666666666669</v>
      </c>
      <c r="BT511" s="449">
        <v>429.16666666666669</v>
      </c>
    </row>
    <row r="512" spans="1:72" ht="13.5" customHeight="1" x14ac:dyDescent="0.25">
      <c r="A512" s="502" t="s">
        <v>870</v>
      </c>
      <c r="B512" s="502" t="s">
        <v>871</v>
      </c>
      <c r="C512" s="602"/>
      <c r="D512" s="500">
        <v>979728</v>
      </c>
      <c r="E512" s="449">
        <v>1107132</v>
      </c>
      <c r="F512" s="449">
        <v>-127404</v>
      </c>
      <c r="G512" s="421">
        <v>-0.11507570912953469</v>
      </c>
      <c r="H512" s="449">
        <v>979728</v>
      </c>
      <c r="I512" s="449">
        <v>0</v>
      </c>
      <c r="J512" s="426">
        <v>0</v>
      </c>
      <c r="K512" s="421"/>
      <c r="L512" s="449">
        <v>77047.839999999997</v>
      </c>
      <c r="M512" s="449">
        <v>24086.059999999998</v>
      </c>
      <c r="N512" s="449">
        <v>50566.950000000012</v>
      </c>
      <c r="O512" s="449">
        <v>50566.949999999983</v>
      </c>
      <c r="P512" s="449">
        <v>50566.950000000012</v>
      </c>
      <c r="Q512" s="449">
        <v>123596.23999999993</v>
      </c>
      <c r="R512" s="449">
        <v>100549.50166666666</v>
      </c>
      <c r="S512" s="449">
        <v>100549.50166666668</v>
      </c>
      <c r="T512" s="449">
        <v>100549.50166666668</v>
      </c>
      <c r="U512" s="449">
        <v>100549.50166666666</v>
      </c>
      <c r="V512" s="449">
        <v>100549.50166666665</v>
      </c>
      <c r="W512" s="449">
        <v>100549.50166666671</v>
      </c>
      <c r="X512" s="449"/>
      <c r="Y512" s="449">
        <v>979728</v>
      </c>
      <c r="Z512" s="501"/>
      <c r="AA512" s="449">
        <v>81644</v>
      </c>
      <c r="AB512" s="449">
        <v>81644</v>
      </c>
      <c r="AC512" s="449">
        <v>81644</v>
      </c>
      <c r="AD512" s="449">
        <v>81644</v>
      </c>
      <c r="AE512" s="449">
        <v>81644</v>
      </c>
      <c r="AF512" s="449">
        <v>81644</v>
      </c>
      <c r="AG512" s="449">
        <v>81644</v>
      </c>
      <c r="AH512" s="449">
        <v>81644</v>
      </c>
      <c r="AI512" s="449">
        <v>81644</v>
      </c>
      <c r="AJ512" s="449">
        <v>81644</v>
      </c>
      <c r="AK512" s="449">
        <v>81644</v>
      </c>
      <c r="AL512" s="449">
        <v>81644</v>
      </c>
      <c r="AM512" s="400"/>
      <c r="AN512" s="500">
        <v>979728</v>
      </c>
      <c r="AO512" s="449">
        <v>1397481.9400000002</v>
      </c>
      <c r="AP512" s="449">
        <v>417753.94000000018</v>
      </c>
      <c r="AQ512" s="453">
        <v>0.42639787777832233</v>
      </c>
      <c r="AR512" s="449">
        <v>1397481.9400000002</v>
      </c>
      <c r="AS512" s="449">
        <v>0</v>
      </c>
      <c r="AT512" s="426">
        <v>0</v>
      </c>
      <c r="AU512" s="421"/>
      <c r="AV512" s="449">
        <v>116456.82833333332</v>
      </c>
      <c r="AW512" s="449">
        <v>116456.82833333332</v>
      </c>
      <c r="AX512" s="449">
        <v>116456.82833333332</v>
      </c>
      <c r="AY512" s="449">
        <v>116456.82833333332</v>
      </c>
      <c r="AZ512" s="449">
        <v>116456.82833333332</v>
      </c>
      <c r="BA512" s="449">
        <v>116456.82833333332</v>
      </c>
      <c r="BB512" s="449">
        <v>116456.82833333332</v>
      </c>
      <c r="BC512" s="449">
        <v>116456.82833333332</v>
      </c>
      <c r="BD512" s="449">
        <v>116456.82833333332</v>
      </c>
      <c r="BE512" s="449">
        <v>116456.82833333332</v>
      </c>
      <c r="BF512" s="449">
        <v>116456.82833333332</v>
      </c>
      <c r="BG512" s="449">
        <v>116456.82833333332</v>
      </c>
      <c r="BH512" s="400"/>
      <c r="BI512" s="449">
        <v>116456.82833333332</v>
      </c>
      <c r="BJ512" s="449">
        <v>116456.82833333332</v>
      </c>
      <c r="BK512" s="449">
        <v>116456.82833333332</v>
      </c>
      <c r="BL512" s="771">
        <v>116456.82833333332</v>
      </c>
      <c r="BM512" s="449">
        <v>116456.82833333332</v>
      </c>
      <c r="BN512" s="449">
        <v>116456.82833333332</v>
      </c>
      <c r="BO512" s="449">
        <v>116456.82833333332</v>
      </c>
      <c r="BP512" s="449">
        <v>116456.82833333332</v>
      </c>
      <c r="BQ512" s="449">
        <v>116456.82833333332</v>
      </c>
      <c r="BR512" s="449">
        <v>116456.82833333332</v>
      </c>
      <c r="BS512" s="449">
        <v>116456.82833333332</v>
      </c>
      <c r="BT512" s="449">
        <v>116456.82833333332</v>
      </c>
    </row>
    <row r="513" spans="1:74" x14ac:dyDescent="0.25">
      <c r="A513" s="502" t="s">
        <v>872</v>
      </c>
      <c r="B513" s="502" t="s">
        <v>873</v>
      </c>
      <c r="C513" s="602"/>
      <c r="D513" s="500">
        <v>331370</v>
      </c>
      <c r="E513" s="449">
        <v>308454</v>
      </c>
      <c r="F513" s="449">
        <v>22916</v>
      </c>
      <c r="G513" s="421">
        <v>7.4293087461987845E-2</v>
      </c>
      <c r="H513" s="449">
        <v>331370</v>
      </c>
      <c r="I513" s="449">
        <v>0</v>
      </c>
      <c r="J513" s="426">
        <v>0</v>
      </c>
      <c r="K513" s="421"/>
      <c r="L513" s="449">
        <v>0</v>
      </c>
      <c r="M513" s="449">
        <v>52942.559999999998</v>
      </c>
      <c r="N513" s="449">
        <v>26471.279999999999</v>
      </c>
      <c r="O513" s="449">
        <v>26471.279999999999</v>
      </c>
      <c r="P513" s="449">
        <v>26471.279999999999</v>
      </c>
      <c r="Q513" s="449">
        <v>23567.260000000009</v>
      </c>
      <c r="R513" s="449">
        <v>29241.056666666667</v>
      </c>
      <c r="S513" s="449">
        <v>29241.056666666664</v>
      </c>
      <c r="T513" s="449">
        <v>29241.056666666664</v>
      </c>
      <c r="U513" s="449">
        <v>29241.05666666666</v>
      </c>
      <c r="V513" s="449">
        <v>29241.056666666671</v>
      </c>
      <c r="W513" s="449">
        <v>29241.056666666642</v>
      </c>
      <c r="X513" s="449"/>
      <c r="Y513" s="449">
        <v>331370</v>
      </c>
      <c r="Z513" s="501"/>
      <c r="AA513" s="449">
        <v>27614.166666666668</v>
      </c>
      <c r="AB513" s="449">
        <v>27614.166666666668</v>
      </c>
      <c r="AC513" s="449">
        <v>27614.166666666668</v>
      </c>
      <c r="AD513" s="449">
        <v>27614.166666666668</v>
      </c>
      <c r="AE513" s="449">
        <v>27614.166666666668</v>
      </c>
      <c r="AF513" s="449">
        <v>27614.166666666668</v>
      </c>
      <c r="AG513" s="449">
        <v>27614.166666666668</v>
      </c>
      <c r="AH513" s="449">
        <v>27614.166666666668</v>
      </c>
      <c r="AI513" s="449">
        <v>27614.166666666668</v>
      </c>
      <c r="AJ513" s="449">
        <v>27614.166666666668</v>
      </c>
      <c r="AK513" s="449">
        <v>27614.166666666668</v>
      </c>
      <c r="AL513" s="449">
        <v>27614.166666666668</v>
      </c>
      <c r="AM513" s="400"/>
      <c r="AN513" s="500">
        <v>331370</v>
      </c>
      <c r="AO513" s="449">
        <v>365717.55999999988</v>
      </c>
      <c r="AP513" s="449">
        <v>34347.559999999881</v>
      </c>
      <c r="AQ513" s="453">
        <v>0.10365319733228681</v>
      </c>
      <c r="AR513" s="449">
        <v>365717.55999999988</v>
      </c>
      <c r="AS513" s="449">
        <v>0</v>
      </c>
      <c r="AT513" s="426">
        <v>0</v>
      </c>
      <c r="AU513" s="421"/>
      <c r="AV513" s="449">
        <v>30476.463333333333</v>
      </c>
      <c r="AW513" s="449">
        <v>30476.463333333333</v>
      </c>
      <c r="AX513" s="449">
        <v>30476.463333333333</v>
      </c>
      <c r="AY513" s="449">
        <v>30476.463333333333</v>
      </c>
      <c r="AZ513" s="449">
        <v>30476.463333333333</v>
      </c>
      <c r="BA513" s="449">
        <v>30476.463333333333</v>
      </c>
      <c r="BB513" s="449">
        <v>30476.463333333333</v>
      </c>
      <c r="BC513" s="449">
        <v>30476.463333333333</v>
      </c>
      <c r="BD513" s="449">
        <v>30476.463333333333</v>
      </c>
      <c r="BE513" s="449">
        <v>30476.463333333333</v>
      </c>
      <c r="BF513" s="449">
        <v>30476.463333333333</v>
      </c>
      <c r="BG513" s="449">
        <v>30476.463333333333</v>
      </c>
      <c r="BH513" s="400"/>
      <c r="BI513" s="449">
        <v>30476.463333333333</v>
      </c>
      <c r="BJ513" s="449">
        <v>30476.463333333333</v>
      </c>
      <c r="BK513" s="449">
        <v>30476.463333333333</v>
      </c>
      <c r="BL513" s="771">
        <v>30476.463333333333</v>
      </c>
      <c r="BM513" s="449">
        <v>30476.463333333333</v>
      </c>
      <c r="BN513" s="449">
        <v>30476.463333333333</v>
      </c>
      <c r="BO513" s="449">
        <v>30476.463333333333</v>
      </c>
      <c r="BP513" s="449">
        <v>30476.463333333333</v>
      </c>
      <c r="BQ513" s="449">
        <v>30476.463333333333</v>
      </c>
      <c r="BR513" s="449">
        <v>30476.463333333333</v>
      </c>
      <c r="BS513" s="449">
        <v>30476.463333333333</v>
      </c>
      <c r="BT513" s="449">
        <v>30476.463333333333</v>
      </c>
    </row>
    <row r="514" spans="1:74" x14ac:dyDescent="0.25">
      <c r="A514" s="502" t="s">
        <v>874</v>
      </c>
      <c r="B514" s="502" t="s">
        <v>875</v>
      </c>
      <c r="C514" s="596"/>
      <c r="D514" s="500">
        <v>39000</v>
      </c>
      <c r="E514" s="449">
        <v>60000</v>
      </c>
      <c r="F514" s="449">
        <v>-21000</v>
      </c>
      <c r="G514" s="421">
        <v>-0.35</v>
      </c>
      <c r="H514" s="449">
        <v>39000</v>
      </c>
      <c r="I514" s="449">
        <v>0</v>
      </c>
      <c r="J514" s="426">
        <v>0</v>
      </c>
      <c r="K514" s="421"/>
      <c r="L514" s="449">
        <v>2565.67</v>
      </c>
      <c r="M514" s="449">
        <v>5117.07</v>
      </c>
      <c r="N514" s="449">
        <v>1674.5300000000007</v>
      </c>
      <c r="O514" s="449">
        <v>1790.6599999999999</v>
      </c>
      <c r="P514" s="449">
        <v>4963.25</v>
      </c>
      <c r="Q514" s="449">
        <v>1556.0400000000009</v>
      </c>
      <c r="R514" s="449">
        <v>3555.4633333333331</v>
      </c>
      <c r="S514" s="449">
        <v>3555.4633333333331</v>
      </c>
      <c r="T514" s="449">
        <v>3555.4633333333331</v>
      </c>
      <c r="U514" s="449">
        <v>3555.4633333333331</v>
      </c>
      <c r="V514" s="449">
        <v>3555.4633333333331</v>
      </c>
      <c r="W514" s="449">
        <v>3555.4633333333331</v>
      </c>
      <c r="X514" s="449"/>
      <c r="Y514" s="449">
        <v>39000</v>
      </c>
      <c r="Z514" s="531"/>
      <c r="AA514" s="449">
        <v>3250</v>
      </c>
      <c r="AB514" s="449">
        <v>3250</v>
      </c>
      <c r="AC514" s="449">
        <v>3250</v>
      </c>
      <c r="AD514" s="449">
        <v>3250</v>
      </c>
      <c r="AE514" s="449">
        <v>3250</v>
      </c>
      <c r="AF514" s="449">
        <v>3250</v>
      </c>
      <c r="AG514" s="449">
        <v>3250</v>
      </c>
      <c r="AH514" s="449">
        <v>3250</v>
      </c>
      <c r="AI514" s="449">
        <v>3250</v>
      </c>
      <c r="AJ514" s="449">
        <v>3250</v>
      </c>
      <c r="AK514" s="449">
        <v>3250</v>
      </c>
      <c r="AL514" s="449">
        <v>3250</v>
      </c>
      <c r="AM514" s="400"/>
      <c r="AN514" s="500">
        <v>39000</v>
      </c>
      <c r="AO514" s="449">
        <v>40170</v>
      </c>
      <c r="AP514" s="449">
        <v>1170</v>
      </c>
      <c r="AQ514" s="453">
        <v>0.03</v>
      </c>
      <c r="AR514" s="449">
        <v>40170</v>
      </c>
      <c r="AS514" s="449">
        <v>0</v>
      </c>
      <c r="AT514" s="426">
        <v>0</v>
      </c>
      <c r="AU514" s="421"/>
      <c r="AV514" s="449">
        <v>3347.5</v>
      </c>
      <c r="AW514" s="449">
        <v>3347.5</v>
      </c>
      <c r="AX514" s="449">
        <v>3347.5</v>
      </c>
      <c r="AY514" s="449">
        <v>3347.5</v>
      </c>
      <c r="AZ514" s="449">
        <v>3347.5</v>
      </c>
      <c r="BA514" s="449">
        <v>3347.5</v>
      </c>
      <c r="BB514" s="449">
        <v>3347.5</v>
      </c>
      <c r="BC514" s="449">
        <v>3347.5</v>
      </c>
      <c r="BD514" s="449">
        <v>3347.5</v>
      </c>
      <c r="BE514" s="449">
        <v>3347.5</v>
      </c>
      <c r="BF514" s="449">
        <v>3347.5</v>
      </c>
      <c r="BG514" s="449">
        <v>3347.5</v>
      </c>
      <c r="BH514" s="400"/>
      <c r="BI514" s="449">
        <v>3347.5</v>
      </c>
      <c r="BJ514" s="449">
        <v>3347.5</v>
      </c>
      <c r="BK514" s="449">
        <v>3347.5</v>
      </c>
      <c r="BL514" s="771">
        <v>3347.5</v>
      </c>
      <c r="BM514" s="449">
        <v>3347.5</v>
      </c>
      <c r="BN514" s="449">
        <v>3347.5</v>
      </c>
      <c r="BO514" s="449">
        <v>3347.5</v>
      </c>
      <c r="BP514" s="449">
        <v>3347.5</v>
      </c>
      <c r="BQ514" s="449">
        <v>3347.5</v>
      </c>
      <c r="BR514" s="449">
        <v>3347.5</v>
      </c>
      <c r="BS514" s="449">
        <v>3347.5</v>
      </c>
      <c r="BT514" s="449">
        <v>3347.5</v>
      </c>
    </row>
    <row r="515" spans="1:74" x14ac:dyDescent="0.25">
      <c r="A515" s="502" t="s">
        <v>876</v>
      </c>
      <c r="B515" s="502" t="s">
        <v>877</v>
      </c>
      <c r="C515" s="543" t="s">
        <v>878</v>
      </c>
      <c r="D515" s="500">
        <v>33000</v>
      </c>
      <c r="E515" s="449">
        <v>28588</v>
      </c>
      <c r="F515" s="449">
        <v>4412</v>
      </c>
      <c r="G515" s="421">
        <v>0.15433048831677626</v>
      </c>
      <c r="H515" s="449">
        <v>33000</v>
      </c>
      <c r="I515" s="449">
        <v>0</v>
      </c>
      <c r="J515" s="426">
        <v>0</v>
      </c>
      <c r="K515" s="421"/>
      <c r="L515" s="449">
        <v>3709.32</v>
      </c>
      <c r="M515" s="449">
        <v>3275.2599999999998</v>
      </c>
      <c r="N515" s="449">
        <v>2410.2900000000009</v>
      </c>
      <c r="O515" s="449">
        <v>1545.6399999999994</v>
      </c>
      <c r="P515" s="449">
        <v>3662.6299999999992</v>
      </c>
      <c r="Q515" s="449">
        <v>1230.1499999999996</v>
      </c>
      <c r="R515" s="449">
        <v>2861.1183333333333</v>
      </c>
      <c r="S515" s="449">
        <v>2861.1183333333333</v>
      </c>
      <c r="T515" s="449">
        <v>2861.1183333333338</v>
      </c>
      <c r="U515" s="449">
        <v>2861.1183333333342</v>
      </c>
      <c r="V515" s="449">
        <v>2861.1183333333338</v>
      </c>
      <c r="W515" s="449">
        <v>2861.118333333332</v>
      </c>
      <c r="X515" s="449"/>
      <c r="Y515" s="449">
        <v>33000</v>
      </c>
      <c r="Z515" s="531"/>
      <c r="AA515" s="449">
        <v>2750</v>
      </c>
      <c r="AB515" s="449">
        <v>2750</v>
      </c>
      <c r="AC515" s="449">
        <v>2750</v>
      </c>
      <c r="AD515" s="449">
        <v>2750</v>
      </c>
      <c r="AE515" s="449">
        <v>2750</v>
      </c>
      <c r="AF515" s="449">
        <v>2750</v>
      </c>
      <c r="AG515" s="449">
        <v>2750</v>
      </c>
      <c r="AH515" s="449">
        <v>2750</v>
      </c>
      <c r="AI515" s="449">
        <v>2750</v>
      </c>
      <c r="AJ515" s="449">
        <v>2750</v>
      </c>
      <c r="AK515" s="449">
        <v>2750</v>
      </c>
      <c r="AL515" s="449">
        <v>2750</v>
      </c>
      <c r="AM515" s="400"/>
      <c r="AN515" s="500">
        <v>33000</v>
      </c>
      <c r="AO515" s="449">
        <v>20394</v>
      </c>
      <c r="AP515" s="449">
        <v>-12606</v>
      </c>
      <c r="AQ515" s="453">
        <v>-0.38200000000000001</v>
      </c>
      <c r="AR515" s="449">
        <v>20394</v>
      </c>
      <c r="AS515" s="449">
        <v>0</v>
      </c>
      <c r="AT515" s="426">
        <v>0</v>
      </c>
      <c r="AU515" s="421"/>
      <c r="AV515" s="449">
        <v>1699.5</v>
      </c>
      <c r="AW515" s="449">
        <v>1699.5</v>
      </c>
      <c r="AX515" s="449">
        <v>1699.5</v>
      </c>
      <c r="AY515" s="449">
        <v>1699.5</v>
      </c>
      <c r="AZ515" s="449">
        <v>1699.5</v>
      </c>
      <c r="BA515" s="449">
        <v>1699.5</v>
      </c>
      <c r="BB515" s="449">
        <v>1699.5</v>
      </c>
      <c r="BC515" s="449">
        <v>1699.5</v>
      </c>
      <c r="BD515" s="449">
        <v>1699.5</v>
      </c>
      <c r="BE515" s="449">
        <v>1699.5</v>
      </c>
      <c r="BF515" s="449">
        <v>1699.5</v>
      </c>
      <c r="BG515" s="449">
        <v>1699.5</v>
      </c>
      <c r="BH515" s="400"/>
      <c r="BI515" s="449">
        <v>1699.5</v>
      </c>
      <c r="BJ515" s="449">
        <v>1699.5</v>
      </c>
      <c r="BK515" s="449">
        <v>1699.5</v>
      </c>
      <c r="BL515" s="771">
        <v>1699.5</v>
      </c>
      <c r="BM515" s="449">
        <v>1699.5</v>
      </c>
      <c r="BN515" s="449">
        <v>1699.5</v>
      </c>
      <c r="BO515" s="449">
        <v>1699.5</v>
      </c>
      <c r="BP515" s="449">
        <v>1699.5</v>
      </c>
      <c r="BQ515" s="449">
        <v>1699.5</v>
      </c>
      <c r="BR515" s="449">
        <v>1699.5</v>
      </c>
      <c r="BS515" s="449">
        <v>1699.5</v>
      </c>
      <c r="BT515" s="449">
        <v>1699.5</v>
      </c>
    </row>
    <row r="516" spans="1:74" ht="15" customHeight="1" x14ac:dyDescent="0.25">
      <c r="A516" s="537" t="s">
        <v>879</v>
      </c>
      <c r="B516" s="537" t="s">
        <v>880</v>
      </c>
      <c r="C516" s="541"/>
      <c r="D516" s="500">
        <v>0</v>
      </c>
      <c r="E516" s="449">
        <v>0</v>
      </c>
      <c r="F516" s="449">
        <v>0</v>
      </c>
      <c r="G516" s="421">
        <v>0</v>
      </c>
      <c r="H516" s="449">
        <v>0</v>
      </c>
      <c r="I516" s="449">
        <v>0</v>
      </c>
      <c r="J516" s="426">
        <v>0</v>
      </c>
      <c r="K516" s="421"/>
      <c r="L516" s="449">
        <v>0</v>
      </c>
      <c r="M516" s="449">
        <v>0</v>
      </c>
      <c r="N516" s="449">
        <v>0</v>
      </c>
      <c r="O516" s="449">
        <v>0</v>
      </c>
      <c r="P516" s="449">
        <v>0</v>
      </c>
      <c r="Q516" s="449">
        <v>0</v>
      </c>
      <c r="R516" s="449">
        <v>0</v>
      </c>
      <c r="S516" s="449">
        <v>0</v>
      </c>
      <c r="T516" s="449">
        <v>0</v>
      </c>
      <c r="U516" s="449">
        <v>0</v>
      </c>
      <c r="V516" s="449">
        <v>0</v>
      </c>
      <c r="W516" s="449">
        <v>0</v>
      </c>
      <c r="X516" s="449"/>
      <c r="Y516" s="449">
        <v>0</v>
      </c>
      <c r="Z516" s="449"/>
      <c r="AA516" s="449">
        <v>0</v>
      </c>
      <c r="AB516" s="449">
        <v>0</v>
      </c>
      <c r="AC516" s="449">
        <v>0</v>
      </c>
      <c r="AD516" s="449">
        <v>0</v>
      </c>
      <c r="AE516" s="449">
        <v>0</v>
      </c>
      <c r="AF516" s="449">
        <v>0</v>
      </c>
      <c r="AG516" s="449">
        <v>0</v>
      </c>
      <c r="AH516" s="449">
        <v>0</v>
      </c>
      <c r="AI516" s="449">
        <v>0</v>
      </c>
      <c r="AJ516" s="449">
        <v>0</v>
      </c>
      <c r="AK516" s="449">
        <v>0</v>
      </c>
      <c r="AL516" s="449">
        <v>0</v>
      </c>
      <c r="AM516" s="400"/>
      <c r="AN516" s="500">
        <v>0</v>
      </c>
      <c r="AO516" s="449">
        <v>13596</v>
      </c>
      <c r="AP516" s="449">
        <v>13596</v>
      </c>
      <c r="AQ516" s="453" t="s">
        <v>1519</v>
      </c>
      <c r="AR516" s="449">
        <v>13596</v>
      </c>
      <c r="AS516" s="449">
        <v>0</v>
      </c>
      <c r="AT516" s="426">
        <v>0</v>
      </c>
      <c r="AU516" s="421"/>
      <c r="AV516" s="449">
        <v>1133</v>
      </c>
      <c r="AW516" s="449">
        <v>1133</v>
      </c>
      <c r="AX516" s="449">
        <v>1133</v>
      </c>
      <c r="AY516" s="449">
        <v>1133</v>
      </c>
      <c r="AZ516" s="449">
        <v>1133</v>
      </c>
      <c r="BA516" s="449">
        <v>1133</v>
      </c>
      <c r="BB516" s="449">
        <v>1133</v>
      </c>
      <c r="BC516" s="449">
        <v>1133</v>
      </c>
      <c r="BD516" s="449">
        <v>1133</v>
      </c>
      <c r="BE516" s="449">
        <v>1133</v>
      </c>
      <c r="BF516" s="449">
        <v>1133</v>
      </c>
      <c r="BG516" s="449">
        <v>1133</v>
      </c>
      <c r="BH516" s="400"/>
      <c r="BI516" s="449">
        <v>1133</v>
      </c>
      <c r="BJ516" s="449">
        <v>1133</v>
      </c>
      <c r="BK516" s="449">
        <v>1133</v>
      </c>
      <c r="BL516" s="771">
        <v>1133</v>
      </c>
      <c r="BM516" s="449">
        <v>1133</v>
      </c>
      <c r="BN516" s="449">
        <v>1133</v>
      </c>
      <c r="BO516" s="449">
        <v>1133</v>
      </c>
      <c r="BP516" s="449">
        <v>1133</v>
      </c>
      <c r="BQ516" s="449">
        <v>1133</v>
      </c>
      <c r="BR516" s="449">
        <v>1133</v>
      </c>
      <c r="BS516" s="449">
        <v>1133</v>
      </c>
      <c r="BT516" s="449">
        <v>1133</v>
      </c>
      <c r="BU516" s="400"/>
      <c r="BV516" s="400"/>
    </row>
    <row r="517" spans="1:74" x14ac:dyDescent="0.25">
      <c r="A517" s="502" t="s">
        <v>881</v>
      </c>
      <c r="B517" s="502" t="s">
        <v>882</v>
      </c>
      <c r="C517" s="596"/>
      <c r="D517" s="500">
        <v>27000</v>
      </c>
      <c r="E517" s="449">
        <v>23400</v>
      </c>
      <c r="F517" s="449">
        <v>3600</v>
      </c>
      <c r="G517" s="421">
        <v>0.15384615384615385</v>
      </c>
      <c r="H517" s="449">
        <v>27000</v>
      </c>
      <c r="I517" s="449">
        <v>0</v>
      </c>
      <c r="J517" s="426">
        <v>0</v>
      </c>
      <c r="K517" s="421"/>
      <c r="L517" s="449">
        <v>1649.45</v>
      </c>
      <c r="M517" s="449">
        <v>1270.1899999999998</v>
      </c>
      <c r="N517" s="449">
        <v>1192.3200000000002</v>
      </c>
      <c r="O517" s="449">
        <v>1270.3000000000002</v>
      </c>
      <c r="P517" s="449">
        <v>1270.2999999999993</v>
      </c>
      <c r="Q517" s="449">
        <v>1270.3000000000011</v>
      </c>
      <c r="R517" s="449">
        <v>3179.5233333333331</v>
      </c>
      <c r="S517" s="449">
        <v>3179.5233333333335</v>
      </c>
      <c r="T517" s="449">
        <v>3179.5233333333335</v>
      </c>
      <c r="U517" s="449">
        <v>3179.5233333333331</v>
      </c>
      <c r="V517" s="449">
        <v>3179.5233333333326</v>
      </c>
      <c r="W517" s="449">
        <v>3179.5233333333308</v>
      </c>
      <c r="X517" s="449"/>
      <c r="Y517" s="449">
        <v>27000</v>
      </c>
      <c r="Z517" s="531"/>
      <c r="AA517" s="449">
        <v>2250</v>
      </c>
      <c r="AB517" s="449">
        <v>2250</v>
      </c>
      <c r="AC517" s="449">
        <v>2250</v>
      </c>
      <c r="AD517" s="449">
        <v>2250</v>
      </c>
      <c r="AE517" s="449">
        <v>2250</v>
      </c>
      <c r="AF517" s="449">
        <v>2250</v>
      </c>
      <c r="AG517" s="449">
        <v>2250</v>
      </c>
      <c r="AH517" s="449">
        <v>2250</v>
      </c>
      <c r="AI517" s="449">
        <v>2250</v>
      </c>
      <c r="AJ517" s="449">
        <v>2250</v>
      </c>
      <c r="AK517" s="449">
        <v>2250</v>
      </c>
      <c r="AL517" s="449">
        <v>2250</v>
      </c>
      <c r="AM517" s="400"/>
      <c r="AN517" s="500">
        <v>27000</v>
      </c>
      <c r="AO517" s="449">
        <v>16686</v>
      </c>
      <c r="AP517" s="449">
        <v>-10314</v>
      </c>
      <c r="AQ517" s="453">
        <v>-0.38200000000000001</v>
      </c>
      <c r="AR517" s="449">
        <v>16686</v>
      </c>
      <c r="AS517" s="449">
        <v>0</v>
      </c>
      <c r="AT517" s="426">
        <v>0</v>
      </c>
      <c r="AU517" s="421"/>
      <c r="AV517" s="449">
        <v>1390.5</v>
      </c>
      <c r="AW517" s="449">
        <v>1390.5</v>
      </c>
      <c r="AX517" s="449">
        <v>1390.5</v>
      </c>
      <c r="AY517" s="449">
        <v>1390.5</v>
      </c>
      <c r="AZ517" s="449">
        <v>1390.5</v>
      </c>
      <c r="BA517" s="449">
        <v>1390.5</v>
      </c>
      <c r="BB517" s="449">
        <v>1390.5</v>
      </c>
      <c r="BC517" s="449">
        <v>1390.5</v>
      </c>
      <c r="BD517" s="449">
        <v>1390.5</v>
      </c>
      <c r="BE517" s="449">
        <v>1390.5</v>
      </c>
      <c r="BF517" s="449">
        <v>1390.5</v>
      </c>
      <c r="BG517" s="449">
        <v>1390.5</v>
      </c>
      <c r="BH517" s="400"/>
      <c r="BI517" s="449">
        <v>1390.5</v>
      </c>
      <c r="BJ517" s="449">
        <v>1390.5</v>
      </c>
      <c r="BK517" s="449">
        <v>1390.5</v>
      </c>
      <c r="BL517" s="771">
        <v>1390.5</v>
      </c>
      <c r="BM517" s="449">
        <v>1390.5</v>
      </c>
      <c r="BN517" s="449">
        <v>1390.5</v>
      </c>
      <c r="BO517" s="449">
        <v>1390.5</v>
      </c>
      <c r="BP517" s="449">
        <v>1390.5</v>
      </c>
      <c r="BQ517" s="449">
        <v>1390.5</v>
      </c>
      <c r="BR517" s="449">
        <v>1390.5</v>
      </c>
      <c r="BS517" s="449">
        <v>1390.5</v>
      </c>
      <c r="BT517" s="449">
        <v>1390.5</v>
      </c>
      <c r="BU517" s="400"/>
      <c r="BV517" s="400"/>
    </row>
    <row r="518" spans="1:74" ht="15" customHeight="1" x14ac:dyDescent="0.25">
      <c r="A518" s="537" t="s">
        <v>883</v>
      </c>
      <c r="B518" s="537" t="s">
        <v>884</v>
      </c>
      <c r="C518" s="541"/>
      <c r="D518" s="500">
        <v>0</v>
      </c>
      <c r="E518" s="449">
        <v>0</v>
      </c>
      <c r="F518" s="449">
        <v>0</v>
      </c>
      <c r="G518" s="421">
        <v>0</v>
      </c>
      <c r="H518" s="449">
        <v>0</v>
      </c>
      <c r="I518" s="449">
        <v>0</v>
      </c>
      <c r="J518" s="426">
        <v>0</v>
      </c>
      <c r="K518" s="421"/>
      <c r="L518" s="449">
        <v>0</v>
      </c>
      <c r="M518" s="449">
        <v>0</v>
      </c>
      <c r="N518" s="449">
        <v>0</v>
      </c>
      <c r="O518" s="449">
        <v>0</v>
      </c>
      <c r="P518" s="449">
        <v>0</v>
      </c>
      <c r="Q518" s="449">
        <v>0</v>
      </c>
      <c r="R518" s="449">
        <v>0</v>
      </c>
      <c r="S518" s="449">
        <v>0</v>
      </c>
      <c r="T518" s="449">
        <v>0</v>
      </c>
      <c r="U518" s="449">
        <v>0</v>
      </c>
      <c r="V518" s="449">
        <v>0</v>
      </c>
      <c r="W518" s="449">
        <v>0</v>
      </c>
      <c r="X518" s="449"/>
      <c r="Y518" s="449">
        <v>0</v>
      </c>
      <c r="Z518" s="449"/>
      <c r="AA518" s="449">
        <v>0</v>
      </c>
      <c r="AB518" s="449">
        <v>0</v>
      </c>
      <c r="AC518" s="449">
        <v>0</v>
      </c>
      <c r="AD518" s="449">
        <v>0</v>
      </c>
      <c r="AE518" s="449">
        <v>0</v>
      </c>
      <c r="AF518" s="449">
        <v>0</v>
      </c>
      <c r="AG518" s="449">
        <v>0</v>
      </c>
      <c r="AH518" s="449">
        <v>0</v>
      </c>
      <c r="AI518" s="449">
        <v>0</v>
      </c>
      <c r="AJ518" s="449">
        <v>0</v>
      </c>
      <c r="AK518" s="449">
        <v>0</v>
      </c>
      <c r="AL518" s="449">
        <v>0</v>
      </c>
      <c r="AM518" s="400"/>
      <c r="AN518" s="500">
        <v>0</v>
      </c>
      <c r="AO518" s="449">
        <v>11124</v>
      </c>
      <c r="AP518" s="449">
        <v>11124</v>
      </c>
      <c r="AQ518" s="453" t="s">
        <v>1519</v>
      </c>
      <c r="AR518" s="449">
        <v>11124</v>
      </c>
      <c r="AS518" s="449">
        <v>0</v>
      </c>
      <c r="AT518" s="426">
        <v>0</v>
      </c>
      <c r="AU518" s="421"/>
      <c r="AV518" s="449">
        <v>927</v>
      </c>
      <c r="AW518" s="449">
        <v>927</v>
      </c>
      <c r="AX518" s="449">
        <v>927</v>
      </c>
      <c r="AY518" s="449">
        <v>927</v>
      </c>
      <c r="AZ518" s="449">
        <v>927</v>
      </c>
      <c r="BA518" s="449">
        <v>927</v>
      </c>
      <c r="BB518" s="449">
        <v>927</v>
      </c>
      <c r="BC518" s="449">
        <v>927</v>
      </c>
      <c r="BD518" s="449">
        <v>927</v>
      </c>
      <c r="BE518" s="449">
        <v>927</v>
      </c>
      <c r="BF518" s="449">
        <v>927</v>
      </c>
      <c r="BG518" s="449">
        <v>927</v>
      </c>
      <c r="BH518" s="400"/>
      <c r="BI518" s="449">
        <v>927</v>
      </c>
      <c r="BJ518" s="449">
        <v>927</v>
      </c>
      <c r="BK518" s="449">
        <v>927</v>
      </c>
      <c r="BL518" s="771">
        <v>927</v>
      </c>
      <c r="BM518" s="449">
        <v>927</v>
      </c>
      <c r="BN518" s="449">
        <v>927</v>
      </c>
      <c r="BO518" s="449">
        <v>927</v>
      </c>
      <c r="BP518" s="449">
        <v>927</v>
      </c>
      <c r="BQ518" s="449">
        <v>927</v>
      </c>
      <c r="BR518" s="449">
        <v>927</v>
      </c>
      <c r="BS518" s="449">
        <v>927</v>
      </c>
      <c r="BT518" s="449">
        <v>927</v>
      </c>
      <c r="BU518" s="400"/>
      <c r="BV518" s="400"/>
    </row>
    <row r="519" spans="1:74" x14ac:dyDescent="0.25">
      <c r="A519" s="502" t="s">
        <v>885</v>
      </c>
      <c r="B519" s="502" t="s">
        <v>886</v>
      </c>
      <c r="C519" s="597"/>
      <c r="D519" s="500">
        <v>46000</v>
      </c>
      <c r="E519" s="449">
        <v>46000</v>
      </c>
      <c r="F519" s="449">
        <v>0</v>
      </c>
      <c r="G519" s="421">
        <v>0</v>
      </c>
      <c r="H519" s="449">
        <v>46000</v>
      </c>
      <c r="I519" s="449">
        <v>0</v>
      </c>
      <c r="J519" s="426">
        <v>0</v>
      </c>
      <c r="K519" s="421"/>
      <c r="L519" s="449">
        <v>14455.19</v>
      </c>
      <c r="M519" s="449">
        <v>3552.3799999999992</v>
      </c>
      <c r="N519" s="449">
        <v>1550.7000000000007</v>
      </c>
      <c r="O519" s="449">
        <v>3783.630000000001</v>
      </c>
      <c r="P519" s="449">
        <v>1943.2999999999956</v>
      </c>
      <c r="Q519" s="449">
        <v>3119.09</v>
      </c>
      <c r="R519" s="449">
        <v>2932.6183333333338</v>
      </c>
      <c r="S519" s="449">
        <v>2932.6183333333333</v>
      </c>
      <c r="T519" s="449">
        <v>2932.6183333333338</v>
      </c>
      <c r="U519" s="449">
        <v>2932.6183333333342</v>
      </c>
      <c r="V519" s="449">
        <v>2932.6183333333356</v>
      </c>
      <c r="W519" s="449">
        <v>2932.618333333332</v>
      </c>
      <c r="X519" s="449"/>
      <c r="Y519" s="449">
        <v>46000</v>
      </c>
      <c r="Z519" s="531"/>
      <c r="AA519" s="449">
        <v>3833.3333333333335</v>
      </c>
      <c r="AB519" s="449">
        <v>3833.3333333333335</v>
      </c>
      <c r="AC519" s="449">
        <v>3833.3333333333335</v>
      </c>
      <c r="AD519" s="449">
        <v>3833.3333333333335</v>
      </c>
      <c r="AE519" s="449">
        <v>3833.3333333333335</v>
      </c>
      <c r="AF519" s="449">
        <v>3833.3333333333335</v>
      </c>
      <c r="AG519" s="449">
        <v>3833.3333333333335</v>
      </c>
      <c r="AH519" s="449">
        <v>3833.3333333333335</v>
      </c>
      <c r="AI519" s="449">
        <v>3833.3333333333335</v>
      </c>
      <c r="AJ519" s="449">
        <v>3833.3333333333335</v>
      </c>
      <c r="AK519" s="449">
        <v>3833.3333333333335</v>
      </c>
      <c r="AL519" s="449">
        <v>3833.3333333333335</v>
      </c>
      <c r="AM519" s="400"/>
      <c r="AN519" s="500">
        <v>46000</v>
      </c>
      <c r="AO519" s="449">
        <v>28428</v>
      </c>
      <c r="AP519" s="449">
        <v>-17572</v>
      </c>
      <c r="AQ519" s="453">
        <v>-0.38200000000000001</v>
      </c>
      <c r="AR519" s="449">
        <v>28428</v>
      </c>
      <c r="AS519" s="449">
        <v>0</v>
      </c>
      <c r="AT519" s="426">
        <v>0</v>
      </c>
      <c r="AU519" s="421"/>
      <c r="AV519" s="449">
        <v>2369</v>
      </c>
      <c r="AW519" s="449">
        <v>2369</v>
      </c>
      <c r="AX519" s="449">
        <v>2369</v>
      </c>
      <c r="AY519" s="449">
        <v>2369</v>
      </c>
      <c r="AZ519" s="449">
        <v>2369</v>
      </c>
      <c r="BA519" s="449">
        <v>2369</v>
      </c>
      <c r="BB519" s="449">
        <v>2369</v>
      </c>
      <c r="BC519" s="449">
        <v>2369</v>
      </c>
      <c r="BD519" s="449">
        <v>2369</v>
      </c>
      <c r="BE519" s="449">
        <v>2369</v>
      </c>
      <c r="BF519" s="449">
        <v>2369</v>
      </c>
      <c r="BG519" s="449">
        <v>2369</v>
      </c>
      <c r="BH519" s="400"/>
      <c r="BI519" s="449">
        <v>2369</v>
      </c>
      <c r="BJ519" s="449">
        <v>2369</v>
      </c>
      <c r="BK519" s="449">
        <v>2369</v>
      </c>
      <c r="BL519" s="771">
        <v>2369</v>
      </c>
      <c r="BM519" s="449">
        <v>2369</v>
      </c>
      <c r="BN519" s="449">
        <v>2369</v>
      </c>
      <c r="BO519" s="449">
        <v>2369</v>
      </c>
      <c r="BP519" s="449">
        <v>2369</v>
      </c>
      <c r="BQ519" s="449">
        <v>2369</v>
      </c>
      <c r="BR519" s="449">
        <v>2369</v>
      </c>
      <c r="BS519" s="449">
        <v>2369</v>
      </c>
      <c r="BT519" s="449">
        <v>2369</v>
      </c>
      <c r="BU519" s="400"/>
      <c r="BV519" s="400"/>
    </row>
    <row r="520" spans="1:74" ht="15" customHeight="1" x14ac:dyDescent="0.25">
      <c r="A520" s="537" t="s">
        <v>887</v>
      </c>
      <c r="B520" s="537" t="s">
        <v>888</v>
      </c>
      <c r="C520" s="541"/>
      <c r="D520" s="500">
        <v>0</v>
      </c>
      <c r="E520" s="449">
        <v>0</v>
      </c>
      <c r="F520" s="449">
        <v>0</v>
      </c>
      <c r="G520" s="421">
        <v>0</v>
      </c>
      <c r="H520" s="449">
        <v>0</v>
      </c>
      <c r="I520" s="449">
        <v>0</v>
      </c>
      <c r="J520" s="426">
        <v>0</v>
      </c>
      <c r="K520" s="421"/>
      <c r="L520" s="449">
        <v>0</v>
      </c>
      <c r="M520" s="449">
        <v>0</v>
      </c>
      <c r="N520" s="449">
        <v>0</v>
      </c>
      <c r="O520" s="449">
        <v>0</v>
      </c>
      <c r="P520" s="449">
        <v>0</v>
      </c>
      <c r="Q520" s="449">
        <v>0</v>
      </c>
      <c r="R520" s="449">
        <v>0</v>
      </c>
      <c r="S520" s="449">
        <v>0</v>
      </c>
      <c r="T520" s="449">
        <v>0</v>
      </c>
      <c r="U520" s="449">
        <v>0</v>
      </c>
      <c r="V520" s="449">
        <v>0</v>
      </c>
      <c r="W520" s="449">
        <v>0</v>
      </c>
      <c r="X520" s="449"/>
      <c r="Y520" s="449">
        <v>0</v>
      </c>
      <c r="Z520" s="449"/>
      <c r="AA520" s="449">
        <v>0</v>
      </c>
      <c r="AB520" s="449">
        <v>0</v>
      </c>
      <c r="AC520" s="449">
        <v>0</v>
      </c>
      <c r="AD520" s="449">
        <v>0</v>
      </c>
      <c r="AE520" s="449">
        <v>0</v>
      </c>
      <c r="AF520" s="449">
        <v>0</v>
      </c>
      <c r="AG520" s="449">
        <v>0</v>
      </c>
      <c r="AH520" s="449">
        <v>0</v>
      </c>
      <c r="AI520" s="449">
        <v>0</v>
      </c>
      <c r="AJ520" s="449">
        <v>0</v>
      </c>
      <c r="AK520" s="449">
        <v>0</v>
      </c>
      <c r="AL520" s="449">
        <v>0</v>
      </c>
      <c r="AM520" s="400"/>
      <c r="AN520" s="500">
        <v>0</v>
      </c>
      <c r="AO520" s="449">
        <v>18952.000000000004</v>
      </c>
      <c r="AP520" s="449">
        <v>18952.000000000004</v>
      </c>
      <c r="AQ520" s="453" t="s">
        <v>1519</v>
      </c>
      <c r="AR520" s="449">
        <v>18952.000000000004</v>
      </c>
      <c r="AS520" s="449">
        <v>0</v>
      </c>
      <c r="AT520" s="426">
        <v>0</v>
      </c>
      <c r="AU520" s="421"/>
      <c r="AV520" s="449">
        <v>1579.3333333333335</v>
      </c>
      <c r="AW520" s="449">
        <v>1579.3333333333335</v>
      </c>
      <c r="AX520" s="449">
        <v>1579.3333333333335</v>
      </c>
      <c r="AY520" s="449">
        <v>1579.3333333333335</v>
      </c>
      <c r="AZ520" s="449">
        <v>1579.3333333333335</v>
      </c>
      <c r="BA520" s="449">
        <v>1579.3333333333335</v>
      </c>
      <c r="BB520" s="449">
        <v>1579.3333333333335</v>
      </c>
      <c r="BC520" s="449">
        <v>1579.3333333333335</v>
      </c>
      <c r="BD520" s="449">
        <v>1579.3333333333335</v>
      </c>
      <c r="BE520" s="449">
        <v>1579.3333333333335</v>
      </c>
      <c r="BF520" s="449">
        <v>1579.3333333333335</v>
      </c>
      <c r="BG520" s="449">
        <v>1579.3333333333335</v>
      </c>
      <c r="BH520" s="400"/>
      <c r="BI520" s="449">
        <v>1579.3333333333335</v>
      </c>
      <c r="BJ520" s="449">
        <v>1579.3333333333335</v>
      </c>
      <c r="BK520" s="449">
        <v>1579.3333333333335</v>
      </c>
      <c r="BL520" s="771">
        <v>1579.3333333333335</v>
      </c>
      <c r="BM520" s="449">
        <v>1579.3333333333335</v>
      </c>
      <c r="BN520" s="449">
        <v>1579.3333333333335</v>
      </c>
      <c r="BO520" s="449">
        <v>1579.3333333333335</v>
      </c>
      <c r="BP520" s="449">
        <v>1579.3333333333335</v>
      </c>
      <c r="BQ520" s="449">
        <v>1579.3333333333335</v>
      </c>
      <c r="BR520" s="449">
        <v>1579.3333333333335</v>
      </c>
      <c r="BS520" s="449">
        <v>1579.3333333333335</v>
      </c>
      <c r="BT520" s="449">
        <v>1579.3333333333335</v>
      </c>
      <c r="BU520" s="400"/>
      <c r="BV520" s="400"/>
    </row>
    <row r="521" spans="1:74" x14ac:dyDescent="0.25">
      <c r="A521" s="502" t="s">
        <v>889</v>
      </c>
      <c r="B521" s="502" t="s">
        <v>890</v>
      </c>
      <c r="C521" s="538"/>
      <c r="D521" s="500">
        <v>201000</v>
      </c>
      <c r="E521" s="449">
        <v>174750</v>
      </c>
      <c r="F521" s="449">
        <v>26250</v>
      </c>
      <c r="G521" s="421">
        <v>0.15021459227467812</v>
      </c>
      <c r="H521" s="449">
        <v>201000</v>
      </c>
      <c r="I521" s="449">
        <v>0</v>
      </c>
      <c r="J521" s="426">
        <v>0</v>
      </c>
      <c r="K521" s="421"/>
      <c r="L521" s="449">
        <v>0</v>
      </c>
      <c r="M521" s="449">
        <v>21766.98</v>
      </c>
      <c r="N521" s="449">
        <v>19985.969999999998</v>
      </c>
      <c r="O521" s="449">
        <v>37256.569999999992</v>
      </c>
      <c r="P521" s="449">
        <v>0</v>
      </c>
      <c r="Q521" s="449">
        <v>12070.660000000003</v>
      </c>
      <c r="R521" s="449">
        <v>18319.97</v>
      </c>
      <c r="S521" s="449">
        <v>18319.97</v>
      </c>
      <c r="T521" s="449">
        <v>18319.97</v>
      </c>
      <c r="U521" s="449">
        <v>18319.97</v>
      </c>
      <c r="V521" s="449">
        <v>18319.97</v>
      </c>
      <c r="W521" s="449">
        <v>18319.97</v>
      </c>
      <c r="X521" s="449"/>
      <c r="Y521" s="449">
        <v>201000</v>
      </c>
      <c r="Z521" s="531"/>
      <c r="AA521" s="449">
        <v>16750</v>
      </c>
      <c r="AB521" s="449">
        <v>16750</v>
      </c>
      <c r="AC521" s="449">
        <v>16750</v>
      </c>
      <c r="AD521" s="449">
        <v>16750</v>
      </c>
      <c r="AE521" s="449">
        <v>16750</v>
      </c>
      <c r="AF521" s="449">
        <v>16750</v>
      </c>
      <c r="AG521" s="449">
        <v>16750</v>
      </c>
      <c r="AH521" s="449">
        <v>16750</v>
      </c>
      <c r="AI521" s="449">
        <v>16750</v>
      </c>
      <c r="AJ521" s="449">
        <v>16750</v>
      </c>
      <c r="AK521" s="449">
        <v>16750</v>
      </c>
      <c r="AL521" s="449">
        <v>16750</v>
      </c>
      <c r="AM521" s="400"/>
      <c r="AN521" s="500">
        <v>201000</v>
      </c>
      <c r="AO521" s="449">
        <v>124218</v>
      </c>
      <c r="AP521" s="449">
        <v>-76782</v>
      </c>
      <c r="AQ521" s="453">
        <v>-0.38200000000000001</v>
      </c>
      <c r="AR521" s="449">
        <v>124218</v>
      </c>
      <c r="AS521" s="449">
        <v>0</v>
      </c>
      <c r="AT521" s="426">
        <v>0</v>
      </c>
      <c r="AU521" s="421"/>
      <c r="AV521" s="449">
        <v>10351.5</v>
      </c>
      <c r="AW521" s="449">
        <v>10351.5</v>
      </c>
      <c r="AX521" s="449">
        <v>10351.5</v>
      </c>
      <c r="AY521" s="449">
        <v>10351.5</v>
      </c>
      <c r="AZ521" s="449">
        <v>10351.5</v>
      </c>
      <c r="BA521" s="449">
        <v>10351.5</v>
      </c>
      <c r="BB521" s="449">
        <v>10351.5</v>
      </c>
      <c r="BC521" s="449">
        <v>10351.5</v>
      </c>
      <c r="BD521" s="449">
        <v>10351.5</v>
      </c>
      <c r="BE521" s="449">
        <v>10351.5</v>
      </c>
      <c r="BF521" s="449">
        <v>10351.5</v>
      </c>
      <c r="BG521" s="449">
        <v>10351.5</v>
      </c>
      <c r="BH521" s="400"/>
      <c r="BI521" s="449">
        <v>10351.5</v>
      </c>
      <c r="BJ521" s="449">
        <v>10351.5</v>
      </c>
      <c r="BK521" s="449">
        <v>10351.5</v>
      </c>
      <c r="BL521" s="771">
        <v>10351.5</v>
      </c>
      <c r="BM521" s="449">
        <v>10351.5</v>
      </c>
      <c r="BN521" s="449">
        <v>10351.5</v>
      </c>
      <c r="BO521" s="449">
        <v>10351.5</v>
      </c>
      <c r="BP521" s="449">
        <v>10351.5</v>
      </c>
      <c r="BQ521" s="449">
        <v>10351.5</v>
      </c>
      <c r="BR521" s="449">
        <v>10351.5</v>
      </c>
      <c r="BS521" s="449">
        <v>10351.5</v>
      </c>
      <c r="BT521" s="449">
        <v>10351.5</v>
      </c>
      <c r="BU521" s="400"/>
      <c r="BV521" s="400"/>
    </row>
    <row r="522" spans="1:74" ht="15" customHeight="1" x14ac:dyDescent="0.25">
      <c r="A522" s="537" t="s">
        <v>891</v>
      </c>
      <c r="B522" s="537" t="s">
        <v>892</v>
      </c>
      <c r="C522" s="541"/>
      <c r="D522" s="500">
        <v>0</v>
      </c>
      <c r="E522" s="449">
        <v>0</v>
      </c>
      <c r="F522" s="449">
        <v>0</v>
      </c>
      <c r="G522" s="421">
        <v>0</v>
      </c>
      <c r="H522" s="449">
        <v>0</v>
      </c>
      <c r="I522" s="449">
        <v>0</v>
      </c>
      <c r="J522" s="426">
        <v>0</v>
      </c>
      <c r="K522" s="421"/>
      <c r="L522" s="449">
        <v>0</v>
      </c>
      <c r="M522" s="449">
        <v>0</v>
      </c>
      <c r="N522" s="449">
        <v>0</v>
      </c>
      <c r="O522" s="449">
        <v>0</v>
      </c>
      <c r="P522" s="449">
        <v>0</v>
      </c>
      <c r="Q522" s="449">
        <v>0</v>
      </c>
      <c r="R522" s="449">
        <v>0</v>
      </c>
      <c r="S522" s="449">
        <v>0</v>
      </c>
      <c r="T522" s="449">
        <v>0</v>
      </c>
      <c r="U522" s="449">
        <v>0</v>
      </c>
      <c r="V522" s="449">
        <v>0</v>
      </c>
      <c r="W522" s="449">
        <v>0</v>
      </c>
      <c r="X522" s="449"/>
      <c r="Y522" s="449">
        <v>0</v>
      </c>
      <c r="Z522" s="449"/>
      <c r="AA522" s="449">
        <v>0</v>
      </c>
      <c r="AB522" s="449">
        <v>0</v>
      </c>
      <c r="AC522" s="449">
        <v>0</v>
      </c>
      <c r="AD522" s="449">
        <v>0</v>
      </c>
      <c r="AE522" s="449">
        <v>0</v>
      </c>
      <c r="AF522" s="449">
        <v>0</v>
      </c>
      <c r="AG522" s="449">
        <v>0</v>
      </c>
      <c r="AH522" s="449">
        <v>0</v>
      </c>
      <c r="AI522" s="449">
        <v>0</v>
      </c>
      <c r="AJ522" s="449">
        <v>0</v>
      </c>
      <c r="AK522" s="449">
        <v>0</v>
      </c>
      <c r="AL522" s="449">
        <v>0</v>
      </c>
      <c r="AM522" s="400"/>
      <c r="AN522" s="500">
        <v>0</v>
      </c>
      <c r="AO522" s="449">
        <v>82812</v>
      </c>
      <c r="AP522" s="449">
        <v>82812</v>
      </c>
      <c r="AQ522" s="453" t="s">
        <v>1519</v>
      </c>
      <c r="AR522" s="449">
        <v>82812</v>
      </c>
      <c r="AS522" s="449">
        <v>0</v>
      </c>
      <c r="AT522" s="426">
        <v>0</v>
      </c>
      <c r="AU522" s="421"/>
      <c r="AV522" s="449">
        <v>6901</v>
      </c>
      <c r="AW522" s="449">
        <v>6901</v>
      </c>
      <c r="AX522" s="449">
        <v>6901</v>
      </c>
      <c r="AY522" s="449">
        <v>6901</v>
      </c>
      <c r="AZ522" s="449">
        <v>6901</v>
      </c>
      <c r="BA522" s="449">
        <v>6901</v>
      </c>
      <c r="BB522" s="449">
        <v>6901</v>
      </c>
      <c r="BC522" s="449">
        <v>6901</v>
      </c>
      <c r="BD522" s="449">
        <v>6901</v>
      </c>
      <c r="BE522" s="449">
        <v>6901</v>
      </c>
      <c r="BF522" s="449">
        <v>6901</v>
      </c>
      <c r="BG522" s="449">
        <v>6901</v>
      </c>
      <c r="BH522" s="400"/>
      <c r="BI522" s="449">
        <v>6901</v>
      </c>
      <c r="BJ522" s="449">
        <v>6901</v>
      </c>
      <c r="BK522" s="449">
        <v>6901</v>
      </c>
      <c r="BL522" s="771">
        <v>6901</v>
      </c>
      <c r="BM522" s="449">
        <v>6901</v>
      </c>
      <c r="BN522" s="449">
        <v>6901</v>
      </c>
      <c r="BO522" s="449">
        <v>6901</v>
      </c>
      <c r="BP522" s="449">
        <v>6901</v>
      </c>
      <c r="BQ522" s="449">
        <v>6901</v>
      </c>
      <c r="BR522" s="449">
        <v>6901</v>
      </c>
      <c r="BS522" s="449">
        <v>6901</v>
      </c>
      <c r="BT522" s="449">
        <v>6901</v>
      </c>
      <c r="BU522" s="400"/>
      <c r="BV522" s="400"/>
    </row>
    <row r="523" spans="1:74" x14ac:dyDescent="0.25">
      <c r="A523" s="502" t="s">
        <v>893</v>
      </c>
      <c r="B523" s="502" t="s">
        <v>894</v>
      </c>
      <c r="C523" s="596"/>
      <c r="D523" s="500">
        <v>10000</v>
      </c>
      <c r="E523" s="449">
        <v>3000</v>
      </c>
      <c r="F523" s="449">
        <v>7000</v>
      </c>
      <c r="G523" s="421">
        <v>2.3333333333333335</v>
      </c>
      <c r="H523" s="449">
        <v>10000</v>
      </c>
      <c r="I523" s="449">
        <v>0</v>
      </c>
      <c r="J523" s="426">
        <v>0</v>
      </c>
      <c r="K523" s="421"/>
      <c r="L523" s="449">
        <v>0</v>
      </c>
      <c r="M523" s="449">
        <v>0</v>
      </c>
      <c r="N523" s="449">
        <v>0</v>
      </c>
      <c r="O523" s="449">
        <v>0</v>
      </c>
      <c r="P523" s="449">
        <v>0</v>
      </c>
      <c r="Q523" s="449">
        <v>8093.85</v>
      </c>
      <c r="R523" s="449">
        <v>317.69166666666661</v>
      </c>
      <c r="S523" s="449">
        <v>317.69166666666644</v>
      </c>
      <c r="T523" s="449">
        <v>317.69166666666661</v>
      </c>
      <c r="U523" s="449">
        <v>317.69166666666689</v>
      </c>
      <c r="V523" s="449">
        <v>317.69166666666661</v>
      </c>
      <c r="W523" s="449">
        <v>317.6916666666657</v>
      </c>
      <c r="X523" s="449"/>
      <c r="Y523" s="449">
        <v>10000</v>
      </c>
      <c r="Z523" s="531"/>
      <c r="AA523" s="449">
        <v>833.33333333333337</v>
      </c>
      <c r="AB523" s="449">
        <v>833.33333333333337</v>
      </c>
      <c r="AC523" s="449">
        <v>833.33333333333337</v>
      </c>
      <c r="AD523" s="449">
        <v>833.33333333333337</v>
      </c>
      <c r="AE523" s="449">
        <v>833.33333333333337</v>
      </c>
      <c r="AF523" s="449">
        <v>833.33333333333337</v>
      </c>
      <c r="AG523" s="449">
        <v>833.33333333333337</v>
      </c>
      <c r="AH523" s="449">
        <v>833.33333333333337</v>
      </c>
      <c r="AI523" s="449">
        <v>833.33333333333337</v>
      </c>
      <c r="AJ523" s="449">
        <v>833.33333333333337</v>
      </c>
      <c r="AK523" s="449">
        <v>833.33333333333337</v>
      </c>
      <c r="AL523" s="449">
        <v>833.33333333333337</v>
      </c>
      <c r="AM523" s="400"/>
      <c r="AN523" s="500">
        <v>10000</v>
      </c>
      <c r="AO523" s="449">
        <v>10300</v>
      </c>
      <c r="AP523" s="449">
        <v>300</v>
      </c>
      <c r="AQ523" s="453">
        <v>0.03</v>
      </c>
      <c r="AR523" s="449">
        <v>10300</v>
      </c>
      <c r="AS523" s="449">
        <v>0</v>
      </c>
      <c r="AT523" s="426">
        <v>0</v>
      </c>
      <c r="AU523" s="421"/>
      <c r="AV523" s="449">
        <v>858.33333333333337</v>
      </c>
      <c r="AW523" s="449">
        <v>858.33333333333337</v>
      </c>
      <c r="AX523" s="449">
        <v>858.33333333333337</v>
      </c>
      <c r="AY523" s="449">
        <v>858.33333333333337</v>
      </c>
      <c r="AZ523" s="449">
        <v>858.33333333333337</v>
      </c>
      <c r="BA523" s="449">
        <v>858.33333333333337</v>
      </c>
      <c r="BB523" s="449">
        <v>858.33333333333337</v>
      </c>
      <c r="BC523" s="449">
        <v>858.33333333333337</v>
      </c>
      <c r="BD523" s="449">
        <v>858.33333333333337</v>
      </c>
      <c r="BE523" s="449">
        <v>858.33333333333337</v>
      </c>
      <c r="BF523" s="449">
        <v>858.33333333333337</v>
      </c>
      <c r="BG523" s="449">
        <v>858.33333333333337</v>
      </c>
      <c r="BH523" s="400"/>
      <c r="BI523" s="449">
        <v>858.33333333333337</v>
      </c>
      <c r="BJ523" s="449">
        <v>858.33333333333337</v>
      </c>
      <c r="BK523" s="449">
        <v>858.33333333333337</v>
      </c>
      <c r="BL523" s="771">
        <v>858.33333333333337</v>
      </c>
      <c r="BM523" s="449">
        <v>858.33333333333337</v>
      </c>
      <c r="BN523" s="449">
        <v>858.33333333333337</v>
      </c>
      <c r="BO523" s="449">
        <v>858.33333333333337</v>
      </c>
      <c r="BP523" s="449">
        <v>858.33333333333337</v>
      </c>
      <c r="BQ523" s="449">
        <v>858.33333333333337</v>
      </c>
      <c r="BR523" s="449">
        <v>858.33333333333337</v>
      </c>
      <c r="BS523" s="449">
        <v>858.33333333333337</v>
      </c>
      <c r="BT523" s="449">
        <v>858.33333333333337</v>
      </c>
      <c r="BU523" s="400"/>
      <c r="BV523" s="400"/>
    </row>
    <row r="524" spans="1:74" x14ac:dyDescent="0.25">
      <c r="A524" s="502" t="s">
        <v>895</v>
      </c>
      <c r="B524" s="537" t="s">
        <v>896</v>
      </c>
      <c r="C524" s="630"/>
      <c r="D524" s="500">
        <v>11214</v>
      </c>
      <c r="E524" s="449">
        <v>11214</v>
      </c>
      <c r="F524" s="449">
        <v>0</v>
      </c>
      <c r="G524" s="421">
        <v>0</v>
      </c>
      <c r="H524" s="449">
        <v>11214</v>
      </c>
      <c r="I524" s="449">
        <v>0</v>
      </c>
      <c r="J524" s="426">
        <v>0</v>
      </c>
      <c r="K524" s="421"/>
      <c r="L524" s="449">
        <v>0</v>
      </c>
      <c r="M524" s="449">
        <v>892.92</v>
      </c>
      <c r="N524" s="449">
        <v>442.4</v>
      </c>
      <c r="O524" s="449">
        <v>497.28</v>
      </c>
      <c r="P524" s="449">
        <v>447.59999999999991</v>
      </c>
      <c r="Q524" s="449">
        <v>2841.6000000000004</v>
      </c>
      <c r="R524" s="449">
        <v>1015.3666666666667</v>
      </c>
      <c r="S524" s="449">
        <v>1015.3666666666666</v>
      </c>
      <c r="T524" s="449">
        <v>1015.3666666666666</v>
      </c>
      <c r="U524" s="449">
        <v>1015.3666666666664</v>
      </c>
      <c r="V524" s="449">
        <v>1015.3666666666668</v>
      </c>
      <c r="W524" s="449">
        <v>1015.3666666666668</v>
      </c>
      <c r="X524" s="449"/>
      <c r="Y524" s="449">
        <v>11214</v>
      </c>
      <c r="Z524" s="531"/>
      <c r="AA524" s="449">
        <v>934.5</v>
      </c>
      <c r="AB524" s="449">
        <v>934.5</v>
      </c>
      <c r="AC524" s="449">
        <v>934.5</v>
      </c>
      <c r="AD524" s="449">
        <v>934.5</v>
      </c>
      <c r="AE524" s="449">
        <v>934.5</v>
      </c>
      <c r="AF524" s="449">
        <v>934.5</v>
      </c>
      <c r="AG524" s="449">
        <v>934.5</v>
      </c>
      <c r="AH524" s="449">
        <v>934.5</v>
      </c>
      <c r="AI524" s="449">
        <v>934.5</v>
      </c>
      <c r="AJ524" s="449">
        <v>934.5</v>
      </c>
      <c r="AK524" s="449">
        <v>934.5</v>
      </c>
      <c r="AL524" s="449">
        <v>934.5</v>
      </c>
      <c r="AM524" s="400"/>
      <c r="AN524" s="500">
        <v>11214</v>
      </c>
      <c r="AO524" s="449">
        <v>14636.712000000005</v>
      </c>
      <c r="AP524" s="449">
        <v>3422.712000000005</v>
      </c>
      <c r="AQ524" s="453">
        <v>0.30521776350989877</v>
      </c>
      <c r="AR524" s="449">
        <v>14636.712000000005</v>
      </c>
      <c r="AS524" s="449">
        <v>0</v>
      </c>
      <c r="AT524" s="426">
        <v>0</v>
      </c>
      <c r="AU524" s="421"/>
      <c r="AV524" s="449">
        <v>1219.7260000000001</v>
      </c>
      <c r="AW524" s="449">
        <v>1219.7260000000001</v>
      </c>
      <c r="AX524" s="449">
        <v>1219.7260000000001</v>
      </c>
      <c r="AY524" s="449">
        <v>1219.7260000000001</v>
      </c>
      <c r="AZ524" s="449">
        <v>1219.7260000000001</v>
      </c>
      <c r="BA524" s="449">
        <v>1219.7260000000001</v>
      </c>
      <c r="BB524" s="449">
        <v>1219.7260000000001</v>
      </c>
      <c r="BC524" s="449">
        <v>1219.7260000000001</v>
      </c>
      <c r="BD524" s="449">
        <v>1219.7260000000001</v>
      </c>
      <c r="BE524" s="449">
        <v>1219.7260000000001</v>
      </c>
      <c r="BF524" s="449">
        <v>1219.7260000000001</v>
      </c>
      <c r="BG524" s="449">
        <v>1219.7260000000001</v>
      </c>
      <c r="BH524" s="400"/>
      <c r="BI524" s="449">
        <v>1219.7260000000001</v>
      </c>
      <c r="BJ524" s="449">
        <v>1219.7260000000001</v>
      </c>
      <c r="BK524" s="449">
        <v>1219.7260000000001</v>
      </c>
      <c r="BL524" s="771">
        <v>1219.7260000000001</v>
      </c>
      <c r="BM524" s="449">
        <v>1219.7260000000001</v>
      </c>
      <c r="BN524" s="449">
        <v>1219.7260000000001</v>
      </c>
      <c r="BO524" s="449">
        <v>1219.7260000000001</v>
      </c>
      <c r="BP524" s="449">
        <v>1219.7260000000001</v>
      </c>
      <c r="BQ524" s="449">
        <v>1219.7260000000001</v>
      </c>
      <c r="BR524" s="449">
        <v>1219.7260000000001</v>
      </c>
      <c r="BS524" s="449">
        <v>1219.7260000000001</v>
      </c>
      <c r="BT524" s="449">
        <v>1219.7260000000001</v>
      </c>
      <c r="BU524" s="400"/>
      <c r="BV524" s="400"/>
    </row>
    <row r="525" spans="1:74" x14ac:dyDescent="0.25">
      <c r="A525" s="502" t="s">
        <v>897</v>
      </c>
      <c r="B525" s="502" t="s">
        <v>898</v>
      </c>
      <c r="C525" s="541"/>
      <c r="D525" s="500">
        <v>6593</v>
      </c>
      <c r="E525" s="449">
        <v>6593</v>
      </c>
      <c r="F525" s="449">
        <v>0</v>
      </c>
      <c r="G525" s="421">
        <v>0</v>
      </c>
      <c r="H525" s="449">
        <v>6593</v>
      </c>
      <c r="I525" s="449">
        <v>0</v>
      </c>
      <c r="J525" s="426">
        <v>0</v>
      </c>
      <c r="K525" s="421"/>
      <c r="L525" s="449">
        <v>0</v>
      </c>
      <c r="M525" s="449">
        <v>342.02</v>
      </c>
      <c r="N525" s="449">
        <v>-45.629999999999995</v>
      </c>
      <c r="O525" s="449">
        <v>66.889999999999986</v>
      </c>
      <c r="P525" s="449">
        <v>308.09000000000003</v>
      </c>
      <c r="Q525" s="449">
        <v>710.18999999999994</v>
      </c>
      <c r="R525" s="449">
        <v>868.57333333333338</v>
      </c>
      <c r="S525" s="449">
        <v>868.57333333333338</v>
      </c>
      <c r="T525" s="449">
        <v>868.57333333333338</v>
      </c>
      <c r="U525" s="449">
        <v>868.57333333333338</v>
      </c>
      <c r="V525" s="449">
        <v>868.57333333333327</v>
      </c>
      <c r="W525" s="449">
        <v>868.57333333333372</v>
      </c>
      <c r="X525" s="449"/>
      <c r="Y525" s="449">
        <v>6593</v>
      </c>
      <c r="Z525" s="531"/>
      <c r="AA525" s="449">
        <v>549.41666666666663</v>
      </c>
      <c r="AB525" s="449">
        <v>549.41666666666663</v>
      </c>
      <c r="AC525" s="449">
        <v>549.41666666666663</v>
      </c>
      <c r="AD525" s="449">
        <v>549.41666666666663</v>
      </c>
      <c r="AE525" s="449">
        <v>549.41666666666663</v>
      </c>
      <c r="AF525" s="449">
        <v>549.41666666666663</v>
      </c>
      <c r="AG525" s="449">
        <v>549.41666666666663</v>
      </c>
      <c r="AH525" s="449">
        <v>549.41666666666663</v>
      </c>
      <c r="AI525" s="449">
        <v>549.41666666666663</v>
      </c>
      <c r="AJ525" s="449">
        <v>549.41666666666663</v>
      </c>
      <c r="AK525" s="449">
        <v>549.41666666666663</v>
      </c>
      <c r="AL525" s="449">
        <v>549.41666666666663</v>
      </c>
      <c r="AM525" s="400"/>
      <c r="AN525" s="500">
        <v>6593</v>
      </c>
      <c r="AO525" s="449">
        <v>792.20711700000004</v>
      </c>
      <c r="AP525" s="449">
        <v>-5800.7928830000001</v>
      </c>
      <c r="AQ525" s="453">
        <v>-0.87984117746094348</v>
      </c>
      <c r="AR525" s="449">
        <v>792.20711700000004</v>
      </c>
      <c r="AS525" s="449">
        <v>0</v>
      </c>
      <c r="AT525" s="426">
        <v>0</v>
      </c>
      <c r="AU525" s="421"/>
      <c r="AV525" s="449">
        <v>66.017259750000008</v>
      </c>
      <c r="AW525" s="449">
        <v>66.017259750000008</v>
      </c>
      <c r="AX525" s="449">
        <v>66.017259750000008</v>
      </c>
      <c r="AY525" s="449">
        <v>66.017259750000008</v>
      </c>
      <c r="AZ525" s="449">
        <v>66.017259750000008</v>
      </c>
      <c r="BA525" s="449">
        <v>66.017259750000008</v>
      </c>
      <c r="BB525" s="449">
        <v>66.017259750000008</v>
      </c>
      <c r="BC525" s="449">
        <v>66.017259750000008</v>
      </c>
      <c r="BD525" s="449">
        <v>66.017259750000008</v>
      </c>
      <c r="BE525" s="449">
        <v>66.017259750000008</v>
      </c>
      <c r="BF525" s="449">
        <v>66.017259750000008</v>
      </c>
      <c r="BG525" s="449">
        <v>66.017259750000008</v>
      </c>
      <c r="BH525" s="400"/>
      <c r="BI525" s="449">
        <v>66.017259750000008</v>
      </c>
      <c r="BJ525" s="449">
        <v>66.017259750000008</v>
      </c>
      <c r="BK525" s="449">
        <v>66.017259750000008</v>
      </c>
      <c r="BL525" s="771">
        <v>66.017259750000008</v>
      </c>
      <c r="BM525" s="449">
        <v>66.017259750000008</v>
      </c>
      <c r="BN525" s="449">
        <v>66.017259750000008</v>
      </c>
      <c r="BO525" s="449">
        <v>66.017259750000008</v>
      </c>
      <c r="BP525" s="449">
        <v>66.017259750000008</v>
      </c>
      <c r="BQ525" s="449">
        <v>66.017259750000008</v>
      </c>
      <c r="BR525" s="449">
        <v>66.017259750000008</v>
      </c>
      <c r="BS525" s="449">
        <v>66.017259750000008</v>
      </c>
      <c r="BT525" s="449">
        <v>66.017259750000008</v>
      </c>
      <c r="BU525" s="400"/>
      <c r="BV525" s="400"/>
    </row>
    <row r="526" spans="1:74" x14ac:dyDescent="0.25">
      <c r="A526" s="502" t="s">
        <v>899</v>
      </c>
      <c r="B526" s="502" t="s">
        <v>900</v>
      </c>
      <c r="C526" s="541"/>
      <c r="D526" s="500">
        <v>444</v>
      </c>
      <c r="E526" s="449">
        <v>447</v>
      </c>
      <c r="F526" s="449">
        <v>-3</v>
      </c>
      <c r="G526" s="421">
        <v>-6.7114093959731542E-3</v>
      </c>
      <c r="H526" s="449">
        <v>444</v>
      </c>
      <c r="I526" s="449">
        <v>0</v>
      </c>
      <c r="J526" s="426">
        <v>0</v>
      </c>
      <c r="K526" s="421"/>
      <c r="L526" s="449">
        <v>0</v>
      </c>
      <c r="M526" s="449">
        <v>0</v>
      </c>
      <c r="N526" s="449">
        <v>0</v>
      </c>
      <c r="O526" s="449">
        <v>0</v>
      </c>
      <c r="P526" s="449">
        <v>0</v>
      </c>
      <c r="Q526" s="449">
        <v>95.76</v>
      </c>
      <c r="R526" s="449">
        <v>58.04</v>
      </c>
      <c r="S526" s="449">
        <v>58.04</v>
      </c>
      <c r="T526" s="449">
        <v>58.04</v>
      </c>
      <c r="U526" s="449">
        <v>58.04</v>
      </c>
      <c r="V526" s="449">
        <v>58.039999999999992</v>
      </c>
      <c r="W526" s="449">
        <v>58.039999999999964</v>
      </c>
      <c r="X526" s="449"/>
      <c r="Y526" s="449">
        <v>444</v>
      </c>
      <c r="Z526" s="531"/>
      <c r="AA526" s="449">
        <v>37</v>
      </c>
      <c r="AB526" s="449">
        <v>37</v>
      </c>
      <c r="AC526" s="449">
        <v>37</v>
      </c>
      <c r="AD526" s="449">
        <v>37</v>
      </c>
      <c r="AE526" s="449">
        <v>37</v>
      </c>
      <c r="AF526" s="449">
        <v>37</v>
      </c>
      <c r="AG526" s="449">
        <v>37</v>
      </c>
      <c r="AH526" s="449">
        <v>37</v>
      </c>
      <c r="AI526" s="449">
        <v>37</v>
      </c>
      <c r="AJ526" s="449">
        <v>37</v>
      </c>
      <c r="AK526" s="449">
        <v>37</v>
      </c>
      <c r="AL526" s="449">
        <v>37</v>
      </c>
      <c r="AM526" s="400"/>
      <c r="AN526" s="500">
        <v>444</v>
      </c>
      <c r="AO526" s="449">
        <v>439.10000000000014</v>
      </c>
      <c r="AP526" s="449">
        <v>-4.8999999999998636</v>
      </c>
      <c r="AQ526" s="453">
        <v>-1.1036036036035729E-2</v>
      </c>
      <c r="AR526" s="449">
        <v>439.10000000000014</v>
      </c>
      <c r="AS526" s="449">
        <v>0</v>
      </c>
      <c r="AT526" s="426">
        <v>0</v>
      </c>
      <c r="AU526" s="421"/>
      <c r="AV526" s="449">
        <v>36.591666666666669</v>
      </c>
      <c r="AW526" s="449">
        <v>36.591666666666669</v>
      </c>
      <c r="AX526" s="449">
        <v>36.591666666666669</v>
      </c>
      <c r="AY526" s="449">
        <v>36.591666666666669</v>
      </c>
      <c r="AZ526" s="449">
        <v>36.591666666666669</v>
      </c>
      <c r="BA526" s="449">
        <v>36.591666666666669</v>
      </c>
      <c r="BB526" s="449">
        <v>36.591666666666669</v>
      </c>
      <c r="BC526" s="449">
        <v>36.591666666666669</v>
      </c>
      <c r="BD526" s="449">
        <v>36.591666666666669</v>
      </c>
      <c r="BE526" s="449">
        <v>36.591666666666669</v>
      </c>
      <c r="BF526" s="449">
        <v>36.591666666666669</v>
      </c>
      <c r="BG526" s="449">
        <v>36.591666666666669</v>
      </c>
      <c r="BH526" s="400"/>
      <c r="BI526" s="449">
        <v>36.591666666666669</v>
      </c>
      <c r="BJ526" s="449">
        <v>36.591666666666669</v>
      </c>
      <c r="BK526" s="449">
        <v>36.591666666666669</v>
      </c>
      <c r="BL526" s="771">
        <v>36.591666666666669</v>
      </c>
      <c r="BM526" s="449">
        <v>36.591666666666669</v>
      </c>
      <c r="BN526" s="449">
        <v>36.591666666666669</v>
      </c>
      <c r="BO526" s="449">
        <v>36.591666666666669</v>
      </c>
      <c r="BP526" s="449">
        <v>36.591666666666669</v>
      </c>
      <c r="BQ526" s="449">
        <v>36.591666666666669</v>
      </c>
      <c r="BR526" s="449">
        <v>36.591666666666669</v>
      </c>
      <c r="BS526" s="449">
        <v>36.591666666666669</v>
      </c>
      <c r="BT526" s="449">
        <v>36.591666666666669</v>
      </c>
      <c r="BU526" s="400"/>
      <c r="BV526" s="400"/>
    </row>
    <row r="527" spans="1:74" x14ac:dyDescent="0.25">
      <c r="A527" s="502" t="s">
        <v>901</v>
      </c>
      <c r="B527" s="502" t="s">
        <v>902</v>
      </c>
      <c r="C527" s="538"/>
      <c r="D527" s="500">
        <v>4911</v>
      </c>
      <c r="E527" s="449">
        <v>4270</v>
      </c>
      <c r="F527" s="449">
        <v>641</v>
      </c>
      <c r="G527" s="421">
        <v>0.15011709601873535</v>
      </c>
      <c r="H527" s="449">
        <v>4911</v>
      </c>
      <c r="I527" s="449">
        <v>0</v>
      </c>
      <c r="J527" s="426">
        <v>0</v>
      </c>
      <c r="K527" s="421"/>
      <c r="L527" s="449">
        <v>0</v>
      </c>
      <c r="M527" s="449">
        <v>499.5</v>
      </c>
      <c r="N527" s="449">
        <v>0</v>
      </c>
      <c r="O527" s="449">
        <v>22.82000000000005</v>
      </c>
      <c r="P527" s="449">
        <v>-22.82000000000005</v>
      </c>
      <c r="Q527" s="449">
        <v>522.39</v>
      </c>
      <c r="R527" s="449">
        <v>648.18500000000006</v>
      </c>
      <c r="S527" s="449">
        <v>648.18500000000006</v>
      </c>
      <c r="T527" s="449">
        <v>648.18499999999995</v>
      </c>
      <c r="U527" s="449">
        <v>648.18499999999995</v>
      </c>
      <c r="V527" s="449">
        <v>648.18499999999995</v>
      </c>
      <c r="W527" s="449">
        <v>648.18499999999949</v>
      </c>
      <c r="X527" s="449"/>
      <c r="Y527" s="449">
        <v>4911</v>
      </c>
      <c r="Z527" s="531"/>
      <c r="AA527" s="449">
        <v>409.25</v>
      </c>
      <c r="AB527" s="449">
        <v>409.25</v>
      </c>
      <c r="AC527" s="449">
        <v>409.25</v>
      </c>
      <c r="AD527" s="449">
        <v>409.25</v>
      </c>
      <c r="AE527" s="449">
        <v>409.25</v>
      </c>
      <c r="AF527" s="449">
        <v>409.25</v>
      </c>
      <c r="AG527" s="449">
        <v>409.25</v>
      </c>
      <c r="AH527" s="449">
        <v>409.25</v>
      </c>
      <c r="AI527" s="449">
        <v>409.25</v>
      </c>
      <c r="AJ527" s="449">
        <v>409.25</v>
      </c>
      <c r="AK527" s="449">
        <v>409.25</v>
      </c>
      <c r="AL527" s="449">
        <v>409.25</v>
      </c>
      <c r="AM527" s="400"/>
      <c r="AN527" s="500">
        <v>4911</v>
      </c>
      <c r="AO527" s="449">
        <v>5058.3300000000008</v>
      </c>
      <c r="AP527" s="449">
        <v>147.33000000000084</v>
      </c>
      <c r="AQ527" s="453">
        <v>3.0000000000000169E-2</v>
      </c>
      <c r="AR527" s="449">
        <v>5058.3300000000008</v>
      </c>
      <c r="AS527" s="449">
        <v>0</v>
      </c>
      <c r="AT527" s="426">
        <v>0</v>
      </c>
      <c r="AU527" s="421"/>
      <c r="AV527" s="449">
        <v>421.52749999999997</v>
      </c>
      <c r="AW527" s="449">
        <v>421.52749999999997</v>
      </c>
      <c r="AX527" s="449">
        <v>421.52749999999997</v>
      </c>
      <c r="AY527" s="449">
        <v>421.52749999999997</v>
      </c>
      <c r="AZ527" s="449">
        <v>421.52749999999997</v>
      </c>
      <c r="BA527" s="449">
        <v>421.52749999999997</v>
      </c>
      <c r="BB527" s="449">
        <v>421.52749999999997</v>
      </c>
      <c r="BC527" s="449">
        <v>421.52749999999997</v>
      </c>
      <c r="BD527" s="449">
        <v>421.52749999999997</v>
      </c>
      <c r="BE527" s="449">
        <v>421.52749999999997</v>
      </c>
      <c r="BF527" s="449">
        <v>421.52749999999997</v>
      </c>
      <c r="BG527" s="449">
        <v>421.52749999999997</v>
      </c>
      <c r="BH527" s="400"/>
      <c r="BI527" s="449">
        <v>421.52749999999997</v>
      </c>
      <c r="BJ527" s="449">
        <v>421.52749999999997</v>
      </c>
      <c r="BK527" s="449">
        <v>421.52749999999997</v>
      </c>
      <c r="BL527" s="771">
        <v>421.52749999999997</v>
      </c>
      <c r="BM527" s="449">
        <v>421.52749999999997</v>
      </c>
      <c r="BN527" s="449">
        <v>421.52749999999997</v>
      </c>
      <c r="BO527" s="449">
        <v>421.52749999999997</v>
      </c>
      <c r="BP527" s="449">
        <v>421.52749999999997</v>
      </c>
      <c r="BQ527" s="449">
        <v>421.52749999999997</v>
      </c>
      <c r="BR527" s="449">
        <v>421.52749999999997</v>
      </c>
      <c r="BS527" s="449">
        <v>421.52749999999997</v>
      </c>
      <c r="BT527" s="449">
        <v>421.52749999999997</v>
      </c>
      <c r="BU527" s="400"/>
      <c r="BV527" s="400"/>
    </row>
    <row r="528" spans="1:74" x14ac:dyDescent="0.25">
      <c r="A528" s="753" t="s">
        <v>1754</v>
      </c>
      <c r="B528" s="753" t="s">
        <v>1755</v>
      </c>
      <c r="C528" s="538"/>
      <c r="D528" s="500"/>
      <c r="E528" s="449"/>
      <c r="F528" s="449"/>
      <c r="G528" s="421"/>
      <c r="H528" s="449"/>
      <c r="I528" s="449"/>
      <c r="J528" s="426"/>
      <c r="K528" s="421"/>
      <c r="L528" s="449"/>
      <c r="M528" s="449"/>
      <c r="N528" s="449"/>
      <c r="O528" s="449"/>
      <c r="P528" s="449"/>
      <c r="Q528" s="449"/>
      <c r="R528" s="449"/>
      <c r="S528" s="449"/>
      <c r="T528" s="449"/>
      <c r="U528" s="449"/>
      <c r="V528" s="449"/>
      <c r="W528" s="449"/>
      <c r="X528" s="449"/>
      <c r="Y528" s="449"/>
      <c r="Z528" s="531"/>
      <c r="AA528" s="449"/>
      <c r="AB528" s="449"/>
      <c r="AC528" s="449"/>
      <c r="AD528" s="449"/>
      <c r="AE528" s="449"/>
      <c r="AF528" s="449"/>
      <c r="AG528" s="449"/>
      <c r="AH528" s="449"/>
      <c r="AI528" s="449"/>
      <c r="AJ528" s="449"/>
      <c r="AK528" s="449"/>
      <c r="AL528" s="449"/>
      <c r="AM528" s="400"/>
      <c r="AN528" s="500"/>
      <c r="AO528" s="449"/>
      <c r="AP528" s="449"/>
      <c r="AQ528" s="453"/>
      <c r="AR528" s="449"/>
      <c r="AS528" s="449"/>
      <c r="AT528" s="426"/>
      <c r="AU528" s="421"/>
      <c r="AV528" s="449"/>
      <c r="AW528" s="449"/>
      <c r="AX528" s="449"/>
      <c r="AY528" s="449"/>
      <c r="AZ528" s="449"/>
      <c r="BA528" s="449"/>
      <c r="BB528" s="449"/>
      <c r="BC528" s="449"/>
      <c r="BD528" s="449"/>
      <c r="BE528" s="449"/>
      <c r="BF528" s="449"/>
      <c r="BG528" s="449"/>
      <c r="BH528" s="400"/>
      <c r="BI528" s="449"/>
      <c r="BJ528" s="449"/>
      <c r="BK528" s="449"/>
      <c r="BL528" s="771"/>
      <c r="BM528" s="449"/>
      <c r="BN528" s="449"/>
      <c r="BO528" s="449"/>
      <c r="BP528" s="449"/>
      <c r="BQ528" s="449"/>
      <c r="BR528" s="449"/>
      <c r="BS528" s="449"/>
      <c r="BT528" s="449"/>
      <c r="BU528" s="400"/>
      <c r="BV528" s="400"/>
    </row>
    <row r="529" spans="1:74" ht="15" customHeight="1" x14ac:dyDescent="0.25">
      <c r="A529" s="502" t="s">
        <v>903</v>
      </c>
      <c r="B529" s="502" t="s">
        <v>904</v>
      </c>
      <c r="C529" s="597"/>
      <c r="D529" s="500">
        <v>16000</v>
      </c>
      <c r="E529" s="449">
        <v>0</v>
      </c>
      <c r="F529" s="449">
        <v>16000</v>
      </c>
      <c r="G529" s="421">
        <v>0</v>
      </c>
      <c r="H529" s="449">
        <v>16000</v>
      </c>
      <c r="I529" s="449">
        <v>0</v>
      </c>
      <c r="J529" s="426">
        <v>0</v>
      </c>
      <c r="K529" s="421"/>
      <c r="L529" s="449">
        <v>0</v>
      </c>
      <c r="M529" s="449">
        <v>0</v>
      </c>
      <c r="N529" s="449">
        <v>0</v>
      </c>
      <c r="O529" s="449">
        <v>0</v>
      </c>
      <c r="P529" s="449">
        <v>0</v>
      </c>
      <c r="Q529" s="449">
        <v>0</v>
      </c>
      <c r="R529" s="449">
        <v>2666.6666666666665</v>
      </c>
      <c r="S529" s="449">
        <v>2666.666666666667</v>
      </c>
      <c r="T529" s="449">
        <v>2666.6666666666665</v>
      </c>
      <c r="U529" s="449">
        <v>2666.6666666666665</v>
      </c>
      <c r="V529" s="449">
        <v>2666.666666666667</v>
      </c>
      <c r="W529" s="449">
        <v>2666.6666666666679</v>
      </c>
      <c r="X529" s="449"/>
      <c r="Y529" s="449">
        <v>16000</v>
      </c>
      <c r="Z529" s="531"/>
      <c r="AA529" s="449">
        <v>1333.3333333333333</v>
      </c>
      <c r="AB529" s="449">
        <v>1333.3333333333333</v>
      </c>
      <c r="AC529" s="449">
        <v>1333.3333333333333</v>
      </c>
      <c r="AD529" s="449">
        <v>1333.3333333333333</v>
      </c>
      <c r="AE529" s="449">
        <v>1333.3333333333333</v>
      </c>
      <c r="AF529" s="449">
        <v>1333.3333333333333</v>
      </c>
      <c r="AG529" s="449">
        <v>1333.3333333333333</v>
      </c>
      <c r="AH529" s="449">
        <v>1333.3333333333333</v>
      </c>
      <c r="AI529" s="449">
        <v>1333.3333333333333</v>
      </c>
      <c r="AJ529" s="449">
        <v>1333.3333333333333</v>
      </c>
      <c r="AK529" s="449">
        <v>1333.3333333333333</v>
      </c>
      <c r="AL529" s="449">
        <v>1333.3333333333333</v>
      </c>
      <c r="AM529" s="400"/>
      <c r="AN529" s="500">
        <v>16000</v>
      </c>
      <c r="AO529" s="449">
        <v>3295.9999999999995</v>
      </c>
      <c r="AP529" s="449">
        <v>-12704</v>
      </c>
      <c r="AQ529" s="453">
        <v>-0.79400000000000004</v>
      </c>
      <c r="AR529" s="449">
        <v>3295.9999999999995</v>
      </c>
      <c r="AS529" s="449">
        <v>0</v>
      </c>
      <c r="AT529" s="426">
        <v>0</v>
      </c>
      <c r="AU529" s="421"/>
      <c r="AV529" s="449">
        <v>274.66666666666669</v>
      </c>
      <c r="AW529" s="449">
        <v>274.66666666666669</v>
      </c>
      <c r="AX529" s="449">
        <v>274.66666666666669</v>
      </c>
      <c r="AY529" s="449">
        <v>274.66666666666669</v>
      </c>
      <c r="AZ529" s="449">
        <v>274.66666666666669</v>
      </c>
      <c r="BA529" s="449">
        <v>274.66666666666669</v>
      </c>
      <c r="BB529" s="449">
        <v>274.66666666666669</v>
      </c>
      <c r="BC529" s="449">
        <v>274.66666666666669</v>
      </c>
      <c r="BD529" s="449">
        <v>274.66666666666669</v>
      </c>
      <c r="BE529" s="449">
        <v>274.66666666666669</v>
      </c>
      <c r="BF529" s="449">
        <v>274.66666666666669</v>
      </c>
      <c r="BG529" s="449">
        <v>274.66666666666669</v>
      </c>
      <c r="BH529" s="400"/>
      <c r="BI529" s="449">
        <v>274.66666666666669</v>
      </c>
      <c r="BJ529" s="449">
        <v>274.66666666666669</v>
      </c>
      <c r="BK529" s="449">
        <v>274.66666666666669</v>
      </c>
      <c r="BL529" s="771">
        <v>274.66666666666669</v>
      </c>
      <c r="BM529" s="449">
        <v>274.66666666666669</v>
      </c>
      <c r="BN529" s="449">
        <v>274.66666666666669</v>
      </c>
      <c r="BO529" s="449">
        <v>274.66666666666669</v>
      </c>
      <c r="BP529" s="449">
        <v>274.66666666666669</v>
      </c>
      <c r="BQ529" s="449">
        <v>274.66666666666669</v>
      </c>
      <c r="BR529" s="449">
        <v>274.66666666666669</v>
      </c>
      <c r="BS529" s="449">
        <v>274.66666666666669</v>
      </c>
      <c r="BT529" s="449">
        <v>274.66666666666669</v>
      </c>
      <c r="BU529" s="400"/>
      <c r="BV529" s="400"/>
    </row>
    <row r="530" spans="1:74" s="536" customFormat="1" ht="15" customHeight="1" x14ac:dyDescent="0.25">
      <c r="A530" s="587"/>
      <c r="B530" s="502"/>
      <c r="C530" s="597"/>
      <c r="D530" s="500"/>
      <c r="E530" s="449"/>
      <c r="F530" s="449"/>
      <c r="G530" s="421"/>
      <c r="H530" s="449"/>
      <c r="I530" s="449"/>
      <c r="J530" s="426"/>
      <c r="K530" s="421"/>
      <c r="L530" s="449"/>
      <c r="M530" s="449"/>
      <c r="N530" s="449"/>
      <c r="O530" s="449"/>
      <c r="P530" s="449"/>
      <c r="Q530" s="449"/>
      <c r="R530" s="449"/>
      <c r="S530" s="449"/>
      <c r="T530" s="449"/>
      <c r="U530" s="449"/>
      <c r="V530" s="449"/>
      <c r="W530" s="449"/>
      <c r="X530" s="449"/>
      <c r="Y530" s="449"/>
      <c r="Z530" s="531"/>
      <c r="AA530" s="449"/>
      <c r="AB530" s="449"/>
      <c r="AC530" s="449"/>
      <c r="AD530" s="449"/>
      <c r="AE530" s="449"/>
      <c r="AF530" s="449"/>
      <c r="AG530" s="449"/>
      <c r="AH530" s="449"/>
      <c r="AI530" s="449"/>
      <c r="AJ530" s="449"/>
      <c r="AK530" s="449"/>
      <c r="AL530" s="449"/>
      <c r="AN530" s="500"/>
      <c r="AO530" s="449"/>
      <c r="AP530" s="449"/>
      <c r="AQ530" s="453"/>
      <c r="AR530" s="449"/>
      <c r="AS530" s="449"/>
      <c r="AT530" s="426"/>
      <c r="AU530" s="421"/>
      <c r="AV530" s="449"/>
      <c r="AW530" s="449"/>
      <c r="AX530" s="449"/>
      <c r="AY530" s="449"/>
      <c r="AZ530" s="449"/>
      <c r="BA530" s="449"/>
      <c r="BB530" s="449"/>
      <c r="BC530" s="449"/>
      <c r="BD530" s="449"/>
      <c r="BE530" s="449"/>
      <c r="BF530" s="449"/>
      <c r="BG530" s="449"/>
      <c r="BH530" s="531"/>
      <c r="BI530" s="449"/>
      <c r="BJ530" s="449"/>
      <c r="BK530" s="449"/>
      <c r="BL530" s="771"/>
      <c r="BM530" s="449"/>
      <c r="BN530" s="449"/>
      <c r="BO530" s="449"/>
      <c r="BP530" s="449"/>
      <c r="BQ530" s="449"/>
      <c r="BR530" s="449"/>
      <c r="BS530" s="449"/>
      <c r="BT530" s="449"/>
      <c r="BV530" s="400"/>
    </row>
    <row r="531" spans="1:74" s="536" customFormat="1" ht="15" customHeight="1" thickBot="1" x14ac:dyDescent="0.3">
      <c r="A531" s="526"/>
      <c r="B531" s="524" t="s">
        <v>905</v>
      </c>
      <c r="C531" s="599"/>
      <c r="D531" s="532">
        <v>2111663</v>
      </c>
      <c r="E531" s="533">
        <v>2171546</v>
      </c>
      <c r="F531" s="533">
        <v>-59883</v>
      </c>
      <c r="G531" s="520">
        <v>-2.7576206076224036E-2</v>
      </c>
      <c r="H531" s="533">
        <v>2108518</v>
      </c>
      <c r="I531" s="533">
        <v>3145</v>
      </c>
      <c r="J531" s="521">
        <v>1.4915689598096861E-3</v>
      </c>
      <c r="K531" s="507"/>
      <c r="L531" s="533">
        <v>115557.27</v>
      </c>
      <c r="M531" s="533">
        <v>161898.20000000004</v>
      </c>
      <c r="N531" s="533">
        <v>130695.59999999999</v>
      </c>
      <c r="O531" s="533">
        <v>147073.65000000002</v>
      </c>
      <c r="P531" s="533">
        <v>111246.76999999999</v>
      </c>
      <c r="Q531" s="533">
        <v>195187.70999999996</v>
      </c>
      <c r="R531" s="533">
        <v>208333.9666666667</v>
      </c>
      <c r="S531" s="533">
        <v>208333.96666666676</v>
      </c>
      <c r="T531" s="533">
        <v>208333.96666666676</v>
      </c>
      <c r="U531" s="533">
        <v>208333.9666666667</v>
      </c>
      <c r="V531" s="533">
        <v>208333.9666666667</v>
      </c>
      <c r="W531" s="533">
        <v>208333.96666666667</v>
      </c>
      <c r="X531" s="533"/>
      <c r="Y531" s="533">
        <v>2111663.0000000005</v>
      </c>
      <c r="Z531" s="508"/>
      <c r="AA531" s="533">
        <v>175709.83333333334</v>
      </c>
      <c r="AB531" s="533">
        <v>175709.83333333334</v>
      </c>
      <c r="AC531" s="533">
        <v>175709.83333333334</v>
      </c>
      <c r="AD531" s="533">
        <v>175709.83333333334</v>
      </c>
      <c r="AE531" s="533">
        <v>175709.83333333334</v>
      </c>
      <c r="AF531" s="533">
        <v>175709.83333333334</v>
      </c>
      <c r="AG531" s="533">
        <v>175709.83333333334</v>
      </c>
      <c r="AH531" s="533">
        <v>175709.83333333334</v>
      </c>
      <c r="AI531" s="533">
        <v>175709.83333333334</v>
      </c>
      <c r="AJ531" s="533">
        <v>175709.83333333334</v>
      </c>
      <c r="AK531" s="533">
        <v>175709.83333333334</v>
      </c>
      <c r="AL531" s="533">
        <v>175709.83333333334</v>
      </c>
      <c r="AN531" s="532">
        <v>2111663</v>
      </c>
      <c r="AO531" s="533">
        <v>2625767.4469472803</v>
      </c>
      <c r="AP531" s="533">
        <v>514104.44694728032</v>
      </c>
      <c r="AQ531" s="523">
        <v>0.24345951363796225</v>
      </c>
      <c r="AR531" s="533">
        <v>2625767.4469472803</v>
      </c>
      <c r="AS531" s="533">
        <v>0</v>
      </c>
      <c r="AT531" s="521">
        <v>0</v>
      </c>
      <c r="AU531" s="507"/>
      <c r="AV531" s="533">
        <v>218563.95391227331</v>
      </c>
      <c r="AW531" s="533">
        <v>218563.95391227331</v>
      </c>
      <c r="AX531" s="533">
        <v>218563.95391227331</v>
      </c>
      <c r="AY531" s="533">
        <v>221563.95391227331</v>
      </c>
      <c r="AZ531" s="533">
        <v>218563.95391227331</v>
      </c>
      <c r="BA531" s="533">
        <v>218563.95391227331</v>
      </c>
      <c r="BB531" s="533">
        <v>218563.95391227331</v>
      </c>
      <c r="BC531" s="533">
        <v>218563.95391227331</v>
      </c>
      <c r="BD531" s="533">
        <v>218563.95391227331</v>
      </c>
      <c r="BE531" s="533">
        <v>218563.95391227331</v>
      </c>
      <c r="BF531" s="533">
        <v>218563.95391227331</v>
      </c>
      <c r="BG531" s="533">
        <v>218563.95391227331</v>
      </c>
      <c r="BH531" s="508"/>
      <c r="BI531" s="533">
        <v>218563.95391227331</v>
      </c>
      <c r="BJ531" s="533">
        <v>218563.95391227331</v>
      </c>
      <c r="BK531" s="533">
        <v>218563.95391227331</v>
      </c>
      <c r="BL531" s="777">
        <v>221563.95391227331</v>
      </c>
      <c r="BM531" s="533">
        <v>218563.95391227331</v>
      </c>
      <c r="BN531" s="533">
        <v>218563.95391227331</v>
      </c>
      <c r="BO531" s="533">
        <v>218563.95391227331</v>
      </c>
      <c r="BP531" s="533">
        <v>218563.95391227331</v>
      </c>
      <c r="BQ531" s="533">
        <v>218563.95391227331</v>
      </c>
      <c r="BR531" s="533">
        <v>218563.95391227331</v>
      </c>
      <c r="BS531" s="533">
        <v>218563.95391227331</v>
      </c>
      <c r="BT531" s="533">
        <v>218563.95391227331</v>
      </c>
      <c r="BV531" s="400"/>
    </row>
    <row r="532" spans="1:74" s="536" customFormat="1" ht="15" customHeight="1" thickTop="1" x14ac:dyDescent="0.25">
      <c r="A532" s="587"/>
      <c r="B532" s="502"/>
      <c r="C532" s="597"/>
      <c r="D532" s="500"/>
      <c r="E532" s="449"/>
      <c r="F532" s="449"/>
      <c r="G532" s="421"/>
      <c r="H532" s="449"/>
      <c r="I532" s="449"/>
      <c r="J532" s="426"/>
      <c r="K532" s="421"/>
      <c r="L532" s="449"/>
      <c r="M532" s="449"/>
      <c r="N532" s="449"/>
      <c r="O532" s="449"/>
      <c r="P532" s="449"/>
      <c r="Q532" s="449"/>
      <c r="R532" s="449"/>
      <c r="S532" s="449"/>
      <c r="T532" s="449"/>
      <c r="U532" s="449"/>
      <c r="V532" s="449"/>
      <c r="W532" s="449"/>
      <c r="X532" s="449"/>
      <c r="Y532" s="449"/>
      <c r="Z532" s="531"/>
      <c r="AA532" s="449"/>
      <c r="AB532" s="449"/>
      <c r="AC532" s="449"/>
      <c r="AD532" s="449"/>
      <c r="AE532" s="449"/>
      <c r="AF532" s="449"/>
      <c r="AG532" s="449"/>
      <c r="AH532" s="449"/>
      <c r="AI532" s="449"/>
      <c r="AJ532" s="449"/>
      <c r="AK532" s="449"/>
      <c r="AL532" s="449"/>
      <c r="AN532" s="500"/>
      <c r="AO532" s="449"/>
      <c r="AP532" s="449"/>
      <c r="AQ532" s="453"/>
      <c r="AR532" s="449"/>
      <c r="AS532" s="449"/>
      <c r="AT532" s="426"/>
      <c r="AU532" s="421"/>
      <c r="AV532" s="449"/>
      <c r="AW532" s="449"/>
      <c r="AX532" s="449"/>
      <c r="AY532" s="449"/>
      <c r="AZ532" s="449"/>
      <c r="BA532" s="449"/>
      <c r="BB532" s="449"/>
      <c r="BC532" s="449"/>
      <c r="BD532" s="449"/>
      <c r="BE532" s="449"/>
      <c r="BF532" s="449"/>
      <c r="BG532" s="449"/>
      <c r="BH532" s="531"/>
      <c r="BI532" s="449"/>
      <c r="BJ532" s="449"/>
      <c r="BK532" s="449"/>
      <c r="BL532" s="771"/>
      <c r="BM532" s="449"/>
      <c r="BN532" s="449"/>
      <c r="BO532" s="449"/>
      <c r="BP532" s="449"/>
      <c r="BQ532" s="449"/>
      <c r="BR532" s="449"/>
      <c r="BS532" s="449"/>
      <c r="BT532" s="449"/>
      <c r="BV532" s="400"/>
    </row>
    <row r="533" spans="1:74" s="536" customFormat="1" ht="15" customHeight="1" x14ac:dyDescent="0.25">
      <c r="A533" s="587"/>
      <c r="B533" s="525" t="s">
        <v>906</v>
      </c>
      <c r="C533" s="597"/>
      <c r="D533" s="500"/>
      <c r="E533" s="449"/>
      <c r="F533" s="449"/>
      <c r="G533" s="421"/>
      <c r="H533" s="449"/>
      <c r="I533" s="449"/>
      <c r="J533" s="426"/>
      <c r="K533" s="421"/>
      <c r="L533" s="449"/>
      <c r="M533" s="449"/>
      <c r="N533" s="449"/>
      <c r="O533" s="449"/>
      <c r="P533" s="449"/>
      <c r="Q533" s="449"/>
      <c r="R533" s="449"/>
      <c r="S533" s="449"/>
      <c r="T533" s="449"/>
      <c r="U533" s="449"/>
      <c r="V533" s="449"/>
      <c r="W533" s="449"/>
      <c r="X533" s="449"/>
      <c r="Y533" s="449"/>
      <c r="Z533" s="531"/>
      <c r="AA533" s="449"/>
      <c r="AB533" s="449"/>
      <c r="AC533" s="449"/>
      <c r="AD533" s="449"/>
      <c r="AE533" s="449"/>
      <c r="AF533" s="449"/>
      <c r="AG533" s="449"/>
      <c r="AH533" s="449"/>
      <c r="AI533" s="449"/>
      <c r="AJ533" s="449"/>
      <c r="AK533" s="449"/>
      <c r="AL533" s="449"/>
      <c r="AN533" s="500"/>
      <c r="AO533" s="449"/>
      <c r="AP533" s="449"/>
      <c r="AQ533" s="453"/>
      <c r="AR533" s="449"/>
      <c r="AS533" s="449"/>
      <c r="AT533" s="426"/>
      <c r="AU533" s="421"/>
      <c r="AV533" s="449"/>
      <c r="AW533" s="449"/>
      <c r="AX533" s="449"/>
      <c r="AY533" s="449"/>
      <c r="AZ533" s="449"/>
      <c r="BA533" s="449"/>
      <c r="BB533" s="449"/>
      <c r="BC533" s="449"/>
      <c r="BD533" s="449"/>
      <c r="BE533" s="449"/>
      <c r="BF533" s="449"/>
      <c r="BG533" s="449"/>
      <c r="BH533" s="531"/>
      <c r="BI533" s="449"/>
      <c r="BJ533" s="449"/>
      <c r="BK533" s="449"/>
      <c r="BL533" s="771"/>
      <c r="BM533" s="449"/>
      <c r="BN533" s="449"/>
      <c r="BO533" s="449"/>
      <c r="BP533" s="449"/>
      <c r="BQ533" s="449"/>
      <c r="BR533" s="449"/>
      <c r="BS533" s="449"/>
      <c r="BT533" s="449"/>
      <c r="BV533" s="400"/>
    </row>
    <row r="534" spans="1:74" s="536" customFormat="1" ht="8.25" customHeight="1" x14ac:dyDescent="0.25">
      <c r="A534" s="587"/>
      <c r="B534" s="502"/>
      <c r="C534" s="597"/>
      <c r="D534" s="500"/>
      <c r="E534" s="449"/>
      <c r="F534" s="449"/>
      <c r="G534" s="421"/>
      <c r="H534" s="449"/>
      <c r="I534" s="449"/>
      <c r="J534" s="426"/>
      <c r="K534" s="421"/>
      <c r="L534" s="449"/>
      <c r="M534" s="449"/>
      <c r="N534" s="449"/>
      <c r="O534" s="449"/>
      <c r="P534" s="449"/>
      <c r="Q534" s="449"/>
      <c r="R534" s="449"/>
      <c r="S534" s="449"/>
      <c r="T534" s="449"/>
      <c r="U534" s="449"/>
      <c r="V534" s="449"/>
      <c r="W534" s="449"/>
      <c r="X534" s="449"/>
      <c r="Y534" s="449"/>
      <c r="Z534" s="531"/>
      <c r="AA534" s="449"/>
      <c r="AB534" s="449"/>
      <c r="AC534" s="449"/>
      <c r="AD534" s="449"/>
      <c r="AE534" s="449"/>
      <c r="AF534" s="449"/>
      <c r="AG534" s="449"/>
      <c r="AH534" s="449"/>
      <c r="AI534" s="449"/>
      <c r="AJ534" s="449"/>
      <c r="AK534" s="449"/>
      <c r="AL534" s="449"/>
      <c r="AN534" s="500"/>
      <c r="AO534" s="449"/>
      <c r="AP534" s="449"/>
      <c r="AQ534" s="453"/>
      <c r="AR534" s="449"/>
      <c r="AS534" s="449"/>
      <c r="AT534" s="426"/>
      <c r="AU534" s="421"/>
      <c r="AV534" s="449"/>
      <c r="AW534" s="449"/>
      <c r="AX534" s="449"/>
      <c r="AY534" s="449"/>
      <c r="AZ534" s="449"/>
      <c r="BA534" s="449"/>
      <c r="BB534" s="449"/>
      <c r="BC534" s="449"/>
      <c r="BD534" s="449"/>
      <c r="BE534" s="449"/>
      <c r="BF534" s="449"/>
      <c r="BG534" s="449"/>
      <c r="BH534" s="531"/>
      <c r="BI534" s="449"/>
      <c r="BJ534" s="449"/>
      <c r="BK534" s="449"/>
      <c r="BL534" s="771"/>
      <c r="BM534" s="449"/>
      <c r="BN534" s="449"/>
      <c r="BO534" s="449"/>
      <c r="BP534" s="449"/>
      <c r="BQ534" s="449"/>
      <c r="BR534" s="449"/>
      <c r="BS534" s="449"/>
      <c r="BT534" s="449"/>
      <c r="BV534" s="400"/>
    </row>
    <row r="535" spans="1:74" ht="15" customHeight="1" x14ac:dyDescent="0.25">
      <c r="A535" s="502" t="s">
        <v>907</v>
      </c>
      <c r="B535" s="502" t="s">
        <v>908</v>
      </c>
      <c r="C535" s="538"/>
      <c r="D535" s="500">
        <v>20000</v>
      </c>
      <c r="E535" s="449">
        <v>10000</v>
      </c>
      <c r="F535" s="449">
        <v>10000</v>
      </c>
      <c r="G535" s="421">
        <v>1</v>
      </c>
      <c r="H535" s="449">
        <v>20000</v>
      </c>
      <c r="I535" s="449">
        <v>0</v>
      </c>
      <c r="J535" s="426">
        <v>0</v>
      </c>
      <c r="K535" s="421"/>
      <c r="L535" s="449">
        <v>4277.1499999999996</v>
      </c>
      <c r="M535" s="449">
        <v>-1605.9999999999995</v>
      </c>
      <c r="N535" s="449">
        <v>198.79999999999973</v>
      </c>
      <c r="O535" s="449">
        <v>10890.879999999997</v>
      </c>
      <c r="P535" s="449">
        <v>-10740.929999999998</v>
      </c>
      <c r="Q535" s="449">
        <v>11306.859999999999</v>
      </c>
      <c r="R535" s="449">
        <v>945.5400000000003</v>
      </c>
      <c r="S535" s="449">
        <v>945.54000000000019</v>
      </c>
      <c r="T535" s="449">
        <v>945.54</v>
      </c>
      <c r="U535" s="449">
        <v>945.53999999999962</v>
      </c>
      <c r="V535" s="449">
        <v>945.53999999999905</v>
      </c>
      <c r="W535" s="449">
        <v>945.54000000000087</v>
      </c>
      <c r="X535" s="449"/>
      <c r="Y535" s="449">
        <v>20000</v>
      </c>
      <c r="Z535" s="531"/>
      <c r="AA535" s="449">
        <v>1666.6666666666667</v>
      </c>
      <c r="AB535" s="449">
        <v>1666.6666666666667</v>
      </c>
      <c r="AC535" s="449">
        <v>1666.6666666666667</v>
      </c>
      <c r="AD535" s="449">
        <v>1666.6666666666667</v>
      </c>
      <c r="AE535" s="449">
        <v>1666.6666666666667</v>
      </c>
      <c r="AF535" s="449">
        <v>1666.6666666666667</v>
      </c>
      <c r="AG535" s="449">
        <v>1666.6666666666667</v>
      </c>
      <c r="AH535" s="449">
        <v>1666.6666666666667</v>
      </c>
      <c r="AI535" s="449">
        <v>1666.6666666666667</v>
      </c>
      <c r="AJ535" s="449">
        <v>1666.6666666666667</v>
      </c>
      <c r="AK535" s="449">
        <v>1666.6666666666667</v>
      </c>
      <c r="AL535" s="449">
        <v>1666.6666666666667</v>
      </c>
      <c r="AM535" s="400"/>
      <c r="AN535" s="500">
        <v>20000</v>
      </c>
      <c r="AO535" s="449">
        <v>20000</v>
      </c>
      <c r="AP535" s="449">
        <v>0</v>
      </c>
      <c r="AQ535" s="453">
        <v>0</v>
      </c>
      <c r="AR535" s="449">
        <v>20000</v>
      </c>
      <c r="AS535" s="449">
        <v>0</v>
      </c>
      <c r="AT535" s="426">
        <v>0</v>
      </c>
      <c r="AU535" s="421"/>
      <c r="AV535" s="449">
        <v>1666.6666666666667</v>
      </c>
      <c r="AW535" s="449">
        <v>1666.6666666666667</v>
      </c>
      <c r="AX535" s="449">
        <v>1666.6666666666667</v>
      </c>
      <c r="AY535" s="449">
        <v>1666.6666666666667</v>
      </c>
      <c r="AZ535" s="449">
        <v>1666.6666666666667</v>
      </c>
      <c r="BA535" s="449">
        <v>1666.6666666666667</v>
      </c>
      <c r="BB535" s="449">
        <v>1666.6666666666667</v>
      </c>
      <c r="BC535" s="449">
        <v>1666.6666666666667</v>
      </c>
      <c r="BD535" s="449">
        <v>1666.6666666666667</v>
      </c>
      <c r="BE535" s="449">
        <v>1666.6666666666667</v>
      </c>
      <c r="BF535" s="449">
        <v>1666.6666666666667</v>
      </c>
      <c r="BG535" s="449">
        <v>1666.6666666666667</v>
      </c>
      <c r="BH535" s="400"/>
      <c r="BI535" s="449">
        <v>1666.6666666666667</v>
      </c>
      <c r="BJ535" s="449">
        <v>1666.6666666666667</v>
      </c>
      <c r="BK535" s="449">
        <v>1666.6666666666667</v>
      </c>
      <c r="BL535" s="771">
        <v>1666.6666666666667</v>
      </c>
      <c r="BM535" s="449">
        <v>1666.6666666666667</v>
      </c>
      <c r="BN535" s="449">
        <v>1666.6666666666667</v>
      </c>
      <c r="BO535" s="449">
        <v>1666.6666666666667</v>
      </c>
      <c r="BP535" s="449">
        <v>1666.6666666666667</v>
      </c>
      <c r="BQ535" s="449">
        <v>1666.6666666666667</v>
      </c>
      <c r="BR535" s="449">
        <v>1666.6666666666667</v>
      </c>
      <c r="BS535" s="449">
        <v>1666.6666666666667</v>
      </c>
      <c r="BT535" s="449">
        <v>1666.6666666666667</v>
      </c>
      <c r="BU535" s="400"/>
      <c r="BV535" s="400"/>
    </row>
    <row r="536" spans="1:74" ht="15" customHeight="1" x14ac:dyDescent="0.25">
      <c r="A536" s="502" t="s">
        <v>909</v>
      </c>
      <c r="B536" s="502" t="s">
        <v>910</v>
      </c>
      <c r="C536" s="538"/>
      <c r="D536" s="500">
        <v>0</v>
      </c>
      <c r="E536" s="449">
        <v>0</v>
      </c>
      <c r="F536" s="449">
        <v>0</v>
      </c>
      <c r="G536" s="421">
        <v>0</v>
      </c>
      <c r="H536" s="449"/>
      <c r="I536" s="449">
        <v>0</v>
      </c>
      <c r="J536" s="426">
        <v>0</v>
      </c>
      <c r="K536" s="421"/>
      <c r="L536" s="449">
        <v>0</v>
      </c>
      <c r="M536" s="449">
        <v>0</v>
      </c>
      <c r="N536" s="449">
        <v>0</v>
      </c>
      <c r="O536" s="449">
        <v>0</v>
      </c>
      <c r="P536" s="449">
        <v>74.98</v>
      </c>
      <c r="Q536" s="449">
        <v>-74.98</v>
      </c>
      <c r="R536" s="449">
        <v>0</v>
      </c>
      <c r="S536" s="449">
        <v>0</v>
      </c>
      <c r="T536" s="449">
        <v>0</v>
      </c>
      <c r="U536" s="449">
        <v>0</v>
      </c>
      <c r="V536" s="449">
        <v>0</v>
      </c>
      <c r="W536" s="449">
        <v>0</v>
      </c>
      <c r="X536" s="449"/>
      <c r="Y536" s="449">
        <v>0</v>
      </c>
      <c r="Z536" s="531"/>
      <c r="AA536" s="449">
        <v>0</v>
      </c>
      <c r="AB536" s="449">
        <v>0</v>
      </c>
      <c r="AC536" s="449">
        <v>0</v>
      </c>
      <c r="AD536" s="449">
        <v>0</v>
      </c>
      <c r="AE536" s="449">
        <v>0</v>
      </c>
      <c r="AF536" s="449">
        <v>0</v>
      </c>
      <c r="AG536" s="449">
        <v>0</v>
      </c>
      <c r="AH536" s="449">
        <v>0</v>
      </c>
      <c r="AI536" s="449">
        <v>0</v>
      </c>
      <c r="AJ536" s="449">
        <v>0</v>
      </c>
      <c r="AK536" s="449">
        <v>0</v>
      </c>
      <c r="AL536" s="449">
        <v>0</v>
      </c>
      <c r="AM536" s="400"/>
      <c r="AN536" s="500">
        <v>0</v>
      </c>
      <c r="AO536" s="449">
        <v>0</v>
      </c>
      <c r="AP536" s="449">
        <v>0</v>
      </c>
      <c r="AQ536" s="453" t="s">
        <v>1519</v>
      </c>
      <c r="AR536" s="449">
        <v>0</v>
      </c>
      <c r="AS536" s="449">
        <v>0</v>
      </c>
      <c r="AT536" s="426">
        <v>0</v>
      </c>
      <c r="AU536" s="421"/>
      <c r="AV536" s="449">
        <v>0</v>
      </c>
      <c r="AW536" s="449">
        <v>0</v>
      </c>
      <c r="AX536" s="449">
        <v>0</v>
      </c>
      <c r="AY536" s="449">
        <v>0</v>
      </c>
      <c r="AZ536" s="449">
        <v>0</v>
      </c>
      <c r="BA536" s="449">
        <v>0</v>
      </c>
      <c r="BB536" s="449">
        <v>0</v>
      </c>
      <c r="BC536" s="449">
        <v>0</v>
      </c>
      <c r="BD536" s="449">
        <v>0</v>
      </c>
      <c r="BE536" s="449">
        <v>0</v>
      </c>
      <c r="BF536" s="449">
        <v>0</v>
      </c>
      <c r="BG536" s="449">
        <v>0</v>
      </c>
      <c r="BH536" s="400"/>
      <c r="BI536" s="449">
        <v>0</v>
      </c>
      <c r="BJ536" s="449">
        <v>0</v>
      </c>
      <c r="BK536" s="449">
        <v>0</v>
      </c>
      <c r="BL536" s="771">
        <v>0</v>
      </c>
      <c r="BM536" s="449">
        <v>0</v>
      </c>
      <c r="BN536" s="449">
        <v>0</v>
      </c>
      <c r="BO536" s="449">
        <v>0</v>
      </c>
      <c r="BP536" s="449">
        <v>0</v>
      </c>
      <c r="BQ536" s="449">
        <v>0</v>
      </c>
      <c r="BR536" s="449">
        <v>0</v>
      </c>
      <c r="BS536" s="449">
        <v>0</v>
      </c>
      <c r="BT536" s="449">
        <v>0</v>
      </c>
      <c r="BU536" s="400"/>
      <c r="BV536" s="400"/>
    </row>
    <row r="537" spans="1:74" ht="15" customHeight="1" x14ac:dyDescent="0.25">
      <c r="A537" s="502" t="s">
        <v>911</v>
      </c>
      <c r="B537" s="502" t="s">
        <v>912</v>
      </c>
      <c r="C537" s="543"/>
      <c r="D537" s="500">
        <v>1000</v>
      </c>
      <c r="E537" s="449">
        <v>1000</v>
      </c>
      <c r="F537" s="449">
        <v>0</v>
      </c>
      <c r="G537" s="421">
        <v>0</v>
      </c>
      <c r="H537" s="449">
        <v>1000</v>
      </c>
      <c r="I537" s="449">
        <v>0</v>
      </c>
      <c r="J537" s="426">
        <v>0</v>
      </c>
      <c r="K537" s="421"/>
      <c r="L537" s="449">
        <v>0</v>
      </c>
      <c r="M537" s="449">
        <v>7500</v>
      </c>
      <c r="N537" s="449">
        <v>3390.8799999999992</v>
      </c>
      <c r="O537" s="449">
        <v>-10890.88</v>
      </c>
      <c r="P537" s="449">
        <v>11231.88</v>
      </c>
      <c r="Q537" s="449">
        <v>-11231.88</v>
      </c>
      <c r="R537" s="449">
        <v>166.66666666666666</v>
      </c>
      <c r="S537" s="449">
        <v>166.66666666666669</v>
      </c>
      <c r="T537" s="449">
        <v>166.66666666666666</v>
      </c>
      <c r="U537" s="449">
        <v>166.66666666666666</v>
      </c>
      <c r="V537" s="449">
        <v>166.66666666666669</v>
      </c>
      <c r="W537" s="449">
        <v>166.66666666666674</v>
      </c>
      <c r="X537" s="449"/>
      <c r="Y537" s="449">
        <v>1000</v>
      </c>
      <c r="Z537" s="531"/>
      <c r="AA537" s="449">
        <v>83.333333333333329</v>
      </c>
      <c r="AB537" s="449">
        <v>83.333333333333329</v>
      </c>
      <c r="AC537" s="449">
        <v>83.333333333333329</v>
      </c>
      <c r="AD537" s="449">
        <v>83.333333333333329</v>
      </c>
      <c r="AE537" s="449">
        <v>83.333333333333329</v>
      </c>
      <c r="AF537" s="449">
        <v>83.333333333333329</v>
      </c>
      <c r="AG537" s="449">
        <v>83.333333333333329</v>
      </c>
      <c r="AH537" s="449">
        <v>83.333333333333329</v>
      </c>
      <c r="AI537" s="449">
        <v>83.333333333333329</v>
      </c>
      <c r="AJ537" s="449">
        <v>83.333333333333329</v>
      </c>
      <c r="AK537" s="449">
        <v>83.333333333333329</v>
      </c>
      <c r="AL537" s="449">
        <v>83.333333333333329</v>
      </c>
      <c r="AM537" s="400"/>
      <c r="AN537" s="500">
        <v>1000</v>
      </c>
      <c r="AO537" s="449">
        <v>1000.0000000000001</v>
      </c>
      <c r="AP537" s="449">
        <v>1.1368683772161603E-13</v>
      </c>
      <c r="AQ537" s="453">
        <v>1.1368683772161603E-16</v>
      </c>
      <c r="AR537" s="449">
        <v>1000.0000000000001</v>
      </c>
      <c r="AS537" s="449">
        <v>0</v>
      </c>
      <c r="AT537" s="426">
        <v>0</v>
      </c>
      <c r="AU537" s="421"/>
      <c r="AV537" s="449">
        <v>83.333333333333329</v>
      </c>
      <c r="AW537" s="449">
        <v>83.333333333333329</v>
      </c>
      <c r="AX537" s="449">
        <v>83.333333333333329</v>
      </c>
      <c r="AY537" s="449">
        <v>83.333333333333329</v>
      </c>
      <c r="AZ537" s="449">
        <v>83.333333333333329</v>
      </c>
      <c r="BA537" s="449">
        <v>83.333333333333329</v>
      </c>
      <c r="BB537" s="449">
        <v>83.333333333333329</v>
      </c>
      <c r="BC537" s="449">
        <v>83.333333333333329</v>
      </c>
      <c r="BD537" s="449">
        <v>83.333333333333329</v>
      </c>
      <c r="BE537" s="449">
        <v>83.333333333333329</v>
      </c>
      <c r="BF537" s="449">
        <v>83.333333333333329</v>
      </c>
      <c r="BG537" s="449">
        <v>83.333333333333329</v>
      </c>
      <c r="BH537" s="400"/>
      <c r="BI537" s="449">
        <v>83.333333333333329</v>
      </c>
      <c r="BJ537" s="449">
        <v>83.333333333333329</v>
      </c>
      <c r="BK537" s="449">
        <v>83.333333333333329</v>
      </c>
      <c r="BL537" s="771">
        <v>83.333333333333329</v>
      </c>
      <c r="BM537" s="449">
        <v>83.333333333333329</v>
      </c>
      <c r="BN537" s="449">
        <v>83.333333333333329</v>
      </c>
      <c r="BO537" s="449">
        <v>83.333333333333329</v>
      </c>
      <c r="BP537" s="449">
        <v>83.333333333333329</v>
      </c>
      <c r="BQ537" s="449">
        <v>83.333333333333329</v>
      </c>
      <c r="BR537" s="449">
        <v>83.333333333333329</v>
      </c>
      <c r="BS537" s="449">
        <v>83.333333333333329</v>
      </c>
      <c r="BT537" s="449">
        <v>83.333333333333329</v>
      </c>
      <c r="BU537" s="400"/>
      <c r="BV537" s="400"/>
    </row>
    <row r="538" spans="1:74" x14ac:dyDescent="0.25">
      <c r="A538" s="612" t="s">
        <v>913</v>
      </c>
      <c r="B538" s="612" t="s">
        <v>914</v>
      </c>
      <c r="C538" s="538"/>
      <c r="D538" s="500">
        <v>3215</v>
      </c>
      <c r="E538" s="449">
        <v>3215</v>
      </c>
      <c r="F538" s="449">
        <v>0</v>
      </c>
      <c r="G538" s="421">
        <v>0</v>
      </c>
      <c r="H538" s="449">
        <v>3215</v>
      </c>
      <c r="I538" s="449">
        <v>0</v>
      </c>
      <c r="J538" s="426">
        <v>0</v>
      </c>
      <c r="K538" s="421"/>
      <c r="L538" s="449">
        <v>0</v>
      </c>
      <c r="M538" s="449">
        <v>0</v>
      </c>
      <c r="N538" s="449">
        <v>0</v>
      </c>
      <c r="O538" s="449">
        <v>0</v>
      </c>
      <c r="P538" s="449">
        <v>0</v>
      </c>
      <c r="Q538" s="449">
        <v>0</v>
      </c>
      <c r="R538" s="449">
        <v>535.83333333333337</v>
      </c>
      <c r="S538" s="449">
        <v>535.83333333333326</v>
      </c>
      <c r="T538" s="449">
        <v>535.83333333333337</v>
      </c>
      <c r="U538" s="449">
        <v>535.83333333333337</v>
      </c>
      <c r="V538" s="449">
        <v>535.83333333333326</v>
      </c>
      <c r="W538" s="449">
        <v>535.83333333333303</v>
      </c>
      <c r="X538" s="449"/>
      <c r="Y538" s="449">
        <v>3215</v>
      </c>
      <c r="Z538" s="531"/>
      <c r="AA538" s="449">
        <v>267.91666666666669</v>
      </c>
      <c r="AB538" s="449">
        <v>267.91666666666669</v>
      </c>
      <c r="AC538" s="449">
        <v>267.91666666666669</v>
      </c>
      <c r="AD538" s="449">
        <v>267.91666666666669</v>
      </c>
      <c r="AE538" s="449">
        <v>267.91666666666669</v>
      </c>
      <c r="AF538" s="449">
        <v>267.91666666666669</v>
      </c>
      <c r="AG538" s="449">
        <v>267.91666666666669</v>
      </c>
      <c r="AH538" s="449">
        <v>267.91666666666669</v>
      </c>
      <c r="AI538" s="449">
        <v>267.91666666666669</v>
      </c>
      <c r="AJ538" s="449">
        <v>267.91666666666669</v>
      </c>
      <c r="AK538" s="449">
        <v>267.91666666666669</v>
      </c>
      <c r="AL538" s="449">
        <v>267.91666666666669</v>
      </c>
      <c r="AM538" s="400"/>
      <c r="AN538" s="500">
        <v>3215</v>
      </c>
      <c r="AO538" s="449">
        <v>3535.2088353413656</v>
      </c>
      <c r="AP538" s="449">
        <v>320.20883534136556</v>
      </c>
      <c r="AQ538" s="453">
        <v>9.9598393574297214E-2</v>
      </c>
      <c r="AR538" s="449">
        <v>3535.2088353413656</v>
      </c>
      <c r="AS538" s="449">
        <v>0</v>
      </c>
      <c r="AT538" s="426">
        <v>0</v>
      </c>
      <c r="AU538" s="421"/>
      <c r="AV538" s="449">
        <v>294.60073627844713</v>
      </c>
      <c r="AW538" s="449">
        <v>294.60073627844713</v>
      </c>
      <c r="AX538" s="449">
        <v>294.60073627844713</v>
      </c>
      <c r="AY538" s="449">
        <v>294.60073627844713</v>
      </c>
      <c r="AZ538" s="449">
        <v>294.60073627844713</v>
      </c>
      <c r="BA538" s="449">
        <v>294.60073627844713</v>
      </c>
      <c r="BB538" s="449">
        <v>294.60073627844713</v>
      </c>
      <c r="BC538" s="449">
        <v>294.60073627844713</v>
      </c>
      <c r="BD538" s="449">
        <v>294.60073627844713</v>
      </c>
      <c r="BE538" s="449">
        <v>294.60073627844713</v>
      </c>
      <c r="BF538" s="449">
        <v>294.60073627844713</v>
      </c>
      <c r="BG538" s="449">
        <v>294.60073627844713</v>
      </c>
      <c r="BH538" s="400"/>
      <c r="BI538" s="449">
        <v>294.60073627844713</v>
      </c>
      <c r="BJ538" s="449">
        <v>294.60073627844713</v>
      </c>
      <c r="BK538" s="449">
        <v>294.60073627844713</v>
      </c>
      <c r="BL538" s="771">
        <v>294.60073627844713</v>
      </c>
      <c r="BM538" s="449">
        <v>294.60073627844713</v>
      </c>
      <c r="BN538" s="449">
        <v>294.60073627844713</v>
      </c>
      <c r="BO538" s="449">
        <v>294.60073627844713</v>
      </c>
      <c r="BP538" s="449">
        <v>294.60073627844713</v>
      </c>
      <c r="BQ538" s="449">
        <v>294.60073627844713</v>
      </c>
      <c r="BR538" s="449">
        <v>294.60073627844713</v>
      </c>
      <c r="BS538" s="449">
        <v>294.60073627844713</v>
      </c>
      <c r="BT538" s="449">
        <v>294.60073627844713</v>
      </c>
      <c r="BU538" s="400"/>
      <c r="BV538" s="400"/>
    </row>
    <row r="539" spans="1:74" hidden="1" x14ac:dyDescent="0.25">
      <c r="A539" s="614" t="s">
        <v>915</v>
      </c>
      <c r="B539" s="614" t="s">
        <v>916</v>
      </c>
      <c r="C539" s="630"/>
      <c r="D539" s="500">
        <v>0</v>
      </c>
      <c r="E539" s="449">
        <v>0</v>
      </c>
      <c r="F539" s="449">
        <v>0</v>
      </c>
      <c r="G539" s="421">
        <v>0</v>
      </c>
      <c r="H539" s="449">
        <v>0</v>
      </c>
      <c r="I539" s="449">
        <v>0</v>
      </c>
      <c r="J539" s="426">
        <v>0</v>
      </c>
      <c r="K539" s="421"/>
      <c r="L539" s="449">
        <v>0</v>
      </c>
      <c r="M539" s="449">
        <v>0</v>
      </c>
      <c r="N539" s="449">
        <v>0</v>
      </c>
      <c r="O539" s="449">
        <v>0</v>
      </c>
      <c r="P539" s="449">
        <v>0</v>
      </c>
      <c r="Q539" s="449">
        <v>0</v>
      </c>
      <c r="R539" s="449">
        <v>0</v>
      </c>
      <c r="S539" s="449">
        <v>0</v>
      </c>
      <c r="T539" s="449">
        <v>0</v>
      </c>
      <c r="U539" s="449">
        <v>0</v>
      </c>
      <c r="V539" s="449">
        <v>0</v>
      </c>
      <c r="W539" s="449">
        <v>0</v>
      </c>
      <c r="X539" s="449"/>
      <c r="Y539" s="449">
        <v>0</v>
      </c>
      <c r="Z539" s="531"/>
      <c r="AA539" s="449">
        <v>0</v>
      </c>
      <c r="AB539" s="449">
        <v>0</v>
      </c>
      <c r="AC539" s="449">
        <v>0</v>
      </c>
      <c r="AD539" s="449">
        <v>0</v>
      </c>
      <c r="AE539" s="449">
        <v>0</v>
      </c>
      <c r="AF539" s="449">
        <v>0</v>
      </c>
      <c r="AG539" s="449">
        <v>0</v>
      </c>
      <c r="AH539" s="449">
        <v>0</v>
      </c>
      <c r="AI539" s="449">
        <v>0</v>
      </c>
      <c r="AJ539" s="449">
        <v>0</v>
      </c>
      <c r="AK539" s="449">
        <v>0</v>
      </c>
      <c r="AL539" s="449">
        <v>0</v>
      </c>
      <c r="AM539" s="400"/>
      <c r="AN539" s="500">
        <v>0</v>
      </c>
      <c r="AO539" s="449">
        <v>0</v>
      </c>
      <c r="AP539" s="449">
        <v>0</v>
      </c>
      <c r="AQ539" s="453" t="s">
        <v>1519</v>
      </c>
      <c r="AR539" s="449">
        <v>0</v>
      </c>
      <c r="AS539" s="449">
        <v>0</v>
      </c>
      <c r="AT539" s="426">
        <v>0</v>
      </c>
      <c r="AU539" s="421"/>
      <c r="AV539" s="449">
        <v>0</v>
      </c>
      <c r="AW539" s="449">
        <v>0</v>
      </c>
      <c r="AX539" s="449">
        <v>0</v>
      </c>
      <c r="AY539" s="449">
        <v>0</v>
      </c>
      <c r="AZ539" s="449">
        <v>0</v>
      </c>
      <c r="BA539" s="449">
        <v>0</v>
      </c>
      <c r="BB539" s="449">
        <v>0</v>
      </c>
      <c r="BC539" s="449">
        <v>0</v>
      </c>
      <c r="BD539" s="449">
        <v>0</v>
      </c>
      <c r="BE539" s="449">
        <v>0</v>
      </c>
      <c r="BF539" s="449">
        <v>0</v>
      </c>
      <c r="BG539" s="449">
        <v>0</v>
      </c>
      <c r="BH539" s="400"/>
      <c r="BI539" s="449">
        <v>0</v>
      </c>
      <c r="BJ539" s="449">
        <v>0</v>
      </c>
      <c r="BK539" s="449">
        <v>0</v>
      </c>
      <c r="BL539" s="771">
        <v>0</v>
      </c>
      <c r="BM539" s="449">
        <v>0</v>
      </c>
      <c r="BN539" s="449">
        <v>0</v>
      </c>
      <c r="BO539" s="449">
        <v>0</v>
      </c>
      <c r="BP539" s="449">
        <v>0</v>
      </c>
      <c r="BQ539" s="449">
        <v>0</v>
      </c>
      <c r="BR539" s="449">
        <v>0</v>
      </c>
      <c r="BS539" s="449">
        <v>0</v>
      </c>
      <c r="BT539" s="449">
        <v>0</v>
      </c>
      <c r="BU539" s="400"/>
      <c r="BV539" s="400"/>
    </row>
    <row r="540" spans="1:74" hidden="1" x14ac:dyDescent="0.25">
      <c r="A540" s="614" t="s">
        <v>917</v>
      </c>
      <c r="B540" s="614" t="s">
        <v>918</v>
      </c>
      <c r="C540" s="541"/>
      <c r="D540" s="500">
        <v>0</v>
      </c>
      <c r="E540" s="449">
        <v>0</v>
      </c>
      <c r="F540" s="449">
        <v>0</v>
      </c>
      <c r="G540" s="421">
        <v>0</v>
      </c>
      <c r="H540" s="449">
        <v>0</v>
      </c>
      <c r="I540" s="449">
        <v>0</v>
      </c>
      <c r="J540" s="426">
        <v>0</v>
      </c>
      <c r="K540" s="421"/>
      <c r="L540" s="449">
        <v>0</v>
      </c>
      <c r="M540" s="449">
        <v>0</v>
      </c>
      <c r="N540" s="449">
        <v>0</v>
      </c>
      <c r="O540" s="449">
        <v>0</v>
      </c>
      <c r="P540" s="449">
        <v>0</v>
      </c>
      <c r="Q540" s="449">
        <v>0</v>
      </c>
      <c r="R540" s="449">
        <v>0</v>
      </c>
      <c r="S540" s="449">
        <v>0</v>
      </c>
      <c r="T540" s="449">
        <v>0</v>
      </c>
      <c r="U540" s="449">
        <v>0</v>
      </c>
      <c r="V540" s="449">
        <v>0</v>
      </c>
      <c r="W540" s="449">
        <v>0</v>
      </c>
      <c r="X540" s="449"/>
      <c r="Y540" s="449">
        <v>0</v>
      </c>
      <c r="Z540" s="531"/>
      <c r="AA540" s="449">
        <v>0</v>
      </c>
      <c r="AB540" s="449">
        <v>0</v>
      </c>
      <c r="AC540" s="449">
        <v>0</v>
      </c>
      <c r="AD540" s="449">
        <v>0</v>
      </c>
      <c r="AE540" s="449">
        <v>0</v>
      </c>
      <c r="AF540" s="449">
        <v>0</v>
      </c>
      <c r="AG540" s="449">
        <v>0</v>
      </c>
      <c r="AH540" s="449">
        <v>0</v>
      </c>
      <c r="AI540" s="449">
        <v>0</v>
      </c>
      <c r="AJ540" s="449">
        <v>0</v>
      </c>
      <c r="AK540" s="449">
        <v>0</v>
      </c>
      <c r="AL540" s="449">
        <v>0</v>
      </c>
      <c r="AM540" s="400"/>
      <c r="AN540" s="500">
        <v>0</v>
      </c>
      <c r="AO540" s="449">
        <v>0</v>
      </c>
      <c r="AP540" s="449">
        <v>0</v>
      </c>
      <c r="AQ540" s="453" t="s">
        <v>1519</v>
      </c>
      <c r="AR540" s="449">
        <v>0</v>
      </c>
      <c r="AS540" s="449">
        <v>0</v>
      </c>
      <c r="AT540" s="426">
        <v>0</v>
      </c>
      <c r="AU540" s="421"/>
      <c r="AV540" s="449">
        <v>0</v>
      </c>
      <c r="AW540" s="449">
        <v>0</v>
      </c>
      <c r="AX540" s="449">
        <v>0</v>
      </c>
      <c r="AY540" s="449">
        <v>0</v>
      </c>
      <c r="AZ540" s="449">
        <v>0</v>
      </c>
      <c r="BA540" s="449">
        <v>0</v>
      </c>
      <c r="BB540" s="449">
        <v>0</v>
      </c>
      <c r="BC540" s="449">
        <v>0</v>
      </c>
      <c r="BD540" s="449">
        <v>0</v>
      </c>
      <c r="BE540" s="449">
        <v>0</v>
      </c>
      <c r="BF540" s="449">
        <v>0</v>
      </c>
      <c r="BG540" s="449">
        <v>0</v>
      </c>
      <c r="BH540" s="400"/>
      <c r="BI540" s="449">
        <v>0</v>
      </c>
      <c r="BJ540" s="449">
        <v>0</v>
      </c>
      <c r="BK540" s="449">
        <v>0</v>
      </c>
      <c r="BL540" s="771">
        <v>0</v>
      </c>
      <c r="BM540" s="449">
        <v>0</v>
      </c>
      <c r="BN540" s="449">
        <v>0</v>
      </c>
      <c r="BO540" s="449">
        <v>0</v>
      </c>
      <c r="BP540" s="449">
        <v>0</v>
      </c>
      <c r="BQ540" s="449">
        <v>0</v>
      </c>
      <c r="BR540" s="449">
        <v>0</v>
      </c>
      <c r="BS540" s="449">
        <v>0</v>
      </c>
      <c r="BT540" s="449">
        <v>0</v>
      </c>
      <c r="BU540" s="400"/>
      <c r="BV540" s="400"/>
    </row>
    <row r="541" spans="1:74" hidden="1" x14ac:dyDescent="0.25">
      <c r="A541" s="614" t="s">
        <v>919</v>
      </c>
      <c r="B541" s="614" t="s">
        <v>920</v>
      </c>
      <c r="C541" s="541"/>
      <c r="D541" s="500">
        <v>0</v>
      </c>
      <c r="E541" s="449">
        <v>0</v>
      </c>
      <c r="F541" s="449">
        <v>0</v>
      </c>
      <c r="G541" s="421">
        <v>0</v>
      </c>
      <c r="H541" s="449">
        <v>0</v>
      </c>
      <c r="I541" s="449">
        <v>0</v>
      </c>
      <c r="J541" s="426">
        <v>0</v>
      </c>
      <c r="K541" s="421"/>
      <c r="L541" s="449">
        <v>0</v>
      </c>
      <c r="M541" s="449">
        <v>0</v>
      </c>
      <c r="N541" s="449">
        <v>0</v>
      </c>
      <c r="O541" s="449">
        <v>0</v>
      </c>
      <c r="P541" s="449">
        <v>0</v>
      </c>
      <c r="Q541" s="449">
        <v>0</v>
      </c>
      <c r="R541" s="449">
        <v>0</v>
      </c>
      <c r="S541" s="449">
        <v>0</v>
      </c>
      <c r="T541" s="449">
        <v>0</v>
      </c>
      <c r="U541" s="449">
        <v>0</v>
      </c>
      <c r="V541" s="449">
        <v>0</v>
      </c>
      <c r="W541" s="449">
        <v>0</v>
      </c>
      <c r="X541" s="449"/>
      <c r="Y541" s="449">
        <v>0</v>
      </c>
      <c r="Z541" s="531"/>
      <c r="AA541" s="449">
        <v>0</v>
      </c>
      <c r="AB541" s="449">
        <v>0</v>
      </c>
      <c r="AC541" s="449">
        <v>0</v>
      </c>
      <c r="AD541" s="449">
        <v>0</v>
      </c>
      <c r="AE541" s="449">
        <v>0</v>
      </c>
      <c r="AF541" s="449">
        <v>0</v>
      </c>
      <c r="AG541" s="449">
        <v>0</v>
      </c>
      <c r="AH541" s="449">
        <v>0</v>
      </c>
      <c r="AI541" s="449">
        <v>0</v>
      </c>
      <c r="AJ541" s="449">
        <v>0</v>
      </c>
      <c r="AK541" s="449">
        <v>0</v>
      </c>
      <c r="AL541" s="449">
        <v>0</v>
      </c>
      <c r="AM541" s="400"/>
      <c r="AN541" s="500">
        <v>0</v>
      </c>
      <c r="AO541" s="449">
        <v>0</v>
      </c>
      <c r="AP541" s="449">
        <v>0</v>
      </c>
      <c r="AQ541" s="453" t="s">
        <v>1519</v>
      </c>
      <c r="AR541" s="449">
        <v>0</v>
      </c>
      <c r="AS541" s="449">
        <v>0</v>
      </c>
      <c r="AT541" s="426">
        <v>0</v>
      </c>
      <c r="AU541" s="421"/>
      <c r="AV541" s="449">
        <v>0</v>
      </c>
      <c r="AW541" s="449">
        <v>0</v>
      </c>
      <c r="AX541" s="449">
        <v>0</v>
      </c>
      <c r="AY541" s="449">
        <v>0</v>
      </c>
      <c r="AZ541" s="449">
        <v>0</v>
      </c>
      <c r="BA541" s="449">
        <v>0</v>
      </c>
      <c r="BB541" s="449">
        <v>0</v>
      </c>
      <c r="BC541" s="449">
        <v>0</v>
      </c>
      <c r="BD541" s="449">
        <v>0</v>
      </c>
      <c r="BE541" s="449">
        <v>0</v>
      </c>
      <c r="BF541" s="449">
        <v>0</v>
      </c>
      <c r="BG541" s="449">
        <v>0</v>
      </c>
      <c r="BH541" s="400"/>
      <c r="BI541" s="449">
        <v>0</v>
      </c>
      <c r="BJ541" s="449">
        <v>0</v>
      </c>
      <c r="BK541" s="449">
        <v>0</v>
      </c>
      <c r="BL541" s="771">
        <v>0</v>
      </c>
      <c r="BM541" s="449">
        <v>0</v>
      </c>
      <c r="BN541" s="449">
        <v>0</v>
      </c>
      <c r="BO541" s="449">
        <v>0</v>
      </c>
      <c r="BP541" s="449">
        <v>0</v>
      </c>
      <c r="BQ541" s="449">
        <v>0</v>
      </c>
      <c r="BR541" s="449">
        <v>0</v>
      </c>
      <c r="BS541" s="449">
        <v>0</v>
      </c>
      <c r="BT541" s="449">
        <v>0</v>
      </c>
      <c r="BU541" s="400"/>
      <c r="BV541" s="400"/>
    </row>
    <row r="542" spans="1:74" hidden="1" x14ac:dyDescent="0.25">
      <c r="A542" s="614" t="s">
        <v>921</v>
      </c>
      <c r="B542" s="614" t="s">
        <v>922</v>
      </c>
      <c r="C542" s="541"/>
      <c r="D542" s="500">
        <v>0</v>
      </c>
      <c r="E542" s="449">
        <v>0</v>
      </c>
      <c r="F542" s="449">
        <v>0</v>
      </c>
      <c r="G542" s="421">
        <v>0</v>
      </c>
      <c r="H542" s="449">
        <v>0</v>
      </c>
      <c r="I542" s="449">
        <v>0</v>
      </c>
      <c r="J542" s="426">
        <v>0</v>
      </c>
      <c r="K542" s="421"/>
      <c r="L542" s="449">
        <v>0</v>
      </c>
      <c r="M542" s="449">
        <v>0</v>
      </c>
      <c r="N542" s="449">
        <v>0</v>
      </c>
      <c r="O542" s="449">
        <v>0</v>
      </c>
      <c r="P542" s="449">
        <v>0</v>
      </c>
      <c r="Q542" s="449">
        <v>0</v>
      </c>
      <c r="R542" s="449">
        <v>0</v>
      </c>
      <c r="S542" s="449">
        <v>0</v>
      </c>
      <c r="T542" s="449">
        <v>0</v>
      </c>
      <c r="U542" s="449">
        <v>0</v>
      </c>
      <c r="V542" s="449">
        <v>0</v>
      </c>
      <c r="W542" s="449">
        <v>0</v>
      </c>
      <c r="X542" s="449"/>
      <c r="Y542" s="449">
        <v>0</v>
      </c>
      <c r="Z542" s="531"/>
      <c r="AA542" s="449">
        <v>0</v>
      </c>
      <c r="AB542" s="449">
        <v>0</v>
      </c>
      <c r="AC542" s="449">
        <v>0</v>
      </c>
      <c r="AD542" s="449">
        <v>0</v>
      </c>
      <c r="AE542" s="449">
        <v>0</v>
      </c>
      <c r="AF542" s="449">
        <v>0</v>
      </c>
      <c r="AG542" s="449">
        <v>0</v>
      </c>
      <c r="AH542" s="449">
        <v>0</v>
      </c>
      <c r="AI542" s="449">
        <v>0</v>
      </c>
      <c r="AJ542" s="449">
        <v>0</v>
      </c>
      <c r="AK542" s="449">
        <v>0</v>
      </c>
      <c r="AL542" s="449">
        <v>0</v>
      </c>
      <c r="AM542" s="400"/>
      <c r="AN542" s="500">
        <v>0</v>
      </c>
      <c r="AO542" s="449">
        <v>0</v>
      </c>
      <c r="AP542" s="449">
        <v>0</v>
      </c>
      <c r="AQ542" s="453" t="s">
        <v>1519</v>
      </c>
      <c r="AR542" s="449">
        <v>0</v>
      </c>
      <c r="AS542" s="449">
        <v>0</v>
      </c>
      <c r="AT542" s="426">
        <v>0</v>
      </c>
      <c r="AU542" s="421"/>
      <c r="AV542" s="449">
        <v>0</v>
      </c>
      <c r="AW542" s="449">
        <v>0</v>
      </c>
      <c r="AX542" s="449">
        <v>0</v>
      </c>
      <c r="AY542" s="449">
        <v>0</v>
      </c>
      <c r="AZ542" s="449">
        <v>0</v>
      </c>
      <c r="BA542" s="449">
        <v>0</v>
      </c>
      <c r="BB542" s="449">
        <v>0</v>
      </c>
      <c r="BC542" s="449">
        <v>0</v>
      </c>
      <c r="BD542" s="449">
        <v>0</v>
      </c>
      <c r="BE542" s="449">
        <v>0</v>
      </c>
      <c r="BF542" s="449">
        <v>0</v>
      </c>
      <c r="BG542" s="449">
        <v>0</v>
      </c>
      <c r="BH542" s="400"/>
      <c r="BI542" s="449">
        <v>0</v>
      </c>
      <c r="BJ542" s="449">
        <v>0</v>
      </c>
      <c r="BK542" s="449">
        <v>0</v>
      </c>
      <c r="BL542" s="771">
        <v>0</v>
      </c>
      <c r="BM542" s="449">
        <v>0</v>
      </c>
      <c r="BN542" s="449">
        <v>0</v>
      </c>
      <c r="BO542" s="449">
        <v>0</v>
      </c>
      <c r="BP542" s="449">
        <v>0</v>
      </c>
      <c r="BQ542" s="449">
        <v>0</v>
      </c>
      <c r="BR542" s="449">
        <v>0</v>
      </c>
      <c r="BS542" s="449">
        <v>0</v>
      </c>
      <c r="BT542" s="449">
        <v>0</v>
      </c>
      <c r="BU542" s="400"/>
      <c r="BV542" s="400"/>
    </row>
    <row r="543" spans="1:74" x14ac:dyDescent="0.25">
      <c r="A543" s="502" t="s">
        <v>923</v>
      </c>
      <c r="B543" s="502" t="s">
        <v>924</v>
      </c>
      <c r="C543" s="538" t="s">
        <v>925</v>
      </c>
      <c r="D543" s="500">
        <v>75397</v>
      </c>
      <c r="E543" s="449">
        <v>75396</v>
      </c>
      <c r="F543" s="449">
        <v>1</v>
      </c>
      <c r="G543" s="421">
        <v>1.3263303093002282E-5</v>
      </c>
      <c r="H543" s="449">
        <v>75397</v>
      </c>
      <c r="I543" s="449">
        <v>0</v>
      </c>
      <c r="J543" s="426">
        <v>0</v>
      </c>
      <c r="K543" s="421"/>
      <c r="L543" s="449">
        <v>100</v>
      </c>
      <c r="M543" s="449">
        <v>47111</v>
      </c>
      <c r="N543" s="449">
        <v>0</v>
      </c>
      <c r="O543" s="449">
        <v>0</v>
      </c>
      <c r="P543" s="449">
        <v>0</v>
      </c>
      <c r="Q543" s="449">
        <v>0</v>
      </c>
      <c r="R543" s="449">
        <v>4697.666666666667</v>
      </c>
      <c r="S543" s="449">
        <v>4697.666666666667</v>
      </c>
      <c r="T543" s="449">
        <v>4697.6666666666679</v>
      </c>
      <c r="U543" s="449">
        <v>4697.666666666667</v>
      </c>
      <c r="V543" s="449">
        <v>4697.6666666666642</v>
      </c>
      <c r="W543" s="449">
        <v>4697.666666666657</v>
      </c>
      <c r="X543" s="449"/>
      <c r="Y543" s="449">
        <v>75397</v>
      </c>
      <c r="Z543" s="531"/>
      <c r="AA543" s="449">
        <v>6283.083333333333</v>
      </c>
      <c r="AB543" s="449">
        <v>6283.083333333333</v>
      </c>
      <c r="AC543" s="449">
        <v>6283.083333333333</v>
      </c>
      <c r="AD543" s="449">
        <v>6283.083333333333</v>
      </c>
      <c r="AE543" s="449">
        <v>6283.083333333333</v>
      </c>
      <c r="AF543" s="449">
        <v>6283.083333333333</v>
      </c>
      <c r="AG543" s="449">
        <v>6283.083333333333</v>
      </c>
      <c r="AH543" s="449">
        <v>6283.083333333333</v>
      </c>
      <c r="AI543" s="449">
        <v>6283.083333333333</v>
      </c>
      <c r="AJ543" s="449">
        <v>6283.083333333333</v>
      </c>
      <c r="AK543" s="449">
        <v>6283.083333333333</v>
      </c>
      <c r="AL543" s="449">
        <v>6283.083333333333</v>
      </c>
      <c r="AM543" s="400"/>
      <c r="AN543" s="500">
        <v>75397</v>
      </c>
      <c r="AO543" s="449">
        <v>82906.420080321303</v>
      </c>
      <c r="AP543" s="449">
        <v>7509.4200803213025</v>
      </c>
      <c r="AQ543" s="453">
        <v>9.9598393574297422E-2</v>
      </c>
      <c r="AR543" s="449">
        <v>82906.420080321303</v>
      </c>
      <c r="AS543" s="449">
        <v>0</v>
      </c>
      <c r="AT543" s="426">
        <v>0</v>
      </c>
      <c r="AU543" s="421"/>
      <c r="AV543" s="449">
        <v>6908.8683400267737</v>
      </c>
      <c r="AW543" s="449">
        <v>6908.8683400267737</v>
      </c>
      <c r="AX543" s="449">
        <v>6908.8683400267737</v>
      </c>
      <c r="AY543" s="449">
        <v>6908.8683400267737</v>
      </c>
      <c r="AZ543" s="449">
        <v>6908.8683400267737</v>
      </c>
      <c r="BA543" s="449">
        <v>6908.8683400267737</v>
      </c>
      <c r="BB543" s="449">
        <v>6908.8683400267737</v>
      </c>
      <c r="BC543" s="449">
        <v>6908.8683400267737</v>
      </c>
      <c r="BD543" s="449">
        <v>6908.8683400267737</v>
      </c>
      <c r="BE543" s="449">
        <v>6908.8683400267737</v>
      </c>
      <c r="BF543" s="449">
        <v>6908.8683400267737</v>
      </c>
      <c r="BG543" s="449">
        <v>6908.8683400267737</v>
      </c>
      <c r="BH543" s="400"/>
      <c r="BI543" s="449">
        <v>6908.8683400267737</v>
      </c>
      <c r="BJ543" s="449">
        <v>6908.8683400267737</v>
      </c>
      <c r="BK543" s="449">
        <v>6908.8683400267737</v>
      </c>
      <c r="BL543" s="771">
        <v>6908.8683400267737</v>
      </c>
      <c r="BM543" s="449">
        <v>6908.8683400267737</v>
      </c>
      <c r="BN543" s="449">
        <v>6908.8683400267737</v>
      </c>
      <c r="BO543" s="449">
        <v>6908.8683400267737</v>
      </c>
      <c r="BP543" s="449">
        <v>6908.8683400267737</v>
      </c>
      <c r="BQ543" s="449">
        <v>6908.8683400267737</v>
      </c>
      <c r="BR543" s="449">
        <v>6908.8683400267737</v>
      </c>
      <c r="BS543" s="449">
        <v>6908.8683400267737</v>
      </c>
      <c r="BT543" s="449">
        <v>6908.8683400267737</v>
      </c>
      <c r="BU543" s="400"/>
      <c r="BV543" s="400"/>
    </row>
    <row r="544" spans="1:74" x14ac:dyDescent="0.25">
      <c r="A544" s="502" t="s">
        <v>926</v>
      </c>
      <c r="B544" s="502" t="s">
        <v>927</v>
      </c>
      <c r="C544" s="603">
        <v>5.0000000000000001E-3</v>
      </c>
      <c r="D544" s="500">
        <v>0</v>
      </c>
      <c r="E544" s="449">
        <v>0</v>
      </c>
      <c r="F544" s="449">
        <v>0</v>
      </c>
      <c r="G544" s="421">
        <v>0</v>
      </c>
      <c r="H544" s="449">
        <v>0</v>
      </c>
      <c r="I544" s="449">
        <v>0</v>
      </c>
      <c r="J544" s="426">
        <v>0</v>
      </c>
      <c r="K544" s="421"/>
      <c r="L544" s="449">
        <v>0</v>
      </c>
      <c r="M544" s="449">
        <v>0</v>
      </c>
      <c r="N544" s="449">
        <v>0</v>
      </c>
      <c r="O544" s="449">
        <v>0</v>
      </c>
      <c r="P544" s="449">
        <v>0</v>
      </c>
      <c r="Q544" s="449">
        <v>0</v>
      </c>
      <c r="R544" s="449">
        <v>0</v>
      </c>
      <c r="S544" s="449">
        <v>0</v>
      </c>
      <c r="T544" s="449">
        <v>0</v>
      </c>
      <c r="U544" s="449">
        <v>0</v>
      </c>
      <c r="V544" s="449">
        <v>0</v>
      </c>
      <c r="W544" s="449">
        <v>0</v>
      </c>
      <c r="X544" s="449"/>
      <c r="Y544" s="449">
        <v>0</v>
      </c>
      <c r="Z544" s="531"/>
      <c r="AA544" s="449">
        <v>0</v>
      </c>
      <c r="AB544" s="449">
        <v>0</v>
      </c>
      <c r="AC544" s="449">
        <v>0</v>
      </c>
      <c r="AD544" s="449">
        <v>0</v>
      </c>
      <c r="AE544" s="449">
        <v>0</v>
      </c>
      <c r="AF544" s="449">
        <v>0</v>
      </c>
      <c r="AG544" s="449">
        <v>0</v>
      </c>
      <c r="AH544" s="449">
        <v>0</v>
      </c>
      <c r="AI544" s="449">
        <v>0</v>
      </c>
      <c r="AJ544" s="449">
        <v>0</v>
      </c>
      <c r="AK544" s="449">
        <v>0</v>
      </c>
      <c r="AL544" s="449">
        <v>0</v>
      </c>
      <c r="AM544" s="400"/>
      <c r="AN544" s="500">
        <v>0</v>
      </c>
      <c r="AO544" s="449">
        <v>0</v>
      </c>
      <c r="AP544" s="449">
        <v>0</v>
      </c>
      <c r="AQ544" s="453" t="s">
        <v>1519</v>
      </c>
      <c r="AR544" s="449">
        <v>0</v>
      </c>
      <c r="AS544" s="449">
        <v>0</v>
      </c>
      <c r="AT544" s="426">
        <v>0</v>
      </c>
      <c r="AU544" s="421"/>
      <c r="AV544" s="449">
        <v>0</v>
      </c>
      <c r="AW544" s="449">
        <v>0</v>
      </c>
      <c r="AX544" s="449">
        <v>0</v>
      </c>
      <c r="AY544" s="449">
        <v>0</v>
      </c>
      <c r="AZ544" s="449">
        <v>0</v>
      </c>
      <c r="BA544" s="449">
        <v>0</v>
      </c>
      <c r="BB544" s="449">
        <v>0</v>
      </c>
      <c r="BC544" s="449">
        <v>0</v>
      </c>
      <c r="BD544" s="449">
        <v>0</v>
      </c>
      <c r="BE544" s="449">
        <v>0</v>
      </c>
      <c r="BF544" s="449">
        <v>0</v>
      </c>
      <c r="BG544" s="449">
        <v>0</v>
      </c>
      <c r="BH544" s="400"/>
      <c r="BI544" s="449">
        <v>0</v>
      </c>
      <c r="BJ544" s="449">
        <v>0</v>
      </c>
      <c r="BK544" s="449">
        <v>0</v>
      </c>
      <c r="BL544" s="771">
        <v>0</v>
      </c>
      <c r="BM544" s="449">
        <v>0</v>
      </c>
      <c r="BN544" s="449">
        <v>0</v>
      </c>
      <c r="BO544" s="449">
        <v>0</v>
      </c>
      <c r="BP544" s="449">
        <v>0</v>
      </c>
      <c r="BQ544" s="449">
        <v>0</v>
      </c>
      <c r="BR544" s="449">
        <v>0</v>
      </c>
      <c r="BS544" s="449">
        <v>0</v>
      </c>
      <c r="BT544" s="449">
        <v>0</v>
      </c>
      <c r="BU544" s="400"/>
      <c r="BV544" s="400"/>
    </row>
    <row r="545" spans="1:74" x14ac:dyDescent="0.25">
      <c r="A545" s="502" t="s">
        <v>928</v>
      </c>
      <c r="B545" s="502" t="s">
        <v>929</v>
      </c>
      <c r="C545" s="603">
        <v>6.7000000000000002E-3</v>
      </c>
      <c r="D545" s="500">
        <v>55173</v>
      </c>
      <c r="E545" s="449">
        <v>56385</v>
      </c>
      <c r="F545" s="449">
        <v>-1212</v>
      </c>
      <c r="G545" s="421">
        <v>-2.1495078478318701E-2</v>
      </c>
      <c r="H545" s="449">
        <v>55173</v>
      </c>
      <c r="I545" s="449">
        <v>0</v>
      </c>
      <c r="J545" s="426">
        <v>0</v>
      </c>
      <c r="K545" s="421"/>
      <c r="L545" s="449">
        <v>3480.46</v>
      </c>
      <c r="M545" s="449">
        <v>7106.6600000000008</v>
      </c>
      <c r="N545" s="449">
        <v>6183.24</v>
      </c>
      <c r="O545" s="449">
        <v>7987.8999999999978</v>
      </c>
      <c r="P545" s="449">
        <v>7616.4500000000007</v>
      </c>
      <c r="Q545" s="449">
        <v>7315.5200000000041</v>
      </c>
      <c r="R545" s="449">
        <v>2580.4616666666661</v>
      </c>
      <c r="S545" s="449">
        <v>2580.461666666667</v>
      </c>
      <c r="T545" s="449">
        <v>2580.4616666666661</v>
      </c>
      <c r="U545" s="449">
        <v>2580.4616666666648</v>
      </c>
      <c r="V545" s="449">
        <v>2580.4616666666661</v>
      </c>
      <c r="W545" s="449">
        <v>2580.4616666666698</v>
      </c>
      <c r="X545" s="449"/>
      <c r="Y545" s="449">
        <v>55173</v>
      </c>
      <c r="Z545" s="531"/>
      <c r="AA545" s="449">
        <v>4597.75</v>
      </c>
      <c r="AB545" s="449">
        <v>4597.75</v>
      </c>
      <c r="AC545" s="449">
        <v>4597.75</v>
      </c>
      <c r="AD545" s="449">
        <v>4597.75</v>
      </c>
      <c r="AE545" s="449">
        <v>4597.75</v>
      </c>
      <c r="AF545" s="449">
        <v>4597.75</v>
      </c>
      <c r="AG545" s="449">
        <v>4597.75</v>
      </c>
      <c r="AH545" s="449">
        <v>4597.75</v>
      </c>
      <c r="AI545" s="449">
        <v>4597.75</v>
      </c>
      <c r="AJ545" s="449">
        <v>4597.75</v>
      </c>
      <c r="AK545" s="449">
        <v>4597.75</v>
      </c>
      <c r="AL545" s="449">
        <v>4597.75</v>
      </c>
      <c r="AM545" s="400"/>
      <c r="AN545" s="500">
        <v>55173</v>
      </c>
      <c r="AO545" s="449">
        <v>57918.110000000015</v>
      </c>
      <c r="AP545" s="449">
        <v>2745.1100000000151</v>
      </c>
      <c r="AQ545" s="453">
        <v>4.975459010748038E-2</v>
      </c>
      <c r="AR545" s="449">
        <v>57918.110000000015</v>
      </c>
      <c r="AS545" s="449">
        <v>0</v>
      </c>
      <c r="AT545" s="426">
        <v>0</v>
      </c>
      <c r="AU545" s="421"/>
      <c r="AV545" s="449">
        <v>4826.5091666666667</v>
      </c>
      <c r="AW545" s="449">
        <v>4826.5091666666667</v>
      </c>
      <c r="AX545" s="449">
        <v>4826.5091666666667</v>
      </c>
      <c r="AY545" s="449">
        <v>4826.5091666666667</v>
      </c>
      <c r="AZ545" s="449">
        <v>4826.5091666666667</v>
      </c>
      <c r="BA545" s="449">
        <v>4826.5091666666667</v>
      </c>
      <c r="BB545" s="449">
        <v>4826.5091666666667</v>
      </c>
      <c r="BC545" s="449">
        <v>4826.5091666666667</v>
      </c>
      <c r="BD545" s="449">
        <v>4826.5091666666667</v>
      </c>
      <c r="BE545" s="449">
        <v>4826.5091666666667</v>
      </c>
      <c r="BF545" s="449">
        <v>4826.5091666666667</v>
      </c>
      <c r="BG545" s="449">
        <v>4826.5091666666667</v>
      </c>
      <c r="BH545" s="400"/>
      <c r="BI545" s="449">
        <v>4826.5091666666667</v>
      </c>
      <c r="BJ545" s="449">
        <v>4826.5091666666667</v>
      </c>
      <c r="BK545" s="449">
        <v>4826.5091666666667</v>
      </c>
      <c r="BL545" s="771">
        <v>4826.5091666666667</v>
      </c>
      <c r="BM545" s="449">
        <v>4826.5091666666667</v>
      </c>
      <c r="BN545" s="449">
        <v>4826.5091666666667</v>
      </c>
      <c r="BO545" s="449">
        <v>4826.5091666666667</v>
      </c>
      <c r="BP545" s="449">
        <v>4826.5091666666667</v>
      </c>
      <c r="BQ545" s="449">
        <v>4826.5091666666667</v>
      </c>
      <c r="BR545" s="449">
        <v>4826.5091666666667</v>
      </c>
      <c r="BS545" s="449">
        <v>4826.5091666666667</v>
      </c>
      <c r="BT545" s="449">
        <v>4826.5091666666667</v>
      </c>
      <c r="BU545" s="400"/>
      <c r="BV545" s="400"/>
    </row>
    <row r="546" spans="1:74" s="536" customFormat="1" hidden="1" x14ac:dyDescent="0.25">
      <c r="A546" s="613" t="s">
        <v>930</v>
      </c>
      <c r="B546" s="613" t="s">
        <v>931</v>
      </c>
      <c r="C546" s="595"/>
      <c r="D546" s="527"/>
      <c r="E546" s="528"/>
      <c r="F546" s="528"/>
      <c r="G546" s="507"/>
      <c r="H546" s="528"/>
      <c r="I546" s="528"/>
      <c r="J546" s="529"/>
      <c r="K546" s="507"/>
      <c r="L546" s="528"/>
      <c r="M546" s="528"/>
      <c r="N546" s="528"/>
      <c r="O546" s="528"/>
      <c r="P546" s="528"/>
      <c r="Q546" s="528"/>
      <c r="R546" s="528"/>
      <c r="S546" s="528"/>
      <c r="T546" s="528"/>
      <c r="U546" s="528"/>
      <c r="V546" s="528"/>
      <c r="W546" s="528"/>
      <c r="X546" s="528"/>
      <c r="Y546" s="528">
        <v>0</v>
      </c>
      <c r="Z546" s="530"/>
      <c r="AA546" s="528"/>
      <c r="AB546" s="528"/>
      <c r="AC546" s="528"/>
      <c r="AD546" s="528"/>
      <c r="AE546" s="528"/>
      <c r="AF546" s="528"/>
      <c r="AG546" s="528"/>
      <c r="AH546" s="528"/>
      <c r="AI546" s="528"/>
      <c r="AJ546" s="528"/>
      <c r="AK546" s="528"/>
      <c r="AL546" s="528"/>
      <c r="AN546" s="527"/>
      <c r="AO546" s="528"/>
      <c r="AP546" s="528"/>
      <c r="AQ546" s="499"/>
      <c r="AR546" s="528"/>
      <c r="AS546" s="528"/>
      <c r="AT546" s="529"/>
      <c r="AU546" s="507"/>
      <c r="AV546" s="528"/>
      <c r="AW546" s="528"/>
      <c r="AX546" s="528"/>
      <c r="AY546" s="528"/>
      <c r="AZ546" s="528"/>
      <c r="BA546" s="528"/>
      <c r="BB546" s="528"/>
      <c r="BC546" s="528"/>
      <c r="BD546" s="528"/>
      <c r="BE546" s="528"/>
      <c r="BF546" s="528"/>
      <c r="BG546" s="528"/>
      <c r="BH546" s="530"/>
      <c r="BI546" s="528"/>
      <c r="BJ546" s="528"/>
      <c r="BK546" s="528"/>
      <c r="BL546" s="778"/>
      <c r="BM546" s="528"/>
      <c r="BN546" s="528"/>
      <c r="BO546" s="528"/>
      <c r="BP546" s="528"/>
      <c r="BQ546" s="528"/>
      <c r="BR546" s="528"/>
      <c r="BS546" s="528"/>
      <c r="BT546" s="528"/>
      <c r="BV546" s="400"/>
    </row>
    <row r="547" spans="1:74" s="536" customFormat="1" hidden="1" x14ac:dyDescent="0.25">
      <c r="A547" s="613" t="s">
        <v>932</v>
      </c>
      <c r="B547" s="613" t="s">
        <v>933</v>
      </c>
      <c r="C547" s="595"/>
      <c r="D547" s="527"/>
      <c r="E547" s="528"/>
      <c r="F547" s="528"/>
      <c r="G547" s="507"/>
      <c r="H547" s="528"/>
      <c r="I547" s="528"/>
      <c r="J547" s="529"/>
      <c r="K547" s="507"/>
      <c r="L547" s="528"/>
      <c r="M547" s="528"/>
      <c r="N547" s="528"/>
      <c r="O547" s="528"/>
      <c r="P547" s="528"/>
      <c r="Q547" s="528"/>
      <c r="R547" s="528"/>
      <c r="S547" s="528"/>
      <c r="T547" s="528"/>
      <c r="U547" s="528"/>
      <c r="V547" s="528"/>
      <c r="W547" s="528"/>
      <c r="X547" s="528"/>
      <c r="Y547" s="528">
        <v>0</v>
      </c>
      <c r="Z547" s="530"/>
      <c r="AA547" s="528"/>
      <c r="AB547" s="528"/>
      <c r="AC547" s="528"/>
      <c r="AD547" s="528"/>
      <c r="AE547" s="528"/>
      <c r="AF547" s="528"/>
      <c r="AG547" s="528"/>
      <c r="AH547" s="528"/>
      <c r="AI547" s="528"/>
      <c r="AJ547" s="528"/>
      <c r="AK547" s="528"/>
      <c r="AL547" s="528"/>
      <c r="AN547" s="527"/>
      <c r="AO547" s="528"/>
      <c r="AP547" s="528"/>
      <c r="AQ547" s="499"/>
      <c r="AR547" s="528"/>
      <c r="AS547" s="528"/>
      <c r="AT547" s="529"/>
      <c r="AU547" s="507"/>
      <c r="AV547" s="528"/>
      <c r="AW547" s="528"/>
      <c r="AX547" s="528"/>
      <c r="AY547" s="528"/>
      <c r="AZ547" s="528"/>
      <c r="BA547" s="528"/>
      <c r="BB547" s="528"/>
      <c r="BC547" s="528"/>
      <c r="BD547" s="528"/>
      <c r="BE547" s="528"/>
      <c r="BF547" s="528"/>
      <c r="BG547" s="528"/>
      <c r="BH547" s="530"/>
      <c r="BI547" s="528"/>
      <c r="BJ547" s="528"/>
      <c r="BK547" s="528"/>
      <c r="BL547" s="778"/>
      <c r="BM547" s="528"/>
      <c r="BN547" s="528"/>
      <c r="BO547" s="528"/>
      <c r="BP547" s="528"/>
      <c r="BQ547" s="528"/>
      <c r="BR547" s="528"/>
      <c r="BS547" s="528"/>
      <c r="BT547" s="528"/>
      <c r="BV547" s="400"/>
    </row>
    <row r="548" spans="1:74" hidden="1" x14ac:dyDescent="0.25">
      <c r="A548" s="614" t="s">
        <v>934</v>
      </c>
      <c r="B548" s="614" t="s">
        <v>935</v>
      </c>
      <c r="C548" s="541"/>
      <c r="D548" s="500"/>
      <c r="E548" s="449"/>
      <c r="F548" s="449"/>
      <c r="G548" s="421"/>
      <c r="H548" s="449"/>
      <c r="I548" s="449"/>
      <c r="J548" s="426"/>
      <c r="K548" s="421"/>
      <c r="L548" s="449"/>
      <c r="M548" s="449"/>
      <c r="N548" s="449"/>
      <c r="O548" s="449"/>
      <c r="P548" s="449"/>
      <c r="Q548" s="449"/>
      <c r="R548" s="449"/>
      <c r="S548" s="449"/>
      <c r="T548" s="449"/>
      <c r="U548" s="449"/>
      <c r="V548" s="449"/>
      <c r="W548" s="449"/>
      <c r="X548" s="449"/>
      <c r="Y548" s="449">
        <v>0</v>
      </c>
      <c r="Z548" s="531"/>
      <c r="AA548" s="449"/>
      <c r="AB548" s="449"/>
      <c r="AC548" s="449"/>
      <c r="AD548" s="449"/>
      <c r="AE548" s="449"/>
      <c r="AF548" s="449"/>
      <c r="AG548" s="449"/>
      <c r="AH548" s="449"/>
      <c r="AI548" s="449"/>
      <c r="AJ548" s="449"/>
      <c r="AK548" s="449"/>
      <c r="AL548" s="449"/>
      <c r="AM548" s="400"/>
      <c r="AN548" s="500"/>
      <c r="AO548" s="449"/>
      <c r="AP548" s="449"/>
      <c r="AQ548" s="453"/>
      <c r="AR548" s="449"/>
      <c r="AS548" s="449"/>
      <c r="AT548" s="426"/>
      <c r="AU548" s="421"/>
      <c r="AV548" s="449"/>
      <c r="AW548" s="449"/>
      <c r="AX548" s="449"/>
      <c r="AY548" s="449"/>
      <c r="AZ548" s="449"/>
      <c r="BA548" s="449"/>
      <c r="BB548" s="449"/>
      <c r="BC548" s="449"/>
      <c r="BD548" s="449"/>
      <c r="BE548" s="449"/>
      <c r="BF548" s="449"/>
      <c r="BG548" s="449"/>
      <c r="BH548" s="531"/>
      <c r="BI548" s="449"/>
      <c r="BJ548" s="449"/>
      <c r="BK548" s="449"/>
      <c r="BL548" s="771"/>
      <c r="BM548" s="449"/>
      <c r="BN548" s="449"/>
      <c r="BO548" s="449"/>
      <c r="BP548" s="449"/>
      <c r="BQ548" s="449"/>
      <c r="BR548" s="449"/>
      <c r="BS548" s="449"/>
      <c r="BT548" s="449"/>
      <c r="BU548" s="400"/>
      <c r="BV548" s="400"/>
    </row>
    <row r="549" spans="1:74" hidden="1" x14ac:dyDescent="0.25">
      <c r="A549" s="614" t="s">
        <v>936</v>
      </c>
      <c r="B549" s="614" t="s">
        <v>937</v>
      </c>
      <c r="C549" s="541"/>
      <c r="D549" s="500"/>
      <c r="E549" s="449"/>
      <c r="F549" s="449"/>
      <c r="G549" s="421"/>
      <c r="H549" s="449"/>
      <c r="I549" s="449"/>
      <c r="J549" s="426"/>
      <c r="K549" s="421"/>
      <c r="L549" s="449"/>
      <c r="M549" s="449"/>
      <c r="N549" s="449"/>
      <c r="O549" s="449"/>
      <c r="P549" s="449"/>
      <c r="Q549" s="449"/>
      <c r="R549" s="449"/>
      <c r="S549" s="449"/>
      <c r="T549" s="449"/>
      <c r="U549" s="449"/>
      <c r="V549" s="449"/>
      <c r="W549" s="449"/>
      <c r="X549" s="449"/>
      <c r="Y549" s="449">
        <v>0</v>
      </c>
      <c r="Z549" s="531"/>
      <c r="AA549" s="449"/>
      <c r="AB549" s="449"/>
      <c r="AC549" s="449"/>
      <c r="AD549" s="449"/>
      <c r="AE549" s="449"/>
      <c r="AF549" s="449"/>
      <c r="AG549" s="449"/>
      <c r="AH549" s="449"/>
      <c r="AI549" s="449"/>
      <c r="AJ549" s="449"/>
      <c r="AK549" s="449"/>
      <c r="AL549" s="449"/>
      <c r="AM549" s="400"/>
      <c r="AN549" s="500"/>
      <c r="AO549" s="449"/>
      <c r="AP549" s="449"/>
      <c r="AQ549" s="453"/>
      <c r="AR549" s="449"/>
      <c r="AS549" s="449"/>
      <c r="AT549" s="426"/>
      <c r="AU549" s="421"/>
      <c r="AV549" s="449"/>
      <c r="AW549" s="449"/>
      <c r="AX549" s="449"/>
      <c r="AY549" s="449"/>
      <c r="AZ549" s="449"/>
      <c r="BA549" s="449"/>
      <c r="BB549" s="449"/>
      <c r="BC549" s="449"/>
      <c r="BD549" s="449"/>
      <c r="BE549" s="449"/>
      <c r="BF549" s="449"/>
      <c r="BG549" s="449"/>
      <c r="BH549" s="531"/>
      <c r="BI549" s="449"/>
      <c r="BJ549" s="449"/>
      <c r="BK549" s="449"/>
      <c r="BL549" s="771"/>
      <c r="BM549" s="449"/>
      <c r="BN549" s="449"/>
      <c r="BO549" s="449"/>
      <c r="BP549" s="449"/>
      <c r="BQ549" s="449"/>
      <c r="BR549" s="449"/>
      <c r="BS549" s="449"/>
      <c r="BT549" s="449"/>
      <c r="BU549" s="400"/>
      <c r="BV549" s="400"/>
    </row>
    <row r="550" spans="1:74" x14ac:dyDescent="0.25">
      <c r="A550" s="502"/>
      <c r="B550" s="502"/>
      <c r="C550" s="541"/>
      <c r="D550" s="500"/>
      <c r="E550" s="449"/>
      <c r="F550" s="449"/>
      <c r="G550" s="421"/>
      <c r="H550" s="449"/>
      <c r="I550" s="449"/>
      <c r="J550" s="426"/>
      <c r="K550" s="421"/>
      <c r="L550" s="449"/>
      <c r="M550" s="449"/>
      <c r="N550" s="449"/>
      <c r="O550" s="449"/>
      <c r="P550" s="449"/>
      <c r="Q550" s="449"/>
      <c r="R550" s="449"/>
      <c r="S550" s="449"/>
      <c r="T550" s="449"/>
      <c r="U550" s="449"/>
      <c r="V550" s="449"/>
      <c r="W550" s="449"/>
      <c r="X550" s="449"/>
      <c r="Y550" s="449"/>
      <c r="Z550" s="531"/>
      <c r="AA550" s="449"/>
      <c r="AB550" s="449"/>
      <c r="AC550" s="449"/>
      <c r="AD550" s="449"/>
      <c r="AE550" s="449"/>
      <c r="AF550" s="449"/>
      <c r="AG550" s="449"/>
      <c r="AH550" s="449"/>
      <c r="AI550" s="449"/>
      <c r="AJ550" s="449"/>
      <c r="AK550" s="449"/>
      <c r="AL550" s="449"/>
      <c r="AM550" s="400"/>
      <c r="AN550" s="500"/>
      <c r="AO550" s="449"/>
      <c r="AP550" s="449"/>
      <c r="AQ550" s="453"/>
      <c r="AR550" s="449"/>
      <c r="AS550" s="449"/>
      <c r="AT550" s="426"/>
      <c r="AU550" s="421"/>
      <c r="AV550" s="449"/>
      <c r="AW550" s="449"/>
      <c r="AX550" s="449"/>
      <c r="AY550" s="449"/>
      <c r="AZ550" s="449"/>
      <c r="BA550" s="449"/>
      <c r="BB550" s="449"/>
      <c r="BC550" s="449"/>
      <c r="BD550" s="449"/>
      <c r="BE550" s="449"/>
      <c r="BF550" s="449"/>
      <c r="BG550" s="449"/>
      <c r="BH550" s="531"/>
      <c r="BI550" s="449"/>
      <c r="BJ550" s="449"/>
      <c r="BK550" s="449"/>
      <c r="BL550" s="771"/>
      <c r="BM550" s="449"/>
      <c r="BN550" s="449"/>
      <c r="BO550" s="449"/>
      <c r="BP550" s="449"/>
      <c r="BQ550" s="449"/>
      <c r="BR550" s="449"/>
      <c r="BS550" s="449"/>
      <c r="BT550" s="449"/>
      <c r="BU550" s="400"/>
      <c r="BV550" s="400"/>
    </row>
    <row r="551" spans="1:74" s="536" customFormat="1" ht="15.75" thickBot="1" x14ac:dyDescent="0.3">
      <c r="A551" s="524"/>
      <c r="B551" s="524" t="s">
        <v>938</v>
      </c>
      <c r="C551" s="539"/>
      <c r="D551" s="532">
        <v>154785</v>
      </c>
      <c r="E551" s="533">
        <v>145996</v>
      </c>
      <c r="F551" s="533">
        <v>8789</v>
      </c>
      <c r="G551" s="520">
        <v>6.0200279459711223E-2</v>
      </c>
      <c r="H551" s="533">
        <v>154785</v>
      </c>
      <c r="I551" s="533">
        <v>0</v>
      </c>
      <c r="J551" s="521">
        <v>0</v>
      </c>
      <c r="K551" s="507"/>
      <c r="L551" s="533">
        <v>7857.61</v>
      </c>
      <c r="M551" s="533">
        <v>60111.66</v>
      </c>
      <c r="N551" s="533">
        <v>9772.9199999999983</v>
      </c>
      <c r="O551" s="533">
        <v>7987.899999999996</v>
      </c>
      <c r="P551" s="533">
        <v>8182.380000000001</v>
      </c>
      <c r="Q551" s="533">
        <v>7315.5200000000041</v>
      </c>
      <c r="R551" s="533">
        <v>8926.1683333333331</v>
      </c>
      <c r="S551" s="533">
        <v>8926.1683333333349</v>
      </c>
      <c r="T551" s="533">
        <v>8926.1683333333349</v>
      </c>
      <c r="U551" s="533">
        <v>8926.1683333333312</v>
      </c>
      <c r="V551" s="533">
        <v>8926.1683333333294</v>
      </c>
      <c r="W551" s="533">
        <v>8926.1683333333276</v>
      </c>
      <c r="X551" s="533"/>
      <c r="Y551" s="533">
        <v>154785</v>
      </c>
      <c r="Z551" s="508"/>
      <c r="AA551" s="533">
        <v>12898.75</v>
      </c>
      <c r="AB551" s="533">
        <v>12898.75</v>
      </c>
      <c r="AC551" s="533">
        <v>12898.75</v>
      </c>
      <c r="AD551" s="533">
        <v>12898.75</v>
      </c>
      <c r="AE551" s="533">
        <v>12898.75</v>
      </c>
      <c r="AF551" s="533">
        <v>12898.75</v>
      </c>
      <c r="AG551" s="533">
        <v>12898.75</v>
      </c>
      <c r="AH551" s="533">
        <v>12898.75</v>
      </c>
      <c r="AI551" s="533">
        <v>12898.75</v>
      </c>
      <c r="AJ551" s="533">
        <v>12898.75</v>
      </c>
      <c r="AK551" s="533">
        <v>12898.75</v>
      </c>
      <c r="AL551" s="533">
        <v>12898.75</v>
      </c>
      <c r="AN551" s="532">
        <v>154785</v>
      </c>
      <c r="AO551" s="533">
        <v>165359.73891566269</v>
      </c>
      <c r="AP551" s="533">
        <v>10574.738915662689</v>
      </c>
      <c r="AQ551" s="523">
        <v>6.8318886944230314E-2</v>
      </c>
      <c r="AR551" s="533">
        <v>165359.73891566269</v>
      </c>
      <c r="AS551" s="533">
        <v>0</v>
      </c>
      <c r="AT551" s="521">
        <v>0</v>
      </c>
      <c r="AU551" s="507"/>
      <c r="AV551" s="533">
        <v>13779.978242971887</v>
      </c>
      <c r="AW551" s="533">
        <v>13779.978242971887</v>
      </c>
      <c r="AX551" s="533">
        <v>13779.978242971887</v>
      </c>
      <c r="AY551" s="533">
        <v>13779.978242971887</v>
      </c>
      <c r="AZ551" s="533">
        <v>13779.978242971887</v>
      </c>
      <c r="BA551" s="533">
        <v>13779.978242971887</v>
      </c>
      <c r="BB551" s="533">
        <v>13779.978242971887</v>
      </c>
      <c r="BC551" s="533">
        <v>13779.978242971887</v>
      </c>
      <c r="BD551" s="533">
        <v>13779.978242971887</v>
      </c>
      <c r="BE551" s="533">
        <v>13779.978242971887</v>
      </c>
      <c r="BF551" s="533">
        <v>13779.978242971887</v>
      </c>
      <c r="BG551" s="533">
        <v>13779.978242971887</v>
      </c>
      <c r="BH551" s="508"/>
      <c r="BI551" s="533">
        <v>13779.978242971887</v>
      </c>
      <c r="BJ551" s="533">
        <v>13779.978242971887</v>
      </c>
      <c r="BK551" s="533">
        <v>13779.978242971887</v>
      </c>
      <c r="BL551" s="777">
        <v>13779.978242971887</v>
      </c>
      <c r="BM551" s="533">
        <v>13779.978242971887</v>
      </c>
      <c r="BN551" s="533">
        <v>13779.978242971887</v>
      </c>
      <c r="BO551" s="533">
        <v>13779.978242971887</v>
      </c>
      <c r="BP551" s="533">
        <v>13779.978242971887</v>
      </c>
      <c r="BQ551" s="533">
        <v>13779.978242971887</v>
      </c>
      <c r="BR551" s="533">
        <v>13779.978242971887</v>
      </c>
      <c r="BS551" s="533">
        <v>13779.978242971887</v>
      </c>
      <c r="BT551" s="533">
        <v>13779.978242971887</v>
      </c>
      <c r="BV551" s="400"/>
    </row>
    <row r="552" spans="1:74" s="536" customFormat="1" ht="15.75" thickTop="1" x14ac:dyDescent="0.25">
      <c r="A552" s="524"/>
      <c r="B552" s="524"/>
      <c r="C552" s="539"/>
      <c r="D552" s="527"/>
      <c r="E552" s="528"/>
      <c r="F552" s="528"/>
      <c r="G552" s="507"/>
      <c r="H552" s="528"/>
      <c r="I552" s="528"/>
      <c r="J552" s="529"/>
      <c r="K552" s="507"/>
      <c r="L552" s="528"/>
      <c r="M552" s="528"/>
      <c r="N552" s="528"/>
      <c r="O552" s="528"/>
      <c r="P552" s="528"/>
      <c r="Q552" s="528"/>
      <c r="R552" s="528"/>
      <c r="S552" s="528"/>
      <c r="T552" s="528"/>
      <c r="U552" s="528"/>
      <c r="V552" s="528"/>
      <c r="W552" s="528"/>
      <c r="X552" s="528"/>
      <c r="Y552" s="528"/>
      <c r="Z552" s="530"/>
      <c r="AA552" s="528"/>
      <c r="AB552" s="528"/>
      <c r="AC552" s="528"/>
      <c r="AD552" s="528"/>
      <c r="AE552" s="528"/>
      <c r="AF552" s="528"/>
      <c r="AG552" s="528"/>
      <c r="AH552" s="528"/>
      <c r="AI552" s="528"/>
      <c r="AJ552" s="528"/>
      <c r="AK552" s="528"/>
      <c r="AL552" s="528"/>
      <c r="AN552" s="527"/>
      <c r="AO552" s="528"/>
      <c r="AP552" s="528"/>
      <c r="AQ552" s="499"/>
      <c r="AR552" s="528"/>
      <c r="AS552" s="528"/>
      <c r="AT552" s="529"/>
      <c r="AU552" s="507"/>
      <c r="AV552" s="528"/>
      <c r="AW552" s="528"/>
      <c r="AX552" s="528"/>
      <c r="AY552" s="528"/>
      <c r="AZ552" s="528"/>
      <c r="BA552" s="528"/>
      <c r="BB552" s="528"/>
      <c r="BC552" s="528"/>
      <c r="BD552" s="528"/>
      <c r="BE552" s="528"/>
      <c r="BF552" s="528"/>
      <c r="BG552" s="528"/>
      <c r="BH552" s="530"/>
      <c r="BI552" s="528"/>
      <c r="BJ552" s="528"/>
      <c r="BK552" s="528"/>
      <c r="BL552" s="778"/>
      <c r="BM552" s="528"/>
      <c r="BN552" s="528"/>
      <c r="BO552" s="528"/>
      <c r="BP552" s="528"/>
      <c r="BQ552" s="528"/>
      <c r="BR552" s="528"/>
      <c r="BS552" s="528"/>
      <c r="BT552" s="528"/>
      <c r="BV552" s="400"/>
    </row>
    <row r="553" spans="1:74" ht="15.75" x14ac:dyDescent="0.25">
      <c r="A553" s="502"/>
      <c r="B553" s="525" t="s">
        <v>939</v>
      </c>
      <c r="C553" s="541"/>
      <c r="D553" s="500"/>
      <c r="E553" s="449"/>
      <c r="F553" s="449"/>
      <c r="G553" s="421"/>
      <c r="H553" s="449"/>
      <c r="I553" s="449"/>
      <c r="J553" s="426"/>
      <c r="K553" s="421"/>
      <c r="L553" s="449"/>
      <c r="M553" s="449"/>
      <c r="N553" s="449"/>
      <c r="O553" s="449"/>
      <c r="P553" s="449"/>
      <c r="Q553" s="449"/>
      <c r="R553" s="449"/>
      <c r="S553" s="449"/>
      <c r="T553" s="449"/>
      <c r="U553" s="449"/>
      <c r="V553" s="449"/>
      <c r="W553" s="449"/>
      <c r="X553" s="449"/>
      <c r="Y553" s="449"/>
      <c r="Z553" s="531"/>
      <c r="AA553" s="449"/>
      <c r="AB553" s="449"/>
      <c r="AC553" s="449"/>
      <c r="AD553" s="449"/>
      <c r="AE553" s="449"/>
      <c r="AF553" s="449"/>
      <c r="AG553" s="449"/>
      <c r="AH553" s="449"/>
      <c r="AI553" s="449"/>
      <c r="AJ553" s="449"/>
      <c r="AK553" s="449"/>
      <c r="AL553" s="449"/>
      <c r="AM553" s="400"/>
      <c r="AN553" s="500"/>
      <c r="AO553" s="449"/>
      <c r="AP553" s="449"/>
      <c r="AQ553" s="453"/>
      <c r="AR553" s="449"/>
      <c r="AS553" s="449"/>
      <c r="AT553" s="426"/>
      <c r="AU553" s="421"/>
      <c r="AV553" s="449"/>
      <c r="AW553" s="449"/>
      <c r="AX553" s="449"/>
      <c r="AY553" s="449"/>
      <c r="AZ553" s="449"/>
      <c r="BA553" s="449"/>
      <c r="BB553" s="449"/>
      <c r="BC553" s="449"/>
      <c r="BD553" s="449"/>
      <c r="BE553" s="449"/>
      <c r="BF553" s="449"/>
      <c r="BG553" s="449"/>
      <c r="BH553" s="531"/>
      <c r="BI553" s="449"/>
      <c r="BJ553" s="449"/>
      <c r="BK553" s="449"/>
      <c r="BL553" s="771"/>
      <c r="BM553" s="449"/>
      <c r="BN553" s="449"/>
      <c r="BO553" s="449"/>
      <c r="BP553" s="449"/>
      <c r="BQ553" s="449"/>
      <c r="BR553" s="449"/>
      <c r="BS553" s="449"/>
      <c r="BT553" s="449"/>
      <c r="BU553" s="400"/>
      <c r="BV553" s="400"/>
    </row>
    <row r="554" spans="1:74" ht="9.75" customHeight="1" x14ac:dyDescent="0.25">
      <c r="A554" s="502"/>
      <c r="B554" s="502"/>
      <c r="C554" s="541"/>
      <c r="D554" s="500"/>
      <c r="E554" s="449"/>
      <c r="F554" s="449"/>
      <c r="G554" s="421"/>
      <c r="H554" s="449"/>
      <c r="I554" s="449"/>
      <c r="J554" s="426"/>
      <c r="K554" s="421"/>
      <c r="L554" s="449"/>
      <c r="M554" s="449"/>
      <c r="N554" s="449"/>
      <c r="O554" s="449"/>
      <c r="P554" s="449"/>
      <c r="Q554" s="449"/>
      <c r="R554" s="449"/>
      <c r="S554" s="449"/>
      <c r="T554" s="449"/>
      <c r="U554" s="449"/>
      <c r="V554" s="449"/>
      <c r="W554" s="449"/>
      <c r="X554" s="449"/>
      <c r="Y554" s="449"/>
      <c r="Z554" s="531"/>
      <c r="AA554" s="449"/>
      <c r="AB554" s="449"/>
      <c r="AC554" s="449"/>
      <c r="AD554" s="449"/>
      <c r="AE554" s="449"/>
      <c r="AF554" s="449"/>
      <c r="AG554" s="449"/>
      <c r="AH554" s="449"/>
      <c r="AI554" s="449"/>
      <c r="AJ554" s="449"/>
      <c r="AK554" s="449"/>
      <c r="AL554" s="449"/>
      <c r="AM554" s="400"/>
      <c r="AN554" s="500"/>
      <c r="AO554" s="449"/>
      <c r="AP554" s="449"/>
      <c r="AQ554" s="453"/>
      <c r="AR554" s="449"/>
      <c r="AS554" s="449"/>
      <c r="AT554" s="426"/>
      <c r="AU554" s="421"/>
      <c r="AV554" s="449"/>
      <c r="AW554" s="449"/>
      <c r="AX554" s="449"/>
      <c r="AY554" s="449"/>
      <c r="AZ554" s="449"/>
      <c r="BA554" s="449"/>
      <c r="BB554" s="449"/>
      <c r="BC554" s="449"/>
      <c r="BD554" s="449"/>
      <c r="BE554" s="449"/>
      <c r="BF554" s="449"/>
      <c r="BG554" s="449"/>
      <c r="BH554" s="531"/>
      <c r="BI554" s="449"/>
      <c r="BJ554" s="449"/>
      <c r="BK554" s="449"/>
      <c r="BL554" s="771"/>
      <c r="BM554" s="449"/>
      <c r="BN554" s="449"/>
      <c r="BO554" s="449"/>
      <c r="BP554" s="449"/>
      <c r="BQ554" s="449"/>
      <c r="BR554" s="449"/>
      <c r="BS554" s="449"/>
      <c r="BT554" s="449"/>
      <c r="BU554" s="400"/>
      <c r="BV554" s="400"/>
    </row>
    <row r="555" spans="1:74" ht="15" customHeight="1" x14ac:dyDescent="0.25">
      <c r="A555" s="502" t="s">
        <v>940</v>
      </c>
      <c r="B555" s="502" t="s">
        <v>941</v>
      </c>
      <c r="C555" s="538"/>
      <c r="D555" s="500">
        <v>364491</v>
      </c>
      <c r="E555" s="449">
        <v>444000</v>
      </c>
      <c r="F555" s="449">
        <v>-79509</v>
      </c>
      <c r="G555" s="421">
        <v>-0.17907432432432432</v>
      </c>
      <c r="H555" s="449">
        <v>364491</v>
      </c>
      <c r="I555" s="449">
        <v>0</v>
      </c>
      <c r="J555" s="426">
        <v>0</v>
      </c>
      <c r="K555" s="421"/>
      <c r="L555" s="449">
        <v>6272</v>
      </c>
      <c r="M555" s="449">
        <v>104506.86</v>
      </c>
      <c r="N555" s="449">
        <v>6053</v>
      </c>
      <c r="O555" s="449">
        <v>0</v>
      </c>
      <c r="P555" s="449">
        <v>11244.990000000005</v>
      </c>
      <c r="Q555" s="449">
        <v>-11244.990000000005</v>
      </c>
      <c r="R555" s="449">
        <v>41276.523333333338</v>
      </c>
      <c r="S555" s="449">
        <v>41276.523333333331</v>
      </c>
      <c r="T555" s="449">
        <v>41276.523333333331</v>
      </c>
      <c r="U555" s="449">
        <v>41276.523333333338</v>
      </c>
      <c r="V555" s="449">
        <v>41276.523333333345</v>
      </c>
      <c r="W555" s="449">
        <v>41276.523333333316</v>
      </c>
      <c r="X555" s="449"/>
      <c r="Y555" s="449">
        <v>364491</v>
      </c>
      <c r="Z555" s="531"/>
      <c r="AA555" s="449">
        <v>30374.25</v>
      </c>
      <c r="AB555" s="449">
        <v>30374.25</v>
      </c>
      <c r="AC555" s="449">
        <v>30374.25</v>
      </c>
      <c r="AD555" s="449">
        <v>30374.25</v>
      </c>
      <c r="AE555" s="449">
        <v>30374.25</v>
      </c>
      <c r="AF555" s="449">
        <v>30374.25</v>
      </c>
      <c r="AG555" s="449">
        <v>30374.25</v>
      </c>
      <c r="AH555" s="449">
        <v>30374.25</v>
      </c>
      <c r="AI555" s="449">
        <v>30374.25</v>
      </c>
      <c r="AJ555" s="449">
        <v>30374.25</v>
      </c>
      <c r="AK555" s="449">
        <v>30374.25</v>
      </c>
      <c r="AL555" s="449">
        <v>30374.25</v>
      </c>
      <c r="AM555" s="400"/>
      <c r="AN555" s="500">
        <v>364491</v>
      </c>
      <c r="AO555" s="449">
        <v>0</v>
      </c>
      <c r="AP555" s="449">
        <v>-364491</v>
      </c>
      <c r="AQ555" s="453">
        <v>-1</v>
      </c>
      <c r="AR555" s="449">
        <v>0</v>
      </c>
      <c r="AS555" s="449">
        <v>0</v>
      </c>
      <c r="AT555" s="426">
        <v>0</v>
      </c>
      <c r="AU555" s="421"/>
      <c r="AV555" s="449">
        <v>0</v>
      </c>
      <c r="AW555" s="449">
        <v>0</v>
      </c>
      <c r="AX555" s="449">
        <v>0</v>
      </c>
      <c r="AY555" s="449">
        <v>0</v>
      </c>
      <c r="AZ555" s="449">
        <v>0</v>
      </c>
      <c r="BA555" s="449">
        <v>0</v>
      </c>
      <c r="BB555" s="449">
        <v>0</v>
      </c>
      <c r="BC555" s="449">
        <v>0</v>
      </c>
      <c r="BD555" s="449">
        <v>0</v>
      </c>
      <c r="BE555" s="449">
        <v>0</v>
      </c>
      <c r="BF555" s="449">
        <v>0</v>
      </c>
      <c r="BG555" s="449">
        <v>0</v>
      </c>
      <c r="BH555" s="400"/>
      <c r="BI555" s="449">
        <v>0</v>
      </c>
      <c r="BJ555" s="449">
        <v>0</v>
      </c>
      <c r="BK555" s="449">
        <v>0</v>
      </c>
      <c r="BL555" s="771">
        <v>0</v>
      </c>
      <c r="BM555" s="449">
        <v>0</v>
      </c>
      <c r="BN555" s="449">
        <v>0</v>
      </c>
      <c r="BO555" s="449">
        <v>0</v>
      </c>
      <c r="BP555" s="449">
        <v>0</v>
      </c>
      <c r="BQ555" s="449">
        <v>0</v>
      </c>
      <c r="BR555" s="449">
        <v>0</v>
      </c>
      <c r="BS555" s="449">
        <v>0</v>
      </c>
      <c r="BT555" s="449">
        <v>0</v>
      </c>
      <c r="BU555" s="400"/>
      <c r="BV555" s="400"/>
    </row>
    <row r="556" spans="1:74" ht="15" customHeight="1" x14ac:dyDescent="0.25">
      <c r="A556" s="537" t="s">
        <v>942</v>
      </c>
      <c r="B556" s="537" t="s">
        <v>943</v>
      </c>
      <c r="C556" s="604"/>
      <c r="D556" s="500">
        <v>0</v>
      </c>
      <c r="E556" s="449">
        <v>0</v>
      </c>
      <c r="F556" s="449">
        <v>0</v>
      </c>
      <c r="G556" s="421">
        <v>0</v>
      </c>
      <c r="H556" s="449">
        <v>0</v>
      </c>
      <c r="I556" s="449">
        <v>0</v>
      </c>
      <c r="J556" s="426">
        <v>0</v>
      </c>
      <c r="K556" s="421"/>
      <c r="L556" s="449">
        <v>0</v>
      </c>
      <c r="M556" s="449">
        <v>0</v>
      </c>
      <c r="N556" s="449">
        <v>0</v>
      </c>
      <c r="O556" s="449">
        <v>0</v>
      </c>
      <c r="P556" s="449">
        <v>0</v>
      </c>
      <c r="Q556" s="449">
        <v>0</v>
      </c>
      <c r="R556" s="449">
        <v>0</v>
      </c>
      <c r="S556" s="449">
        <v>0</v>
      </c>
      <c r="T556" s="449">
        <v>0</v>
      </c>
      <c r="U556" s="449">
        <v>0</v>
      </c>
      <c r="V556" s="449">
        <v>0</v>
      </c>
      <c r="W556" s="449">
        <v>0</v>
      </c>
      <c r="X556" s="449"/>
      <c r="Y556" s="449">
        <v>0</v>
      </c>
      <c r="Z556" s="501"/>
      <c r="AA556" s="449">
        <v>0</v>
      </c>
      <c r="AB556" s="449">
        <v>0</v>
      </c>
      <c r="AC556" s="449">
        <v>0</v>
      </c>
      <c r="AD556" s="449">
        <v>0</v>
      </c>
      <c r="AE556" s="449">
        <v>0</v>
      </c>
      <c r="AF556" s="449">
        <v>0</v>
      </c>
      <c r="AG556" s="449">
        <v>0</v>
      </c>
      <c r="AH556" s="449">
        <v>0</v>
      </c>
      <c r="AI556" s="449">
        <v>0</v>
      </c>
      <c r="AJ556" s="449">
        <v>0</v>
      </c>
      <c r="AK556" s="449">
        <v>0</v>
      </c>
      <c r="AL556" s="449">
        <v>0</v>
      </c>
      <c r="AM556" s="400"/>
      <c r="AN556" s="500">
        <v>0</v>
      </c>
      <c r="AO556" s="449">
        <v>200980.22</v>
      </c>
      <c r="AP556" s="449">
        <v>200980.22</v>
      </c>
      <c r="AQ556" s="453" t="s">
        <v>1519</v>
      </c>
      <c r="AR556" s="449">
        <v>200980.22</v>
      </c>
      <c r="AS556" s="449">
        <v>0</v>
      </c>
      <c r="AT556" s="426">
        <v>0</v>
      </c>
      <c r="AU556" s="421"/>
      <c r="AV556" s="449">
        <v>100490.11</v>
      </c>
      <c r="AW556" s="449">
        <v>0</v>
      </c>
      <c r="AX556" s="449">
        <v>0</v>
      </c>
      <c r="AY556" s="449">
        <v>0</v>
      </c>
      <c r="AZ556" s="449">
        <v>0</v>
      </c>
      <c r="BA556" s="449">
        <v>0</v>
      </c>
      <c r="BB556" s="449">
        <v>100490.11</v>
      </c>
      <c r="BC556" s="449">
        <v>0</v>
      </c>
      <c r="BD556" s="449">
        <v>0</v>
      </c>
      <c r="BE556" s="449">
        <v>0</v>
      </c>
      <c r="BF556" s="449">
        <v>0</v>
      </c>
      <c r="BG556" s="449">
        <v>0</v>
      </c>
      <c r="BH556" s="400"/>
      <c r="BI556" s="449">
        <v>100490.11</v>
      </c>
      <c r="BJ556" s="449">
        <v>0</v>
      </c>
      <c r="BK556" s="449">
        <v>0</v>
      </c>
      <c r="BL556" s="771">
        <v>0</v>
      </c>
      <c r="BM556" s="449">
        <v>0</v>
      </c>
      <c r="BN556" s="449">
        <v>0</v>
      </c>
      <c r="BO556" s="449">
        <v>100490.11</v>
      </c>
      <c r="BP556" s="449">
        <v>0</v>
      </c>
      <c r="BQ556" s="449">
        <v>0</v>
      </c>
      <c r="BR556" s="449">
        <v>0</v>
      </c>
      <c r="BS556" s="449">
        <v>0</v>
      </c>
      <c r="BT556" s="449">
        <v>0</v>
      </c>
      <c r="BU556" s="400"/>
      <c r="BV556" s="400"/>
    </row>
    <row r="557" spans="1:74" ht="15" customHeight="1" x14ac:dyDescent="0.25">
      <c r="A557" s="618" t="s">
        <v>944</v>
      </c>
      <c r="B557" s="537" t="s">
        <v>945</v>
      </c>
      <c r="C557" s="604"/>
      <c r="D557" s="500">
        <v>0</v>
      </c>
      <c r="E557" s="449">
        <v>0</v>
      </c>
      <c r="F557" s="449">
        <v>0</v>
      </c>
      <c r="G557" s="421">
        <v>0</v>
      </c>
      <c r="H557" s="449">
        <v>0</v>
      </c>
      <c r="I557" s="449">
        <v>0</v>
      </c>
      <c r="J557" s="426">
        <v>0</v>
      </c>
      <c r="K557" s="421"/>
      <c r="L557" s="449">
        <v>0</v>
      </c>
      <c r="M557" s="449">
        <v>0</v>
      </c>
      <c r="N557" s="449">
        <v>0</v>
      </c>
      <c r="O557" s="449">
        <v>0</v>
      </c>
      <c r="P557" s="449">
        <v>0</v>
      </c>
      <c r="Q557" s="449">
        <v>0</v>
      </c>
      <c r="R557" s="449">
        <v>0</v>
      </c>
      <c r="S557" s="449">
        <v>0</v>
      </c>
      <c r="T557" s="449">
        <v>0</v>
      </c>
      <c r="U557" s="449">
        <v>0</v>
      </c>
      <c r="V557" s="449">
        <v>0</v>
      </c>
      <c r="W557" s="449">
        <v>0</v>
      </c>
      <c r="X557" s="449"/>
      <c r="Y557" s="449">
        <v>0</v>
      </c>
      <c r="Z557" s="501"/>
      <c r="AA557" s="449">
        <v>0</v>
      </c>
      <c r="AB557" s="449">
        <v>0</v>
      </c>
      <c r="AC557" s="449">
        <v>0</v>
      </c>
      <c r="AD557" s="449">
        <v>0</v>
      </c>
      <c r="AE557" s="449">
        <v>0</v>
      </c>
      <c r="AF557" s="449">
        <v>0</v>
      </c>
      <c r="AG557" s="449">
        <v>0</v>
      </c>
      <c r="AH557" s="449">
        <v>0</v>
      </c>
      <c r="AI557" s="449">
        <v>0</v>
      </c>
      <c r="AJ557" s="449">
        <v>0</v>
      </c>
      <c r="AK557" s="449">
        <v>0</v>
      </c>
      <c r="AL557" s="449">
        <v>0</v>
      </c>
      <c r="AM557" s="400"/>
      <c r="AN557" s="500">
        <v>0</v>
      </c>
      <c r="AO557" s="449">
        <v>0</v>
      </c>
      <c r="AP557" s="449">
        <v>0</v>
      </c>
      <c r="AQ557" s="453" t="s">
        <v>1519</v>
      </c>
      <c r="AR557" s="449">
        <v>0</v>
      </c>
      <c r="AS557" s="449">
        <v>0</v>
      </c>
      <c r="AT557" s="426">
        <v>0</v>
      </c>
      <c r="AU557" s="421"/>
      <c r="AV557" s="449">
        <v>0</v>
      </c>
      <c r="AW557" s="449">
        <v>0</v>
      </c>
      <c r="AX557" s="449">
        <v>0</v>
      </c>
      <c r="AY557" s="449">
        <v>0</v>
      </c>
      <c r="AZ557" s="449">
        <v>0</v>
      </c>
      <c r="BA557" s="449">
        <v>0</v>
      </c>
      <c r="BB557" s="449">
        <v>0</v>
      </c>
      <c r="BC557" s="449">
        <v>0</v>
      </c>
      <c r="BD557" s="449">
        <v>0</v>
      </c>
      <c r="BE557" s="449">
        <v>0</v>
      </c>
      <c r="BF557" s="449">
        <v>0</v>
      </c>
      <c r="BG557" s="449">
        <v>0</v>
      </c>
      <c r="BH557" s="400"/>
      <c r="BI557" s="449">
        <v>0</v>
      </c>
      <c r="BJ557" s="449">
        <v>0</v>
      </c>
      <c r="BK557" s="449">
        <v>0</v>
      </c>
      <c r="BL557" s="771">
        <v>0</v>
      </c>
      <c r="BM557" s="449">
        <v>0</v>
      </c>
      <c r="BN557" s="449">
        <v>0</v>
      </c>
      <c r="BO557" s="449">
        <v>0</v>
      </c>
      <c r="BP557" s="449">
        <v>0</v>
      </c>
      <c r="BQ557" s="449">
        <v>0</v>
      </c>
      <c r="BR557" s="449">
        <v>0</v>
      </c>
      <c r="BS557" s="449">
        <v>0</v>
      </c>
      <c r="BT557" s="449">
        <v>0</v>
      </c>
      <c r="BU557" s="400"/>
      <c r="BV557" s="400"/>
    </row>
    <row r="558" spans="1:74" ht="15" customHeight="1" x14ac:dyDescent="0.25">
      <c r="A558" s="618" t="s">
        <v>946</v>
      </c>
      <c r="B558" s="537" t="s">
        <v>947</v>
      </c>
      <c r="C558" s="604"/>
      <c r="D558" s="500">
        <v>0</v>
      </c>
      <c r="E558" s="449">
        <v>0</v>
      </c>
      <c r="F558" s="449">
        <v>0</v>
      </c>
      <c r="G558" s="421">
        <v>0</v>
      </c>
      <c r="H558" s="449">
        <v>0</v>
      </c>
      <c r="I558" s="449">
        <v>0</v>
      </c>
      <c r="J558" s="426">
        <v>0</v>
      </c>
      <c r="K558" s="421"/>
      <c r="L558" s="449">
        <v>0</v>
      </c>
      <c r="M558" s="449">
        <v>0</v>
      </c>
      <c r="N558" s="449">
        <v>0</v>
      </c>
      <c r="O558" s="449">
        <v>0</v>
      </c>
      <c r="P558" s="449">
        <v>0</v>
      </c>
      <c r="Q558" s="449">
        <v>0</v>
      </c>
      <c r="R558" s="449">
        <v>0</v>
      </c>
      <c r="S558" s="449">
        <v>0</v>
      </c>
      <c r="T558" s="449">
        <v>0</v>
      </c>
      <c r="U558" s="449">
        <v>0</v>
      </c>
      <c r="V558" s="449">
        <v>0</v>
      </c>
      <c r="W558" s="449">
        <v>0</v>
      </c>
      <c r="X558" s="449"/>
      <c r="Y558" s="449">
        <v>0</v>
      </c>
      <c r="Z558" s="501"/>
      <c r="AA558" s="449">
        <v>0</v>
      </c>
      <c r="AB558" s="449">
        <v>0</v>
      </c>
      <c r="AC558" s="449">
        <v>0</v>
      </c>
      <c r="AD558" s="449">
        <v>0</v>
      </c>
      <c r="AE558" s="449">
        <v>0</v>
      </c>
      <c r="AF558" s="449">
        <v>0</v>
      </c>
      <c r="AG558" s="449">
        <v>0</v>
      </c>
      <c r="AH558" s="449">
        <v>0</v>
      </c>
      <c r="AI558" s="449">
        <v>0</v>
      </c>
      <c r="AJ558" s="449">
        <v>0</v>
      </c>
      <c r="AK558" s="449">
        <v>0</v>
      </c>
      <c r="AL558" s="449">
        <v>0</v>
      </c>
      <c r="AM558" s="400"/>
      <c r="AN558" s="500">
        <v>0</v>
      </c>
      <c r="AO558" s="449">
        <v>0</v>
      </c>
      <c r="AP558" s="449">
        <v>0</v>
      </c>
      <c r="AQ558" s="453" t="s">
        <v>1519</v>
      </c>
      <c r="AR558" s="449">
        <v>0</v>
      </c>
      <c r="AS558" s="449">
        <v>0</v>
      </c>
      <c r="AT558" s="426">
        <v>0</v>
      </c>
      <c r="AU558" s="421"/>
      <c r="AV558" s="449">
        <v>0</v>
      </c>
      <c r="AW558" s="449">
        <v>0</v>
      </c>
      <c r="AX558" s="449">
        <v>0</v>
      </c>
      <c r="AY558" s="449">
        <v>0</v>
      </c>
      <c r="AZ558" s="449">
        <v>0</v>
      </c>
      <c r="BA558" s="449">
        <v>0</v>
      </c>
      <c r="BB558" s="449">
        <v>0</v>
      </c>
      <c r="BC558" s="449">
        <v>0</v>
      </c>
      <c r="BD558" s="449">
        <v>0</v>
      </c>
      <c r="BE558" s="449">
        <v>0</v>
      </c>
      <c r="BF558" s="449">
        <v>0</v>
      </c>
      <c r="BG558" s="449">
        <v>0</v>
      </c>
      <c r="BH558" s="400"/>
      <c r="BI558" s="449">
        <v>0</v>
      </c>
      <c r="BJ558" s="449">
        <v>0</v>
      </c>
      <c r="BK558" s="449">
        <v>0</v>
      </c>
      <c r="BL558" s="771">
        <v>0</v>
      </c>
      <c r="BM558" s="449">
        <v>0</v>
      </c>
      <c r="BN558" s="449">
        <v>0</v>
      </c>
      <c r="BO558" s="449">
        <v>0</v>
      </c>
      <c r="BP558" s="449">
        <v>0</v>
      </c>
      <c r="BQ558" s="449">
        <v>0</v>
      </c>
      <c r="BR558" s="449">
        <v>0</v>
      </c>
      <c r="BS558" s="449">
        <v>0</v>
      </c>
      <c r="BT558" s="449">
        <v>0</v>
      </c>
      <c r="BU558" s="400"/>
      <c r="BV558" s="400"/>
    </row>
    <row r="559" spans="1:74" ht="15" customHeight="1" x14ac:dyDescent="0.25">
      <c r="A559" s="502" t="s">
        <v>948</v>
      </c>
      <c r="B559" s="502" t="s">
        <v>949</v>
      </c>
      <c r="C559" s="604"/>
      <c r="D559" s="500">
        <v>0</v>
      </c>
      <c r="E559" s="449">
        <v>0</v>
      </c>
      <c r="F559" s="449">
        <v>0</v>
      </c>
      <c r="G559" s="421">
        <v>0</v>
      </c>
      <c r="H559" s="449">
        <v>0</v>
      </c>
      <c r="I559" s="449">
        <v>0</v>
      </c>
      <c r="J559" s="426">
        <v>0</v>
      </c>
      <c r="K559" s="421"/>
      <c r="L559" s="449">
        <v>0</v>
      </c>
      <c r="M559" s="449">
        <v>0</v>
      </c>
      <c r="N559" s="449">
        <v>0</v>
      </c>
      <c r="O559" s="449">
        <v>0</v>
      </c>
      <c r="P559" s="449">
        <v>0</v>
      </c>
      <c r="Q559" s="449">
        <v>0</v>
      </c>
      <c r="R559" s="449">
        <v>0</v>
      </c>
      <c r="S559" s="449">
        <v>0</v>
      </c>
      <c r="T559" s="449">
        <v>0</v>
      </c>
      <c r="U559" s="449">
        <v>0</v>
      </c>
      <c r="V559" s="449">
        <v>0</v>
      </c>
      <c r="W559" s="449">
        <v>0</v>
      </c>
      <c r="X559" s="449"/>
      <c r="Y559" s="449">
        <v>0</v>
      </c>
      <c r="Z559" s="501"/>
      <c r="AA559" s="449">
        <v>0</v>
      </c>
      <c r="AB559" s="449">
        <v>0</v>
      </c>
      <c r="AC559" s="449">
        <v>0</v>
      </c>
      <c r="AD559" s="449">
        <v>0</v>
      </c>
      <c r="AE559" s="449">
        <v>0</v>
      </c>
      <c r="AF559" s="449">
        <v>0</v>
      </c>
      <c r="AG559" s="449">
        <v>0</v>
      </c>
      <c r="AH559" s="449">
        <v>0</v>
      </c>
      <c r="AI559" s="449">
        <v>0</v>
      </c>
      <c r="AJ559" s="449">
        <v>0</v>
      </c>
      <c r="AK559" s="449">
        <v>0</v>
      </c>
      <c r="AL559" s="449">
        <v>0</v>
      </c>
      <c r="AM559" s="400"/>
      <c r="AN559" s="500">
        <v>0</v>
      </c>
      <c r="AO559" s="449">
        <v>13000.000000000002</v>
      </c>
      <c r="AP559" s="449">
        <v>13000.000000000002</v>
      </c>
      <c r="AQ559" s="453" t="s">
        <v>1519</v>
      </c>
      <c r="AR559" s="449">
        <v>13000.000000000002</v>
      </c>
      <c r="AS559" s="449">
        <v>0</v>
      </c>
      <c r="AT559" s="426">
        <v>0</v>
      </c>
      <c r="AU559" s="421"/>
      <c r="AV559" s="449">
        <v>1083.3333333333333</v>
      </c>
      <c r="AW559" s="449">
        <v>1083.3333333333333</v>
      </c>
      <c r="AX559" s="449">
        <v>1083.3333333333333</v>
      </c>
      <c r="AY559" s="449">
        <v>1083.3333333333333</v>
      </c>
      <c r="AZ559" s="449">
        <v>1083.3333333333333</v>
      </c>
      <c r="BA559" s="449">
        <v>1083.3333333333333</v>
      </c>
      <c r="BB559" s="449">
        <v>1083.3333333333333</v>
      </c>
      <c r="BC559" s="449">
        <v>1083.3333333333333</v>
      </c>
      <c r="BD559" s="449">
        <v>1083.3333333333333</v>
      </c>
      <c r="BE559" s="449">
        <v>1083.3333333333333</v>
      </c>
      <c r="BF559" s="449">
        <v>1083.3333333333333</v>
      </c>
      <c r="BG559" s="449">
        <v>1083.3333333333333</v>
      </c>
      <c r="BH559" s="400"/>
      <c r="BI559" s="449">
        <v>1083.3333333333333</v>
      </c>
      <c r="BJ559" s="449">
        <v>1083.3333333333333</v>
      </c>
      <c r="BK559" s="449">
        <v>1083.3333333333333</v>
      </c>
      <c r="BL559" s="771">
        <v>1083.3333333333333</v>
      </c>
      <c r="BM559" s="449">
        <v>1083.3333333333333</v>
      </c>
      <c r="BN559" s="449">
        <v>1083.3333333333333</v>
      </c>
      <c r="BO559" s="449">
        <v>1083.3333333333333</v>
      </c>
      <c r="BP559" s="449">
        <v>1083.3333333333333</v>
      </c>
      <c r="BQ559" s="449">
        <v>1083.3333333333333</v>
      </c>
      <c r="BR559" s="449">
        <v>1083.3333333333333</v>
      </c>
      <c r="BS559" s="449">
        <v>1083.3333333333333</v>
      </c>
      <c r="BT559" s="449">
        <v>1083.3333333333333</v>
      </c>
      <c r="BU559" s="400"/>
      <c r="BV559" s="400"/>
    </row>
    <row r="560" spans="1:74" ht="15" customHeight="1" x14ac:dyDescent="0.25">
      <c r="A560" s="502" t="s">
        <v>950</v>
      </c>
      <c r="B560" s="502" t="s">
        <v>951</v>
      </c>
      <c r="C560" s="538"/>
      <c r="D560" s="500">
        <v>31562</v>
      </c>
      <c r="E560" s="449">
        <v>31562.382449999997</v>
      </c>
      <c r="F560" s="449">
        <v>-0.38244999999733409</v>
      </c>
      <c r="G560" s="421">
        <v>-1.2117272851730941E-5</v>
      </c>
      <c r="H560" s="449">
        <v>31562</v>
      </c>
      <c r="I560" s="449">
        <v>0</v>
      </c>
      <c r="J560" s="426">
        <v>0</v>
      </c>
      <c r="K560" s="421"/>
      <c r="L560" s="449">
        <v>0</v>
      </c>
      <c r="M560" s="449">
        <v>0</v>
      </c>
      <c r="N560" s="449">
        <v>0</v>
      </c>
      <c r="O560" s="449">
        <v>0</v>
      </c>
      <c r="P560" s="449">
        <v>0</v>
      </c>
      <c r="Q560" s="449">
        <v>0</v>
      </c>
      <c r="R560" s="449">
        <v>5260.333333333333</v>
      </c>
      <c r="S560" s="449">
        <v>5260.3333333333339</v>
      </c>
      <c r="T560" s="449">
        <v>5260.333333333333</v>
      </c>
      <c r="U560" s="449">
        <v>5260.333333333333</v>
      </c>
      <c r="V560" s="449">
        <v>5260.3333333333339</v>
      </c>
      <c r="W560" s="449">
        <v>5260.3333333333358</v>
      </c>
      <c r="X560" s="449"/>
      <c r="Y560" s="449">
        <v>31562</v>
      </c>
      <c r="Z560" s="531"/>
      <c r="AA560" s="449">
        <v>2630.1666666666665</v>
      </c>
      <c r="AB560" s="449">
        <v>2630.1666666666665</v>
      </c>
      <c r="AC560" s="449">
        <v>2630.1666666666665</v>
      </c>
      <c r="AD560" s="449">
        <v>2630.1666666666665</v>
      </c>
      <c r="AE560" s="449">
        <v>2630.1666666666665</v>
      </c>
      <c r="AF560" s="449">
        <v>2630.1666666666665</v>
      </c>
      <c r="AG560" s="449">
        <v>2630.1666666666665</v>
      </c>
      <c r="AH560" s="449">
        <v>2630.1666666666665</v>
      </c>
      <c r="AI560" s="449">
        <v>2630.1666666666665</v>
      </c>
      <c r="AJ560" s="449">
        <v>2630.1666666666665</v>
      </c>
      <c r="AK560" s="449">
        <v>2630.1666666666665</v>
      </c>
      <c r="AL560" s="449">
        <v>2630.1666666666665</v>
      </c>
      <c r="AM560" s="400"/>
      <c r="AN560" s="500">
        <v>31562</v>
      </c>
      <c r="AO560" s="449">
        <v>44095.561370000003</v>
      </c>
      <c r="AP560" s="449">
        <v>12533.561370000003</v>
      </c>
      <c r="AQ560" s="453">
        <v>0.39710922533426279</v>
      </c>
      <c r="AR560" s="449">
        <v>44095.561370000003</v>
      </c>
      <c r="AS560" s="449">
        <v>0</v>
      </c>
      <c r="AT560" s="426">
        <v>0</v>
      </c>
      <c r="AU560" s="421"/>
      <c r="AV560" s="449">
        <v>0</v>
      </c>
      <c r="AW560" s="449">
        <v>0</v>
      </c>
      <c r="AX560" s="449">
        <v>0</v>
      </c>
      <c r="AY560" s="449">
        <v>0</v>
      </c>
      <c r="AZ560" s="449">
        <v>0</v>
      </c>
      <c r="BA560" s="449">
        <v>0</v>
      </c>
      <c r="BB560" s="449">
        <v>0</v>
      </c>
      <c r="BC560" s="449">
        <v>0</v>
      </c>
      <c r="BD560" s="449">
        <v>0</v>
      </c>
      <c r="BE560" s="449">
        <v>0</v>
      </c>
      <c r="BF560" s="449">
        <v>0</v>
      </c>
      <c r="BG560" s="449">
        <v>44095.561370000003</v>
      </c>
      <c r="BH560" s="400"/>
      <c r="BI560" s="449">
        <v>0</v>
      </c>
      <c r="BJ560" s="449">
        <v>0</v>
      </c>
      <c r="BK560" s="449">
        <v>0</v>
      </c>
      <c r="BL560" s="771">
        <v>0</v>
      </c>
      <c r="BM560" s="449">
        <v>0</v>
      </c>
      <c r="BN560" s="449">
        <v>0</v>
      </c>
      <c r="BO560" s="449">
        <v>0</v>
      </c>
      <c r="BP560" s="449">
        <v>0</v>
      </c>
      <c r="BQ560" s="449">
        <v>0</v>
      </c>
      <c r="BR560" s="449">
        <v>0</v>
      </c>
      <c r="BS560" s="449">
        <v>0</v>
      </c>
      <c r="BT560" s="449">
        <v>44095.561370000003</v>
      </c>
      <c r="BU560" s="400"/>
      <c r="BV560" s="400"/>
    </row>
    <row r="561" spans="1:74" x14ac:dyDescent="0.25">
      <c r="A561" s="502" t="s">
        <v>952</v>
      </c>
      <c r="B561" s="502" t="s">
        <v>953</v>
      </c>
      <c r="C561" s="538"/>
      <c r="D561" s="500">
        <v>0</v>
      </c>
      <c r="E561" s="449">
        <v>0</v>
      </c>
      <c r="F561" s="449">
        <v>0</v>
      </c>
      <c r="G561" s="421">
        <v>0</v>
      </c>
      <c r="H561" s="449">
        <v>0</v>
      </c>
      <c r="I561" s="449">
        <v>0</v>
      </c>
      <c r="J561" s="426">
        <v>0</v>
      </c>
      <c r="K561" s="421"/>
      <c r="L561" s="449">
        <v>0</v>
      </c>
      <c r="M561" s="449">
        <v>0</v>
      </c>
      <c r="N561" s="449">
        <v>0</v>
      </c>
      <c r="O561" s="449">
        <v>0</v>
      </c>
      <c r="P561" s="449">
        <v>0</v>
      </c>
      <c r="Q561" s="449">
        <v>0</v>
      </c>
      <c r="R561" s="449">
        <v>0</v>
      </c>
      <c r="S561" s="449">
        <v>0</v>
      </c>
      <c r="T561" s="449">
        <v>0</v>
      </c>
      <c r="U561" s="449">
        <v>0</v>
      </c>
      <c r="V561" s="449">
        <v>0</v>
      </c>
      <c r="W561" s="449">
        <v>0</v>
      </c>
      <c r="X561" s="449"/>
      <c r="Y561" s="449">
        <v>0</v>
      </c>
      <c r="Z561" s="531"/>
      <c r="AA561" s="449">
        <v>0</v>
      </c>
      <c r="AB561" s="449">
        <v>0</v>
      </c>
      <c r="AC561" s="449">
        <v>0</v>
      </c>
      <c r="AD561" s="449">
        <v>0</v>
      </c>
      <c r="AE561" s="449">
        <v>0</v>
      </c>
      <c r="AF561" s="449">
        <v>0</v>
      </c>
      <c r="AG561" s="449">
        <v>0</v>
      </c>
      <c r="AH561" s="449">
        <v>0</v>
      </c>
      <c r="AI561" s="449">
        <v>0</v>
      </c>
      <c r="AJ561" s="449">
        <v>0</v>
      </c>
      <c r="AK561" s="449">
        <v>0</v>
      </c>
      <c r="AL561" s="449">
        <v>0</v>
      </c>
      <c r="AM561" s="400"/>
      <c r="AN561" s="500">
        <v>0</v>
      </c>
      <c r="AO561" s="449">
        <v>0</v>
      </c>
      <c r="AP561" s="449">
        <v>0</v>
      </c>
      <c r="AQ561" s="453" t="s">
        <v>1519</v>
      </c>
      <c r="AR561" s="449">
        <v>0</v>
      </c>
      <c r="AS561" s="449">
        <v>0</v>
      </c>
      <c r="AT561" s="426">
        <v>0</v>
      </c>
      <c r="AU561" s="421"/>
      <c r="AV561" s="449">
        <v>0</v>
      </c>
      <c r="AW561" s="449">
        <v>0</v>
      </c>
      <c r="AX561" s="449">
        <v>0</v>
      </c>
      <c r="AY561" s="449">
        <v>0</v>
      </c>
      <c r="AZ561" s="449">
        <v>0</v>
      </c>
      <c r="BA561" s="449">
        <v>0</v>
      </c>
      <c r="BB561" s="449">
        <v>0</v>
      </c>
      <c r="BC561" s="449">
        <v>0</v>
      </c>
      <c r="BD561" s="449">
        <v>0</v>
      </c>
      <c r="BE561" s="449">
        <v>0</v>
      </c>
      <c r="BF561" s="449">
        <v>0</v>
      </c>
      <c r="BG561" s="449">
        <v>0</v>
      </c>
      <c r="BH561" s="400"/>
      <c r="BI561" s="449">
        <v>0</v>
      </c>
      <c r="BJ561" s="449">
        <v>0</v>
      </c>
      <c r="BK561" s="449">
        <v>0</v>
      </c>
      <c r="BL561" s="771">
        <v>0</v>
      </c>
      <c r="BM561" s="449">
        <v>0</v>
      </c>
      <c r="BN561" s="449">
        <v>0</v>
      </c>
      <c r="BO561" s="449">
        <v>0</v>
      </c>
      <c r="BP561" s="449">
        <v>0</v>
      </c>
      <c r="BQ561" s="449">
        <v>0</v>
      </c>
      <c r="BR561" s="449">
        <v>0</v>
      </c>
      <c r="BS561" s="449">
        <v>0</v>
      </c>
      <c r="BT561" s="449">
        <v>0</v>
      </c>
      <c r="BU561" s="400"/>
      <c r="BV561" s="400"/>
    </row>
    <row r="562" spans="1:74" x14ac:dyDescent="0.25">
      <c r="A562" s="502" t="s">
        <v>954</v>
      </c>
      <c r="B562" s="502" t="s">
        <v>955</v>
      </c>
      <c r="C562" s="596"/>
      <c r="D562" s="500">
        <v>0</v>
      </c>
      <c r="E562" s="449">
        <v>0</v>
      </c>
      <c r="F562" s="449">
        <v>0</v>
      </c>
      <c r="G562" s="421">
        <v>0</v>
      </c>
      <c r="H562" s="449">
        <v>0</v>
      </c>
      <c r="I562" s="449">
        <v>0</v>
      </c>
      <c r="J562" s="426">
        <v>0</v>
      </c>
      <c r="K562" s="421"/>
      <c r="L562" s="449">
        <v>0</v>
      </c>
      <c r="M562" s="449">
        <v>0</v>
      </c>
      <c r="N562" s="449">
        <v>0</v>
      </c>
      <c r="O562" s="449">
        <v>0</v>
      </c>
      <c r="P562" s="449">
        <v>0</v>
      </c>
      <c r="Q562" s="449">
        <v>0</v>
      </c>
      <c r="R562" s="449">
        <v>0</v>
      </c>
      <c r="S562" s="449">
        <v>0</v>
      </c>
      <c r="T562" s="449">
        <v>0</v>
      </c>
      <c r="U562" s="449">
        <v>0</v>
      </c>
      <c r="V562" s="449">
        <v>0</v>
      </c>
      <c r="W562" s="449">
        <v>0</v>
      </c>
      <c r="X562" s="449"/>
      <c r="Y562" s="449">
        <v>0</v>
      </c>
      <c r="Z562" s="531"/>
      <c r="AA562" s="449">
        <v>0</v>
      </c>
      <c r="AB562" s="449">
        <v>0</v>
      </c>
      <c r="AC562" s="449">
        <v>0</v>
      </c>
      <c r="AD562" s="449">
        <v>0</v>
      </c>
      <c r="AE562" s="449">
        <v>0</v>
      </c>
      <c r="AF562" s="449">
        <v>0</v>
      </c>
      <c r="AG562" s="449">
        <v>0</v>
      </c>
      <c r="AH562" s="449">
        <v>0</v>
      </c>
      <c r="AI562" s="449">
        <v>0</v>
      </c>
      <c r="AJ562" s="449">
        <v>0</v>
      </c>
      <c r="AK562" s="449">
        <v>0</v>
      </c>
      <c r="AL562" s="449">
        <v>0</v>
      </c>
      <c r="AM562" s="400"/>
      <c r="AN562" s="500">
        <v>0</v>
      </c>
      <c r="AO562" s="449">
        <v>0</v>
      </c>
      <c r="AP562" s="449">
        <v>0</v>
      </c>
      <c r="AQ562" s="453" t="s">
        <v>1519</v>
      </c>
      <c r="AR562" s="449">
        <v>0</v>
      </c>
      <c r="AS562" s="449">
        <v>0</v>
      </c>
      <c r="AT562" s="426">
        <v>0</v>
      </c>
      <c r="AU562" s="421"/>
      <c r="AV562" s="449">
        <v>0</v>
      </c>
      <c r="AW562" s="449">
        <v>0</v>
      </c>
      <c r="AX562" s="449">
        <v>0</v>
      </c>
      <c r="AY562" s="449">
        <v>0</v>
      </c>
      <c r="AZ562" s="449">
        <v>0</v>
      </c>
      <c r="BA562" s="449">
        <v>0</v>
      </c>
      <c r="BB562" s="449">
        <v>0</v>
      </c>
      <c r="BC562" s="449">
        <v>0</v>
      </c>
      <c r="BD562" s="449">
        <v>0</v>
      </c>
      <c r="BE562" s="449">
        <v>0</v>
      </c>
      <c r="BF562" s="449">
        <v>0</v>
      </c>
      <c r="BG562" s="449">
        <v>0</v>
      </c>
      <c r="BH562" s="400"/>
      <c r="BI562" s="449">
        <v>0</v>
      </c>
      <c r="BJ562" s="449">
        <v>0</v>
      </c>
      <c r="BK562" s="449">
        <v>0</v>
      </c>
      <c r="BL562" s="771">
        <v>0</v>
      </c>
      <c r="BM562" s="449">
        <v>0</v>
      </c>
      <c r="BN562" s="449">
        <v>0</v>
      </c>
      <c r="BO562" s="449">
        <v>0</v>
      </c>
      <c r="BP562" s="449">
        <v>0</v>
      </c>
      <c r="BQ562" s="449">
        <v>0</v>
      </c>
      <c r="BR562" s="449">
        <v>0</v>
      </c>
      <c r="BS562" s="449">
        <v>0</v>
      </c>
      <c r="BT562" s="449">
        <v>0</v>
      </c>
      <c r="BU562" s="400"/>
      <c r="BV562" s="400"/>
    </row>
    <row r="563" spans="1:74" x14ac:dyDescent="0.25">
      <c r="A563" s="502" t="s">
        <v>956</v>
      </c>
      <c r="B563" s="502" t="s">
        <v>957</v>
      </c>
      <c r="C563" s="596"/>
      <c r="D563" s="500">
        <v>0</v>
      </c>
      <c r="E563" s="449">
        <v>0</v>
      </c>
      <c r="F563" s="449">
        <v>0</v>
      </c>
      <c r="G563" s="421">
        <v>0</v>
      </c>
      <c r="H563" s="449">
        <v>0</v>
      </c>
      <c r="I563" s="449">
        <v>0</v>
      </c>
      <c r="J563" s="426">
        <v>0</v>
      </c>
      <c r="K563" s="421"/>
      <c r="L563" s="449">
        <v>0</v>
      </c>
      <c r="M563" s="449">
        <v>0</v>
      </c>
      <c r="N563" s="449">
        <v>0</v>
      </c>
      <c r="O563" s="449">
        <v>0</v>
      </c>
      <c r="P563" s="449">
        <v>0</v>
      </c>
      <c r="Q563" s="449">
        <v>0</v>
      </c>
      <c r="R563" s="449">
        <v>0</v>
      </c>
      <c r="S563" s="449">
        <v>0</v>
      </c>
      <c r="T563" s="449">
        <v>0</v>
      </c>
      <c r="U563" s="449">
        <v>0</v>
      </c>
      <c r="V563" s="449">
        <v>0</v>
      </c>
      <c r="W563" s="449">
        <v>0</v>
      </c>
      <c r="X563" s="449"/>
      <c r="Y563" s="449">
        <v>0</v>
      </c>
      <c r="Z563" s="531"/>
      <c r="AA563" s="449">
        <v>0</v>
      </c>
      <c r="AB563" s="449">
        <v>0</v>
      </c>
      <c r="AC563" s="449">
        <v>0</v>
      </c>
      <c r="AD563" s="449">
        <v>0</v>
      </c>
      <c r="AE563" s="449">
        <v>0</v>
      </c>
      <c r="AF563" s="449">
        <v>0</v>
      </c>
      <c r="AG563" s="449">
        <v>0</v>
      </c>
      <c r="AH563" s="449">
        <v>0</v>
      </c>
      <c r="AI563" s="449">
        <v>0</v>
      </c>
      <c r="AJ563" s="449">
        <v>0</v>
      </c>
      <c r="AK563" s="449">
        <v>0</v>
      </c>
      <c r="AL563" s="449">
        <v>0</v>
      </c>
      <c r="AM563" s="400"/>
      <c r="AN563" s="500">
        <v>0</v>
      </c>
      <c r="AO563" s="449">
        <v>0</v>
      </c>
      <c r="AP563" s="449">
        <v>0</v>
      </c>
      <c r="AQ563" s="453" t="s">
        <v>1519</v>
      </c>
      <c r="AR563" s="449">
        <v>0</v>
      </c>
      <c r="AS563" s="449">
        <v>0</v>
      </c>
      <c r="AT563" s="426">
        <v>0</v>
      </c>
      <c r="AU563" s="421"/>
      <c r="AV563" s="449">
        <v>0</v>
      </c>
      <c r="AW563" s="449">
        <v>0</v>
      </c>
      <c r="AX563" s="449">
        <v>0</v>
      </c>
      <c r="AY563" s="449">
        <v>0</v>
      </c>
      <c r="AZ563" s="449">
        <v>0</v>
      </c>
      <c r="BA563" s="449">
        <v>0</v>
      </c>
      <c r="BB563" s="449">
        <v>0</v>
      </c>
      <c r="BC563" s="449">
        <v>0</v>
      </c>
      <c r="BD563" s="449">
        <v>0</v>
      </c>
      <c r="BE563" s="449">
        <v>0</v>
      </c>
      <c r="BF563" s="449">
        <v>0</v>
      </c>
      <c r="BG563" s="449">
        <v>0</v>
      </c>
      <c r="BH563" s="400"/>
      <c r="BI563" s="449">
        <v>0</v>
      </c>
      <c r="BJ563" s="449">
        <v>0</v>
      </c>
      <c r="BK563" s="449">
        <v>0</v>
      </c>
      <c r="BL563" s="771">
        <v>0</v>
      </c>
      <c r="BM563" s="449">
        <v>0</v>
      </c>
      <c r="BN563" s="449">
        <v>0</v>
      </c>
      <c r="BO563" s="449">
        <v>0</v>
      </c>
      <c r="BP563" s="449">
        <v>0</v>
      </c>
      <c r="BQ563" s="449">
        <v>0</v>
      </c>
      <c r="BR563" s="449">
        <v>0</v>
      </c>
      <c r="BS563" s="449">
        <v>0</v>
      </c>
      <c r="BT563" s="449">
        <v>0</v>
      </c>
      <c r="BU563" s="400"/>
      <c r="BV563" s="400"/>
    </row>
    <row r="564" spans="1:74" x14ac:dyDescent="0.25">
      <c r="A564" s="502" t="s">
        <v>958</v>
      </c>
      <c r="B564" s="502" t="s">
        <v>959</v>
      </c>
      <c r="C564" s="538"/>
      <c r="D564" s="500">
        <v>0</v>
      </c>
      <c r="E564" s="449">
        <v>0</v>
      </c>
      <c r="F564" s="449">
        <v>0</v>
      </c>
      <c r="G564" s="421">
        <v>0</v>
      </c>
      <c r="H564" s="449">
        <v>0</v>
      </c>
      <c r="I564" s="449">
        <v>0</v>
      </c>
      <c r="J564" s="426">
        <v>0</v>
      </c>
      <c r="K564" s="421"/>
      <c r="L564" s="449">
        <v>0</v>
      </c>
      <c r="M564" s="449">
        <v>0</v>
      </c>
      <c r="N564" s="449">
        <v>0</v>
      </c>
      <c r="O564" s="449">
        <v>0</v>
      </c>
      <c r="P564" s="449">
        <v>0</v>
      </c>
      <c r="Q564" s="449">
        <v>0</v>
      </c>
      <c r="R564" s="449">
        <v>0</v>
      </c>
      <c r="S564" s="449">
        <v>0</v>
      </c>
      <c r="T564" s="449">
        <v>0</v>
      </c>
      <c r="U564" s="449">
        <v>0</v>
      </c>
      <c r="V564" s="449">
        <v>0</v>
      </c>
      <c r="W564" s="449">
        <v>0</v>
      </c>
      <c r="X564" s="449"/>
      <c r="Y564" s="449">
        <v>0</v>
      </c>
      <c r="Z564" s="501"/>
      <c r="AA564" s="449">
        <v>0</v>
      </c>
      <c r="AB564" s="449">
        <v>0</v>
      </c>
      <c r="AC564" s="449">
        <v>0</v>
      </c>
      <c r="AD564" s="449">
        <v>0</v>
      </c>
      <c r="AE564" s="449">
        <v>0</v>
      </c>
      <c r="AF564" s="449">
        <v>0</v>
      </c>
      <c r="AG564" s="449">
        <v>0</v>
      </c>
      <c r="AH564" s="449">
        <v>0</v>
      </c>
      <c r="AI564" s="449">
        <v>0</v>
      </c>
      <c r="AJ564" s="449">
        <v>0</v>
      </c>
      <c r="AK564" s="449">
        <v>0</v>
      </c>
      <c r="AL564" s="449">
        <v>0</v>
      </c>
      <c r="AM564" s="400"/>
      <c r="AN564" s="500">
        <v>0</v>
      </c>
      <c r="AO564" s="449">
        <v>0</v>
      </c>
      <c r="AP564" s="449">
        <v>0</v>
      </c>
      <c r="AQ564" s="453" t="s">
        <v>1519</v>
      </c>
      <c r="AR564" s="449">
        <v>0</v>
      </c>
      <c r="AS564" s="449">
        <v>0</v>
      </c>
      <c r="AT564" s="426">
        <v>0</v>
      </c>
      <c r="AU564" s="421"/>
      <c r="AV564" s="449">
        <v>0</v>
      </c>
      <c r="AW564" s="449">
        <v>0</v>
      </c>
      <c r="AX564" s="449">
        <v>0</v>
      </c>
      <c r="AY564" s="449">
        <v>0</v>
      </c>
      <c r="AZ564" s="449">
        <v>0</v>
      </c>
      <c r="BA564" s="449">
        <v>0</v>
      </c>
      <c r="BB564" s="449">
        <v>0</v>
      </c>
      <c r="BC564" s="449">
        <v>0</v>
      </c>
      <c r="BD564" s="449">
        <v>0</v>
      </c>
      <c r="BE564" s="449">
        <v>0</v>
      </c>
      <c r="BF564" s="449">
        <v>0</v>
      </c>
      <c r="BG564" s="449">
        <v>0</v>
      </c>
      <c r="BH564" s="400"/>
      <c r="BI564" s="449">
        <v>0</v>
      </c>
      <c r="BJ564" s="449">
        <v>0</v>
      </c>
      <c r="BK564" s="449">
        <v>0</v>
      </c>
      <c r="BL564" s="771">
        <v>0</v>
      </c>
      <c r="BM564" s="449">
        <v>0</v>
      </c>
      <c r="BN564" s="449">
        <v>0</v>
      </c>
      <c r="BO564" s="449">
        <v>0</v>
      </c>
      <c r="BP564" s="449">
        <v>0</v>
      </c>
      <c r="BQ564" s="449">
        <v>0</v>
      </c>
      <c r="BR564" s="449">
        <v>0</v>
      </c>
      <c r="BS564" s="449">
        <v>0</v>
      </c>
      <c r="BT564" s="449">
        <v>0</v>
      </c>
      <c r="BU564" s="400"/>
      <c r="BV564" s="400"/>
    </row>
    <row r="565" spans="1:74" x14ac:dyDescent="0.25">
      <c r="A565" s="502" t="s">
        <v>960</v>
      </c>
      <c r="B565" s="502" t="s">
        <v>961</v>
      </c>
      <c r="C565" s="542"/>
      <c r="D565" s="500">
        <v>115000</v>
      </c>
      <c r="E565" s="449">
        <v>115000</v>
      </c>
      <c r="F565" s="449">
        <v>0</v>
      </c>
      <c r="G565" s="421">
        <v>0</v>
      </c>
      <c r="H565" s="449">
        <v>115000</v>
      </c>
      <c r="I565" s="449">
        <v>0</v>
      </c>
      <c r="J565" s="426">
        <v>0</v>
      </c>
      <c r="K565" s="421"/>
      <c r="L565" s="449">
        <v>0</v>
      </c>
      <c r="M565" s="449">
        <v>0</v>
      </c>
      <c r="N565" s="449">
        <v>0</v>
      </c>
      <c r="O565" s="449">
        <v>0</v>
      </c>
      <c r="P565" s="449">
        <v>0</v>
      </c>
      <c r="Q565" s="449">
        <v>0</v>
      </c>
      <c r="R565" s="449">
        <v>19166.666666666668</v>
      </c>
      <c r="S565" s="449">
        <v>19166.666666666664</v>
      </c>
      <c r="T565" s="449">
        <v>19166.666666666668</v>
      </c>
      <c r="U565" s="449">
        <v>19166.666666666668</v>
      </c>
      <c r="V565" s="449">
        <v>19166.666666666664</v>
      </c>
      <c r="W565" s="449">
        <v>19166.666666666657</v>
      </c>
      <c r="X565" s="449"/>
      <c r="Y565" s="449">
        <v>115000</v>
      </c>
      <c r="Z565" s="501"/>
      <c r="AA565" s="449">
        <v>9583.3333333333339</v>
      </c>
      <c r="AB565" s="449">
        <v>9583.3333333333339</v>
      </c>
      <c r="AC565" s="449">
        <v>9583.3333333333339</v>
      </c>
      <c r="AD565" s="449">
        <v>9583.3333333333339</v>
      </c>
      <c r="AE565" s="449">
        <v>9583.3333333333339</v>
      </c>
      <c r="AF565" s="449">
        <v>9583.3333333333339</v>
      </c>
      <c r="AG565" s="449">
        <v>9583.3333333333339</v>
      </c>
      <c r="AH565" s="449">
        <v>9583.3333333333339</v>
      </c>
      <c r="AI565" s="449">
        <v>9583.3333333333339</v>
      </c>
      <c r="AJ565" s="449">
        <v>9583.3333333333339</v>
      </c>
      <c r="AK565" s="449">
        <v>9583.3333333333339</v>
      </c>
      <c r="AL565" s="449">
        <v>9583.3333333333339</v>
      </c>
      <c r="AM565" s="400"/>
      <c r="AN565" s="500">
        <v>115000</v>
      </c>
      <c r="AO565" s="449">
        <v>28625.133340808039</v>
      </c>
      <c r="AP565" s="449">
        <v>-86374.866659191961</v>
      </c>
      <c r="AQ565" s="453">
        <v>-0.75108579703645184</v>
      </c>
      <c r="AR565" s="449">
        <v>28625.133340808039</v>
      </c>
      <c r="AS565" s="449">
        <v>0</v>
      </c>
      <c r="AT565" s="426">
        <v>0</v>
      </c>
      <c r="AU565" s="421"/>
      <c r="AV565" s="449">
        <v>2385.4277784006699</v>
      </c>
      <c r="AW565" s="449">
        <v>2385.4277784006699</v>
      </c>
      <c r="AX565" s="449">
        <v>2385.4277784006699</v>
      </c>
      <c r="AY565" s="449">
        <v>2385.4277784006699</v>
      </c>
      <c r="AZ565" s="449">
        <v>2385.4277784006699</v>
      </c>
      <c r="BA565" s="449">
        <v>2385.4277784006699</v>
      </c>
      <c r="BB565" s="449">
        <v>2385.4277784006699</v>
      </c>
      <c r="BC565" s="449">
        <v>2385.4277784006699</v>
      </c>
      <c r="BD565" s="449">
        <v>2385.4277784006699</v>
      </c>
      <c r="BE565" s="449">
        <v>2385.4277784006699</v>
      </c>
      <c r="BF565" s="449">
        <v>2385.4277784006699</v>
      </c>
      <c r="BG565" s="449">
        <v>2385.4277784006699</v>
      </c>
      <c r="BH565" s="400"/>
      <c r="BI565" s="449">
        <v>2385.4277784006699</v>
      </c>
      <c r="BJ565" s="449">
        <v>2385.4277784006699</v>
      </c>
      <c r="BK565" s="449">
        <v>2385.4277784006699</v>
      </c>
      <c r="BL565" s="771">
        <v>2385.4277784006699</v>
      </c>
      <c r="BM565" s="449">
        <v>2385.4277784006699</v>
      </c>
      <c r="BN565" s="449">
        <v>2385.4277784006699</v>
      </c>
      <c r="BO565" s="449">
        <v>2385.4277784006699</v>
      </c>
      <c r="BP565" s="449">
        <v>2385.4277784006699</v>
      </c>
      <c r="BQ565" s="449">
        <v>2385.4277784006699</v>
      </c>
      <c r="BR565" s="449">
        <v>2385.4277784006699</v>
      </c>
      <c r="BS565" s="449">
        <v>2385.4277784006699</v>
      </c>
      <c r="BT565" s="449">
        <v>2385.4277784006699</v>
      </c>
      <c r="BU565" s="400"/>
      <c r="BV565" s="400"/>
    </row>
    <row r="566" spans="1:74" hidden="1" x14ac:dyDescent="0.25">
      <c r="A566" s="502" t="s">
        <v>962</v>
      </c>
      <c r="B566" s="502" t="s">
        <v>963</v>
      </c>
      <c r="C566" s="543"/>
      <c r="D566" s="500"/>
      <c r="E566" s="449">
        <v>0</v>
      </c>
      <c r="F566" s="449"/>
      <c r="G566" s="421"/>
      <c r="H566" s="449">
        <v>0</v>
      </c>
      <c r="I566" s="449"/>
      <c r="J566" s="426"/>
      <c r="K566" s="421"/>
      <c r="L566" s="449"/>
      <c r="M566" s="449"/>
      <c r="N566" s="449"/>
      <c r="O566" s="449"/>
      <c r="P566" s="449"/>
      <c r="Q566" s="449"/>
      <c r="R566" s="449"/>
      <c r="S566" s="449"/>
      <c r="T566" s="449"/>
      <c r="U566" s="449"/>
      <c r="V566" s="449"/>
      <c r="W566" s="449"/>
      <c r="X566" s="449"/>
      <c r="Y566" s="449">
        <v>0</v>
      </c>
      <c r="Z566" s="501"/>
      <c r="AA566" s="449"/>
      <c r="AB566" s="449"/>
      <c r="AC566" s="449"/>
      <c r="AD566" s="449"/>
      <c r="AE566" s="449"/>
      <c r="AF566" s="449"/>
      <c r="AG566" s="449"/>
      <c r="AH566" s="449"/>
      <c r="AI566" s="449"/>
      <c r="AJ566" s="449"/>
      <c r="AK566" s="449"/>
      <c r="AL566" s="449"/>
      <c r="AM566" s="400"/>
      <c r="AN566" s="500"/>
      <c r="AO566" s="449"/>
      <c r="AP566" s="449"/>
      <c r="AQ566" s="453"/>
      <c r="AR566" s="449">
        <v>0</v>
      </c>
      <c r="AS566" s="449"/>
      <c r="AT566" s="426"/>
      <c r="AU566" s="421"/>
      <c r="AV566" s="449"/>
      <c r="AW566" s="449"/>
      <c r="AX566" s="449"/>
      <c r="AY566" s="449"/>
      <c r="AZ566" s="449"/>
      <c r="BA566" s="449"/>
      <c r="BB566" s="449"/>
      <c r="BC566" s="449"/>
      <c r="BD566" s="449"/>
      <c r="BE566" s="449"/>
      <c r="BF566" s="449"/>
      <c r="BG566" s="449"/>
      <c r="BH566" s="501"/>
      <c r="BI566" s="449"/>
      <c r="BJ566" s="449"/>
      <c r="BK566" s="449"/>
      <c r="BL566" s="771"/>
      <c r="BM566" s="449"/>
      <c r="BN566" s="449"/>
      <c r="BO566" s="449"/>
      <c r="BP566" s="449"/>
      <c r="BQ566" s="449"/>
      <c r="BR566" s="449"/>
      <c r="BS566" s="449"/>
      <c r="BT566" s="449"/>
      <c r="BU566" s="400"/>
      <c r="BV566" s="400"/>
    </row>
    <row r="567" spans="1:74" x14ac:dyDescent="0.25">
      <c r="A567" s="502"/>
      <c r="B567" s="502"/>
      <c r="C567" s="543"/>
      <c r="D567" s="500"/>
      <c r="E567" s="449"/>
      <c r="F567" s="449"/>
      <c r="G567" s="421"/>
      <c r="H567" s="449"/>
      <c r="I567" s="449"/>
      <c r="J567" s="426"/>
      <c r="K567" s="421"/>
      <c r="L567" s="449"/>
      <c r="M567" s="449"/>
      <c r="N567" s="449"/>
      <c r="O567" s="449"/>
      <c r="P567" s="449"/>
      <c r="Q567" s="449"/>
      <c r="R567" s="449"/>
      <c r="S567" s="449"/>
      <c r="T567" s="449"/>
      <c r="U567" s="449"/>
      <c r="V567" s="449"/>
      <c r="W567" s="449"/>
      <c r="X567" s="449"/>
      <c r="Y567" s="449"/>
      <c r="Z567" s="501"/>
      <c r="AA567" s="449"/>
      <c r="AB567" s="449"/>
      <c r="AC567" s="449"/>
      <c r="AD567" s="449"/>
      <c r="AE567" s="449"/>
      <c r="AF567" s="449"/>
      <c r="AG567" s="449"/>
      <c r="AH567" s="449"/>
      <c r="AI567" s="449"/>
      <c r="AJ567" s="449"/>
      <c r="AK567" s="449"/>
      <c r="AL567" s="449"/>
      <c r="AM567" s="400"/>
      <c r="AN567" s="500"/>
      <c r="AO567" s="449"/>
      <c r="AP567" s="449"/>
      <c r="AQ567" s="453"/>
      <c r="AR567" s="449"/>
      <c r="AS567" s="449"/>
      <c r="AT567" s="426"/>
      <c r="AU567" s="421"/>
      <c r="AV567" s="449"/>
      <c r="AW567" s="449"/>
      <c r="AX567" s="449"/>
      <c r="AY567" s="449"/>
      <c r="AZ567" s="449"/>
      <c r="BA567" s="449"/>
      <c r="BB567" s="449"/>
      <c r="BC567" s="449"/>
      <c r="BD567" s="449"/>
      <c r="BE567" s="449"/>
      <c r="BF567" s="449"/>
      <c r="BG567" s="449"/>
      <c r="BH567" s="501"/>
      <c r="BI567" s="449"/>
      <c r="BJ567" s="449"/>
      <c r="BK567" s="449"/>
      <c r="BL567" s="771"/>
      <c r="BM567" s="449"/>
      <c r="BN567" s="449"/>
      <c r="BO567" s="449"/>
      <c r="BP567" s="449"/>
      <c r="BQ567" s="449"/>
      <c r="BR567" s="449"/>
      <c r="BS567" s="449"/>
      <c r="BT567" s="449"/>
      <c r="BU567" s="400"/>
      <c r="BV567" s="400"/>
    </row>
    <row r="568" spans="1:74" s="536" customFormat="1" ht="15.75" thickBot="1" x14ac:dyDescent="0.3">
      <c r="A568" s="524"/>
      <c r="B568" s="524" t="s">
        <v>964</v>
      </c>
      <c r="C568" s="544"/>
      <c r="D568" s="532">
        <v>511053</v>
      </c>
      <c r="E568" s="533">
        <v>590562.38244999992</v>
      </c>
      <c r="F568" s="533">
        <v>-79509.382449999917</v>
      </c>
      <c r="G568" s="520">
        <v>-0.13463333394204396</v>
      </c>
      <c r="H568" s="533">
        <v>511053</v>
      </c>
      <c r="I568" s="533">
        <v>0</v>
      </c>
      <c r="J568" s="521">
        <v>0</v>
      </c>
      <c r="K568" s="507"/>
      <c r="L568" s="533">
        <v>6272</v>
      </c>
      <c r="M568" s="533">
        <v>104506.86</v>
      </c>
      <c r="N568" s="533">
        <v>6053</v>
      </c>
      <c r="O568" s="533">
        <v>0</v>
      </c>
      <c r="P568" s="533">
        <v>11244.990000000005</v>
      </c>
      <c r="Q568" s="533">
        <v>-11244.990000000005</v>
      </c>
      <c r="R568" s="533">
        <v>65703.523333333345</v>
      </c>
      <c r="S568" s="533">
        <v>65703.523333333331</v>
      </c>
      <c r="T568" s="533">
        <v>65703.523333333331</v>
      </c>
      <c r="U568" s="533">
        <v>65703.523333333345</v>
      </c>
      <c r="V568" s="533">
        <v>65703.523333333345</v>
      </c>
      <c r="W568" s="533">
        <v>65703.523333333316</v>
      </c>
      <c r="X568" s="533"/>
      <c r="Y568" s="533">
        <v>511053</v>
      </c>
      <c r="Z568" s="508"/>
      <c r="AA568" s="533">
        <v>42587.75</v>
      </c>
      <c r="AB568" s="533">
        <v>42587.75</v>
      </c>
      <c r="AC568" s="533">
        <v>42587.75</v>
      </c>
      <c r="AD568" s="533">
        <v>42587.75</v>
      </c>
      <c r="AE568" s="533">
        <v>42587.75</v>
      </c>
      <c r="AF568" s="533">
        <v>42587.75</v>
      </c>
      <c r="AG568" s="533">
        <v>42587.75</v>
      </c>
      <c r="AH568" s="533">
        <v>42587.75</v>
      </c>
      <c r="AI568" s="533">
        <v>42587.75</v>
      </c>
      <c r="AJ568" s="533">
        <v>42587.75</v>
      </c>
      <c r="AK568" s="533">
        <v>42587.75</v>
      </c>
      <c r="AL568" s="533">
        <v>42587.75</v>
      </c>
      <c r="AN568" s="532">
        <v>511053</v>
      </c>
      <c r="AO568" s="533">
        <v>286700.91471080808</v>
      </c>
      <c r="AP568" s="533">
        <v>-224352.08528919192</v>
      </c>
      <c r="AQ568" s="523">
        <v>-0.43899964443842793</v>
      </c>
      <c r="AR568" s="533">
        <v>286700.91471080808</v>
      </c>
      <c r="AS568" s="533">
        <v>0</v>
      </c>
      <c r="AT568" s="521">
        <v>0</v>
      </c>
      <c r="AU568" s="507"/>
      <c r="AV568" s="533">
        <v>103958.871111734</v>
      </c>
      <c r="AW568" s="533">
        <v>3468.761111734003</v>
      </c>
      <c r="AX568" s="533">
        <v>3468.761111734003</v>
      </c>
      <c r="AY568" s="533">
        <v>3468.761111734003</v>
      </c>
      <c r="AZ568" s="533">
        <v>3468.761111734003</v>
      </c>
      <c r="BA568" s="533">
        <v>3468.761111734003</v>
      </c>
      <c r="BB568" s="533">
        <v>103958.871111734</v>
      </c>
      <c r="BC568" s="533">
        <v>3468.761111734003</v>
      </c>
      <c r="BD568" s="533">
        <v>3468.761111734003</v>
      </c>
      <c r="BE568" s="533">
        <v>3468.761111734003</v>
      </c>
      <c r="BF568" s="533">
        <v>3468.761111734003</v>
      </c>
      <c r="BG568" s="533">
        <v>47564.322481734009</v>
      </c>
      <c r="BH568" s="508"/>
      <c r="BI568" s="533">
        <v>103958.871111734</v>
      </c>
      <c r="BJ568" s="533">
        <v>3468.761111734003</v>
      </c>
      <c r="BK568" s="533">
        <v>3468.761111734003</v>
      </c>
      <c r="BL568" s="777">
        <v>3468.761111734003</v>
      </c>
      <c r="BM568" s="533">
        <v>3468.761111734003</v>
      </c>
      <c r="BN568" s="533">
        <v>3468.761111734003</v>
      </c>
      <c r="BO568" s="533">
        <v>103958.871111734</v>
      </c>
      <c r="BP568" s="533">
        <v>3468.761111734003</v>
      </c>
      <c r="BQ568" s="533">
        <v>3468.761111734003</v>
      </c>
      <c r="BR568" s="533">
        <v>3468.761111734003</v>
      </c>
      <c r="BS568" s="533">
        <v>3468.761111734003</v>
      </c>
      <c r="BT568" s="533">
        <v>47564.322481734009</v>
      </c>
      <c r="BV568" s="400"/>
    </row>
    <row r="569" spans="1:74" ht="15.75" thickTop="1" x14ac:dyDescent="0.25">
      <c r="A569" s="502"/>
      <c r="B569" s="502"/>
      <c r="C569" s="543"/>
      <c r="D569" s="500"/>
      <c r="E569" s="449"/>
      <c r="F569" s="449"/>
      <c r="G569" s="421"/>
      <c r="H569" s="449"/>
      <c r="I569" s="449"/>
      <c r="J569" s="426"/>
      <c r="K569" s="421"/>
      <c r="L569" s="449"/>
      <c r="M569" s="449"/>
      <c r="N569" s="449"/>
      <c r="O569" s="449"/>
      <c r="P569" s="449"/>
      <c r="Q569" s="449"/>
      <c r="R569" s="449"/>
      <c r="S569" s="449"/>
      <c r="T569" s="449"/>
      <c r="U569" s="449"/>
      <c r="V569" s="449"/>
      <c r="W569" s="449"/>
      <c r="X569" s="449"/>
      <c r="Y569" s="449"/>
      <c r="Z569" s="501"/>
      <c r="AA569" s="449"/>
      <c r="AB569" s="449"/>
      <c r="AC569" s="449"/>
      <c r="AD569" s="449"/>
      <c r="AE569" s="449"/>
      <c r="AF569" s="449"/>
      <c r="AG569" s="449"/>
      <c r="AH569" s="449"/>
      <c r="AI569" s="449"/>
      <c r="AJ569" s="449"/>
      <c r="AK569" s="449"/>
      <c r="AL569" s="449"/>
      <c r="AM569" s="400"/>
      <c r="AN569" s="500"/>
      <c r="AO569" s="449"/>
      <c r="AP569" s="449"/>
      <c r="AQ569" s="453"/>
      <c r="AR569" s="449"/>
      <c r="AS569" s="449"/>
      <c r="AT569" s="426"/>
      <c r="AU569" s="421"/>
      <c r="AV569" s="449"/>
      <c r="AW569" s="449"/>
      <c r="AX569" s="449"/>
      <c r="AY569" s="449"/>
      <c r="AZ569" s="449"/>
      <c r="BA569" s="449"/>
      <c r="BB569" s="449"/>
      <c r="BC569" s="449"/>
      <c r="BD569" s="449"/>
      <c r="BE569" s="449"/>
      <c r="BF569" s="449"/>
      <c r="BG569" s="449"/>
      <c r="BH569" s="501"/>
      <c r="BI569" s="449"/>
      <c r="BJ569" s="449"/>
      <c r="BK569" s="449"/>
      <c r="BL569" s="771"/>
      <c r="BM569" s="449"/>
      <c r="BN569" s="449"/>
      <c r="BO569" s="449"/>
      <c r="BP569" s="449"/>
      <c r="BQ569" s="449"/>
      <c r="BR569" s="449"/>
      <c r="BS569" s="449"/>
      <c r="BT569" s="449"/>
      <c r="BU569" s="400"/>
      <c r="BV569" s="400"/>
    </row>
    <row r="570" spans="1:74" s="536" customFormat="1" ht="15.75" thickBot="1" x14ac:dyDescent="0.3">
      <c r="A570" s="804" t="s">
        <v>965</v>
      </c>
      <c r="B570" s="804"/>
      <c r="C570" s="544"/>
      <c r="D570" s="532">
        <v>10267173.91</v>
      </c>
      <c r="E570" s="533">
        <v>10090214.061573999</v>
      </c>
      <c r="F570" s="533">
        <v>176959.84842600115</v>
      </c>
      <c r="G570" s="520">
        <v>1.7537769500838192E-2</v>
      </c>
      <c r="H570" s="533">
        <v>10092062.030000001</v>
      </c>
      <c r="I570" s="533">
        <v>175111.87999999896</v>
      </c>
      <c r="J570" s="521">
        <v>1.735144705605807E-2</v>
      </c>
      <c r="K570" s="507"/>
      <c r="L570" s="533">
        <v>567894.82999999984</v>
      </c>
      <c r="M570" s="533">
        <v>991256.66</v>
      </c>
      <c r="N570" s="533">
        <v>692636.81000000017</v>
      </c>
      <c r="O570" s="533">
        <v>896332.71</v>
      </c>
      <c r="P570" s="533">
        <v>677247.11</v>
      </c>
      <c r="Q570" s="533">
        <v>747331.85000000009</v>
      </c>
      <c r="R570" s="533">
        <v>949078.99000000011</v>
      </c>
      <c r="S570" s="533">
        <v>949078.99000000022</v>
      </c>
      <c r="T570" s="533">
        <v>949078.99000000022</v>
      </c>
      <c r="U570" s="533">
        <v>949078.99000000011</v>
      </c>
      <c r="V570" s="533">
        <v>949078.99000000011</v>
      </c>
      <c r="W570" s="533">
        <v>949078.99000000011</v>
      </c>
      <c r="X570" s="533"/>
      <c r="Y570" s="533">
        <v>10267173.910000002</v>
      </c>
      <c r="Z570" s="508"/>
      <c r="AA570" s="533">
        <v>841005.1691666668</v>
      </c>
      <c r="AB570" s="533">
        <v>841005.1691666668</v>
      </c>
      <c r="AC570" s="533">
        <v>841005.1691666668</v>
      </c>
      <c r="AD570" s="533">
        <v>841005.1691666668</v>
      </c>
      <c r="AE570" s="533">
        <v>841005.1691666668</v>
      </c>
      <c r="AF570" s="533">
        <v>841005.1691666668</v>
      </c>
      <c r="AG570" s="533">
        <v>841005.1691666668</v>
      </c>
      <c r="AH570" s="533">
        <v>841005.1691666668</v>
      </c>
      <c r="AI570" s="533">
        <v>841005.1691666668</v>
      </c>
      <c r="AJ570" s="533">
        <v>841005.1691666668</v>
      </c>
      <c r="AK570" s="533">
        <v>841005.1691666668</v>
      </c>
      <c r="AL570" s="533">
        <v>841005.1691666668</v>
      </c>
      <c r="AN570" s="532">
        <v>10267173.91</v>
      </c>
      <c r="AO570" s="533">
        <v>11115029.294492081</v>
      </c>
      <c r="AP570" s="533">
        <v>847855.38449208066</v>
      </c>
      <c r="AQ570" s="523">
        <v>8.2579236693973629E-2</v>
      </c>
      <c r="AR570" s="533">
        <v>11115029.294492081</v>
      </c>
      <c r="AS570" s="533">
        <v>0</v>
      </c>
      <c r="AT570" s="521">
        <v>0</v>
      </c>
      <c r="AU570" s="507"/>
      <c r="AV570" s="533">
        <v>732022.34492310241</v>
      </c>
      <c r="AW570" s="533">
        <v>910412.14090253634</v>
      </c>
      <c r="AX570" s="533">
        <v>901057.39608561667</v>
      </c>
      <c r="AY570" s="533">
        <v>1160776.8960856167</v>
      </c>
      <c r="AZ570" s="533">
        <v>901057.39608561667</v>
      </c>
      <c r="BA570" s="533">
        <v>859145.50145857513</v>
      </c>
      <c r="BB570" s="533">
        <v>959635.61145857512</v>
      </c>
      <c r="BC570" s="533">
        <v>859145.50145857513</v>
      </c>
      <c r="BD570" s="533">
        <v>859145.50145857513</v>
      </c>
      <c r="BE570" s="533">
        <v>905865.00145857502</v>
      </c>
      <c r="BF570" s="533">
        <v>859145.50145857513</v>
      </c>
      <c r="BG570" s="533">
        <v>1207620.5016581414</v>
      </c>
      <c r="BH570" s="508"/>
      <c r="BI570" s="533">
        <v>732022.34492310241</v>
      </c>
      <c r="BJ570" s="533">
        <v>910412.14090253634</v>
      </c>
      <c r="BK570" s="533">
        <v>901057.39608561667</v>
      </c>
      <c r="BL570" s="777">
        <v>1160776.8960856167</v>
      </c>
      <c r="BM570" s="533">
        <v>901057.39608561667</v>
      </c>
      <c r="BN570" s="533">
        <v>859145.50145857513</v>
      </c>
      <c r="BO570" s="533">
        <v>959635.61145857512</v>
      </c>
      <c r="BP570" s="533">
        <v>859145.50145857513</v>
      </c>
      <c r="BQ570" s="533">
        <v>859145.50145857513</v>
      </c>
      <c r="BR570" s="533">
        <v>905865.00145857502</v>
      </c>
      <c r="BS570" s="533">
        <v>859145.50145857513</v>
      </c>
      <c r="BT570" s="533">
        <v>1207620.5016581414</v>
      </c>
      <c r="BV570" s="400"/>
    </row>
    <row r="571" spans="1:74" ht="15.75" thickTop="1" x14ac:dyDescent="0.25">
      <c r="A571" s="502"/>
      <c r="B571" s="605"/>
      <c r="C571" s="543"/>
      <c r="D571" s="500"/>
      <c r="E571" s="449"/>
      <c r="F571" s="449"/>
      <c r="G571" s="421"/>
      <c r="H571" s="449"/>
      <c r="I571" s="449"/>
      <c r="J571" s="426"/>
      <c r="K571" s="421"/>
      <c r="L571" s="449"/>
      <c r="M571" s="449"/>
      <c r="N571" s="449"/>
      <c r="O571" s="449"/>
      <c r="P571" s="449"/>
      <c r="Q571" s="449"/>
      <c r="R571" s="449"/>
      <c r="S571" s="449"/>
      <c r="T571" s="449"/>
      <c r="U571" s="449"/>
      <c r="V571" s="449"/>
      <c r="W571" s="449"/>
      <c r="X571" s="449"/>
      <c r="Y571" s="449"/>
      <c r="Z571" s="501"/>
      <c r="AA571" s="449"/>
      <c r="AB571" s="449"/>
      <c r="AC571" s="449"/>
      <c r="AD571" s="449"/>
      <c r="AE571" s="449"/>
      <c r="AF571" s="449"/>
      <c r="AG571" s="449"/>
      <c r="AH571" s="449"/>
      <c r="AI571" s="449"/>
      <c r="AJ571" s="449"/>
      <c r="AK571" s="449"/>
      <c r="AL571" s="449"/>
      <c r="AM571" s="400"/>
      <c r="AN571" s="500"/>
      <c r="AO571" s="449"/>
      <c r="AP571" s="449"/>
      <c r="AQ571" s="453"/>
      <c r="AR571" s="449"/>
      <c r="AS571" s="449"/>
      <c r="AT571" s="426"/>
      <c r="AU571" s="421"/>
      <c r="AV571" s="449"/>
      <c r="AW571" s="449"/>
      <c r="AX571" s="449"/>
      <c r="AY571" s="449"/>
      <c r="AZ571" s="449"/>
      <c r="BA571" s="449"/>
      <c r="BB571" s="449"/>
      <c r="BC571" s="449"/>
      <c r="BD571" s="449"/>
      <c r="BE571" s="449"/>
      <c r="BF571" s="449"/>
      <c r="BG571" s="449"/>
      <c r="BH571" s="501"/>
      <c r="BI571" s="449"/>
      <c r="BJ571" s="449"/>
      <c r="BK571" s="449"/>
      <c r="BL571" s="771"/>
      <c r="BM571" s="449"/>
      <c r="BN571" s="449"/>
      <c r="BO571" s="449"/>
      <c r="BP571" s="449"/>
      <c r="BQ571" s="449"/>
      <c r="BR571" s="449"/>
      <c r="BS571" s="449"/>
      <c r="BT571" s="449"/>
      <c r="BU571" s="400"/>
      <c r="BV571" s="400"/>
    </row>
    <row r="572" spans="1:74" s="536" customFormat="1" x14ac:dyDescent="0.25">
      <c r="A572" s="804" t="s">
        <v>966</v>
      </c>
      <c r="B572" s="804"/>
      <c r="C572" s="544"/>
      <c r="D572" s="545">
        <v>67640.709999999031</v>
      </c>
      <c r="E572" s="546">
        <v>25963.682426000014</v>
      </c>
      <c r="F572" s="546">
        <v>41677.027573999017</v>
      </c>
      <c r="G572" s="547">
        <v>1.6052047968459078</v>
      </c>
      <c r="H572" s="546">
        <v>175442.96999999881</v>
      </c>
      <c r="I572" s="546">
        <v>-107802.25999999978</v>
      </c>
      <c r="J572" s="548">
        <v>-0.61445756418738529</v>
      </c>
      <c r="K572" s="507"/>
      <c r="L572" s="546">
        <v>162417.92000000016</v>
      </c>
      <c r="M572" s="546">
        <v>-143180.8600000001</v>
      </c>
      <c r="N572" s="546">
        <v>273165.74</v>
      </c>
      <c r="O572" s="546">
        <v>-54004.590000000084</v>
      </c>
      <c r="P572" s="546">
        <v>84363.649999999674</v>
      </c>
      <c r="Q572" s="546">
        <v>204534.83000000019</v>
      </c>
      <c r="R572" s="546">
        <v>-76609.329999999958</v>
      </c>
      <c r="S572" s="546">
        <v>-76609.330000000075</v>
      </c>
      <c r="T572" s="546">
        <v>-76609.330000000075</v>
      </c>
      <c r="U572" s="546">
        <v>-76609.329999999958</v>
      </c>
      <c r="V572" s="546">
        <v>-76609.329999999958</v>
      </c>
      <c r="W572" s="546">
        <v>-76609.329999999492</v>
      </c>
      <c r="X572" s="546"/>
      <c r="Y572" s="546">
        <v>67640.709999999031</v>
      </c>
      <c r="Z572" s="508"/>
      <c r="AA572" s="546">
        <v>14620.247499999939</v>
      </c>
      <c r="AB572" s="546">
        <v>14620.247499999939</v>
      </c>
      <c r="AC572" s="546">
        <v>14620.247499999939</v>
      </c>
      <c r="AD572" s="546">
        <v>14620.247499999939</v>
      </c>
      <c r="AE572" s="546">
        <v>14620.247499999939</v>
      </c>
      <c r="AF572" s="546">
        <v>14620.247499999939</v>
      </c>
      <c r="AG572" s="546">
        <v>14620.247499999939</v>
      </c>
      <c r="AH572" s="546">
        <v>14620.247499999939</v>
      </c>
      <c r="AI572" s="546">
        <v>14620.247499999939</v>
      </c>
      <c r="AJ572" s="546">
        <v>14620.247499999939</v>
      </c>
      <c r="AK572" s="546">
        <v>14620.247499999939</v>
      </c>
      <c r="AL572" s="546">
        <v>14620.247499999939</v>
      </c>
      <c r="AN572" s="545">
        <v>67640.709999999031</v>
      </c>
      <c r="AO572" s="546">
        <v>176346.79831396788</v>
      </c>
      <c r="AP572" s="546">
        <v>108706.08831396885</v>
      </c>
      <c r="AQ572" s="549">
        <v>1.6071103971849261</v>
      </c>
      <c r="AR572" s="546">
        <v>176346.79831396788</v>
      </c>
      <c r="AS572" s="546">
        <v>0</v>
      </c>
      <c r="AT572" s="548">
        <v>0</v>
      </c>
      <c r="AU572" s="507"/>
      <c r="AV572" s="546">
        <v>213479.67312733468</v>
      </c>
      <c r="AW572" s="546">
        <v>102303.2014998541</v>
      </c>
      <c r="AX572" s="546">
        <v>24957.677149705472</v>
      </c>
      <c r="AY572" s="546">
        <v>-214761.82285029453</v>
      </c>
      <c r="AZ572" s="546">
        <v>28961.677149705472</v>
      </c>
      <c r="BA572" s="546">
        <v>66869.571776747005</v>
      </c>
      <c r="BB572" s="546">
        <v>-33620.538223252981</v>
      </c>
      <c r="BC572" s="546">
        <v>70873.571776747005</v>
      </c>
      <c r="BD572" s="546">
        <v>111869.57177674701</v>
      </c>
      <c r="BE572" s="546">
        <v>20150.071776747121</v>
      </c>
      <c r="BF572" s="546">
        <v>66869.571776747005</v>
      </c>
      <c r="BG572" s="546">
        <v>-281605.42842281924</v>
      </c>
      <c r="BH572" s="508"/>
      <c r="BI572" s="546">
        <v>213479.67312733468</v>
      </c>
      <c r="BJ572" s="546">
        <v>102303.2014998541</v>
      </c>
      <c r="BK572" s="546">
        <v>24957.677149705472</v>
      </c>
      <c r="BL572" s="779">
        <v>-214761.82285029453</v>
      </c>
      <c r="BM572" s="546">
        <v>28961.677149705472</v>
      </c>
      <c r="BN572" s="546">
        <v>66869.571776747005</v>
      </c>
      <c r="BO572" s="546">
        <v>-33620.538223252981</v>
      </c>
      <c r="BP572" s="546">
        <v>70873.571776747005</v>
      </c>
      <c r="BQ572" s="546">
        <v>111869.57177674701</v>
      </c>
      <c r="BR572" s="546">
        <v>20150.071776747121</v>
      </c>
      <c r="BS572" s="546">
        <v>66869.571776747005</v>
      </c>
      <c r="BT572" s="546">
        <v>-281605.42842281924</v>
      </c>
      <c r="BV572" s="400"/>
    </row>
    <row r="573" spans="1:74" ht="9" hidden="1" customHeight="1" x14ac:dyDescent="0.25">
      <c r="A573" s="502"/>
      <c r="B573" s="605"/>
      <c r="C573" s="543"/>
      <c r="D573" s="500"/>
      <c r="E573" s="449"/>
      <c r="F573" s="449"/>
      <c r="G573" s="421"/>
      <c r="H573" s="449"/>
      <c r="I573" s="449"/>
      <c r="J573" s="426"/>
      <c r="K573" s="421"/>
      <c r="L573" s="449"/>
      <c r="M573" s="449"/>
      <c r="N573" s="449"/>
      <c r="O573" s="449"/>
      <c r="P573" s="449"/>
      <c r="Q573" s="449"/>
      <c r="R573" s="449"/>
      <c r="S573" s="449"/>
      <c r="T573" s="449"/>
      <c r="U573" s="449"/>
      <c r="V573" s="449"/>
      <c r="W573" s="449"/>
      <c r="X573" s="449"/>
      <c r="Y573" s="449"/>
      <c r="Z573" s="501"/>
      <c r="AA573" s="449"/>
      <c r="AB573" s="449"/>
      <c r="AC573" s="449"/>
      <c r="AD573" s="449"/>
      <c r="AE573" s="449"/>
      <c r="AF573" s="449"/>
      <c r="AG573" s="449"/>
      <c r="AH573" s="449"/>
      <c r="AI573" s="449"/>
      <c r="AJ573" s="449"/>
      <c r="AK573" s="449"/>
      <c r="AL573" s="449"/>
      <c r="AM573" s="400"/>
      <c r="AN573" s="500"/>
      <c r="AO573" s="449"/>
      <c r="AP573" s="449"/>
      <c r="AQ573" s="453"/>
      <c r="AR573" s="449"/>
      <c r="AS573" s="449"/>
      <c r="AT573" s="426"/>
      <c r="AU573" s="421"/>
      <c r="AV573" s="449"/>
      <c r="AW573" s="449"/>
      <c r="AX573" s="449"/>
      <c r="AY573" s="449"/>
      <c r="AZ573" s="449"/>
      <c r="BA573" s="449"/>
      <c r="BB573" s="449"/>
      <c r="BC573" s="449"/>
      <c r="BD573" s="449"/>
      <c r="BE573" s="449"/>
      <c r="BF573" s="449"/>
      <c r="BG573" s="449"/>
      <c r="BH573" s="501"/>
      <c r="BI573" s="449"/>
      <c r="BJ573" s="449"/>
      <c r="BK573" s="449"/>
      <c r="BL573" s="771"/>
      <c r="BM573" s="449"/>
      <c r="BN573" s="449"/>
      <c r="BO573" s="449"/>
      <c r="BP573" s="449"/>
      <c r="BQ573" s="449"/>
      <c r="BR573" s="449"/>
      <c r="BS573" s="449"/>
      <c r="BT573" s="449"/>
      <c r="BU573" s="400"/>
      <c r="BV573" s="400"/>
    </row>
    <row r="574" spans="1:74" s="536" customFormat="1" hidden="1" x14ac:dyDescent="0.25">
      <c r="A574" s="804" t="s">
        <v>967</v>
      </c>
      <c r="B574" s="804"/>
      <c r="C574" s="544"/>
      <c r="D574" s="550"/>
      <c r="E574" s="528">
        <v>2076213</v>
      </c>
      <c r="F574" s="551"/>
      <c r="G574" s="507"/>
      <c r="H574" s="528">
        <v>2076213</v>
      </c>
      <c r="I574" s="551"/>
      <c r="J574" s="529"/>
      <c r="K574" s="507"/>
      <c r="L574" s="551"/>
      <c r="M574" s="551"/>
      <c r="N574" s="551"/>
      <c r="O574" s="551"/>
      <c r="P574" s="551"/>
      <c r="Q574" s="551"/>
      <c r="R574" s="551"/>
      <c r="S574" s="551"/>
      <c r="T574" s="551"/>
      <c r="U574" s="551"/>
      <c r="V574" s="551"/>
      <c r="W574" s="551"/>
      <c r="X574" s="551"/>
      <c r="Y574" s="551"/>
      <c r="Z574" s="508"/>
      <c r="AA574" s="551"/>
      <c r="AB574" s="551"/>
      <c r="AC574" s="551"/>
      <c r="AD574" s="551"/>
      <c r="AE574" s="551"/>
      <c r="AF574" s="551"/>
      <c r="AG574" s="551"/>
      <c r="AH574" s="551"/>
      <c r="AI574" s="551"/>
      <c r="AJ574" s="551"/>
      <c r="AK574" s="551"/>
      <c r="AL574" s="551"/>
      <c r="AN574" s="550"/>
      <c r="AO574" s="528"/>
      <c r="AP574" s="551"/>
      <c r="AQ574" s="499"/>
      <c r="AR574" s="528">
        <v>2251655.9699999988</v>
      </c>
      <c r="AS574" s="551"/>
      <c r="AT574" s="529"/>
      <c r="AU574" s="507"/>
      <c r="AV574" s="551"/>
      <c r="AW574" s="551"/>
      <c r="AX574" s="551"/>
      <c r="AY574" s="551"/>
      <c r="AZ574" s="551"/>
      <c r="BA574" s="551"/>
      <c r="BB574" s="551"/>
      <c r="BC574" s="551"/>
      <c r="BD574" s="551"/>
      <c r="BE574" s="551"/>
      <c r="BF574" s="551"/>
      <c r="BG574" s="551"/>
      <c r="BH574" s="508"/>
      <c r="BI574" s="551"/>
      <c r="BJ574" s="551"/>
      <c r="BK574" s="551"/>
      <c r="BL574" s="780"/>
      <c r="BM574" s="551"/>
      <c r="BN574" s="551"/>
      <c r="BO574" s="551"/>
      <c r="BP574" s="551"/>
      <c r="BQ574" s="551"/>
      <c r="BR574" s="551"/>
      <c r="BS574" s="551"/>
      <c r="BT574" s="551"/>
      <c r="BV574" s="400"/>
    </row>
    <row r="575" spans="1:74" ht="7.5" hidden="1" customHeight="1" x14ac:dyDescent="0.25">
      <c r="A575" s="502"/>
      <c r="B575" s="605"/>
      <c r="C575" s="543"/>
      <c r="D575" s="500"/>
      <c r="E575" s="449"/>
      <c r="F575" s="449"/>
      <c r="G575" s="421"/>
      <c r="H575" s="449"/>
      <c r="I575" s="449"/>
      <c r="J575" s="426"/>
      <c r="K575" s="421"/>
      <c r="L575" s="449"/>
      <c r="M575" s="449"/>
      <c r="N575" s="449"/>
      <c r="O575" s="449"/>
      <c r="P575" s="449"/>
      <c r="Q575" s="449"/>
      <c r="R575" s="449"/>
      <c r="S575" s="449"/>
      <c r="T575" s="449"/>
      <c r="U575" s="449"/>
      <c r="V575" s="449"/>
      <c r="W575" s="449"/>
      <c r="X575" s="449"/>
      <c r="Y575" s="449"/>
      <c r="Z575" s="501"/>
      <c r="AA575" s="449"/>
      <c r="AB575" s="449"/>
      <c r="AC575" s="449"/>
      <c r="AD575" s="449"/>
      <c r="AE575" s="449"/>
      <c r="AF575" s="449"/>
      <c r="AG575" s="449"/>
      <c r="AH575" s="449"/>
      <c r="AI575" s="449"/>
      <c r="AJ575" s="449"/>
      <c r="AK575" s="449"/>
      <c r="AL575" s="449"/>
      <c r="AM575" s="400"/>
      <c r="AN575" s="500"/>
      <c r="AO575" s="449"/>
      <c r="AP575" s="449"/>
      <c r="AQ575" s="453"/>
      <c r="AR575" s="449"/>
      <c r="AS575" s="449"/>
      <c r="AT575" s="426"/>
      <c r="AU575" s="421"/>
      <c r="AV575" s="449"/>
      <c r="AW575" s="449"/>
      <c r="AX575" s="449"/>
      <c r="AY575" s="449"/>
      <c r="AZ575" s="449"/>
      <c r="BA575" s="449"/>
      <c r="BB575" s="449"/>
      <c r="BC575" s="449"/>
      <c r="BD575" s="449"/>
      <c r="BE575" s="449"/>
      <c r="BF575" s="449"/>
      <c r="BG575" s="449"/>
      <c r="BH575" s="501"/>
      <c r="BI575" s="449"/>
      <c r="BJ575" s="449"/>
      <c r="BK575" s="449"/>
      <c r="BL575" s="771"/>
      <c r="BM575" s="449"/>
      <c r="BN575" s="449"/>
      <c r="BO575" s="449"/>
      <c r="BP575" s="449"/>
      <c r="BQ575" s="449"/>
      <c r="BR575" s="449"/>
      <c r="BS575" s="449"/>
      <c r="BT575" s="449"/>
      <c r="BU575" s="400"/>
      <c r="BV575" s="400"/>
    </row>
    <row r="576" spans="1:74" ht="15.75" hidden="1" thickBot="1" x14ac:dyDescent="0.3">
      <c r="A576" s="804" t="s">
        <v>968</v>
      </c>
      <c r="B576" s="804"/>
      <c r="C576" s="543"/>
      <c r="D576" s="550"/>
      <c r="E576" s="533">
        <v>2102176.682426</v>
      </c>
      <c r="F576" s="551"/>
      <c r="G576" s="507"/>
      <c r="H576" s="533">
        <v>2251655.9699999988</v>
      </c>
      <c r="I576" s="551"/>
      <c r="J576" s="529"/>
      <c r="K576" s="507"/>
      <c r="L576" s="551"/>
      <c r="M576" s="551"/>
      <c r="N576" s="551"/>
      <c r="O576" s="551"/>
      <c r="P576" s="551"/>
      <c r="Q576" s="551"/>
      <c r="R576" s="551"/>
      <c r="S576" s="551"/>
      <c r="T576" s="551"/>
      <c r="U576" s="551"/>
      <c r="V576" s="551"/>
      <c r="W576" s="551"/>
      <c r="X576" s="551"/>
      <c r="Y576" s="551"/>
      <c r="Z576" s="508"/>
      <c r="AA576" s="551"/>
      <c r="AB576" s="551"/>
      <c r="AC576" s="551"/>
      <c r="AD576" s="551"/>
      <c r="AE576" s="551"/>
      <c r="AF576" s="551"/>
      <c r="AG576" s="551"/>
      <c r="AH576" s="551"/>
      <c r="AI576" s="551"/>
      <c r="AJ576" s="551"/>
      <c r="AK576" s="551"/>
      <c r="AL576" s="551"/>
      <c r="AM576" s="400"/>
      <c r="AN576" s="550"/>
      <c r="AO576" s="551"/>
      <c r="AP576" s="551"/>
      <c r="AQ576" s="499"/>
      <c r="AR576" s="533">
        <v>1895299.1286139656</v>
      </c>
      <c r="AS576" s="551"/>
      <c r="AT576" s="529"/>
      <c r="AU576" s="507"/>
      <c r="AV576" s="551"/>
      <c r="AW576" s="551"/>
      <c r="AX576" s="551"/>
      <c r="AY576" s="551"/>
      <c r="AZ576" s="551"/>
      <c r="BA576" s="551"/>
      <c r="BB576" s="551"/>
      <c r="BC576" s="551"/>
      <c r="BD576" s="551"/>
      <c r="BE576" s="551"/>
      <c r="BF576" s="551"/>
      <c r="BG576" s="551"/>
      <c r="BH576" s="508"/>
      <c r="BI576" s="551"/>
      <c r="BJ576" s="551"/>
      <c r="BK576" s="551"/>
      <c r="BL576" s="780"/>
      <c r="BM576" s="551"/>
      <c r="BN576" s="551"/>
      <c r="BO576" s="551"/>
      <c r="BP576" s="551"/>
      <c r="BQ576" s="551"/>
      <c r="BR576" s="551"/>
      <c r="BS576" s="551"/>
      <c r="BT576" s="551"/>
      <c r="BU576" s="400"/>
      <c r="BV576" s="400"/>
    </row>
    <row r="577" spans="1:74" ht="27.75" customHeight="1" x14ac:dyDescent="0.25">
      <c r="A577" s="502"/>
      <c r="B577" s="502"/>
      <c r="C577" s="543"/>
      <c r="D577" s="500"/>
      <c r="E577" s="449"/>
      <c r="F577" s="449"/>
      <c r="G577" s="421"/>
      <c r="H577" s="449"/>
      <c r="I577" s="449"/>
      <c r="J577" s="426"/>
      <c r="K577" s="421"/>
      <c r="L577" s="449"/>
      <c r="M577" s="449"/>
      <c r="N577" s="449"/>
      <c r="O577" s="449"/>
      <c r="P577" s="449"/>
      <c r="Q577" s="449"/>
      <c r="R577" s="449"/>
      <c r="S577" s="449"/>
      <c r="T577" s="449"/>
      <c r="U577" s="449"/>
      <c r="V577" s="449"/>
      <c r="W577" s="449"/>
      <c r="X577" s="449"/>
      <c r="Y577" s="449"/>
      <c r="Z577" s="501"/>
      <c r="AA577" s="449"/>
      <c r="AB577" s="449"/>
      <c r="AC577" s="449"/>
      <c r="AD577" s="449"/>
      <c r="AE577" s="449"/>
      <c r="AF577" s="449"/>
      <c r="AG577" s="449"/>
      <c r="AH577" s="449"/>
      <c r="AI577" s="449"/>
      <c r="AJ577" s="449"/>
      <c r="AK577" s="449"/>
      <c r="AL577" s="449"/>
      <c r="AM577" s="400"/>
      <c r="AN577" s="500"/>
      <c r="AO577" s="648">
        <v>0.79789193373408218</v>
      </c>
      <c r="AP577" s="449"/>
      <c r="AQ577" s="453"/>
      <c r="AR577" s="449"/>
      <c r="AS577" s="449"/>
      <c r="AT577" s="426"/>
      <c r="AU577" s="421"/>
      <c r="AV577" s="449"/>
      <c r="AW577" s="449"/>
      <c r="AX577" s="449"/>
      <c r="AY577" s="449"/>
      <c r="AZ577" s="449"/>
      <c r="BA577" s="449"/>
      <c r="BB577" s="449"/>
      <c r="BC577" s="449"/>
      <c r="BD577" s="449"/>
      <c r="BE577" s="449"/>
      <c r="BF577" s="449"/>
      <c r="BG577" s="449"/>
      <c r="BH577" s="501"/>
      <c r="BI577" s="449"/>
      <c r="BJ577" s="449"/>
      <c r="BK577" s="449"/>
      <c r="BL577" s="771"/>
      <c r="BM577" s="449"/>
      <c r="BN577" s="449"/>
      <c r="BO577" s="449"/>
      <c r="BP577" s="449"/>
      <c r="BQ577" s="449"/>
      <c r="BR577" s="449"/>
      <c r="BS577" s="449"/>
      <c r="BT577" s="449"/>
      <c r="BU577" s="400"/>
      <c r="BV577" s="400"/>
    </row>
    <row r="578" spans="1:74" ht="18.75" x14ac:dyDescent="0.25">
      <c r="A578" s="502"/>
      <c r="B578" s="552" t="s">
        <v>969</v>
      </c>
      <c r="C578" s="543"/>
      <c r="D578" s="500"/>
      <c r="E578" s="449"/>
      <c r="F578" s="449"/>
      <c r="G578" s="421"/>
      <c r="H578" s="449"/>
      <c r="I578" s="449"/>
      <c r="J578" s="426"/>
      <c r="K578" s="421"/>
      <c r="L578" s="449"/>
      <c r="M578" s="449"/>
      <c r="N578" s="449"/>
      <c r="O578" s="449"/>
      <c r="P578" s="449"/>
      <c r="Q578" s="449"/>
      <c r="R578" s="449"/>
      <c r="S578" s="449"/>
      <c r="T578" s="449"/>
      <c r="U578" s="449"/>
      <c r="V578" s="449"/>
      <c r="W578" s="449"/>
      <c r="X578" s="449"/>
      <c r="Y578" s="449"/>
      <c r="Z578" s="501"/>
      <c r="AA578" s="449"/>
      <c r="AB578" s="449"/>
      <c r="AC578" s="449"/>
      <c r="AD578" s="449"/>
      <c r="AE578" s="449"/>
      <c r="AF578" s="449"/>
      <c r="AG578" s="449"/>
      <c r="AH578" s="449"/>
      <c r="AI578" s="449"/>
      <c r="AJ578" s="449"/>
      <c r="AK578" s="449"/>
      <c r="AL578" s="449"/>
      <c r="AM578" s="400"/>
      <c r="AN578" s="500"/>
      <c r="AO578" s="449"/>
      <c r="AP578" s="449"/>
      <c r="AQ578" s="453"/>
      <c r="AR578" s="449"/>
      <c r="AS578" s="449"/>
      <c r="AT578" s="426"/>
      <c r="AU578" s="421"/>
      <c r="AV578" s="449"/>
      <c r="AW578" s="449"/>
      <c r="AX578" s="449"/>
      <c r="AY578" s="449"/>
      <c r="AZ578" s="449"/>
      <c r="BA578" s="449"/>
      <c r="BB578" s="449"/>
      <c r="BC578" s="449"/>
      <c r="BD578" s="449"/>
      <c r="BE578" s="449"/>
      <c r="BF578" s="449"/>
      <c r="BG578" s="449"/>
      <c r="BH578" s="501"/>
      <c r="BI578" s="449"/>
      <c r="BJ578" s="449"/>
      <c r="BK578" s="449"/>
      <c r="BL578" s="771"/>
      <c r="BM578" s="449"/>
      <c r="BN578" s="449"/>
      <c r="BO578" s="449"/>
      <c r="BP578" s="449"/>
      <c r="BQ578" s="449"/>
      <c r="BR578" s="449"/>
      <c r="BS578" s="449"/>
      <c r="BT578" s="449"/>
      <c r="BU578" s="400"/>
      <c r="BV578" s="400"/>
    </row>
    <row r="579" spans="1:74" ht="6.75" customHeight="1" x14ac:dyDescent="0.25">
      <c r="A579" s="502"/>
      <c r="B579" s="502"/>
      <c r="C579" s="543"/>
      <c r="D579" s="500"/>
      <c r="E579" s="449"/>
      <c r="F579" s="449"/>
      <c r="G579" s="421"/>
      <c r="H579" s="449"/>
      <c r="I579" s="449"/>
      <c r="J579" s="426"/>
      <c r="K579" s="421"/>
      <c r="L579" s="449"/>
      <c r="M579" s="449"/>
      <c r="N579" s="449"/>
      <c r="O579" s="449"/>
      <c r="P579" s="449"/>
      <c r="Q579" s="449"/>
      <c r="R579" s="449"/>
      <c r="S579" s="449"/>
      <c r="T579" s="449"/>
      <c r="U579" s="449"/>
      <c r="V579" s="449"/>
      <c r="W579" s="449"/>
      <c r="X579" s="449"/>
      <c r="Y579" s="449"/>
      <c r="Z579" s="501"/>
      <c r="AA579" s="449"/>
      <c r="AB579" s="449"/>
      <c r="AC579" s="449"/>
      <c r="AD579" s="449"/>
      <c r="AE579" s="449"/>
      <c r="AF579" s="449"/>
      <c r="AG579" s="449"/>
      <c r="AH579" s="449"/>
      <c r="AI579" s="449"/>
      <c r="AJ579" s="449"/>
      <c r="AK579" s="449"/>
      <c r="AL579" s="449"/>
      <c r="AM579" s="400"/>
      <c r="AN579" s="500"/>
      <c r="AO579" s="449"/>
      <c r="AP579" s="449"/>
      <c r="AQ579" s="453"/>
      <c r="AR579" s="449"/>
      <c r="AS579" s="449"/>
      <c r="AT579" s="426"/>
      <c r="AU579" s="421"/>
      <c r="AV579" s="449"/>
      <c r="AW579" s="449"/>
      <c r="AX579" s="449"/>
      <c r="AY579" s="449"/>
      <c r="AZ579" s="449"/>
      <c r="BA579" s="449"/>
      <c r="BB579" s="449"/>
      <c r="BC579" s="449"/>
      <c r="BD579" s="449"/>
      <c r="BE579" s="449"/>
      <c r="BF579" s="449"/>
      <c r="BG579" s="449"/>
      <c r="BH579" s="501"/>
      <c r="BI579" s="449"/>
      <c r="BJ579" s="449"/>
      <c r="BK579" s="449"/>
      <c r="BL579" s="771"/>
      <c r="BM579" s="449"/>
      <c r="BN579" s="449"/>
      <c r="BO579" s="449"/>
      <c r="BP579" s="449"/>
      <c r="BQ579" s="449"/>
      <c r="BR579" s="449"/>
      <c r="BS579" s="449"/>
      <c r="BT579" s="449"/>
      <c r="BU579" s="400"/>
      <c r="BV579" s="400"/>
    </row>
    <row r="580" spans="1:74" x14ac:dyDescent="0.25">
      <c r="A580" s="502"/>
      <c r="B580" s="524" t="s">
        <v>970</v>
      </c>
      <c r="C580" s="543"/>
      <c r="D580" s="500"/>
      <c r="E580" s="449"/>
      <c r="F580" s="449"/>
      <c r="G580" s="421"/>
      <c r="H580" s="449"/>
      <c r="I580" s="449"/>
      <c r="J580" s="426"/>
      <c r="K580" s="421"/>
      <c r="L580" s="449"/>
      <c r="M580" s="449"/>
      <c r="N580" s="449"/>
      <c r="O580" s="449"/>
      <c r="P580" s="449"/>
      <c r="Q580" s="449"/>
      <c r="R580" s="449"/>
      <c r="S580" s="449"/>
      <c r="T580" s="449"/>
      <c r="U580" s="449"/>
      <c r="V580" s="449"/>
      <c r="W580" s="449"/>
      <c r="X580" s="449"/>
      <c r="Y580" s="449"/>
      <c r="Z580" s="501"/>
      <c r="AA580" s="449"/>
      <c r="AB580" s="449"/>
      <c r="AC580" s="449"/>
      <c r="AD580" s="449"/>
      <c r="AE580" s="449"/>
      <c r="AF580" s="449"/>
      <c r="AG580" s="449"/>
      <c r="AH580" s="449"/>
      <c r="AI580" s="449"/>
      <c r="AJ580" s="449"/>
      <c r="AK580" s="449"/>
      <c r="AL580" s="449"/>
      <c r="AM580" s="400"/>
      <c r="AN580" s="500"/>
      <c r="AO580" s="449"/>
      <c r="AP580" s="449"/>
      <c r="AQ580" s="453"/>
      <c r="AR580" s="449"/>
      <c r="AS580" s="449"/>
      <c r="AT580" s="426"/>
      <c r="AU580" s="421"/>
      <c r="AV580" s="449"/>
      <c r="AW580" s="449"/>
      <c r="AX580" s="449"/>
      <c r="AY580" s="449"/>
      <c r="AZ580" s="449"/>
      <c r="BA580" s="449"/>
      <c r="BB580" s="449"/>
      <c r="BC580" s="449"/>
      <c r="BD580" s="449"/>
      <c r="BE580" s="449"/>
      <c r="BF580" s="449"/>
      <c r="BG580" s="449"/>
      <c r="BH580" s="501"/>
      <c r="BI580" s="449"/>
      <c r="BJ580" s="449"/>
      <c r="BK580" s="449"/>
      <c r="BL580" s="771"/>
      <c r="BM580" s="449"/>
      <c r="BN580" s="449"/>
      <c r="BO580" s="449"/>
      <c r="BP580" s="449"/>
      <c r="BQ580" s="449"/>
      <c r="BR580" s="449"/>
      <c r="BS580" s="449"/>
      <c r="BT580" s="449"/>
      <c r="BU580" s="400"/>
      <c r="BV580" s="400"/>
    </row>
    <row r="581" spans="1:74" ht="6.75" customHeight="1" x14ac:dyDescent="0.25">
      <c r="A581" s="502"/>
      <c r="B581" s="524"/>
      <c r="C581" s="543"/>
      <c r="D581" s="500"/>
      <c r="E581" s="449"/>
      <c r="F581" s="449"/>
      <c r="G581" s="421"/>
      <c r="H581" s="449"/>
      <c r="I581" s="449"/>
      <c r="J581" s="426"/>
      <c r="K581" s="421"/>
      <c r="L581" s="449"/>
      <c r="M581" s="449"/>
      <c r="N581" s="449"/>
      <c r="O581" s="449"/>
      <c r="P581" s="449"/>
      <c r="Q581" s="449"/>
      <c r="R581" s="449"/>
      <c r="S581" s="449"/>
      <c r="T581" s="449"/>
      <c r="U581" s="449"/>
      <c r="V581" s="449"/>
      <c r="W581" s="449"/>
      <c r="X581" s="449"/>
      <c r="Y581" s="449"/>
      <c r="Z581" s="501"/>
      <c r="AA581" s="449"/>
      <c r="AB581" s="449"/>
      <c r="AC581" s="449"/>
      <c r="AD581" s="449"/>
      <c r="AE581" s="449"/>
      <c r="AF581" s="449"/>
      <c r="AG581" s="449"/>
      <c r="AH581" s="449"/>
      <c r="AI581" s="449"/>
      <c r="AJ581" s="449"/>
      <c r="AK581" s="449"/>
      <c r="AL581" s="449"/>
      <c r="AM581" s="400"/>
      <c r="AN581" s="500"/>
      <c r="AO581" s="449"/>
      <c r="AP581" s="449"/>
      <c r="AQ581" s="453"/>
      <c r="AR581" s="449"/>
      <c r="AS581" s="449"/>
      <c r="AT581" s="426"/>
      <c r="AU581" s="421"/>
      <c r="AV581" s="449"/>
      <c r="AW581" s="449"/>
      <c r="AX581" s="449"/>
      <c r="AY581" s="449"/>
      <c r="AZ581" s="449"/>
      <c r="BA581" s="449"/>
      <c r="BB581" s="449"/>
      <c r="BC581" s="449"/>
      <c r="BD581" s="449"/>
      <c r="BE581" s="449"/>
      <c r="BF581" s="449"/>
      <c r="BG581" s="449"/>
      <c r="BH581" s="501"/>
      <c r="BI581" s="449"/>
      <c r="BJ581" s="449"/>
      <c r="BK581" s="449"/>
      <c r="BL581" s="771"/>
      <c r="BM581" s="449"/>
      <c r="BN581" s="449"/>
      <c r="BO581" s="449"/>
      <c r="BP581" s="449"/>
      <c r="BQ581" s="449"/>
      <c r="BR581" s="449"/>
      <c r="BS581" s="449"/>
      <c r="BT581" s="449"/>
    </row>
    <row r="582" spans="1:74" hidden="1" x14ac:dyDescent="0.25">
      <c r="A582" s="587" t="s">
        <v>971</v>
      </c>
      <c r="B582" s="502" t="s">
        <v>972</v>
      </c>
      <c r="C582" s="400"/>
      <c r="D582" s="500"/>
      <c r="E582" s="449">
        <v>0</v>
      </c>
      <c r="F582" s="449"/>
      <c r="G582" s="421"/>
      <c r="H582" s="449">
        <v>0</v>
      </c>
      <c r="I582" s="449"/>
      <c r="J582" s="426"/>
      <c r="K582" s="421"/>
      <c r="L582" s="449"/>
      <c r="M582" s="449"/>
      <c r="N582" s="449"/>
      <c r="O582" s="449"/>
      <c r="P582" s="449"/>
      <c r="Q582" s="449"/>
      <c r="R582" s="449"/>
      <c r="S582" s="449"/>
      <c r="T582" s="449"/>
      <c r="U582" s="449"/>
      <c r="V582" s="449"/>
      <c r="W582" s="449"/>
      <c r="X582" s="449"/>
      <c r="Y582" s="449">
        <v>0</v>
      </c>
      <c r="Z582" s="501"/>
      <c r="AA582" s="449"/>
      <c r="AB582" s="449"/>
      <c r="AC582" s="449"/>
      <c r="AD582" s="449"/>
      <c r="AE582" s="449"/>
      <c r="AF582" s="449"/>
      <c r="AG582" s="449"/>
      <c r="AH582" s="449"/>
      <c r="AI582" s="449"/>
      <c r="AJ582" s="449"/>
      <c r="AK582" s="449"/>
      <c r="AL582" s="449"/>
      <c r="AM582" s="400"/>
      <c r="AN582" s="500"/>
      <c r="AO582" s="449"/>
      <c r="AP582" s="449"/>
      <c r="AQ582" s="453"/>
      <c r="AR582" s="449">
        <v>0</v>
      </c>
      <c r="AS582" s="449"/>
      <c r="AT582" s="426"/>
      <c r="AU582" s="421"/>
      <c r="AV582" s="449"/>
      <c r="AW582" s="449"/>
      <c r="AX582" s="449"/>
      <c r="AY582" s="449"/>
      <c r="AZ582" s="449"/>
      <c r="BA582" s="449"/>
      <c r="BB582" s="449"/>
      <c r="BC582" s="449"/>
      <c r="BD582" s="449"/>
      <c r="BE582" s="449"/>
      <c r="BF582" s="449"/>
      <c r="BG582" s="449"/>
      <c r="BH582" s="501"/>
      <c r="BI582" s="449"/>
      <c r="BJ582" s="449"/>
      <c r="BK582" s="449"/>
      <c r="BL582" s="771"/>
      <c r="BM582" s="449"/>
      <c r="BN582" s="449"/>
      <c r="BO582" s="449"/>
      <c r="BP582" s="449"/>
      <c r="BQ582" s="449"/>
      <c r="BR582" s="449"/>
      <c r="BS582" s="449"/>
      <c r="BT582" s="449"/>
    </row>
    <row r="583" spans="1:74" hidden="1" x14ac:dyDescent="0.25">
      <c r="A583" s="587" t="s">
        <v>973</v>
      </c>
      <c r="B583" s="502" t="s">
        <v>974</v>
      </c>
      <c r="C583" s="400"/>
      <c r="D583" s="500"/>
      <c r="E583" s="449">
        <v>0</v>
      </c>
      <c r="F583" s="449"/>
      <c r="G583" s="421"/>
      <c r="H583" s="449">
        <v>0</v>
      </c>
      <c r="I583" s="449"/>
      <c r="J583" s="426"/>
      <c r="K583" s="421"/>
      <c r="L583" s="449"/>
      <c r="M583" s="449"/>
      <c r="N583" s="449"/>
      <c r="O583" s="449"/>
      <c r="P583" s="449"/>
      <c r="Q583" s="449"/>
      <c r="R583" s="449"/>
      <c r="S583" s="449"/>
      <c r="T583" s="449"/>
      <c r="U583" s="449"/>
      <c r="V583" s="449"/>
      <c r="W583" s="449"/>
      <c r="X583" s="449"/>
      <c r="Y583" s="449">
        <v>0</v>
      </c>
      <c r="Z583" s="501"/>
      <c r="AA583" s="449"/>
      <c r="AB583" s="449"/>
      <c r="AC583" s="449"/>
      <c r="AD583" s="449"/>
      <c r="AE583" s="449"/>
      <c r="AF583" s="449"/>
      <c r="AG583" s="449"/>
      <c r="AH583" s="449"/>
      <c r="AI583" s="449"/>
      <c r="AJ583" s="449"/>
      <c r="AK583" s="449"/>
      <c r="AL583" s="449"/>
      <c r="AM583" s="400"/>
      <c r="AN583" s="500"/>
      <c r="AO583" s="449"/>
      <c r="AP583" s="449"/>
      <c r="AQ583" s="453"/>
      <c r="AR583" s="449">
        <v>0</v>
      </c>
      <c r="AS583" s="449"/>
      <c r="AT583" s="426"/>
      <c r="AU583" s="421"/>
      <c r="AV583" s="449"/>
      <c r="AW583" s="449"/>
      <c r="AX583" s="449"/>
      <c r="AY583" s="449"/>
      <c r="AZ583" s="449"/>
      <c r="BA583" s="449"/>
      <c r="BB583" s="449"/>
      <c r="BC583" s="449"/>
      <c r="BD583" s="449"/>
      <c r="BE583" s="449"/>
      <c r="BF583" s="449"/>
      <c r="BG583" s="449"/>
      <c r="BH583" s="501"/>
      <c r="BI583" s="449"/>
      <c r="BJ583" s="449"/>
      <c r="BK583" s="449"/>
      <c r="BL583" s="771"/>
      <c r="BM583" s="449"/>
      <c r="BN583" s="449"/>
      <c r="BO583" s="449"/>
      <c r="BP583" s="449"/>
      <c r="BQ583" s="449"/>
      <c r="BR583" s="449"/>
      <c r="BS583" s="449"/>
      <c r="BT583" s="449"/>
    </row>
    <row r="584" spans="1:74" hidden="1" x14ac:dyDescent="0.25">
      <c r="A584" s="587" t="s">
        <v>975</v>
      </c>
      <c r="B584" s="502" t="s">
        <v>976</v>
      </c>
      <c r="C584" s="400"/>
      <c r="D584" s="500"/>
      <c r="E584" s="449">
        <v>0</v>
      </c>
      <c r="F584" s="449"/>
      <c r="G584" s="421"/>
      <c r="H584" s="449">
        <v>0</v>
      </c>
      <c r="I584" s="449"/>
      <c r="J584" s="426"/>
      <c r="K584" s="421"/>
      <c r="L584" s="449"/>
      <c r="M584" s="449"/>
      <c r="N584" s="449"/>
      <c r="O584" s="449"/>
      <c r="P584" s="449"/>
      <c r="Q584" s="449"/>
      <c r="R584" s="449"/>
      <c r="S584" s="449"/>
      <c r="T584" s="449"/>
      <c r="U584" s="449"/>
      <c r="V584" s="449"/>
      <c r="W584" s="449"/>
      <c r="X584" s="449"/>
      <c r="Y584" s="449">
        <v>0</v>
      </c>
      <c r="Z584" s="501"/>
      <c r="AA584" s="449"/>
      <c r="AB584" s="449"/>
      <c r="AC584" s="449"/>
      <c r="AD584" s="449"/>
      <c r="AE584" s="449"/>
      <c r="AF584" s="449"/>
      <c r="AG584" s="449"/>
      <c r="AH584" s="449"/>
      <c r="AI584" s="449"/>
      <c r="AJ584" s="449"/>
      <c r="AK584" s="449"/>
      <c r="AL584" s="449"/>
      <c r="AM584" s="400"/>
      <c r="AN584" s="500"/>
      <c r="AO584" s="449"/>
      <c r="AP584" s="449"/>
      <c r="AQ584" s="453"/>
      <c r="AR584" s="449">
        <v>0</v>
      </c>
      <c r="AS584" s="449"/>
      <c r="AT584" s="426"/>
      <c r="AU584" s="421"/>
      <c r="AV584" s="449"/>
      <c r="AW584" s="449"/>
      <c r="AX584" s="449"/>
      <c r="AY584" s="449"/>
      <c r="AZ584" s="449"/>
      <c r="BA584" s="449"/>
      <c r="BB584" s="449"/>
      <c r="BC584" s="449"/>
      <c r="BD584" s="449"/>
      <c r="BE584" s="449"/>
      <c r="BF584" s="449"/>
      <c r="BG584" s="449"/>
      <c r="BH584" s="501"/>
      <c r="BI584" s="449"/>
      <c r="BJ584" s="449"/>
      <c r="BK584" s="449"/>
      <c r="BL584" s="771"/>
      <c r="BM584" s="449"/>
      <c r="BN584" s="449"/>
      <c r="BO584" s="449"/>
      <c r="BP584" s="449"/>
      <c r="BQ584" s="449"/>
      <c r="BR584" s="449"/>
      <c r="BS584" s="449"/>
      <c r="BT584" s="449"/>
    </row>
    <row r="585" spans="1:74" hidden="1" x14ac:dyDescent="0.25">
      <c r="A585" s="587" t="s">
        <v>977</v>
      </c>
      <c r="B585" s="502" t="s">
        <v>978</v>
      </c>
      <c r="C585" s="400"/>
      <c r="D585" s="500"/>
      <c r="E585" s="449">
        <v>0</v>
      </c>
      <c r="F585" s="449"/>
      <c r="G585" s="421"/>
      <c r="H585" s="449">
        <v>0</v>
      </c>
      <c r="I585" s="449"/>
      <c r="J585" s="426"/>
      <c r="K585" s="421"/>
      <c r="L585" s="449"/>
      <c r="M585" s="449"/>
      <c r="N585" s="449"/>
      <c r="O585" s="449"/>
      <c r="P585" s="449"/>
      <c r="Q585" s="449"/>
      <c r="R585" s="449"/>
      <c r="S585" s="449"/>
      <c r="T585" s="449"/>
      <c r="U585" s="449"/>
      <c r="V585" s="449"/>
      <c r="W585" s="449"/>
      <c r="X585" s="449"/>
      <c r="Y585" s="449">
        <v>0</v>
      </c>
      <c r="Z585" s="501"/>
      <c r="AA585" s="449"/>
      <c r="AB585" s="449"/>
      <c r="AC585" s="449"/>
      <c r="AD585" s="449"/>
      <c r="AE585" s="449"/>
      <c r="AF585" s="449"/>
      <c r="AG585" s="449"/>
      <c r="AH585" s="449"/>
      <c r="AI585" s="449"/>
      <c r="AJ585" s="449"/>
      <c r="AK585" s="449"/>
      <c r="AL585" s="449"/>
      <c r="AM585" s="400"/>
      <c r="AN585" s="500"/>
      <c r="AO585" s="449"/>
      <c r="AP585" s="449"/>
      <c r="AQ585" s="453"/>
      <c r="AR585" s="449">
        <v>0</v>
      </c>
      <c r="AS585" s="449"/>
      <c r="AT585" s="426"/>
      <c r="AU585" s="421"/>
      <c r="AV585" s="449"/>
      <c r="AW585" s="449"/>
      <c r="AX585" s="449"/>
      <c r="AY585" s="449"/>
      <c r="AZ585" s="449"/>
      <c r="BA585" s="449"/>
      <c r="BB585" s="449"/>
      <c r="BC585" s="449"/>
      <c r="BD585" s="449"/>
      <c r="BE585" s="449"/>
      <c r="BF585" s="449"/>
      <c r="BG585" s="449"/>
      <c r="BH585" s="501"/>
      <c r="BI585" s="449"/>
      <c r="BJ585" s="449"/>
      <c r="BK585" s="449"/>
      <c r="BL585" s="771"/>
      <c r="BM585" s="449"/>
      <c r="BN585" s="449"/>
      <c r="BO585" s="449"/>
      <c r="BP585" s="449"/>
      <c r="BQ585" s="449"/>
      <c r="BR585" s="449"/>
      <c r="BS585" s="449"/>
      <c r="BT585" s="449"/>
    </row>
    <row r="586" spans="1:74" hidden="1" x14ac:dyDescent="0.25">
      <c r="A586" s="587" t="s">
        <v>979</v>
      </c>
      <c r="B586" s="502" t="s">
        <v>980</v>
      </c>
      <c r="C586" s="400"/>
      <c r="D586" s="500"/>
      <c r="E586" s="449">
        <v>0</v>
      </c>
      <c r="F586" s="449"/>
      <c r="G586" s="421"/>
      <c r="H586" s="449">
        <v>0</v>
      </c>
      <c r="I586" s="449"/>
      <c r="J586" s="426"/>
      <c r="K586" s="421"/>
      <c r="L586" s="449"/>
      <c r="M586" s="449"/>
      <c r="N586" s="449"/>
      <c r="O586" s="449"/>
      <c r="P586" s="449"/>
      <c r="Q586" s="449"/>
      <c r="R586" s="449"/>
      <c r="S586" s="449"/>
      <c r="T586" s="449"/>
      <c r="U586" s="449"/>
      <c r="V586" s="449"/>
      <c r="W586" s="449"/>
      <c r="X586" s="449"/>
      <c r="Y586" s="449">
        <v>0</v>
      </c>
      <c r="Z586" s="501"/>
      <c r="AA586" s="449"/>
      <c r="AB586" s="449"/>
      <c r="AC586" s="449"/>
      <c r="AD586" s="449"/>
      <c r="AE586" s="449"/>
      <c r="AF586" s="449"/>
      <c r="AG586" s="449"/>
      <c r="AH586" s="449"/>
      <c r="AI586" s="449"/>
      <c r="AJ586" s="449"/>
      <c r="AK586" s="449"/>
      <c r="AL586" s="449"/>
      <c r="AM586" s="400"/>
      <c r="AN586" s="500"/>
      <c r="AO586" s="449"/>
      <c r="AP586" s="449"/>
      <c r="AQ586" s="453"/>
      <c r="AR586" s="449">
        <v>0</v>
      </c>
      <c r="AS586" s="449"/>
      <c r="AT586" s="426"/>
      <c r="AU586" s="421"/>
      <c r="AV586" s="449"/>
      <c r="AW586" s="449"/>
      <c r="AX586" s="449"/>
      <c r="AY586" s="449"/>
      <c r="AZ586" s="449"/>
      <c r="BA586" s="449"/>
      <c r="BB586" s="449"/>
      <c r="BC586" s="449"/>
      <c r="BD586" s="449"/>
      <c r="BE586" s="449"/>
      <c r="BF586" s="449"/>
      <c r="BG586" s="449"/>
      <c r="BH586" s="501"/>
      <c r="BI586" s="449"/>
      <c r="BJ586" s="449"/>
      <c r="BK586" s="449"/>
      <c r="BL586" s="771"/>
      <c r="BM586" s="449"/>
      <c r="BN586" s="449"/>
      <c r="BO586" s="449"/>
      <c r="BP586" s="449"/>
      <c r="BQ586" s="449"/>
      <c r="BR586" s="449"/>
      <c r="BS586" s="449"/>
      <c r="BT586" s="449"/>
    </row>
    <row r="587" spans="1:74" ht="15" customHeight="1" x14ac:dyDescent="0.25">
      <c r="A587" s="502" t="s">
        <v>981</v>
      </c>
      <c r="B587" s="502" t="s">
        <v>982</v>
      </c>
      <c r="C587" s="400"/>
      <c r="D587" s="500">
        <v>31562</v>
      </c>
      <c r="E587" s="449">
        <v>31562</v>
      </c>
      <c r="F587" s="449">
        <v>0</v>
      </c>
      <c r="G587" s="421">
        <v>0</v>
      </c>
      <c r="H587" s="449">
        <v>31562</v>
      </c>
      <c r="I587" s="449">
        <v>0</v>
      </c>
      <c r="J587" s="426">
        <v>0</v>
      </c>
      <c r="K587" s="421"/>
      <c r="L587" s="449">
        <v>0</v>
      </c>
      <c r="M587" s="449">
        <v>0</v>
      </c>
      <c r="N587" s="449">
        <v>0</v>
      </c>
      <c r="O587" s="449">
        <v>0</v>
      </c>
      <c r="P587" s="449">
        <v>0</v>
      </c>
      <c r="Q587" s="449">
        <v>0</v>
      </c>
      <c r="R587" s="449">
        <v>5260.333333333333</v>
      </c>
      <c r="S587" s="449">
        <v>5260.3333333333339</v>
      </c>
      <c r="T587" s="449">
        <v>5260.333333333333</v>
      </c>
      <c r="U587" s="449">
        <v>5260.333333333333</v>
      </c>
      <c r="V587" s="449">
        <v>5260.3333333333339</v>
      </c>
      <c r="W587" s="449">
        <v>5260.3333333333358</v>
      </c>
      <c r="X587" s="449"/>
      <c r="Y587" s="449">
        <v>31562</v>
      </c>
      <c r="Z587" s="531"/>
      <c r="AA587" s="449">
        <v>2630.1666666666665</v>
      </c>
      <c r="AB587" s="449">
        <v>2630.1666666666665</v>
      </c>
      <c r="AC587" s="449">
        <v>2630.1666666666665</v>
      </c>
      <c r="AD587" s="449">
        <v>2630.1666666666665</v>
      </c>
      <c r="AE587" s="449">
        <v>2630.1666666666665</v>
      </c>
      <c r="AF587" s="449">
        <v>2630.1666666666665</v>
      </c>
      <c r="AG587" s="449">
        <v>2630.1666666666665</v>
      </c>
      <c r="AH587" s="449">
        <v>2630.1666666666665</v>
      </c>
      <c r="AI587" s="449">
        <v>2630.1666666666665</v>
      </c>
      <c r="AJ587" s="449">
        <v>2630.1666666666665</v>
      </c>
      <c r="AK587" s="449">
        <v>2630.1666666666665</v>
      </c>
      <c r="AL587" s="449">
        <v>2630.1666666666665</v>
      </c>
      <c r="AM587" s="400"/>
      <c r="AN587" s="500">
        <v>31562</v>
      </c>
      <c r="AO587" s="449">
        <v>44095.561370000003</v>
      </c>
      <c r="AP587" s="449">
        <v>12533.561370000003</v>
      </c>
      <c r="AQ587" s="453">
        <v>0.39710922533426279</v>
      </c>
      <c r="AR587" s="449">
        <v>44095.561370000003</v>
      </c>
      <c r="AS587" s="449">
        <v>0</v>
      </c>
      <c r="AT587" s="426">
        <v>0</v>
      </c>
      <c r="AU587" s="421"/>
      <c r="AV587" s="449">
        <v>0</v>
      </c>
      <c r="AW587" s="449">
        <v>0</v>
      </c>
      <c r="AX587" s="449">
        <v>0</v>
      </c>
      <c r="AY587" s="449">
        <v>0</v>
      </c>
      <c r="AZ587" s="449">
        <v>0</v>
      </c>
      <c r="BA587" s="449">
        <v>0</v>
      </c>
      <c r="BB587" s="449">
        <v>0</v>
      </c>
      <c r="BC587" s="449">
        <v>0</v>
      </c>
      <c r="BD587" s="449">
        <v>0</v>
      </c>
      <c r="BE587" s="449">
        <v>0</v>
      </c>
      <c r="BF587" s="449">
        <v>0</v>
      </c>
      <c r="BG587" s="449">
        <v>44095.561370000003</v>
      </c>
      <c r="BH587" s="531"/>
      <c r="BI587" s="449">
        <v>0</v>
      </c>
      <c r="BJ587" s="449">
        <v>0</v>
      </c>
      <c r="BK587" s="449">
        <v>0</v>
      </c>
      <c r="BL587" s="771">
        <v>0</v>
      </c>
      <c r="BM587" s="449">
        <v>0</v>
      </c>
      <c r="BN587" s="449">
        <v>0</v>
      </c>
      <c r="BO587" s="449">
        <v>0</v>
      </c>
      <c r="BP587" s="449">
        <v>0</v>
      </c>
      <c r="BQ587" s="449">
        <v>0</v>
      </c>
      <c r="BR587" s="449">
        <v>0</v>
      </c>
      <c r="BS587" s="449">
        <v>0</v>
      </c>
      <c r="BT587" s="449">
        <v>44095.561370000003</v>
      </c>
    </row>
    <row r="588" spans="1:74" s="536" customFormat="1" ht="6" customHeight="1" x14ac:dyDescent="0.25">
      <c r="A588" s="587"/>
      <c r="B588" s="502"/>
      <c r="C588" s="400"/>
      <c r="D588" s="500"/>
      <c r="E588" s="449"/>
      <c r="F588" s="449"/>
      <c r="G588" s="421"/>
      <c r="H588" s="449"/>
      <c r="I588" s="449"/>
      <c r="J588" s="426"/>
      <c r="K588" s="421"/>
      <c r="L588" s="449"/>
      <c r="M588" s="449"/>
      <c r="N588" s="449"/>
      <c r="O588" s="449"/>
      <c r="P588" s="449"/>
      <c r="Q588" s="449"/>
      <c r="R588" s="449"/>
      <c r="S588" s="449"/>
      <c r="T588" s="449"/>
      <c r="U588" s="449"/>
      <c r="V588" s="449"/>
      <c r="W588" s="449"/>
      <c r="X588" s="449"/>
      <c r="Y588" s="449">
        <v>0</v>
      </c>
      <c r="Z588" s="501"/>
      <c r="AA588" s="449"/>
      <c r="AB588" s="449"/>
      <c r="AC588" s="449"/>
      <c r="AD588" s="449"/>
      <c r="AE588" s="449"/>
      <c r="AF588" s="449"/>
      <c r="AG588" s="449"/>
      <c r="AH588" s="449"/>
      <c r="AI588" s="449"/>
      <c r="AJ588" s="449"/>
      <c r="AK588" s="449"/>
      <c r="AL588" s="449"/>
      <c r="AN588" s="500"/>
      <c r="AO588" s="449"/>
      <c r="AP588" s="449"/>
      <c r="AQ588" s="453"/>
      <c r="AR588" s="449"/>
      <c r="AS588" s="449"/>
      <c r="AT588" s="426"/>
      <c r="AU588" s="421"/>
      <c r="AV588" s="449"/>
      <c r="AW588" s="449"/>
      <c r="AX588" s="449"/>
      <c r="AY588" s="449"/>
      <c r="AZ588" s="449"/>
      <c r="BA588" s="449"/>
      <c r="BB588" s="449"/>
      <c r="BC588" s="449"/>
      <c r="BD588" s="449"/>
      <c r="BE588" s="449"/>
      <c r="BF588" s="449"/>
      <c r="BG588" s="449"/>
      <c r="BH588" s="501"/>
      <c r="BI588" s="449"/>
      <c r="BJ588" s="449"/>
      <c r="BK588" s="449"/>
      <c r="BL588" s="771"/>
      <c r="BM588" s="449"/>
      <c r="BN588" s="449"/>
      <c r="BO588" s="449"/>
      <c r="BP588" s="449"/>
      <c r="BQ588" s="449"/>
      <c r="BR588" s="449"/>
      <c r="BS588" s="449"/>
      <c r="BT588" s="449"/>
    </row>
    <row r="589" spans="1:74" s="536" customFormat="1" ht="15" customHeight="1" thickBot="1" x14ac:dyDescent="0.3">
      <c r="A589" s="526"/>
      <c r="B589" s="524" t="s">
        <v>983</v>
      </c>
      <c r="D589" s="532">
        <v>31562</v>
      </c>
      <c r="E589" s="533">
        <v>31562</v>
      </c>
      <c r="F589" s="533">
        <v>0</v>
      </c>
      <c r="G589" s="520">
        <v>0</v>
      </c>
      <c r="H589" s="533">
        <v>31562</v>
      </c>
      <c r="I589" s="533">
        <v>0</v>
      </c>
      <c r="J589" s="521">
        <v>0</v>
      </c>
      <c r="K589" s="507"/>
      <c r="L589" s="533">
        <v>0</v>
      </c>
      <c r="M589" s="533">
        <v>0</v>
      </c>
      <c r="N589" s="533">
        <v>0</v>
      </c>
      <c r="O589" s="533">
        <v>0</v>
      </c>
      <c r="P589" s="533">
        <v>0</v>
      </c>
      <c r="Q589" s="533">
        <v>0</v>
      </c>
      <c r="R589" s="533">
        <v>5260.333333333333</v>
      </c>
      <c r="S589" s="533">
        <v>5260.3333333333339</v>
      </c>
      <c r="T589" s="533">
        <v>5260.333333333333</v>
      </c>
      <c r="U589" s="533">
        <v>5260.333333333333</v>
      </c>
      <c r="V589" s="533">
        <v>5260.3333333333339</v>
      </c>
      <c r="W589" s="533">
        <v>5260.3333333333358</v>
      </c>
      <c r="X589" s="533"/>
      <c r="Y589" s="533">
        <v>31562</v>
      </c>
      <c r="Z589" s="508"/>
      <c r="AA589" s="533">
        <v>2630.1666666666665</v>
      </c>
      <c r="AB589" s="533">
        <v>2630.1666666666665</v>
      </c>
      <c r="AC589" s="533">
        <v>2630.1666666666665</v>
      </c>
      <c r="AD589" s="533">
        <v>2630.1666666666665</v>
      </c>
      <c r="AE589" s="533">
        <v>2630.1666666666665</v>
      </c>
      <c r="AF589" s="533">
        <v>2630.1666666666665</v>
      </c>
      <c r="AG589" s="533">
        <v>2630.1666666666665</v>
      </c>
      <c r="AH589" s="533">
        <v>2630.1666666666665</v>
      </c>
      <c r="AI589" s="533">
        <v>2630.1666666666665</v>
      </c>
      <c r="AJ589" s="533">
        <v>2630.1666666666665</v>
      </c>
      <c r="AK589" s="533">
        <v>2630.1666666666665</v>
      </c>
      <c r="AL589" s="533">
        <v>2630.1666666666665</v>
      </c>
      <c r="AN589" s="532">
        <v>31562</v>
      </c>
      <c r="AO589" s="533">
        <v>44095.561370000003</v>
      </c>
      <c r="AP589" s="533">
        <v>12533.561370000003</v>
      </c>
      <c r="AQ589" s="523">
        <v>0.39710922533426279</v>
      </c>
      <c r="AR589" s="533">
        <v>44095.561370000003</v>
      </c>
      <c r="AS589" s="533">
        <v>0</v>
      </c>
      <c r="AT589" s="521">
        <v>0</v>
      </c>
      <c r="AU589" s="507"/>
      <c r="AV589" s="533">
        <v>0</v>
      </c>
      <c r="AW589" s="533">
        <v>0</v>
      </c>
      <c r="AX589" s="533">
        <v>0</v>
      </c>
      <c r="AY589" s="533">
        <v>0</v>
      </c>
      <c r="AZ589" s="533">
        <v>0</v>
      </c>
      <c r="BA589" s="533">
        <v>0</v>
      </c>
      <c r="BB589" s="533">
        <v>0</v>
      </c>
      <c r="BC589" s="533">
        <v>0</v>
      </c>
      <c r="BD589" s="533">
        <v>0</v>
      </c>
      <c r="BE589" s="533">
        <v>0</v>
      </c>
      <c r="BF589" s="533">
        <v>0</v>
      </c>
      <c r="BG589" s="533">
        <v>44095.561370000003</v>
      </c>
      <c r="BH589" s="508"/>
      <c r="BI589" s="533">
        <v>0</v>
      </c>
      <c r="BJ589" s="533">
        <v>0</v>
      </c>
      <c r="BK589" s="533">
        <v>0</v>
      </c>
      <c r="BL589" s="777">
        <v>0</v>
      </c>
      <c r="BM589" s="533">
        <v>0</v>
      </c>
      <c r="BN589" s="533">
        <v>0</v>
      </c>
      <c r="BO589" s="533">
        <v>0</v>
      </c>
      <c r="BP589" s="533">
        <v>0</v>
      </c>
      <c r="BQ589" s="533">
        <v>0</v>
      </c>
      <c r="BR589" s="533">
        <v>0</v>
      </c>
      <c r="BS589" s="533">
        <v>0</v>
      </c>
      <c r="BT589" s="533">
        <v>44095.561370000003</v>
      </c>
    </row>
    <row r="590" spans="1:74" s="536" customFormat="1" ht="15" customHeight="1" thickTop="1" x14ac:dyDescent="0.25">
      <c r="A590" s="587"/>
      <c r="B590" s="502"/>
      <c r="C590" s="400"/>
      <c r="D590" s="500"/>
      <c r="E590" s="449"/>
      <c r="F590" s="449"/>
      <c r="G590" s="421"/>
      <c r="H590" s="449"/>
      <c r="I590" s="449"/>
      <c r="J590" s="426"/>
      <c r="K590" s="421"/>
      <c r="L590" s="449"/>
      <c r="M590" s="449"/>
      <c r="N590" s="449"/>
      <c r="O590" s="449"/>
      <c r="P590" s="449"/>
      <c r="Q590" s="449"/>
      <c r="R590" s="449"/>
      <c r="S590" s="449"/>
      <c r="T590" s="449"/>
      <c r="U590" s="449"/>
      <c r="V590" s="449"/>
      <c r="W590" s="449"/>
      <c r="X590" s="449"/>
      <c r="Y590" s="449"/>
      <c r="Z590" s="501"/>
      <c r="AA590" s="449"/>
      <c r="AB590" s="449"/>
      <c r="AC590" s="449"/>
      <c r="AD590" s="449"/>
      <c r="AE590" s="449"/>
      <c r="AF590" s="449"/>
      <c r="AG590" s="449"/>
      <c r="AH590" s="449"/>
      <c r="AI590" s="449"/>
      <c r="AJ590" s="449"/>
      <c r="AK590" s="449"/>
      <c r="AL590" s="449"/>
      <c r="AN590" s="500"/>
      <c r="AO590" s="449"/>
      <c r="AP590" s="449"/>
      <c r="AQ590" s="453"/>
      <c r="AR590" s="449"/>
      <c r="AS590" s="449"/>
      <c r="AT590" s="426"/>
      <c r="AU590" s="421"/>
      <c r="AV590" s="449"/>
      <c r="AW590" s="449"/>
      <c r="AX590" s="449"/>
      <c r="AY590" s="449"/>
      <c r="AZ590" s="449"/>
      <c r="BA590" s="449"/>
      <c r="BB590" s="449"/>
      <c r="BC590" s="449"/>
      <c r="BD590" s="449"/>
      <c r="BE590" s="449"/>
      <c r="BF590" s="449"/>
      <c r="BG590" s="449"/>
      <c r="BH590" s="501"/>
      <c r="BI590" s="449"/>
      <c r="BJ590" s="449"/>
      <c r="BK590" s="449"/>
      <c r="BL590" s="771"/>
      <c r="BM590" s="449"/>
      <c r="BN590" s="449"/>
      <c r="BO590" s="449"/>
      <c r="BP590" s="449"/>
      <c r="BQ590" s="449"/>
      <c r="BR590" s="449"/>
      <c r="BS590" s="449"/>
      <c r="BT590" s="449"/>
    </row>
    <row r="591" spans="1:74" s="536" customFormat="1" ht="15" customHeight="1" x14ac:dyDescent="0.25">
      <c r="A591" s="587"/>
      <c r="B591" s="524" t="s">
        <v>984</v>
      </c>
      <c r="C591" s="400"/>
      <c r="D591" s="500"/>
      <c r="E591" s="449"/>
      <c r="F591" s="449"/>
      <c r="G591" s="421"/>
      <c r="H591" s="449"/>
      <c r="I591" s="449"/>
      <c r="J591" s="426"/>
      <c r="K591" s="421"/>
      <c r="L591" s="449"/>
      <c r="M591" s="449"/>
      <c r="N591" s="449"/>
      <c r="O591" s="449"/>
      <c r="P591" s="449"/>
      <c r="Q591" s="449"/>
      <c r="R591" s="449"/>
      <c r="S591" s="449"/>
      <c r="T591" s="449"/>
      <c r="U591" s="449"/>
      <c r="V591" s="449"/>
      <c r="W591" s="449"/>
      <c r="X591" s="449"/>
      <c r="Y591" s="449"/>
      <c r="Z591" s="501"/>
      <c r="AA591" s="449"/>
      <c r="AB591" s="449"/>
      <c r="AC591" s="449"/>
      <c r="AD591" s="449"/>
      <c r="AE591" s="449"/>
      <c r="AF591" s="449"/>
      <c r="AG591" s="449"/>
      <c r="AH591" s="449"/>
      <c r="AI591" s="449"/>
      <c r="AJ591" s="449"/>
      <c r="AK591" s="449"/>
      <c r="AL591" s="449"/>
      <c r="AN591" s="500"/>
      <c r="AO591" s="449"/>
      <c r="AP591" s="449"/>
      <c r="AQ591" s="453"/>
      <c r="AR591" s="449"/>
      <c r="AS591" s="449"/>
      <c r="AT591" s="426"/>
      <c r="AU591" s="421"/>
      <c r="AV591" s="449"/>
      <c r="AW591" s="449"/>
      <c r="AX591" s="449"/>
      <c r="AY591" s="449"/>
      <c r="AZ591" s="449"/>
      <c r="BA591" s="449"/>
      <c r="BB591" s="449"/>
      <c r="BC591" s="449"/>
      <c r="BD591" s="449"/>
      <c r="BE591" s="449"/>
      <c r="BF591" s="449"/>
      <c r="BG591" s="449"/>
      <c r="BH591" s="501"/>
      <c r="BI591" s="449"/>
      <c r="BJ591" s="449"/>
      <c r="BK591" s="449"/>
      <c r="BL591" s="771"/>
      <c r="BM591" s="449"/>
      <c r="BN591" s="449"/>
      <c r="BO591" s="449"/>
      <c r="BP591" s="449"/>
      <c r="BQ591" s="449"/>
      <c r="BR591" s="449"/>
      <c r="BS591" s="449"/>
      <c r="BT591" s="449"/>
    </row>
    <row r="592" spans="1:74" s="536" customFormat="1" ht="5.25" customHeight="1" x14ac:dyDescent="0.25">
      <c r="A592" s="587"/>
      <c r="B592" s="524"/>
      <c r="C592" s="400"/>
      <c r="D592" s="500"/>
      <c r="E592" s="449"/>
      <c r="F592" s="449"/>
      <c r="G592" s="421"/>
      <c r="H592" s="449"/>
      <c r="I592" s="449"/>
      <c r="J592" s="426"/>
      <c r="K592" s="421"/>
      <c r="L592" s="449"/>
      <c r="M592" s="449"/>
      <c r="N592" s="449"/>
      <c r="O592" s="449"/>
      <c r="P592" s="449"/>
      <c r="Q592" s="449"/>
      <c r="R592" s="449"/>
      <c r="S592" s="449"/>
      <c r="T592" s="449"/>
      <c r="U592" s="449"/>
      <c r="V592" s="449"/>
      <c r="W592" s="449"/>
      <c r="X592" s="449"/>
      <c r="Y592" s="449"/>
      <c r="Z592" s="501"/>
      <c r="AA592" s="449"/>
      <c r="AB592" s="449"/>
      <c r="AC592" s="449"/>
      <c r="AD592" s="449"/>
      <c r="AE592" s="449"/>
      <c r="AF592" s="449"/>
      <c r="AG592" s="449"/>
      <c r="AH592" s="449"/>
      <c r="AI592" s="449"/>
      <c r="AJ592" s="449"/>
      <c r="AK592" s="449"/>
      <c r="AL592" s="449"/>
      <c r="AN592" s="500"/>
      <c r="AO592" s="449"/>
      <c r="AP592" s="449"/>
      <c r="AQ592" s="453"/>
      <c r="AR592" s="449"/>
      <c r="AS592" s="449"/>
      <c r="AT592" s="426"/>
      <c r="AU592" s="421"/>
      <c r="AV592" s="449"/>
      <c r="AW592" s="449"/>
      <c r="AX592" s="449"/>
      <c r="AY592" s="449"/>
      <c r="AZ592" s="449"/>
      <c r="BA592" s="449"/>
      <c r="BB592" s="449"/>
      <c r="BC592" s="449"/>
      <c r="BD592" s="449"/>
      <c r="BE592" s="449"/>
      <c r="BF592" s="449"/>
      <c r="BG592" s="449"/>
      <c r="BH592" s="501"/>
      <c r="BI592" s="449"/>
      <c r="BJ592" s="449"/>
      <c r="BK592" s="449"/>
      <c r="BL592" s="771"/>
      <c r="BM592" s="449"/>
      <c r="BN592" s="449"/>
      <c r="BO592" s="449"/>
      <c r="BP592" s="449"/>
      <c r="BQ592" s="449"/>
      <c r="BR592" s="449"/>
      <c r="BS592" s="449"/>
      <c r="BT592" s="449"/>
    </row>
    <row r="593" spans="1:72" x14ac:dyDescent="0.25">
      <c r="A593" s="502" t="s">
        <v>985</v>
      </c>
      <c r="B593" s="502" t="s">
        <v>986</v>
      </c>
      <c r="C593" s="538"/>
      <c r="D593" s="500">
        <v>23803</v>
      </c>
      <c r="E593" s="449">
        <v>11958</v>
      </c>
      <c r="F593" s="449">
        <v>11845</v>
      </c>
      <c r="G593" s="421">
        <v>0.99055025924067575</v>
      </c>
      <c r="H593" s="449">
        <v>23803</v>
      </c>
      <c r="I593" s="449">
        <v>0</v>
      </c>
      <c r="J593" s="426">
        <v>0</v>
      </c>
      <c r="K593" s="421"/>
      <c r="L593" s="449">
        <v>0</v>
      </c>
      <c r="M593" s="449">
        <v>1292.7</v>
      </c>
      <c r="N593" s="449">
        <v>2467.2799999999997</v>
      </c>
      <c r="O593" s="449">
        <v>1748.9900000000007</v>
      </c>
      <c r="P593" s="449">
        <v>1637.1099999999997</v>
      </c>
      <c r="Q593" s="449">
        <v>1637.0100000000002</v>
      </c>
      <c r="R593" s="449">
        <v>2503.3183333333332</v>
      </c>
      <c r="S593" s="449">
        <v>2503.3183333333336</v>
      </c>
      <c r="T593" s="449">
        <v>2503.3183333333336</v>
      </c>
      <c r="U593" s="449">
        <v>2503.3183333333341</v>
      </c>
      <c r="V593" s="449">
        <v>2503.3183333333345</v>
      </c>
      <c r="W593" s="449">
        <v>2503.3183333333363</v>
      </c>
      <c r="X593" s="449"/>
      <c r="Y593" s="449">
        <v>23803</v>
      </c>
      <c r="Z593" s="531"/>
      <c r="AA593" s="449">
        <v>1983.5833333333333</v>
      </c>
      <c r="AB593" s="449">
        <v>1983.5833333333333</v>
      </c>
      <c r="AC593" s="449">
        <v>1983.5833333333333</v>
      </c>
      <c r="AD593" s="449">
        <v>1983.5833333333333</v>
      </c>
      <c r="AE593" s="449">
        <v>1983.5833333333333</v>
      </c>
      <c r="AF593" s="449">
        <v>1983.5833333333333</v>
      </c>
      <c r="AG593" s="449">
        <v>1983.5833333333333</v>
      </c>
      <c r="AH593" s="449">
        <v>1983.5833333333333</v>
      </c>
      <c r="AI593" s="449">
        <v>1983.5833333333333</v>
      </c>
      <c r="AJ593" s="449">
        <v>1983.5833333333333</v>
      </c>
      <c r="AK593" s="449">
        <v>1983.5833333333333</v>
      </c>
      <c r="AL593" s="449">
        <v>1983.5833333333333</v>
      </c>
      <c r="AM593" s="400"/>
      <c r="AN593" s="500">
        <v>23803</v>
      </c>
      <c r="AO593" s="449">
        <v>31610.7</v>
      </c>
      <c r="AP593" s="449">
        <v>7807.7000000000007</v>
      </c>
      <c r="AQ593" s="453">
        <v>0.32801327563752469</v>
      </c>
      <c r="AR593" s="449">
        <v>31610.7</v>
      </c>
      <c r="AS593" s="449">
        <v>0</v>
      </c>
      <c r="AT593" s="426">
        <v>0</v>
      </c>
      <c r="AU593" s="421"/>
      <c r="AV593" s="449">
        <v>0</v>
      </c>
      <c r="AW593" s="449">
        <v>3161.07</v>
      </c>
      <c r="AX593" s="449">
        <v>3161.07</v>
      </c>
      <c r="AY593" s="449">
        <v>3161.07</v>
      </c>
      <c r="AZ593" s="449">
        <v>3161.07</v>
      </c>
      <c r="BA593" s="449">
        <v>3161.07</v>
      </c>
      <c r="BB593" s="449">
        <v>3161.07</v>
      </c>
      <c r="BC593" s="449">
        <v>3161.07</v>
      </c>
      <c r="BD593" s="449">
        <v>3161.07</v>
      </c>
      <c r="BE593" s="449">
        <v>3161.07</v>
      </c>
      <c r="BF593" s="449">
        <v>3161.07</v>
      </c>
      <c r="BG593" s="449">
        <v>0</v>
      </c>
      <c r="BH593" s="400"/>
      <c r="BI593" s="449">
        <v>0</v>
      </c>
      <c r="BJ593" s="449">
        <v>3161.07</v>
      </c>
      <c r="BK593" s="449">
        <v>3161.07</v>
      </c>
      <c r="BL593" s="771">
        <v>3161.07</v>
      </c>
      <c r="BM593" s="449">
        <v>3161.07</v>
      </c>
      <c r="BN593" s="449">
        <v>3161.07</v>
      </c>
      <c r="BO593" s="449">
        <v>3161.07</v>
      </c>
      <c r="BP593" s="449">
        <v>3161.07</v>
      </c>
      <c r="BQ593" s="449">
        <v>3161.07</v>
      </c>
      <c r="BR593" s="449">
        <v>3161.07</v>
      </c>
      <c r="BS593" s="449">
        <v>3161.07</v>
      </c>
      <c r="BT593" s="449">
        <v>0</v>
      </c>
    </row>
    <row r="594" spans="1:72" x14ac:dyDescent="0.25">
      <c r="A594" s="502" t="s">
        <v>987</v>
      </c>
      <c r="B594" s="502" t="s">
        <v>988</v>
      </c>
      <c r="C594" s="538"/>
      <c r="D594" s="500">
        <v>0</v>
      </c>
      <c r="E594" s="449">
        <v>11845</v>
      </c>
      <c r="F594" s="449">
        <v>-11845</v>
      </c>
      <c r="G594" s="421">
        <v>-1</v>
      </c>
      <c r="H594" s="449">
        <v>0</v>
      </c>
      <c r="I594" s="449">
        <v>0</v>
      </c>
      <c r="J594" s="426">
        <v>0</v>
      </c>
      <c r="K594" s="421"/>
      <c r="L594" s="449">
        <v>0</v>
      </c>
      <c r="M594" s="449">
        <v>0</v>
      </c>
      <c r="N594" s="449">
        <v>0</v>
      </c>
      <c r="O594" s="449">
        <v>0</v>
      </c>
      <c r="P594" s="449">
        <v>0</v>
      </c>
      <c r="Q594" s="449">
        <v>0</v>
      </c>
      <c r="R594" s="449">
        <v>0</v>
      </c>
      <c r="S594" s="449">
        <v>0</v>
      </c>
      <c r="T594" s="449">
        <v>0</v>
      </c>
      <c r="U594" s="449">
        <v>0</v>
      </c>
      <c r="V594" s="449">
        <v>0</v>
      </c>
      <c r="W594" s="449">
        <v>0</v>
      </c>
      <c r="X594" s="449"/>
      <c r="Y594" s="449">
        <v>0</v>
      </c>
      <c r="Z594" s="531"/>
      <c r="AA594" s="449">
        <v>0</v>
      </c>
      <c r="AB594" s="449">
        <v>0</v>
      </c>
      <c r="AC594" s="449">
        <v>0</v>
      </c>
      <c r="AD594" s="449">
        <v>0</v>
      </c>
      <c r="AE594" s="449">
        <v>0</v>
      </c>
      <c r="AF594" s="449">
        <v>0</v>
      </c>
      <c r="AG594" s="449">
        <v>0</v>
      </c>
      <c r="AH594" s="449">
        <v>0</v>
      </c>
      <c r="AI594" s="449">
        <v>0</v>
      </c>
      <c r="AJ594" s="449">
        <v>0</v>
      </c>
      <c r="AK594" s="449">
        <v>0</v>
      </c>
      <c r="AL594" s="449">
        <v>0</v>
      </c>
      <c r="AM594" s="400"/>
      <c r="AN594" s="500">
        <v>0</v>
      </c>
      <c r="AO594" s="449">
        <v>0</v>
      </c>
      <c r="AP594" s="449">
        <v>0</v>
      </c>
      <c r="AQ594" s="453" t="s">
        <v>1519</v>
      </c>
      <c r="AR594" s="449">
        <v>0</v>
      </c>
      <c r="AS594" s="449">
        <v>0</v>
      </c>
      <c r="AT594" s="426">
        <v>0</v>
      </c>
      <c r="AU594" s="421"/>
      <c r="AV594" s="449">
        <v>0</v>
      </c>
      <c r="AW594" s="449">
        <v>0</v>
      </c>
      <c r="AX594" s="449">
        <v>0</v>
      </c>
      <c r="AY594" s="449">
        <v>0</v>
      </c>
      <c r="AZ594" s="449">
        <v>0</v>
      </c>
      <c r="BA594" s="449">
        <v>0</v>
      </c>
      <c r="BB594" s="449">
        <v>0</v>
      </c>
      <c r="BC594" s="449">
        <v>0</v>
      </c>
      <c r="BD594" s="449">
        <v>0</v>
      </c>
      <c r="BE594" s="449">
        <v>0</v>
      </c>
      <c r="BF594" s="449">
        <v>0</v>
      </c>
      <c r="BG594" s="449">
        <v>0</v>
      </c>
      <c r="BH594" s="400"/>
      <c r="BI594" s="449">
        <v>0</v>
      </c>
      <c r="BJ594" s="449">
        <v>0</v>
      </c>
      <c r="BK594" s="449">
        <v>0</v>
      </c>
      <c r="BL594" s="771">
        <v>0</v>
      </c>
      <c r="BM594" s="449">
        <v>0</v>
      </c>
      <c r="BN594" s="449">
        <v>0</v>
      </c>
      <c r="BO594" s="449">
        <v>0</v>
      </c>
      <c r="BP594" s="449">
        <v>0</v>
      </c>
      <c r="BQ594" s="449">
        <v>0</v>
      </c>
      <c r="BR594" s="449">
        <v>0</v>
      </c>
      <c r="BS594" s="449">
        <v>0</v>
      </c>
      <c r="BT594" s="449">
        <v>0</v>
      </c>
    </row>
    <row r="595" spans="1:72" x14ac:dyDescent="0.25">
      <c r="A595" s="502" t="s">
        <v>989</v>
      </c>
      <c r="B595" s="502" t="s">
        <v>990</v>
      </c>
      <c r="C595" s="538"/>
      <c r="D595" s="500">
        <v>0</v>
      </c>
      <c r="E595" s="449">
        <v>0</v>
      </c>
      <c r="F595" s="449">
        <v>0</v>
      </c>
      <c r="G595" s="421">
        <v>0</v>
      </c>
      <c r="H595" s="449"/>
      <c r="I595" s="449">
        <v>0</v>
      </c>
      <c r="J595" s="426">
        <v>0</v>
      </c>
      <c r="K595" s="421"/>
      <c r="L595" s="449">
        <v>0</v>
      </c>
      <c r="M595" s="449">
        <v>0</v>
      </c>
      <c r="N595" s="449">
        <v>0</v>
      </c>
      <c r="O595" s="449">
        <v>0</v>
      </c>
      <c r="P595" s="449">
        <v>0</v>
      </c>
      <c r="Q595" s="449">
        <v>0</v>
      </c>
      <c r="R595" s="449">
        <v>0</v>
      </c>
      <c r="S595" s="449">
        <v>0</v>
      </c>
      <c r="T595" s="449">
        <v>0</v>
      </c>
      <c r="U595" s="449">
        <v>0</v>
      </c>
      <c r="V595" s="449">
        <v>0</v>
      </c>
      <c r="W595" s="449">
        <v>0</v>
      </c>
      <c r="X595" s="449"/>
      <c r="Y595" s="449">
        <v>0</v>
      </c>
      <c r="Z595" s="531"/>
      <c r="AA595" s="449">
        <v>0</v>
      </c>
      <c r="AB595" s="449">
        <v>0</v>
      </c>
      <c r="AC595" s="449">
        <v>0</v>
      </c>
      <c r="AD595" s="449">
        <v>0</v>
      </c>
      <c r="AE595" s="449">
        <v>0</v>
      </c>
      <c r="AF595" s="449">
        <v>0</v>
      </c>
      <c r="AG595" s="449">
        <v>0</v>
      </c>
      <c r="AH595" s="449">
        <v>0</v>
      </c>
      <c r="AI595" s="449">
        <v>0</v>
      </c>
      <c r="AJ595" s="449">
        <v>0</v>
      </c>
      <c r="AK595" s="449">
        <v>0</v>
      </c>
      <c r="AL595" s="449">
        <v>0</v>
      </c>
      <c r="AM595" s="400"/>
      <c r="AN595" s="500">
        <v>0</v>
      </c>
      <c r="AO595" s="449">
        <v>0</v>
      </c>
      <c r="AP595" s="449">
        <v>0</v>
      </c>
      <c r="AQ595" s="453" t="s">
        <v>1519</v>
      </c>
      <c r="AR595" s="449">
        <v>0</v>
      </c>
      <c r="AS595" s="449">
        <v>0</v>
      </c>
      <c r="AT595" s="426">
        <v>0</v>
      </c>
      <c r="AU595" s="421"/>
      <c r="AV595" s="449">
        <v>0</v>
      </c>
      <c r="AW595" s="449">
        <v>0</v>
      </c>
      <c r="AX595" s="449">
        <v>0</v>
      </c>
      <c r="AY595" s="449">
        <v>0</v>
      </c>
      <c r="AZ595" s="449">
        <v>0</v>
      </c>
      <c r="BA595" s="449">
        <v>0</v>
      </c>
      <c r="BB595" s="449">
        <v>0</v>
      </c>
      <c r="BC595" s="449">
        <v>0</v>
      </c>
      <c r="BD595" s="449">
        <v>0</v>
      </c>
      <c r="BE595" s="449">
        <v>0</v>
      </c>
      <c r="BF595" s="449">
        <v>0</v>
      </c>
      <c r="BG595" s="449">
        <v>0</v>
      </c>
      <c r="BH595" s="400"/>
      <c r="BI595" s="449">
        <v>0</v>
      </c>
      <c r="BJ595" s="449">
        <v>0</v>
      </c>
      <c r="BK595" s="449">
        <v>0</v>
      </c>
      <c r="BL595" s="771">
        <v>0</v>
      </c>
      <c r="BM595" s="449">
        <v>0</v>
      </c>
      <c r="BN595" s="449">
        <v>0</v>
      </c>
      <c r="BO595" s="449">
        <v>0</v>
      </c>
      <c r="BP595" s="449">
        <v>0</v>
      </c>
      <c r="BQ595" s="449">
        <v>0</v>
      </c>
      <c r="BR595" s="449">
        <v>0</v>
      </c>
      <c r="BS595" s="449">
        <v>0</v>
      </c>
      <c r="BT595" s="449">
        <v>0</v>
      </c>
    </row>
    <row r="596" spans="1:72" x14ac:dyDescent="0.25">
      <c r="A596" s="502" t="s">
        <v>991</v>
      </c>
      <c r="B596" s="502" t="s">
        <v>992</v>
      </c>
      <c r="C596" s="538"/>
      <c r="D596" s="500">
        <v>4798</v>
      </c>
      <c r="E596" s="449">
        <v>2589</v>
      </c>
      <c r="F596" s="449">
        <v>2209</v>
      </c>
      <c r="G596" s="421">
        <v>0.85322518346852061</v>
      </c>
      <c r="H596" s="449">
        <v>4798</v>
      </c>
      <c r="I596" s="449">
        <v>0</v>
      </c>
      <c r="J596" s="426">
        <v>0</v>
      </c>
      <c r="K596" s="421"/>
      <c r="L596" s="449">
        <v>0</v>
      </c>
      <c r="M596" s="449">
        <v>406.89</v>
      </c>
      <c r="N596" s="449">
        <v>221.44000000000005</v>
      </c>
      <c r="O596" s="449">
        <v>235.20999999999992</v>
      </c>
      <c r="P596" s="449">
        <v>220.19000000000005</v>
      </c>
      <c r="Q596" s="449">
        <v>220.17000000000007</v>
      </c>
      <c r="R596" s="449">
        <v>582.35</v>
      </c>
      <c r="S596" s="449">
        <v>582.35</v>
      </c>
      <c r="T596" s="449">
        <v>582.35</v>
      </c>
      <c r="U596" s="449">
        <v>582.35</v>
      </c>
      <c r="V596" s="449">
        <v>582.35000000000014</v>
      </c>
      <c r="W596" s="449">
        <v>582.35000000000036</v>
      </c>
      <c r="X596" s="449"/>
      <c r="Y596" s="449">
        <v>4798</v>
      </c>
      <c r="Z596" s="531"/>
      <c r="AA596" s="449">
        <v>399.83333333333331</v>
      </c>
      <c r="AB596" s="449">
        <v>399.83333333333331</v>
      </c>
      <c r="AC596" s="449">
        <v>399.83333333333331</v>
      </c>
      <c r="AD596" s="449">
        <v>399.83333333333331</v>
      </c>
      <c r="AE596" s="449">
        <v>399.83333333333331</v>
      </c>
      <c r="AF596" s="449">
        <v>399.83333333333331</v>
      </c>
      <c r="AG596" s="449">
        <v>399.83333333333331</v>
      </c>
      <c r="AH596" s="449">
        <v>399.83333333333331</v>
      </c>
      <c r="AI596" s="449">
        <v>399.83333333333331</v>
      </c>
      <c r="AJ596" s="449">
        <v>399.83333333333331</v>
      </c>
      <c r="AK596" s="449">
        <v>399.83333333333331</v>
      </c>
      <c r="AL596" s="449">
        <v>399.83333333333331</v>
      </c>
      <c r="AM596" s="400"/>
      <c r="AN596" s="500">
        <v>4798</v>
      </c>
      <c r="AO596" s="449">
        <v>6396.618550000002</v>
      </c>
      <c r="AP596" s="449">
        <v>1598.618550000002</v>
      </c>
      <c r="AQ596" s="453">
        <v>0.33318435806586116</v>
      </c>
      <c r="AR596" s="449">
        <v>6396.618550000002</v>
      </c>
      <c r="AS596" s="449">
        <v>0</v>
      </c>
      <c r="AT596" s="426">
        <v>0</v>
      </c>
      <c r="AU596" s="421"/>
      <c r="AV596" s="449">
        <v>0</v>
      </c>
      <c r="AW596" s="449">
        <v>639.66185500000006</v>
      </c>
      <c r="AX596" s="449">
        <v>639.66185500000006</v>
      </c>
      <c r="AY596" s="449">
        <v>639.66185500000006</v>
      </c>
      <c r="AZ596" s="449">
        <v>639.66185500000006</v>
      </c>
      <c r="BA596" s="449">
        <v>639.66185500000006</v>
      </c>
      <c r="BB596" s="449">
        <v>639.66185500000006</v>
      </c>
      <c r="BC596" s="449">
        <v>639.66185500000006</v>
      </c>
      <c r="BD596" s="449">
        <v>639.66185500000006</v>
      </c>
      <c r="BE596" s="449">
        <v>639.66185500000006</v>
      </c>
      <c r="BF596" s="449">
        <v>639.66185500000006</v>
      </c>
      <c r="BG596" s="449">
        <v>0</v>
      </c>
      <c r="BH596" s="400"/>
      <c r="BI596" s="449">
        <v>0</v>
      </c>
      <c r="BJ596" s="449">
        <v>639.66185500000006</v>
      </c>
      <c r="BK596" s="449">
        <v>639.66185500000006</v>
      </c>
      <c r="BL596" s="771">
        <v>639.66185500000006</v>
      </c>
      <c r="BM596" s="449">
        <v>639.66185500000006</v>
      </c>
      <c r="BN596" s="449">
        <v>639.66185500000006</v>
      </c>
      <c r="BO596" s="449">
        <v>639.66185500000006</v>
      </c>
      <c r="BP596" s="449">
        <v>639.66185500000006</v>
      </c>
      <c r="BQ596" s="449">
        <v>639.66185500000006</v>
      </c>
      <c r="BR596" s="449">
        <v>639.66185500000006</v>
      </c>
      <c r="BS596" s="449">
        <v>639.66185500000006</v>
      </c>
      <c r="BT596" s="449">
        <v>0</v>
      </c>
    </row>
    <row r="597" spans="1:72" x14ac:dyDescent="0.25">
      <c r="A597" s="502" t="s">
        <v>993</v>
      </c>
      <c r="B597" s="502" t="s">
        <v>994</v>
      </c>
      <c r="C597" s="538"/>
      <c r="D597" s="500">
        <v>0</v>
      </c>
      <c r="E597" s="449">
        <v>2209</v>
      </c>
      <c r="F597" s="449">
        <v>-2209</v>
      </c>
      <c r="G597" s="421">
        <v>-1</v>
      </c>
      <c r="H597" s="449">
        <v>0</v>
      </c>
      <c r="I597" s="449">
        <v>0</v>
      </c>
      <c r="J597" s="426">
        <v>0</v>
      </c>
      <c r="K597" s="421"/>
      <c r="L597" s="449">
        <v>0</v>
      </c>
      <c r="M597" s="449">
        <v>0</v>
      </c>
      <c r="N597" s="449">
        <v>0</v>
      </c>
      <c r="O597" s="449">
        <v>0</v>
      </c>
      <c r="P597" s="449">
        <v>0</v>
      </c>
      <c r="Q597" s="449">
        <v>0</v>
      </c>
      <c r="R597" s="449">
        <v>0</v>
      </c>
      <c r="S597" s="449">
        <v>0</v>
      </c>
      <c r="T597" s="449">
        <v>0</v>
      </c>
      <c r="U597" s="449">
        <v>0</v>
      </c>
      <c r="V597" s="449">
        <v>0</v>
      </c>
      <c r="W597" s="449">
        <v>0</v>
      </c>
      <c r="X597" s="449"/>
      <c r="Y597" s="449">
        <v>0</v>
      </c>
      <c r="Z597" s="531"/>
      <c r="AA597" s="449">
        <v>0</v>
      </c>
      <c r="AB597" s="449">
        <v>0</v>
      </c>
      <c r="AC597" s="449">
        <v>0</v>
      </c>
      <c r="AD597" s="449">
        <v>0</v>
      </c>
      <c r="AE597" s="449">
        <v>0</v>
      </c>
      <c r="AF597" s="449">
        <v>0</v>
      </c>
      <c r="AG597" s="449">
        <v>0</v>
      </c>
      <c r="AH597" s="449">
        <v>0</v>
      </c>
      <c r="AI597" s="449">
        <v>0</v>
      </c>
      <c r="AJ597" s="449">
        <v>0</v>
      </c>
      <c r="AK597" s="449">
        <v>0</v>
      </c>
      <c r="AL597" s="449">
        <v>0</v>
      </c>
      <c r="AM597" s="400"/>
      <c r="AN597" s="500">
        <v>0</v>
      </c>
      <c r="AO597" s="449">
        <v>0</v>
      </c>
      <c r="AP597" s="449">
        <v>0</v>
      </c>
      <c r="AQ597" s="453" t="s">
        <v>1519</v>
      </c>
      <c r="AR597" s="449">
        <v>0</v>
      </c>
      <c r="AS597" s="449">
        <v>0</v>
      </c>
      <c r="AT597" s="426">
        <v>0</v>
      </c>
      <c r="AU597" s="421"/>
      <c r="AV597" s="449">
        <v>0</v>
      </c>
      <c r="AW597" s="449">
        <v>0</v>
      </c>
      <c r="AX597" s="449">
        <v>0</v>
      </c>
      <c r="AY597" s="449">
        <v>0</v>
      </c>
      <c r="AZ597" s="449">
        <v>0</v>
      </c>
      <c r="BA597" s="449">
        <v>0</v>
      </c>
      <c r="BB597" s="449">
        <v>0</v>
      </c>
      <c r="BC597" s="449">
        <v>0</v>
      </c>
      <c r="BD597" s="449">
        <v>0</v>
      </c>
      <c r="BE597" s="449">
        <v>0</v>
      </c>
      <c r="BF597" s="449">
        <v>0</v>
      </c>
      <c r="BG597" s="449">
        <v>0</v>
      </c>
      <c r="BH597" s="400"/>
      <c r="BI597" s="449">
        <v>0</v>
      </c>
      <c r="BJ597" s="449">
        <v>0</v>
      </c>
      <c r="BK597" s="449">
        <v>0</v>
      </c>
      <c r="BL597" s="771">
        <v>0</v>
      </c>
      <c r="BM597" s="449">
        <v>0</v>
      </c>
      <c r="BN597" s="449">
        <v>0</v>
      </c>
      <c r="BO597" s="449">
        <v>0</v>
      </c>
      <c r="BP597" s="449">
        <v>0</v>
      </c>
      <c r="BQ597" s="449">
        <v>0</v>
      </c>
      <c r="BR597" s="449">
        <v>0</v>
      </c>
      <c r="BS597" s="449">
        <v>0</v>
      </c>
      <c r="BT597" s="449">
        <v>0</v>
      </c>
    </row>
    <row r="598" spans="1:72" x14ac:dyDescent="0.25">
      <c r="A598" s="502" t="s">
        <v>995</v>
      </c>
      <c r="B598" s="502" t="s">
        <v>996</v>
      </c>
      <c r="C598" s="538"/>
      <c r="D598" s="500">
        <v>2009</v>
      </c>
      <c r="E598" s="449">
        <v>1004</v>
      </c>
      <c r="F598" s="449">
        <v>1005</v>
      </c>
      <c r="G598" s="421">
        <v>1.000996015936255</v>
      </c>
      <c r="H598" s="449">
        <v>2009</v>
      </c>
      <c r="I598" s="449">
        <v>0</v>
      </c>
      <c r="J598" s="426">
        <v>0</v>
      </c>
      <c r="K598" s="421"/>
      <c r="L598" s="449">
        <v>0</v>
      </c>
      <c r="M598" s="449">
        <v>0</v>
      </c>
      <c r="N598" s="449">
        <v>0</v>
      </c>
      <c r="O598" s="449">
        <v>411.76</v>
      </c>
      <c r="P598" s="449">
        <v>414.03</v>
      </c>
      <c r="Q598" s="449">
        <v>413.96000000000004</v>
      </c>
      <c r="R598" s="449">
        <v>128.20833333333334</v>
      </c>
      <c r="S598" s="449">
        <v>128.20833333333334</v>
      </c>
      <c r="T598" s="449">
        <v>128.20833333333337</v>
      </c>
      <c r="U598" s="449">
        <v>128.20833333333334</v>
      </c>
      <c r="V598" s="449">
        <v>128.20833333333337</v>
      </c>
      <c r="W598" s="449">
        <v>128.20833333333348</v>
      </c>
      <c r="X598" s="449"/>
      <c r="Y598" s="449">
        <v>2009</v>
      </c>
      <c r="Z598" s="531"/>
      <c r="AA598" s="449">
        <v>167.41666666666666</v>
      </c>
      <c r="AB598" s="449">
        <v>167.41666666666666</v>
      </c>
      <c r="AC598" s="449">
        <v>167.41666666666666</v>
      </c>
      <c r="AD598" s="449">
        <v>167.41666666666666</v>
      </c>
      <c r="AE598" s="449">
        <v>167.41666666666666</v>
      </c>
      <c r="AF598" s="449">
        <v>167.41666666666666</v>
      </c>
      <c r="AG598" s="449">
        <v>167.41666666666666</v>
      </c>
      <c r="AH598" s="449">
        <v>167.41666666666666</v>
      </c>
      <c r="AI598" s="449">
        <v>167.41666666666666</v>
      </c>
      <c r="AJ598" s="449">
        <v>167.41666666666666</v>
      </c>
      <c r="AK598" s="449">
        <v>167.41666666666666</v>
      </c>
      <c r="AL598" s="449">
        <v>167.41666666666666</v>
      </c>
      <c r="AM598" s="400"/>
      <c r="AN598" s="500">
        <v>2009</v>
      </c>
      <c r="AO598" s="449">
        <v>4823.7928199999997</v>
      </c>
      <c r="AP598" s="449">
        <v>2814.7928199999997</v>
      </c>
      <c r="AQ598" s="453">
        <v>1.4010914982578395</v>
      </c>
      <c r="AR598" s="449">
        <v>4823.7928199999997</v>
      </c>
      <c r="AS598" s="449">
        <v>0</v>
      </c>
      <c r="AT598" s="426">
        <v>0</v>
      </c>
      <c r="AU598" s="421"/>
      <c r="AV598" s="449">
        <v>0</v>
      </c>
      <c r="AW598" s="449">
        <v>482.37928200000005</v>
      </c>
      <c r="AX598" s="449">
        <v>482.37928200000005</v>
      </c>
      <c r="AY598" s="449">
        <v>482.37928200000005</v>
      </c>
      <c r="AZ598" s="449">
        <v>482.37928200000005</v>
      </c>
      <c r="BA598" s="449">
        <v>482.37928200000005</v>
      </c>
      <c r="BB598" s="449">
        <v>482.37928200000005</v>
      </c>
      <c r="BC598" s="449">
        <v>482.37928200000005</v>
      </c>
      <c r="BD598" s="449">
        <v>482.37928200000005</v>
      </c>
      <c r="BE598" s="449">
        <v>482.37928200000005</v>
      </c>
      <c r="BF598" s="449">
        <v>482.37928200000005</v>
      </c>
      <c r="BG598" s="449">
        <v>0</v>
      </c>
      <c r="BH598" s="400"/>
      <c r="BI598" s="449">
        <v>0</v>
      </c>
      <c r="BJ598" s="449">
        <v>482.37928200000005</v>
      </c>
      <c r="BK598" s="449">
        <v>482.37928200000005</v>
      </c>
      <c r="BL598" s="771">
        <v>482.37928200000005</v>
      </c>
      <c r="BM598" s="449">
        <v>482.37928200000005</v>
      </c>
      <c r="BN598" s="449">
        <v>482.37928200000005</v>
      </c>
      <c r="BO598" s="449">
        <v>482.37928200000005</v>
      </c>
      <c r="BP598" s="449">
        <v>482.37928200000005</v>
      </c>
      <c r="BQ598" s="449">
        <v>482.37928200000005</v>
      </c>
      <c r="BR598" s="449">
        <v>482.37928200000005</v>
      </c>
      <c r="BS598" s="449">
        <v>482.37928200000005</v>
      </c>
      <c r="BT598" s="449">
        <v>0</v>
      </c>
    </row>
    <row r="599" spans="1:72" x14ac:dyDescent="0.25">
      <c r="A599" s="502" t="s">
        <v>997</v>
      </c>
      <c r="B599" s="502" t="s">
        <v>998</v>
      </c>
      <c r="C599" s="538"/>
      <c r="D599" s="500">
        <v>0</v>
      </c>
      <c r="E599" s="449">
        <v>1005</v>
      </c>
      <c r="F599" s="449">
        <v>-1005</v>
      </c>
      <c r="G599" s="421">
        <v>-1</v>
      </c>
      <c r="H599" s="449">
        <v>0</v>
      </c>
      <c r="I599" s="449">
        <v>0</v>
      </c>
      <c r="J599" s="426">
        <v>0</v>
      </c>
      <c r="K599" s="421"/>
      <c r="L599" s="449">
        <v>0</v>
      </c>
      <c r="M599" s="449">
        <v>0</v>
      </c>
      <c r="N599" s="449">
        <v>0</v>
      </c>
      <c r="O599" s="449">
        <v>0</v>
      </c>
      <c r="P599" s="449">
        <v>0</v>
      </c>
      <c r="Q599" s="449">
        <v>0</v>
      </c>
      <c r="R599" s="449">
        <v>0</v>
      </c>
      <c r="S599" s="449">
        <v>0</v>
      </c>
      <c r="T599" s="449">
        <v>0</v>
      </c>
      <c r="U599" s="449">
        <v>0</v>
      </c>
      <c r="V599" s="449">
        <v>0</v>
      </c>
      <c r="W599" s="449">
        <v>0</v>
      </c>
      <c r="X599" s="449"/>
      <c r="Y599" s="449">
        <v>0</v>
      </c>
      <c r="Z599" s="531"/>
      <c r="AA599" s="449">
        <v>0</v>
      </c>
      <c r="AB599" s="449">
        <v>0</v>
      </c>
      <c r="AC599" s="449">
        <v>0</v>
      </c>
      <c r="AD599" s="449">
        <v>0</v>
      </c>
      <c r="AE599" s="449">
        <v>0</v>
      </c>
      <c r="AF599" s="449">
        <v>0</v>
      </c>
      <c r="AG599" s="449">
        <v>0</v>
      </c>
      <c r="AH599" s="449">
        <v>0</v>
      </c>
      <c r="AI599" s="449">
        <v>0</v>
      </c>
      <c r="AJ599" s="449">
        <v>0</v>
      </c>
      <c r="AK599" s="449">
        <v>0</v>
      </c>
      <c r="AL599" s="449">
        <v>0</v>
      </c>
      <c r="AM599" s="400"/>
      <c r="AN599" s="500">
        <v>0</v>
      </c>
      <c r="AO599" s="449">
        <v>0</v>
      </c>
      <c r="AP599" s="449">
        <v>0</v>
      </c>
      <c r="AQ599" s="553" t="s">
        <v>1519</v>
      </c>
      <c r="AR599" s="449">
        <v>0</v>
      </c>
      <c r="AS599" s="449">
        <v>0</v>
      </c>
      <c r="AT599" s="426">
        <v>0</v>
      </c>
      <c r="AU599" s="421"/>
      <c r="AV599" s="449">
        <v>0</v>
      </c>
      <c r="AW599" s="449">
        <v>0</v>
      </c>
      <c r="AX599" s="449">
        <v>0</v>
      </c>
      <c r="AY599" s="449">
        <v>0</v>
      </c>
      <c r="AZ599" s="449">
        <v>0</v>
      </c>
      <c r="BA599" s="449">
        <v>0</v>
      </c>
      <c r="BB599" s="449">
        <v>0</v>
      </c>
      <c r="BC599" s="449">
        <v>0</v>
      </c>
      <c r="BD599" s="449">
        <v>0</v>
      </c>
      <c r="BE599" s="449">
        <v>0</v>
      </c>
      <c r="BF599" s="449">
        <v>0</v>
      </c>
      <c r="BG599" s="449">
        <v>0</v>
      </c>
      <c r="BH599" s="400"/>
      <c r="BI599" s="449">
        <v>0</v>
      </c>
      <c r="BJ599" s="449">
        <v>0</v>
      </c>
      <c r="BK599" s="449">
        <v>0</v>
      </c>
      <c r="BL599" s="771">
        <v>0</v>
      </c>
      <c r="BM599" s="449">
        <v>0</v>
      </c>
      <c r="BN599" s="449">
        <v>0</v>
      </c>
      <c r="BO599" s="449">
        <v>0</v>
      </c>
      <c r="BP599" s="449">
        <v>0</v>
      </c>
      <c r="BQ599" s="449">
        <v>0</v>
      </c>
      <c r="BR599" s="449">
        <v>0</v>
      </c>
      <c r="BS599" s="449">
        <v>0</v>
      </c>
      <c r="BT599" s="449">
        <v>0</v>
      </c>
    </row>
    <row r="600" spans="1:72" x14ac:dyDescent="0.25">
      <c r="A600" s="502" t="s">
        <v>999</v>
      </c>
      <c r="B600" s="502" t="s">
        <v>1000</v>
      </c>
      <c r="C600" s="538"/>
      <c r="D600" s="500">
        <v>478</v>
      </c>
      <c r="E600" s="449">
        <v>478</v>
      </c>
      <c r="F600" s="449">
        <v>0</v>
      </c>
      <c r="G600" s="421">
        <v>0</v>
      </c>
      <c r="H600" s="449">
        <v>478</v>
      </c>
      <c r="I600" s="449">
        <v>0</v>
      </c>
      <c r="J600" s="426">
        <v>0</v>
      </c>
      <c r="K600" s="421"/>
      <c r="L600" s="449">
        <v>0</v>
      </c>
      <c r="M600" s="449">
        <v>0</v>
      </c>
      <c r="N600" s="449">
        <v>0</v>
      </c>
      <c r="O600" s="449">
        <v>0</v>
      </c>
      <c r="P600" s="449">
        <v>0</v>
      </c>
      <c r="Q600" s="449">
        <v>0</v>
      </c>
      <c r="R600" s="449">
        <v>79.666666666666671</v>
      </c>
      <c r="S600" s="449">
        <v>79.666666666666657</v>
      </c>
      <c r="T600" s="449">
        <v>79.666666666666671</v>
      </c>
      <c r="U600" s="449">
        <v>79.666666666666671</v>
      </c>
      <c r="V600" s="449">
        <v>79.666666666666657</v>
      </c>
      <c r="W600" s="449">
        <v>79.666666666666629</v>
      </c>
      <c r="X600" s="449"/>
      <c r="Y600" s="449">
        <v>478</v>
      </c>
      <c r="Z600" s="531"/>
      <c r="AA600" s="449">
        <v>39.833333333333336</v>
      </c>
      <c r="AB600" s="449">
        <v>39.833333333333336</v>
      </c>
      <c r="AC600" s="449">
        <v>39.833333333333336</v>
      </c>
      <c r="AD600" s="449">
        <v>39.833333333333336</v>
      </c>
      <c r="AE600" s="449">
        <v>39.833333333333336</v>
      </c>
      <c r="AF600" s="449">
        <v>39.833333333333336</v>
      </c>
      <c r="AG600" s="449">
        <v>39.833333333333336</v>
      </c>
      <c r="AH600" s="449">
        <v>39.833333333333336</v>
      </c>
      <c r="AI600" s="449">
        <v>39.833333333333336</v>
      </c>
      <c r="AJ600" s="449">
        <v>39.833333333333336</v>
      </c>
      <c r="AK600" s="449">
        <v>39.833333333333336</v>
      </c>
      <c r="AL600" s="449">
        <v>39.833333333333336</v>
      </c>
      <c r="AM600" s="400"/>
      <c r="AN600" s="500">
        <v>478</v>
      </c>
      <c r="AO600" s="449">
        <v>1264.4499999999996</v>
      </c>
      <c r="AP600" s="449">
        <v>786.44999999999959</v>
      </c>
      <c r="AQ600" s="453">
        <v>1.6452928870292878</v>
      </c>
      <c r="AR600" s="449">
        <v>1264.4499999999996</v>
      </c>
      <c r="AS600" s="449">
        <v>0</v>
      </c>
      <c r="AT600" s="426">
        <v>0</v>
      </c>
      <c r="AU600" s="421"/>
      <c r="AV600" s="449">
        <v>0</v>
      </c>
      <c r="AW600" s="449">
        <v>126.44499999999998</v>
      </c>
      <c r="AX600" s="449">
        <v>126.44499999999998</v>
      </c>
      <c r="AY600" s="449">
        <v>126.44499999999998</v>
      </c>
      <c r="AZ600" s="449">
        <v>126.44499999999998</v>
      </c>
      <c r="BA600" s="449">
        <v>126.44499999999998</v>
      </c>
      <c r="BB600" s="449">
        <v>126.44499999999998</v>
      </c>
      <c r="BC600" s="449">
        <v>126.44499999999998</v>
      </c>
      <c r="BD600" s="449">
        <v>126.44499999999998</v>
      </c>
      <c r="BE600" s="449">
        <v>126.44499999999998</v>
      </c>
      <c r="BF600" s="449">
        <v>126.44499999999998</v>
      </c>
      <c r="BG600" s="449">
        <v>0</v>
      </c>
      <c r="BH600" s="400"/>
      <c r="BI600" s="449">
        <v>0</v>
      </c>
      <c r="BJ600" s="449">
        <v>126.44499999999998</v>
      </c>
      <c r="BK600" s="449">
        <v>126.44499999999998</v>
      </c>
      <c r="BL600" s="771">
        <v>126.44499999999998</v>
      </c>
      <c r="BM600" s="449">
        <v>126.44499999999998</v>
      </c>
      <c r="BN600" s="449">
        <v>126.44499999999998</v>
      </c>
      <c r="BO600" s="449">
        <v>126.44499999999998</v>
      </c>
      <c r="BP600" s="449">
        <v>126.44499999999998</v>
      </c>
      <c r="BQ600" s="449">
        <v>126.44499999999998</v>
      </c>
      <c r="BR600" s="449">
        <v>126.44499999999998</v>
      </c>
      <c r="BS600" s="449">
        <v>126.44499999999998</v>
      </c>
      <c r="BT600" s="449">
        <v>0</v>
      </c>
    </row>
    <row r="601" spans="1:72" x14ac:dyDescent="0.25">
      <c r="A601" s="502" t="s">
        <v>1001</v>
      </c>
      <c r="B601" s="502" t="s">
        <v>1002</v>
      </c>
      <c r="C601" s="538"/>
      <c r="D601" s="500">
        <v>474</v>
      </c>
      <c r="E601" s="449">
        <v>474</v>
      </c>
      <c r="F601" s="449">
        <v>0</v>
      </c>
      <c r="G601" s="421">
        <v>0</v>
      </c>
      <c r="H601" s="449">
        <v>474</v>
      </c>
      <c r="I601" s="449">
        <v>0</v>
      </c>
      <c r="J601" s="426">
        <v>0</v>
      </c>
      <c r="K601" s="421"/>
      <c r="L601" s="449">
        <v>0</v>
      </c>
      <c r="M601" s="449">
        <v>0</v>
      </c>
      <c r="N601" s="449">
        <v>0</v>
      </c>
      <c r="O601" s="449">
        <v>0</v>
      </c>
      <c r="P601" s="449">
        <v>0</v>
      </c>
      <c r="Q601" s="449">
        <v>0</v>
      </c>
      <c r="R601" s="449">
        <v>79</v>
      </c>
      <c r="S601" s="449">
        <v>79</v>
      </c>
      <c r="T601" s="449">
        <v>79</v>
      </c>
      <c r="U601" s="449">
        <v>79</v>
      </c>
      <c r="V601" s="449">
        <v>79</v>
      </c>
      <c r="W601" s="449">
        <v>79</v>
      </c>
      <c r="X601" s="449"/>
      <c r="Y601" s="449">
        <v>474</v>
      </c>
      <c r="Z601" s="531"/>
      <c r="AA601" s="449">
        <v>39.5</v>
      </c>
      <c r="AB601" s="449">
        <v>39.5</v>
      </c>
      <c r="AC601" s="449">
        <v>39.5</v>
      </c>
      <c r="AD601" s="449">
        <v>39.5</v>
      </c>
      <c r="AE601" s="449">
        <v>39.5</v>
      </c>
      <c r="AF601" s="449">
        <v>39.5</v>
      </c>
      <c r="AG601" s="449">
        <v>39.5</v>
      </c>
      <c r="AH601" s="449">
        <v>39.5</v>
      </c>
      <c r="AI601" s="449">
        <v>39.5</v>
      </c>
      <c r="AJ601" s="449">
        <v>39.5</v>
      </c>
      <c r="AK601" s="449">
        <v>39.5</v>
      </c>
      <c r="AL601" s="449">
        <v>39.5</v>
      </c>
      <c r="AM601" s="400"/>
      <c r="AN601" s="500">
        <v>474</v>
      </c>
      <c r="AO601" s="449">
        <v>0</v>
      </c>
      <c r="AP601" s="449">
        <v>-474</v>
      </c>
      <c r="AQ601" s="453">
        <v>-1</v>
      </c>
      <c r="AR601" s="449">
        <v>0</v>
      </c>
      <c r="AS601" s="449">
        <v>0</v>
      </c>
      <c r="AT601" s="426">
        <v>0</v>
      </c>
      <c r="AU601" s="421"/>
      <c r="AV601" s="449">
        <v>0</v>
      </c>
      <c r="AW601" s="449">
        <v>0</v>
      </c>
      <c r="AX601" s="449">
        <v>0</v>
      </c>
      <c r="AY601" s="449">
        <v>0</v>
      </c>
      <c r="AZ601" s="449">
        <v>0</v>
      </c>
      <c r="BA601" s="449">
        <v>0</v>
      </c>
      <c r="BB601" s="449">
        <v>0</v>
      </c>
      <c r="BC601" s="449">
        <v>0</v>
      </c>
      <c r="BD601" s="449">
        <v>0</v>
      </c>
      <c r="BE601" s="449">
        <v>0</v>
      </c>
      <c r="BF601" s="449">
        <v>0</v>
      </c>
      <c r="BG601" s="449">
        <v>0</v>
      </c>
      <c r="BH601" s="400"/>
      <c r="BI601" s="449">
        <v>0</v>
      </c>
      <c r="BJ601" s="449">
        <v>0</v>
      </c>
      <c r="BK601" s="449">
        <v>0</v>
      </c>
      <c r="BL601" s="771">
        <v>0</v>
      </c>
      <c r="BM601" s="449">
        <v>0</v>
      </c>
      <c r="BN601" s="449">
        <v>0</v>
      </c>
      <c r="BO601" s="449">
        <v>0</v>
      </c>
      <c r="BP601" s="449">
        <v>0</v>
      </c>
      <c r="BQ601" s="449">
        <v>0</v>
      </c>
      <c r="BR601" s="449">
        <v>0</v>
      </c>
      <c r="BS601" s="449">
        <v>0</v>
      </c>
      <c r="BT601" s="449">
        <v>0</v>
      </c>
    </row>
    <row r="602" spans="1:72" hidden="1" x14ac:dyDescent="0.25">
      <c r="A602" s="502" t="s">
        <v>1003</v>
      </c>
      <c r="B602" s="502" t="s">
        <v>1004</v>
      </c>
      <c r="C602" s="538"/>
      <c r="D602" s="500"/>
      <c r="E602" s="449"/>
      <c r="F602" s="449"/>
      <c r="G602" s="421"/>
      <c r="H602" s="449"/>
      <c r="I602" s="449"/>
      <c r="J602" s="426"/>
      <c r="K602" s="421"/>
      <c r="L602" s="449"/>
      <c r="M602" s="449"/>
      <c r="N602" s="449"/>
      <c r="O602" s="449"/>
      <c r="P602" s="449"/>
      <c r="Q602" s="449"/>
      <c r="R602" s="449"/>
      <c r="S602" s="449"/>
      <c r="T602" s="449"/>
      <c r="U602" s="449"/>
      <c r="V602" s="449"/>
      <c r="W602" s="449"/>
      <c r="X602" s="449"/>
      <c r="Y602" s="449">
        <v>0</v>
      </c>
      <c r="Z602" s="531"/>
      <c r="AA602" s="449"/>
      <c r="AB602" s="449"/>
      <c r="AC602" s="449"/>
      <c r="AD602" s="449"/>
      <c r="AE602" s="449"/>
      <c r="AF602" s="449"/>
      <c r="AG602" s="449"/>
      <c r="AH602" s="449"/>
      <c r="AI602" s="449"/>
      <c r="AJ602" s="449"/>
      <c r="AK602" s="449"/>
      <c r="AL602" s="449"/>
      <c r="AM602" s="400"/>
      <c r="AN602" s="500"/>
      <c r="AO602" s="449"/>
      <c r="AP602" s="449"/>
      <c r="AQ602" s="453"/>
      <c r="AR602" s="449"/>
      <c r="AS602" s="449"/>
      <c r="AT602" s="426"/>
      <c r="AU602" s="421"/>
      <c r="AV602" s="449"/>
      <c r="AW602" s="449"/>
      <c r="AX602" s="449"/>
      <c r="AY602" s="449"/>
      <c r="AZ602" s="449"/>
      <c r="BA602" s="449"/>
      <c r="BB602" s="449"/>
      <c r="BC602" s="449"/>
      <c r="BD602" s="449"/>
      <c r="BE602" s="449"/>
      <c r="BF602" s="449"/>
      <c r="BG602" s="449"/>
      <c r="BH602" s="531"/>
      <c r="BI602" s="449"/>
      <c r="BJ602" s="449"/>
      <c r="BK602" s="449"/>
      <c r="BL602" s="771"/>
      <c r="BM602" s="449"/>
      <c r="BN602" s="449"/>
      <c r="BO602" s="449"/>
      <c r="BP602" s="449"/>
      <c r="BQ602" s="449"/>
      <c r="BR602" s="449"/>
      <c r="BS602" s="449"/>
      <c r="BT602" s="449"/>
    </row>
    <row r="603" spans="1:72" hidden="1" x14ac:dyDescent="0.25">
      <c r="A603" s="502" t="s">
        <v>1005</v>
      </c>
      <c r="B603" s="502" t="s">
        <v>1006</v>
      </c>
      <c r="C603" s="538"/>
      <c r="D603" s="500"/>
      <c r="E603" s="449"/>
      <c r="F603" s="449"/>
      <c r="G603" s="421"/>
      <c r="H603" s="449"/>
      <c r="I603" s="449"/>
      <c r="J603" s="426"/>
      <c r="K603" s="421"/>
      <c r="L603" s="449"/>
      <c r="M603" s="449"/>
      <c r="N603" s="449"/>
      <c r="O603" s="449"/>
      <c r="P603" s="449"/>
      <c r="Q603" s="449"/>
      <c r="R603" s="449"/>
      <c r="S603" s="449"/>
      <c r="T603" s="449"/>
      <c r="U603" s="449"/>
      <c r="V603" s="449"/>
      <c r="W603" s="449"/>
      <c r="X603" s="449"/>
      <c r="Y603" s="449">
        <v>0</v>
      </c>
      <c r="Z603" s="531"/>
      <c r="AA603" s="449"/>
      <c r="AB603" s="449"/>
      <c r="AC603" s="449"/>
      <c r="AD603" s="449"/>
      <c r="AE603" s="449"/>
      <c r="AF603" s="449"/>
      <c r="AG603" s="449"/>
      <c r="AH603" s="449"/>
      <c r="AI603" s="449"/>
      <c r="AJ603" s="449"/>
      <c r="AK603" s="449"/>
      <c r="AL603" s="449"/>
      <c r="AM603" s="400"/>
      <c r="AN603" s="500"/>
      <c r="AO603" s="449"/>
      <c r="AP603" s="449"/>
      <c r="AQ603" s="453"/>
      <c r="AR603" s="449"/>
      <c r="AS603" s="449"/>
      <c r="AT603" s="426"/>
      <c r="AU603" s="421"/>
      <c r="AV603" s="449"/>
      <c r="AW603" s="449"/>
      <c r="AX603" s="449"/>
      <c r="AY603" s="449"/>
      <c r="AZ603" s="449"/>
      <c r="BA603" s="449"/>
      <c r="BB603" s="449"/>
      <c r="BC603" s="449"/>
      <c r="BD603" s="449"/>
      <c r="BE603" s="449"/>
      <c r="BF603" s="449"/>
      <c r="BG603" s="449"/>
      <c r="BH603" s="531"/>
      <c r="BI603" s="449"/>
      <c r="BJ603" s="449"/>
      <c r="BK603" s="449"/>
      <c r="BL603" s="771"/>
      <c r="BM603" s="449"/>
      <c r="BN603" s="449"/>
      <c r="BO603" s="449"/>
      <c r="BP603" s="449"/>
      <c r="BQ603" s="449"/>
      <c r="BR603" s="449"/>
      <c r="BS603" s="449"/>
      <c r="BT603" s="449"/>
    </row>
    <row r="604" spans="1:72" hidden="1" x14ac:dyDescent="0.25">
      <c r="A604" s="502" t="s">
        <v>1007</v>
      </c>
      <c r="B604" s="502" t="s">
        <v>1008</v>
      </c>
      <c r="C604" s="538"/>
      <c r="D604" s="500"/>
      <c r="E604" s="449"/>
      <c r="F604" s="449"/>
      <c r="G604" s="421"/>
      <c r="H604" s="449"/>
      <c r="I604" s="449"/>
      <c r="J604" s="426"/>
      <c r="K604" s="421"/>
      <c r="L604" s="449"/>
      <c r="M604" s="449"/>
      <c r="N604" s="449"/>
      <c r="O604" s="449"/>
      <c r="P604" s="449"/>
      <c r="Q604" s="449"/>
      <c r="R604" s="449"/>
      <c r="S604" s="449"/>
      <c r="T604" s="449"/>
      <c r="U604" s="449"/>
      <c r="V604" s="449"/>
      <c r="W604" s="449"/>
      <c r="X604" s="449"/>
      <c r="Y604" s="449">
        <v>0</v>
      </c>
      <c r="Z604" s="531"/>
      <c r="AA604" s="449"/>
      <c r="AB604" s="449"/>
      <c r="AC604" s="449"/>
      <c r="AD604" s="449"/>
      <c r="AE604" s="449"/>
      <c r="AF604" s="449"/>
      <c r="AG604" s="449"/>
      <c r="AH604" s="449"/>
      <c r="AI604" s="449"/>
      <c r="AJ604" s="449"/>
      <c r="AK604" s="449"/>
      <c r="AL604" s="449"/>
      <c r="AM604" s="400"/>
      <c r="AN604" s="500"/>
      <c r="AO604" s="449"/>
      <c r="AP604" s="449"/>
      <c r="AQ604" s="453"/>
      <c r="AR604" s="449"/>
      <c r="AS604" s="449"/>
      <c r="AT604" s="426"/>
      <c r="AU604" s="421"/>
      <c r="AV604" s="449"/>
      <c r="AW604" s="449"/>
      <c r="AX604" s="449"/>
      <c r="AY604" s="449"/>
      <c r="AZ604" s="449"/>
      <c r="BA604" s="449"/>
      <c r="BB604" s="449"/>
      <c r="BC604" s="449"/>
      <c r="BD604" s="449"/>
      <c r="BE604" s="449"/>
      <c r="BF604" s="449"/>
      <c r="BG604" s="449"/>
      <c r="BH604" s="531"/>
      <c r="BI604" s="449"/>
      <c r="BJ604" s="449"/>
      <c r="BK604" s="449"/>
      <c r="BL604" s="771"/>
      <c r="BM604" s="449"/>
      <c r="BN604" s="449"/>
      <c r="BO604" s="449"/>
      <c r="BP604" s="449"/>
      <c r="BQ604" s="449"/>
      <c r="BR604" s="449"/>
      <c r="BS604" s="449"/>
      <c r="BT604" s="449"/>
    </row>
    <row r="605" spans="1:72" hidden="1" x14ac:dyDescent="0.25">
      <c r="A605" s="502" t="s">
        <v>1009</v>
      </c>
      <c r="B605" s="502" t="s">
        <v>1010</v>
      </c>
      <c r="C605" s="538"/>
      <c r="D605" s="500"/>
      <c r="E605" s="449"/>
      <c r="F605" s="449"/>
      <c r="G605" s="421"/>
      <c r="H605" s="449"/>
      <c r="I605" s="449"/>
      <c r="J605" s="426"/>
      <c r="K605" s="421"/>
      <c r="L605" s="449"/>
      <c r="M605" s="449"/>
      <c r="N605" s="449"/>
      <c r="O605" s="449"/>
      <c r="P605" s="449"/>
      <c r="Q605" s="449"/>
      <c r="R605" s="449"/>
      <c r="S605" s="449"/>
      <c r="T605" s="449"/>
      <c r="U605" s="449"/>
      <c r="V605" s="449"/>
      <c r="W605" s="449"/>
      <c r="X605" s="449"/>
      <c r="Y605" s="449">
        <v>0</v>
      </c>
      <c r="Z605" s="531"/>
      <c r="AA605" s="449"/>
      <c r="AB605" s="449"/>
      <c r="AC605" s="449"/>
      <c r="AD605" s="449"/>
      <c r="AE605" s="449"/>
      <c r="AF605" s="449"/>
      <c r="AG605" s="449"/>
      <c r="AH605" s="449"/>
      <c r="AI605" s="449"/>
      <c r="AJ605" s="449"/>
      <c r="AK605" s="449"/>
      <c r="AL605" s="449"/>
      <c r="AM605" s="400"/>
      <c r="AN605" s="500"/>
      <c r="AO605" s="449"/>
      <c r="AP605" s="449"/>
      <c r="AQ605" s="453"/>
      <c r="AR605" s="449"/>
      <c r="AS605" s="449"/>
      <c r="AT605" s="426"/>
      <c r="AU605" s="421"/>
      <c r="AV605" s="449"/>
      <c r="AW605" s="449"/>
      <c r="AX605" s="449"/>
      <c r="AY605" s="449"/>
      <c r="AZ605" s="449"/>
      <c r="BA605" s="449"/>
      <c r="BB605" s="449"/>
      <c r="BC605" s="449"/>
      <c r="BD605" s="449"/>
      <c r="BE605" s="449"/>
      <c r="BF605" s="449"/>
      <c r="BG605" s="449"/>
      <c r="BH605" s="531"/>
      <c r="BI605" s="449"/>
      <c r="BJ605" s="449"/>
      <c r="BK605" s="449"/>
      <c r="BL605" s="771"/>
      <c r="BM605" s="449"/>
      <c r="BN605" s="449"/>
      <c r="BO605" s="449"/>
      <c r="BP605" s="449"/>
      <c r="BQ605" s="449"/>
      <c r="BR605" s="449"/>
      <c r="BS605" s="449"/>
      <c r="BT605" s="449"/>
    </row>
    <row r="606" spans="1:72" hidden="1" x14ac:dyDescent="0.25">
      <c r="A606" s="502" t="s">
        <v>1011</v>
      </c>
      <c r="B606" s="502" t="s">
        <v>1012</v>
      </c>
      <c r="C606" s="538"/>
      <c r="D606" s="500"/>
      <c r="E606" s="449"/>
      <c r="F606" s="449"/>
      <c r="G606" s="421"/>
      <c r="H606" s="449"/>
      <c r="I606" s="449"/>
      <c r="J606" s="426"/>
      <c r="K606" s="421"/>
      <c r="L606" s="449"/>
      <c r="M606" s="449"/>
      <c r="N606" s="449"/>
      <c r="O606" s="449"/>
      <c r="P606" s="449"/>
      <c r="Q606" s="449"/>
      <c r="R606" s="449"/>
      <c r="S606" s="449"/>
      <c r="T606" s="449"/>
      <c r="U606" s="449"/>
      <c r="V606" s="449"/>
      <c r="W606" s="449"/>
      <c r="X606" s="449"/>
      <c r="Y606" s="449">
        <v>0</v>
      </c>
      <c r="Z606" s="531"/>
      <c r="AA606" s="449"/>
      <c r="AB606" s="449"/>
      <c r="AC606" s="449"/>
      <c r="AD606" s="449"/>
      <c r="AE606" s="449"/>
      <c r="AF606" s="449"/>
      <c r="AG606" s="449"/>
      <c r="AH606" s="449"/>
      <c r="AI606" s="449"/>
      <c r="AJ606" s="449"/>
      <c r="AK606" s="449"/>
      <c r="AL606" s="449"/>
      <c r="AM606" s="400"/>
      <c r="AN606" s="500"/>
      <c r="AO606" s="449"/>
      <c r="AP606" s="449"/>
      <c r="AQ606" s="453"/>
      <c r="AR606" s="449"/>
      <c r="AS606" s="449"/>
      <c r="AT606" s="426"/>
      <c r="AU606" s="421"/>
      <c r="AV606" s="449"/>
      <c r="AW606" s="449"/>
      <c r="AX606" s="449"/>
      <c r="AY606" s="449"/>
      <c r="AZ606" s="449"/>
      <c r="BA606" s="449"/>
      <c r="BB606" s="449"/>
      <c r="BC606" s="449"/>
      <c r="BD606" s="449"/>
      <c r="BE606" s="449"/>
      <c r="BF606" s="449"/>
      <c r="BG606" s="449"/>
      <c r="BH606" s="531"/>
      <c r="BI606" s="449"/>
      <c r="BJ606" s="449"/>
      <c r="BK606" s="449"/>
      <c r="BL606" s="771"/>
      <c r="BM606" s="449"/>
      <c r="BN606" s="449"/>
      <c r="BO606" s="449"/>
      <c r="BP606" s="449"/>
      <c r="BQ606" s="449"/>
      <c r="BR606" s="449"/>
      <c r="BS606" s="449"/>
      <c r="BT606" s="449"/>
    </row>
    <row r="607" spans="1:72" hidden="1" x14ac:dyDescent="0.25">
      <c r="A607" s="502" t="s">
        <v>1013</v>
      </c>
      <c r="B607" s="502" t="s">
        <v>976</v>
      </c>
      <c r="C607" s="538"/>
      <c r="D607" s="500"/>
      <c r="E607" s="449"/>
      <c r="F607" s="449"/>
      <c r="G607" s="421"/>
      <c r="H607" s="449"/>
      <c r="I607" s="449"/>
      <c r="J607" s="426"/>
      <c r="K607" s="421"/>
      <c r="L607" s="449"/>
      <c r="M607" s="449"/>
      <c r="N607" s="449"/>
      <c r="O607" s="449"/>
      <c r="P607" s="449"/>
      <c r="Q607" s="449"/>
      <c r="R607" s="449"/>
      <c r="S607" s="449"/>
      <c r="T607" s="449"/>
      <c r="U607" s="449"/>
      <c r="V607" s="449"/>
      <c r="W607" s="449"/>
      <c r="X607" s="449"/>
      <c r="Y607" s="449">
        <v>0</v>
      </c>
      <c r="Z607" s="531"/>
      <c r="AA607" s="449"/>
      <c r="AB607" s="449"/>
      <c r="AC607" s="449"/>
      <c r="AD607" s="449"/>
      <c r="AE607" s="449"/>
      <c r="AF607" s="449"/>
      <c r="AG607" s="449"/>
      <c r="AH607" s="449"/>
      <c r="AI607" s="449"/>
      <c r="AJ607" s="449"/>
      <c r="AK607" s="449"/>
      <c r="AL607" s="449"/>
      <c r="AM607" s="400"/>
      <c r="AN607" s="500"/>
      <c r="AO607" s="449"/>
      <c r="AP607" s="449"/>
      <c r="AQ607" s="453"/>
      <c r="AR607" s="449"/>
      <c r="AS607" s="449"/>
      <c r="AT607" s="426"/>
      <c r="AU607" s="421"/>
      <c r="AV607" s="449"/>
      <c r="AW607" s="449"/>
      <c r="AX607" s="449"/>
      <c r="AY607" s="449"/>
      <c r="AZ607" s="449"/>
      <c r="BA607" s="449"/>
      <c r="BB607" s="449"/>
      <c r="BC607" s="449"/>
      <c r="BD607" s="449"/>
      <c r="BE607" s="449"/>
      <c r="BF607" s="449"/>
      <c r="BG607" s="449"/>
      <c r="BH607" s="531"/>
      <c r="BI607" s="449"/>
      <c r="BJ607" s="449"/>
      <c r="BK607" s="449"/>
      <c r="BL607" s="771"/>
      <c r="BM607" s="449"/>
      <c r="BN607" s="449"/>
      <c r="BO607" s="449"/>
      <c r="BP607" s="449"/>
      <c r="BQ607" s="449"/>
      <c r="BR607" s="449"/>
      <c r="BS607" s="449"/>
      <c r="BT607" s="449"/>
    </row>
    <row r="608" spans="1:72" hidden="1" x14ac:dyDescent="0.25">
      <c r="A608" s="502" t="s">
        <v>1014</v>
      </c>
      <c r="B608" s="502" t="s">
        <v>1015</v>
      </c>
      <c r="C608" s="538"/>
      <c r="D608" s="500"/>
      <c r="E608" s="449"/>
      <c r="F608" s="449"/>
      <c r="G608" s="421"/>
      <c r="H608" s="449"/>
      <c r="I608" s="449"/>
      <c r="J608" s="426"/>
      <c r="K608" s="421"/>
      <c r="L608" s="449"/>
      <c r="M608" s="449"/>
      <c r="N608" s="449"/>
      <c r="O608" s="449"/>
      <c r="P608" s="449"/>
      <c r="Q608" s="449"/>
      <c r="R608" s="449"/>
      <c r="S608" s="449"/>
      <c r="T608" s="449"/>
      <c r="U608" s="449"/>
      <c r="V608" s="449"/>
      <c r="W608" s="449"/>
      <c r="X608" s="449"/>
      <c r="Y608" s="449">
        <v>0</v>
      </c>
      <c r="Z608" s="531"/>
      <c r="AA608" s="449"/>
      <c r="AB608" s="449"/>
      <c r="AC608" s="449"/>
      <c r="AD608" s="449"/>
      <c r="AE608" s="449"/>
      <c r="AF608" s="449"/>
      <c r="AG608" s="449"/>
      <c r="AH608" s="449"/>
      <c r="AI608" s="449"/>
      <c r="AJ608" s="449"/>
      <c r="AK608" s="449"/>
      <c r="AL608" s="449"/>
      <c r="AM608" s="400"/>
      <c r="AN608" s="500"/>
      <c r="AO608" s="449"/>
      <c r="AP608" s="449"/>
      <c r="AQ608" s="453"/>
      <c r="AR608" s="449"/>
      <c r="AS608" s="449"/>
      <c r="AT608" s="426"/>
      <c r="AU608" s="421"/>
      <c r="AV608" s="449"/>
      <c r="AW608" s="449"/>
      <c r="AX608" s="449"/>
      <c r="AY608" s="449"/>
      <c r="AZ608" s="449"/>
      <c r="BA608" s="449"/>
      <c r="BB608" s="449"/>
      <c r="BC608" s="449"/>
      <c r="BD608" s="449"/>
      <c r="BE608" s="449"/>
      <c r="BF608" s="449"/>
      <c r="BG608" s="449"/>
      <c r="BH608" s="531"/>
      <c r="BI608" s="449"/>
      <c r="BJ608" s="449"/>
      <c r="BK608" s="449"/>
      <c r="BL608" s="771"/>
      <c r="BM608" s="449"/>
      <c r="BN608" s="449"/>
      <c r="BO608" s="449"/>
      <c r="BP608" s="449"/>
      <c r="BQ608" s="449"/>
      <c r="BR608" s="449"/>
      <c r="BS608" s="449"/>
      <c r="BT608" s="449"/>
    </row>
    <row r="609" spans="1:72" ht="5.25" customHeight="1" x14ac:dyDescent="0.25">
      <c r="A609" s="502"/>
      <c r="B609" s="502"/>
      <c r="C609" s="538"/>
      <c r="D609" s="500"/>
      <c r="E609" s="449"/>
      <c r="F609" s="449"/>
      <c r="G609" s="421"/>
      <c r="H609" s="449"/>
      <c r="I609" s="449"/>
      <c r="J609" s="426"/>
      <c r="K609" s="421"/>
      <c r="L609" s="449"/>
      <c r="M609" s="449"/>
      <c r="N609" s="449"/>
      <c r="O609" s="449"/>
      <c r="P609" s="449"/>
      <c r="Q609" s="449"/>
      <c r="R609" s="449"/>
      <c r="S609" s="449"/>
      <c r="T609" s="449"/>
      <c r="U609" s="449"/>
      <c r="V609" s="449"/>
      <c r="W609" s="449"/>
      <c r="X609" s="449"/>
      <c r="Y609" s="449"/>
      <c r="Z609" s="531"/>
      <c r="AA609" s="449"/>
      <c r="AB609" s="449"/>
      <c r="AC609" s="449"/>
      <c r="AD609" s="449"/>
      <c r="AE609" s="449"/>
      <c r="AF609" s="449"/>
      <c r="AG609" s="449"/>
      <c r="AH609" s="449"/>
      <c r="AI609" s="449"/>
      <c r="AJ609" s="449"/>
      <c r="AK609" s="449"/>
      <c r="AL609" s="449"/>
      <c r="AM609" s="400"/>
      <c r="AN609" s="500"/>
      <c r="AO609" s="449"/>
      <c r="AP609" s="449"/>
      <c r="AQ609" s="453"/>
      <c r="AR609" s="449"/>
      <c r="AS609" s="449"/>
      <c r="AT609" s="426"/>
      <c r="AU609" s="421"/>
      <c r="AV609" s="449"/>
      <c r="AW609" s="449"/>
      <c r="AX609" s="449"/>
      <c r="AY609" s="449"/>
      <c r="AZ609" s="449"/>
      <c r="BA609" s="449"/>
      <c r="BB609" s="449"/>
      <c r="BC609" s="449"/>
      <c r="BD609" s="449"/>
      <c r="BE609" s="449"/>
      <c r="BF609" s="449"/>
      <c r="BG609" s="449"/>
      <c r="BH609" s="531"/>
      <c r="BI609" s="449"/>
      <c r="BJ609" s="449"/>
      <c r="BK609" s="449"/>
      <c r="BL609" s="771"/>
      <c r="BM609" s="449"/>
      <c r="BN609" s="449"/>
      <c r="BO609" s="449"/>
      <c r="BP609" s="449"/>
      <c r="BQ609" s="449"/>
      <c r="BR609" s="449"/>
      <c r="BS609" s="449"/>
      <c r="BT609" s="449"/>
    </row>
    <row r="610" spans="1:72" s="536" customFormat="1" ht="15.75" thickBot="1" x14ac:dyDescent="0.3">
      <c r="A610" s="524"/>
      <c r="B610" s="524" t="s">
        <v>1016</v>
      </c>
      <c r="C610" s="535"/>
      <c r="D610" s="532">
        <v>31562</v>
      </c>
      <c r="E610" s="533">
        <v>31562</v>
      </c>
      <c r="F610" s="533">
        <v>0</v>
      </c>
      <c r="G610" s="520">
        <v>0</v>
      </c>
      <c r="H610" s="533">
        <v>31562</v>
      </c>
      <c r="I610" s="533">
        <v>0</v>
      </c>
      <c r="J610" s="521">
        <v>0</v>
      </c>
      <c r="K610" s="507"/>
      <c r="L610" s="533">
        <v>0</v>
      </c>
      <c r="M610" s="533">
        <v>1699.5900000000001</v>
      </c>
      <c r="N610" s="533">
        <v>2688.72</v>
      </c>
      <c r="O610" s="533">
        <v>2395.9600000000009</v>
      </c>
      <c r="P610" s="533">
        <v>2271.33</v>
      </c>
      <c r="Q610" s="533">
        <v>2271.1400000000003</v>
      </c>
      <c r="R610" s="533">
        <v>3372.5433333333331</v>
      </c>
      <c r="S610" s="533">
        <v>3372.5433333333335</v>
      </c>
      <c r="T610" s="533">
        <v>3372.5433333333335</v>
      </c>
      <c r="U610" s="533">
        <v>3372.543333333334</v>
      </c>
      <c r="V610" s="533">
        <v>3372.5433333333349</v>
      </c>
      <c r="W610" s="533">
        <v>3372.5433333333367</v>
      </c>
      <c r="X610" s="533"/>
      <c r="Y610" s="533">
        <v>31562.000000000007</v>
      </c>
      <c r="Z610" s="508"/>
      <c r="AA610" s="533">
        <v>2630.1666666666665</v>
      </c>
      <c r="AB610" s="533">
        <v>2630.1666666666665</v>
      </c>
      <c r="AC610" s="533">
        <v>2630.1666666666665</v>
      </c>
      <c r="AD610" s="533">
        <v>2630.1666666666665</v>
      </c>
      <c r="AE610" s="533">
        <v>2630.1666666666665</v>
      </c>
      <c r="AF610" s="533">
        <v>2630.1666666666665</v>
      </c>
      <c r="AG610" s="533">
        <v>2630.1666666666665</v>
      </c>
      <c r="AH610" s="533">
        <v>2630.1666666666665</v>
      </c>
      <c r="AI610" s="533">
        <v>2630.1666666666665</v>
      </c>
      <c r="AJ610" s="533">
        <v>2630.1666666666665</v>
      </c>
      <c r="AK610" s="533">
        <v>2630.1666666666665</v>
      </c>
      <c r="AL610" s="533">
        <v>2630.1666666666665</v>
      </c>
      <c r="AN610" s="532">
        <v>31562</v>
      </c>
      <c r="AO610" s="533">
        <v>44095.561370000003</v>
      </c>
      <c r="AP610" s="533">
        <v>12533.561370000003</v>
      </c>
      <c r="AQ610" s="523">
        <v>0.39710922533426279</v>
      </c>
      <c r="AR610" s="533">
        <v>44095.561370000003</v>
      </c>
      <c r="AS610" s="533">
        <v>0</v>
      </c>
      <c r="AT610" s="521">
        <v>0</v>
      </c>
      <c r="AU610" s="507"/>
      <c r="AV610" s="533">
        <v>0</v>
      </c>
      <c r="AW610" s="533">
        <v>4409.5561369999996</v>
      </c>
      <c r="AX610" s="533">
        <v>4409.5561369999996</v>
      </c>
      <c r="AY610" s="533">
        <v>4409.5561369999996</v>
      </c>
      <c r="AZ610" s="533">
        <v>4409.5561369999996</v>
      </c>
      <c r="BA610" s="533">
        <v>4409.5561369999996</v>
      </c>
      <c r="BB610" s="533">
        <v>4409.5561369999996</v>
      </c>
      <c r="BC610" s="533">
        <v>4409.5561369999996</v>
      </c>
      <c r="BD610" s="533">
        <v>4409.5561369999996</v>
      </c>
      <c r="BE610" s="533">
        <v>4409.5561369999996</v>
      </c>
      <c r="BF610" s="533">
        <v>4409.5561369999996</v>
      </c>
      <c r="BG610" s="533">
        <v>0</v>
      </c>
      <c r="BH610" s="508"/>
      <c r="BI610" s="533">
        <v>0</v>
      </c>
      <c r="BJ610" s="533">
        <v>4409.5561369999996</v>
      </c>
      <c r="BK610" s="533">
        <v>4409.5561369999996</v>
      </c>
      <c r="BL610" s="777">
        <v>4409.5561369999996</v>
      </c>
      <c r="BM610" s="533">
        <v>4409.5561369999996</v>
      </c>
      <c r="BN610" s="533">
        <v>4409.5561369999996</v>
      </c>
      <c r="BO610" s="533">
        <v>4409.5561369999996</v>
      </c>
      <c r="BP610" s="533">
        <v>4409.5561369999996</v>
      </c>
      <c r="BQ610" s="533">
        <v>4409.5561369999996</v>
      </c>
      <c r="BR610" s="533">
        <v>4409.5561369999996</v>
      </c>
      <c r="BS610" s="533">
        <v>4409.5561369999996</v>
      </c>
      <c r="BT610" s="533">
        <v>0</v>
      </c>
    </row>
    <row r="611" spans="1:72" ht="9" customHeight="1" thickTop="1" x14ac:dyDescent="0.25">
      <c r="A611" s="502"/>
      <c r="B611" s="502"/>
      <c r="C611" s="538"/>
      <c r="D611" s="500"/>
      <c r="E611" s="449"/>
      <c r="F611" s="449"/>
      <c r="G611" s="421"/>
      <c r="H611" s="449"/>
      <c r="I611" s="449"/>
      <c r="J611" s="426"/>
      <c r="K611" s="421"/>
      <c r="L611" s="449"/>
      <c r="M611" s="449"/>
      <c r="N611" s="449"/>
      <c r="O611" s="449"/>
      <c r="P611" s="449"/>
      <c r="Q611" s="449"/>
      <c r="R611" s="449"/>
      <c r="S611" s="449"/>
      <c r="T611" s="449"/>
      <c r="U611" s="449"/>
      <c r="V611" s="449"/>
      <c r="W611" s="449"/>
      <c r="X611" s="449"/>
      <c r="Y611" s="449"/>
      <c r="Z611" s="531"/>
      <c r="AA611" s="449"/>
      <c r="AB611" s="449"/>
      <c r="AC611" s="449"/>
      <c r="AD611" s="449"/>
      <c r="AE611" s="449"/>
      <c r="AF611" s="449"/>
      <c r="AG611" s="449"/>
      <c r="AH611" s="449"/>
      <c r="AI611" s="449"/>
      <c r="AJ611" s="449"/>
      <c r="AK611" s="449"/>
      <c r="AL611" s="449"/>
      <c r="AM611" s="400"/>
      <c r="AN611" s="500"/>
      <c r="AO611" s="449"/>
      <c r="AP611" s="449"/>
      <c r="AQ611" s="453"/>
      <c r="AR611" s="449"/>
      <c r="AS611" s="449"/>
      <c r="AT611" s="426"/>
      <c r="AU611" s="421"/>
      <c r="AV611" s="449"/>
      <c r="AW611" s="449"/>
      <c r="AX611" s="449"/>
      <c r="AY611" s="449"/>
      <c r="AZ611" s="449"/>
      <c r="BA611" s="449"/>
      <c r="BB611" s="449"/>
      <c r="BC611" s="449"/>
      <c r="BD611" s="449"/>
      <c r="BE611" s="449"/>
      <c r="BF611" s="449"/>
      <c r="BG611" s="449"/>
      <c r="BH611" s="531"/>
      <c r="BI611" s="449"/>
      <c r="BJ611" s="449"/>
      <c r="BK611" s="449"/>
      <c r="BL611" s="771"/>
      <c r="BM611" s="449"/>
      <c r="BN611" s="449"/>
      <c r="BO611" s="449"/>
      <c r="BP611" s="449"/>
      <c r="BQ611" s="449"/>
      <c r="BR611" s="449"/>
      <c r="BS611" s="449"/>
      <c r="BT611" s="449"/>
    </row>
    <row r="612" spans="1:72" x14ac:dyDescent="0.25">
      <c r="A612" s="524" t="s">
        <v>1017</v>
      </c>
      <c r="B612" s="502"/>
      <c r="C612" s="538"/>
      <c r="D612" s="545">
        <v>0</v>
      </c>
      <c r="E612" s="546">
        <v>0</v>
      </c>
      <c r="F612" s="546">
        <v>0</v>
      </c>
      <c r="G612" s="547">
        <v>0</v>
      </c>
      <c r="H612" s="546">
        <v>0</v>
      </c>
      <c r="I612" s="546">
        <v>0</v>
      </c>
      <c r="J612" s="548">
        <v>0</v>
      </c>
      <c r="K612" s="507"/>
      <c r="L612" s="546">
        <v>0</v>
      </c>
      <c r="M612" s="546">
        <v>-1699.5900000000001</v>
      </c>
      <c r="N612" s="546">
        <v>-2688.72</v>
      </c>
      <c r="O612" s="546">
        <v>-2395.9600000000009</v>
      </c>
      <c r="P612" s="546">
        <v>-2271.33</v>
      </c>
      <c r="Q612" s="546">
        <v>-2271.1400000000003</v>
      </c>
      <c r="R612" s="546">
        <v>1887.79</v>
      </c>
      <c r="S612" s="546">
        <v>1887.7900000000004</v>
      </c>
      <c r="T612" s="546">
        <v>1887.7899999999995</v>
      </c>
      <c r="U612" s="546">
        <v>1887.7899999999991</v>
      </c>
      <c r="V612" s="546">
        <v>1887.7899999999991</v>
      </c>
      <c r="W612" s="546">
        <v>1887.7899999999991</v>
      </c>
      <c r="X612" s="546"/>
      <c r="Y612" s="546">
        <v>-3.637978807091713E-12</v>
      </c>
      <c r="Z612" s="554"/>
      <c r="AA612" s="546">
        <v>0</v>
      </c>
      <c r="AB612" s="546">
        <v>0</v>
      </c>
      <c r="AC612" s="546">
        <v>0</v>
      </c>
      <c r="AD612" s="546">
        <v>0</v>
      </c>
      <c r="AE612" s="546">
        <v>0</v>
      </c>
      <c r="AF612" s="546">
        <v>0</v>
      </c>
      <c r="AG612" s="546">
        <v>0</v>
      </c>
      <c r="AH612" s="546">
        <v>0</v>
      </c>
      <c r="AI612" s="546">
        <v>0</v>
      </c>
      <c r="AJ612" s="546">
        <v>0</v>
      </c>
      <c r="AK612" s="546">
        <v>0</v>
      </c>
      <c r="AL612" s="546">
        <v>0</v>
      </c>
      <c r="AM612" s="400"/>
      <c r="AN612" s="545">
        <v>0</v>
      </c>
      <c r="AO612" s="546">
        <v>0</v>
      </c>
      <c r="AP612" s="546">
        <v>0</v>
      </c>
      <c r="AQ612" s="549" t="s">
        <v>1519</v>
      </c>
      <c r="AR612" s="546">
        <v>0</v>
      </c>
      <c r="AS612" s="546">
        <v>0</v>
      </c>
      <c r="AT612" s="548">
        <v>0</v>
      </c>
      <c r="AU612" s="507"/>
      <c r="AV612" s="546">
        <v>0</v>
      </c>
      <c r="AW612" s="546">
        <v>-4409.5561369999996</v>
      </c>
      <c r="AX612" s="546">
        <v>-4409.5561369999996</v>
      </c>
      <c r="AY612" s="546">
        <v>-4409.5561369999996</v>
      </c>
      <c r="AZ612" s="546">
        <v>-4409.5561369999996</v>
      </c>
      <c r="BA612" s="546">
        <v>-4409.5561369999996</v>
      </c>
      <c r="BB612" s="546">
        <v>-4409.5561369999996</v>
      </c>
      <c r="BC612" s="546">
        <v>-4409.5561369999996</v>
      </c>
      <c r="BD612" s="546">
        <v>-4409.5561369999996</v>
      </c>
      <c r="BE612" s="546">
        <v>-4409.5561369999996</v>
      </c>
      <c r="BF612" s="546">
        <v>-4409.5561369999996</v>
      </c>
      <c r="BG612" s="546">
        <v>44095.561370000003</v>
      </c>
      <c r="BH612" s="554"/>
      <c r="BI612" s="546">
        <v>0</v>
      </c>
      <c r="BJ612" s="546">
        <v>-4409.5561369999996</v>
      </c>
      <c r="BK612" s="546">
        <v>-4409.5561369999996</v>
      </c>
      <c r="BL612" s="779">
        <v>-4409.5561369999996</v>
      </c>
      <c r="BM612" s="546">
        <v>-4409.5561369999996</v>
      </c>
      <c r="BN612" s="546">
        <v>-4409.5561369999996</v>
      </c>
      <c r="BO612" s="546">
        <v>-4409.5561369999996</v>
      </c>
      <c r="BP612" s="546">
        <v>-4409.5561369999996</v>
      </c>
      <c r="BQ612" s="546">
        <v>-4409.5561369999996</v>
      </c>
      <c r="BR612" s="546">
        <v>-4409.5561369999996</v>
      </c>
      <c r="BS612" s="546">
        <v>-4409.5561369999996</v>
      </c>
      <c r="BT612" s="546">
        <v>44095.561370000003</v>
      </c>
    </row>
    <row r="613" spans="1:72" ht="8.25" hidden="1" customHeight="1" x14ac:dyDescent="0.25">
      <c r="A613" s="502"/>
      <c r="B613" s="502"/>
      <c r="C613" s="538"/>
      <c r="D613" s="500"/>
      <c r="E613" s="449"/>
      <c r="F613" s="449"/>
      <c r="G613" s="421"/>
      <c r="H613" s="449"/>
      <c r="I613" s="449"/>
      <c r="J613" s="426"/>
      <c r="K613" s="421"/>
      <c r="L613" s="449"/>
      <c r="M613" s="449"/>
      <c r="N613" s="449"/>
      <c r="O613" s="449"/>
      <c r="P613" s="449"/>
      <c r="Q613" s="449"/>
      <c r="R613" s="449"/>
      <c r="S613" s="449"/>
      <c r="T613" s="449"/>
      <c r="U613" s="449"/>
      <c r="V613" s="449"/>
      <c r="W613" s="449"/>
      <c r="X613" s="449"/>
      <c r="Y613" s="449"/>
      <c r="Z613" s="531"/>
      <c r="AA613" s="449"/>
      <c r="AB613" s="449"/>
      <c r="AC613" s="449"/>
      <c r="AD613" s="449"/>
      <c r="AE613" s="449"/>
      <c r="AF613" s="449"/>
      <c r="AG613" s="449"/>
      <c r="AH613" s="449"/>
      <c r="AI613" s="449"/>
      <c r="AJ613" s="449"/>
      <c r="AK613" s="449"/>
      <c r="AL613" s="449"/>
      <c r="AM613" s="400"/>
      <c r="AN613" s="500"/>
      <c r="AO613" s="449"/>
      <c r="AP613" s="449"/>
      <c r="AQ613" s="453"/>
      <c r="AR613" s="449"/>
      <c r="AS613" s="449"/>
      <c r="AT613" s="426"/>
      <c r="AU613" s="421"/>
      <c r="AV613" s="449"/>
      <c r="AW613" s="449"/>
      <c r="AX613" s="449"/>
      <c r="AY613" s="449"/>
      <c r="AZ613" s="449"/>
      <c r="BA613" s="449"/>
      <c r="BB613" s="449"/>
      <c r="BC613" s="449"/>
      <c r="BD613" s="449"/>
      <c r="BE613" s="449"/>
      <c r="BF613" s="449"/>
      <c r="BG613" s="449"/>
      <c r="BH613" s="531"/>
      <c r="BI613" s="449"/>
      <c r="BJ613" s="449"/>
      <c r="BK613" s="449"/>
      <c r="BL613" s="771"/>
      <c r="BM613" s="449"/>
      <c r="BN613" s="449"/>
      <c r="BO613" s="449"/>
      <c r="BP613" s="449"/>
      <c r="BQ613" s="449"/>
      <c r="BR613" s="449"/>
      <c r="BS613" s="449"/>
      <c r="BT613" s="449"/>
    </row>
    <row r="614" spans="1:72" s="536" customFormat="1" hidden="1" x14ac:dyDescent="0.25">
      <c r="A614" s="524" t="s">
        <v>1018</v>
      </c>
      <c r="B614" s="524"/>
      <c r="C614" s="535"/>
      <c r="D614" s="527"/>
      <c r="E614" s="528">
        <v>0</v>
      </c>
      <c r="F614" s="528"/>
      <c r="G614" s="507"/>
      <c r="H614" s="528">
        <v>0</v>
      </c>
      <c r="I614" s="528"/>
      <c r="J614" s="529"/>
      <c r="K614" s="507"/>
      <c r="L614" s="528"/>
      <c r="M614" s="528"/>
      <c r="N614" s="528"/>
      <c r="O614" s="528"/>
      <c r="P614" s="528"/>
      <c r="Q614" s="528"/>
      <c r="R614" s="528"/>
      <c r="S614" s="528"/>
      <c r="T614" s="528"/>
      <c r="U614" s="528"/>
      <c r="V614" s="528"/>
      <c r="W614" s="528"/>
      <c r="X614" s="528"/>
      <c r="Y614" s="528"/>
      <c r="Z614" s="555"/>
      <c r="AA614" s="528"/>
      <c r="AB614" s="528"/>
      <c r="AC614" s="528"/>
      <c r="AD614" s="528"/>
      <c r="AE614" s="528"/>
      <c r="AF614" s="528"/>
      <c r="AG614" s="528"/>
      <c r="AH614" s="528"/>
      <c r="AI614" s="528"/>
      <c r="AJ614" s="528"/>
      <c r="AK614" s="528"/>
      <c r="AL614" s="528"/>
      <c r="AN614" s="527"/>
      <c r="AO614" s="528"/>
      <c r="AP614" s="528"/>
      <c r="AQ614" s="499"/>
      <c r="AR614" s="528">
        <v>0</v>
      </c>
      <c r="AS614" s="528"/>
      <c r="AT614" s="529"/>
      <c r="AU614" s="507"/>
      <c r="AV614" s="528"/>
      <c r="AW614" s="528"/>
      <c r="AX614" s="528"/>
      <c r="AY614" s="528"/>
      <c r="AZ614" s="528"/>
      <c r="BA614" s="528"/>
      <c r="BB614" s="528"/>
      <c r="BC614" s="528"/>
      <c r="BD614" s="528"/>
      <c r="BE614" s="528"/>
      <c r="BF614" s="528"/>
      <c r="BG614" s="528"/>
      <c r="BH614" s="555"/>
      <c r="BI614" s="528"/>
      <c r="BJ614" s="528"/>
      <c r="BK614" s="528"/>
      <c r="BL614" s="778"/>
      <c r="BM614" s="528"/>
      <c r="BN614" s="528"/>
      <c r="BO614" s="528"/>
      <c r="BP614" s="528"/>
      <c r="BQ614" s="528"/>
      <c r="BR614" s="528"/>
      <c r="BS614" s="528"/>
      <c r="BT614" s="528"/>
    </row>
    <row r="615" spans="1:72" ht="9" hidden="1" customHeight="1" x14ac:dyDescent="0.25">
      <c r="A615" s="502"/>
      <c r="B615" s="502"/>
      <c r="C615" s="538"/>
      <c r="D615" s="500"/>
      <c r="E615" s="449"/>
      <c r="F615" s="449"/>
      <c r="G615" s="421"/>
      <c r="H615" s="449"/>
      <c r="I615" s="449"/>
      <c r="J615" s="426"/>
      <c r="K615" s="421"/>
      <c r="L615" s="449"/>
      <c r="M615" s="449"/>
      <c r="N615" s="449"/>
      <c r="O615" s="449"/>
      <c r="P615" s="449"/>
      <c r="Q615" s="449"/>
      <c r="R615" s="449"/>
      <c r="S615" s="449"/>
      <c r="T615" s="449"/>
      <c r="U615" s="449"/>
      <c r="V615" s="449"/>
      <c r="W615" s="449"/>
      <c r="X615" s="449"/>
      <c r="Y615" s="449"/>
      <c r="Z615" s="531"/>
      <c r="AA615" s="449"/>
      <c r="AB615" s="449"/>
      <c r="AC615" s="449"/>
      <c r="AD615" s="449"/>
      <c r="AE615" s="449"/>
      <c r="AF615" s="449"/>
      <c r="AG615" s="449"/>
      <c r="AH615" s="449"/>
      <c r="AI615" s="449"/>
      <c r="AJ615" s="449"/>
      <c r="AK615" s="449"/>
      <c r="AL615" s="449"/>
      <c r="AM615" s="400"/>
      <c r="AN615" s="500"/>
      <c r="AO615" s="449"/>
      <c r="AP615" s="449"/>
      <c r="AQ615" s="453"/>
      <c r="AR615" s="449"/>
      <c r="AS615" s="449"/>
      <c r="AT615" s="426"/>
      <c r="AU615" s="421"/>
      <c r="AV615" s="449"/>
      <c r="AW615" s="449"/>
      <c r="AX615" s="449"/>
      <c r="AY615" s="449"/>
      <c r="AZ615" s="449"/>
      <c r="BA615" s="449"/>
      <c r="BB615" s="449"/>
      <c r="BC615" s="449"/>
      <c r="BD615" s="449"/>
      <c r="BE615" s="449"/>
      <c r="BF615" s="449"/>
      <c r="BG615" s="449"/>
      <c r="BH615" s="531"/>
      <c r="BI615" s="449"/>
      <c r="BJ615" s="449"/>
      <c r="BK615" s="449"/>
      <c r="BL615" s="771"/>
      <c r="BM615" s="449"/>
      <c r="BN615" s="449"/>
      <c r="BO615" s="449"/>
      <c r="BP615" s="449"/>
      <c r="BQ615" s="449"/>
      <c r="BR615" s="449"/>
      <c r="BS615" s="449"/>
      <c r="BT615" s="449"/>
    </row>
    <row r="616" spans="1:72" s="536" customFormat="1" ht="15.75" hidden="1" thickBot="1" x14ac:dyDescent="0.3">
      <c r="A616" s="524" t="s">
        <v>1019</v>
      </c>
      <c r="B616" s="524"/>
      <c r="C616" s="535"/>
      <c r="D616" s="550"/>
      <c r="E616" s="533">
        <v>0</v>
      </c>
      <c r="F616" s="551"/>
      <c r="G616" s="507"/>
      <c r="H616" s="533">
        <v>0</v>
      </c>
      <c r="I616" s="551"/>
      <c r="J616" s="529"/>
      <c r="K616" s="507"/>
      <c r="L616" s="551"/>
      <c r="M616" s="551"/>
      <c r="N616" s="551"/>
      <c r="O616" s="551"/>
      <c r="P616" s="551"/>
      <c r="Q616" s="551"/>
      <c r="R616" s="551"/>
      <c r="S616" s="551"/>
      <c r="T616" s="551"/>
      <c r="U616" s="551"/>
      <c r="V616" s="551"/>
      <c r="W616" s="551"/>
      <c r="X616" s="551"/>
      <c r="Y616" s="528"/>
      <c r="Z616" s="555"/>
      <c r="AA616" s="551"/>
      <c r="AB616" s="551"/>
      <c r="AC616" s="551"/>
      <c r="AD616" s="551"/>
      <c r="AE616" s="551"/>
      <c r="AF616" s="551"/>
      <c r="AG616" s="551"/>
      <c r="AH616" s="551"/>
      <c r="AI616" s="551"/>
      <c r="AJ616" s="551"/>
      <c r="AK616" s="551"/>
      <c r="AL616" s="551"/>
      <c r="AN616" s="550"/>
      <c r="AO616" s="551"/>
      <c r="AP616" s="551"/>
      <c r="AQ616" s="499"/>
      <c r="AR616" s="533">
        <v>0</v>
      </c>
      <c r="AS616" s="551"/>
      <c r="AT616" s="529"/>
      <c r="AU616" s="507"/>
      <c r="AV616" s="551"/>
      <c r="AW616" s="551"/>
      <c r="AX616" s="551"/>
      <c r="AY616" s="551"/>
      <c r="AZ616" s="551"/>
      <c r="BA616" s="551"/>
      <c r="BB616" s="551"/>
      <c r="BC616" s="551"/>
      <c r="BD616" s="551"/>
      <c r="BE616" s="551"/>
      <c r="BF616" s="551"/>
      <c r="BG616" s="551"/>
      <c r="BH616" s="555"/>
      <c r="BI616" s="551"/>
      <c r="BJ616" s="551"/>
      <c r="BK616" s="551"/>
      <c r="BL616" s="780"/>
      <c r="BM616" s="551"/>
      <c r="BN616" s="551"/>
      <c r="BO616" s="551"/>
      <c r="BP616" s="551"/>
      <c r="BQ616" s="551"/>
      <c r="BR616" s="551"/>
      <c r="BS616" s="551"/>
      <c r="BT616" s="551"/>
    </row>
    <row r="617" spans="1:72" ht="26.25" hidden="1" customHeight="1" x14ac:dyDescent="0.25">
      <c r="A617" s="502"/>
      <c r="B617" s="502"/>
      <c r="C617" s="538"/>
      <c r="D617" s="500"/>
      <c r="E617" s="449"/>
      <c r="F617" s="449"/>
      <c r="G617" s="421"/>
      <c r="H617" s="449"/>
      <c r="I617" s="449"/>
      <c r="J617" s="426"/>
      <c r="K617" s="421"/>
      <c r="L617" s="449"/>
      <c r="M617" s="449"/>
      <c r="N617" s="449"/>
      <c r="O617" s="449"/>
      <c r="P617" s="449"/>
      <c r="Q617" s="449"/>
      <c r="R617" s="449"/>
      <c r="S617" s="449"/>
      <c r="T617" s="449"/>
      <c r="U617" s="449"/>
      <c r="V617" s="449"/>
      <c r="W617" s="449"/>
      <c r="X617" s="449"/>
      <c r="Y617" s="449"/>
      <c r="Z617" s="531"/>
      <c r="AA617" s="449"/>
      <c r="AB617" s="449"/>
      <c r="AC617" s="449"/>
      <c r="AD617" s="449"/>
      <c r="AE617" s="449"/>
      <c r="AF617" s="449"/>
      <c r="AG617" s="449"/>
      <c r="AH617" s="449"/>
      <c r="AI617" s="449"/>
      <c r="AJ617" s="449"/>
      <c r="AK617" s="449"/>
      <c r="AL617" s="449"/>
      <c r="AM617" s="400"/>
      <c r="AN617" s="500"/>
      <c r="AO617" s="449"/>
      <c r="AP617" s="449"/>
      <c r="AQ617" s="453"/>
      <c r="AR617" s="449"/>
      <c r="AS617" s="449"/>
      <c r="AT617" s="426"/>
      <c r="AU617" s="421"/>
      <c r="AV617" s="449"/>
      <c r="AW617" s="449"/>
      <c r="AX617" s="449"/>
      <c r="AY617" s="449"/>
      <c r="AZ617" s="449"/>
      <c r="BA617" s="449"/>
      <c r="BB617" s="449"/>
      <c r="BC617" s="449"/>
      <c r="BD617" s="449"/>
      <c r="BE617" s="449"/>
      <c r="BF617" s="449"/>
      <c r="BG617" s="449"/>
      <c r="BH617" s="531"/>
      <c r="BI617" s="449"/>
      <c r="BJ617" s="449"/>
      <c r="BK617" s="449"/>
      <c r="BL617" s="771"/>
      <c r="BM617" s="449"/>
      <c r="BN617" s="449"/>
      <c r="BO617" s="449"/>
      <c r="BP617" s="449"/>
      <c r="BQ617" s="449"/>
      <c r="BR617" s="449"/>
      <c r="BS617" s="449"/>
      <c r="BT617" s="449"/>
    </row>
    <row r="618" spans="1:72" s="536" customFormat="1" ht="15.75" hidden="1" x14ac:dyDescent="0.25">
      <c r="A618" s="619" t="s">
        <v>1020</v>
      </c>
      <c r="B618" s="524"/>
      <c r="C618" s="535"/>
      <c r="D618" s="527"/>
      <c r="E618" s="528"/>
      <c r="F618" s="528"/>
      <c r="G618" s="507"/>
      <c r="H618" s="528"/>
      <c r="I618" s="528"/>
      <c r="J618" s="529"/>
      <c r="K618" s="507"/>
      <c r="L618" s="528"/>
      <c r="M618" s="528"/>
      <c r="N618" s="528"/>
      <c r="O618" s="528"/>
      <c r="P618" s="528"/>
      <c r="Q618" s="528"/>
      <c r="R618" s="528"/>
      <c r="S618" s="528"/>
      <c r="T618" s="528"/>
      <c r="U618" s="528"/>
      <c r="V618" s="528"/>
      <c r="W618" s="528"/>
      <c r="X618" s="528"/>
      <c r="Y618" s="528"/>
      <c r="Z618" s="530"/>
      <c r="AA618" s="528"/>
      <c r="AB618" s="528"/>
      <c r="AC618" s="528"/>
      <c r="AD618" s="528"/>
      <c r="AE618" s="528"/>
      <c r="AF618" s="528"/>
      <c r="AG618" s="528"/>
      <c r="AH618" s="528"/>
      <c r="AI618" s="528"/>
      <c r="AJ618" s="528"/>
      <c r="AK618" s="528"/>
      <c r="AL618" s="528"/>
      <c r="AN618" s="527"/>
      <c r="AO618" s="528"/>
      <c r="AP618" s="528"/>
      <c r="AQ618" s="499"/>
      <c r="AR618" s="528"/>
      <c r="AS618" s="528"/>
      <c r="AT618" s="529"/>
      <c r="AU618" s="507"/>
      <c r="AV618" s="528"/>
      <c r="AW618" s="528"/>
      <c r="AX618" s="528"/>
      <c r="AY618" s="528"/>
      <c r="AZ618" s="528"/>
      <c r="BA618" s="528"/>
      <c r="BB618" s="528"/>
      <c r="BC618" s="528"/>
      <c r="BD618" s="528"/>
      <c r="BE618" s="528"/>
      <c r="BF618" s="528"/>
      <c r="BG618" s="528"/>
      <c r="BH618" s="530"/>
      <c r="BI618" s="528"/>
      <c r="BJ618" s="528"/>
      <c r="BK618" s="528"/>
      <c r="BL618" s="778"/>
      <c r="BM618" s="528"/>
      <c r="BN618" s="528"/>
      <c r="BO618" s="528"/>
      <c r="BP618" s="528"/>
      <c r="BQ618" s="528"/>
      <c r="BR618" s="528"/>
      <c r="BS618" s="528"/>
      <c r="BT618" s="528"/>
    </row>
    <row r="619" spans="1:72" ht="6" hidden="1" customHeight="1" x14ac:dyDescent="0.25">
      <c r="A619" s="502"/>
      <c r="B619" s="502"/>
      <c r="C619" s="538"/>
      <c r="D619" s="500"/>
      <c r="E619" s="449"/>
      <c r="F619" s="449"/>
      <c r="G619" s="421"/>
      <c r="H619" s="449"/>
      <c r="I619" s="449"/>
      <c r="J619" s="426"/>
      <c r="K619" s="421"/>
      <c r="L619" s="449"/>
      <c r="M619" s="449"/>
      <c r="N619" s="449"/>
      <c r="O619" s="449"/>
      <c r="P619" s="449"/>
      <c r="Q619" s="449"/>
      <c r="R619" s="449"/>
      <c r="S619" s="449"/>
      <c r="T619" s="449"/>
      <c r="U619" s="449"/>
      <c r="V619" s="449"/>
      <c r="W619" s="449"/>
      <c r="X619" s="449"/>
      <c r="Y619" s="449"/>
      <c r="Z619" s="531"/>
      <c r="AA619" s="449"/>
      <c r="AB619" s="449"/>
      <c r="AC619" s="449"/>
      <c r="AD619" s="449"/>
      <c r="AE619" s="449"/>
      <c r="AF619" s="449"/>
      <c r="AG619" s="449"/>
      <c r="AH619" s="449"/>
      <c r="AI619" s="449"/>
      <c r="AJ619" s="449"/>
      <c r="AK619" s="449"/>
      <c r="AL619" s="449"/>
      <c r="AM619" s="400"/>
      <c r="AN619" s="500"/>
      <c r="AO619" s="449"/>
      <c r="AP619" s="449"/>
      <c r="AQ619" s="453"/>
      <c r="AR619" s="449"/>
      <c r="AS619" s="449"/>
      <c r="AT619" s="426"/>
      <c r="AU619" s="421"/>
      <c r="AV619" s="449"/>
      <c r="AW619" s="449"/>
      <c r="AX619" s="449"/>
      <c r="AY619" s="449"/>
      <c r="AZ619" s="449"/>
      <c r="BA619" s="449"/>
      <c r="BB619" s="449"/>
      <c r="BC619" s="449"/>
      <c r="BD619" s="449"/>
      <c r="BE619" s="449"/>
      <c r="BF619" s="449"/>
      <c r="BG619" s="449"/>
      <c r="BH619" s="531"/>
      <c r="BI619" s="449"/>
      <c r="BJ619" s="449"/>
      <c r="BK619" s="449"/>
      <c r="BL619" s="771"/>
      <c r="BM619" s="449"/>
      <c r="BN619" s="449"/>
      <c r="BO619" s="449"/>
      <c r="BP619" s="449"/>
      <c r="BQ619" s="449"/>
      <c r="BR619" s="449"/>
      <c r="BS619" s="449"/>
      <c r="BT619" s="449"/>
    </row>
    <row r="620" spans="1:72" hidden="1" x14ac:dyDescent="0.25">
      <c r="A620" s="524" t="s">
        <v>1021</v>
      </c>
      <c r="B620" s="502"/>
      <c r="C620" s="538"/>
      <c r="D620" s="550">
        <v>67640.709999999031</v>
      </c>
      <c r="E620" s="551">
        <v>25963.682426000014</v>
      </c>
      <c r="F620" s="551">
        <v>41677.027573999017</v>
      </c>
      <c r="G620" s="507">
        <v>1.6052047968459078</v>
      </c>
      <c r="H620" s="551">
        <v>175442.96999999881</v>
      </c>
      <c r="I620" s="551">
        <v>-107802.25999999978</v>
      </c>
      <c r="J620" s="529">
        <v>-0.61445756418738529</v>
      </c>
      <c r="K620" s="507"/>
      <c r="L620" s="551">
        <v>162417.92000000016</v>
      </c>
      <c r="M620" s="551">
        <v>-144880.4500000001</v>
      </c>
      <c r="N620" s="551">
        <v>270477.02</v>
      </c>
      <c r="O620" s="551">
        <v>-56400.550000000083</v>
      </c>
      <c r="P620" s="551">
        <v>82092.319999999672</v>
      </c>
      <c r="Q620" s="551">
        <v>202263.69000000018</v>
      </c>
      <c r="R620" s="551">
        <v>-74721.539999999964</v>
      </c>
      <c r="S620" s="551">
        <v>-74721.540000000081</v>
      </c>
      <c r="T620" s="551">
        <v>-74721.540000000081</v>
      </c>
      <c r="U620" s="551">
        <v>-74721.539999999964</v>
      </c>
      <c r="V620" s="551">
        <v>-74721.539999999964</v>
      </c>
      <c r="W620" s="551">
        <v>-74721.539999999499</v>
      </c>
      <c r="X620" s="551"/>
      <c r="Y620" s="551">
        <v>67640.709999999031</v>
      </c>
      <c r="Z620" s="508"/>
      <c r="AA620" s="551">
        <v>14620.247499999939</v>
      </c>
      <c r="AB620" s="551">
        <v>14620.247499999939</v>
      </c>
      <c r="AC620" s="551">
        <v>14620.247499999939</v>
      </c>
      <c r="AD620" s="551">
        <v>14620.247499999939</v>
      </c>
      <c r="AE620" s="551">
        <v>14620.247499999939</v>
      </c>
      <c r="AF620" s="551">
        <v>14620.247499999939</v>
      </c>
      <c r="AG620" s="551">
        <v>14620.247499999939</v>
      </c>
      <c r="AH620" s="551">
        <v>14620.247499999939</v>
      </c>
      <c r="AI620" s="551">
        <v>14620.247499999939</v>
      </c>
      <c r="AJ620" s="551">
        <v>14620.247499999939</v>
      </c>
      <c r="AK620" s="551">
        <v>14620.247499999939</v>
      </c>
      <c r="AL620" s="551">
        <v>14620.247499999939</v>
      </c>
      <c r="AM620" s="400"/>
      <c r="AN620" s="550">
        <v>67640.709999999031</v>
      </c>
      <c r="AO620" s="551">
        <v>-356356.84138603322</v>
      </c>
      <c r="AP620" s="551">
        <v>-423997.55138603225</v>
      </c>
      <c r="AQ620" s="499">
        <v>-6.2683781909746115</v>
      </c>
      <c r="AR620" s="551">
        <v>-356356.84138603322</v>
      </c>
      <c r="AS620" s="551">
        <v>0</v>
      </c>
      <c r="AT620" s="529">
        <v>0</v>
      </c>
      <c r="AU620" s="507"/>
      <c r="AV620" s="551">
        <v>169087.70315233467</v>
      </c>
      <c r="AW620" s="551">
        <v>53501.675387854084</v>
      </c>
      <c r="AX620" s="551">
        <v>-23843.848962294542</v>
      </c>
      <c r="AY620" s="551">
        <v>-263563.34896229452</v>
      </c>
      <c r="AZ620" s="551">
        <v>-19839.848962294542</v>
      </c>
      <c r="BA620" s="551">
        <v>18068.045664746991</v>
      </c>
      <c r="BB620" s="551">
        <v>-82422.064335253002</v>
      </c>
      <c r="BC620" s="551">
        <v>22072.045664746991</v>
      </c>
      <c r="BD620" s="551">
        <v>63068.045664746991</v>
      </c>
      <c r="BE620" s="551">
        <v>-28651.454335252893</v>
      </c>
      <c r="BF620" s="551">
        <v>18068.045664746991</v>
      </c>
      <c r="BG620" s="551">
        <v>-281901.83702781925</v>
      </c>
      <c r="BH620" s="508"/>
      <c r="BI620" s="551">
        <v>169087.70315233467</v>
      </c>
      <c r="BJ620" s="551">
        <v>53501.675387854084</v>
      </c>
      <c r="BK620" s="551">
        <v>-23843.848962294542</v>
      </c>
      <c r="BL620" s="780">
        <v>-263563.34896229452</v>
      </c>
      <c r="BM620" s="551">
        <v>-19839.848962294542</v>
      </c>
      <c r="BN620" s="551">
        <v>18068.045664746991</v>
      </c>
      <c r="BO620" s="551">
        <v>-82422.064335253002</v>
      </c>
      <c r="BP620" s="551">
        <v>22072.045664746991</v>
      </c>
      <c r="BQ620" s="551">
        <v>63068.045664746991</v>
      </c>
      <c r="BR620" s="551">
        <v>-28651.454335252893</v>
      </c>
      <c r="BS620" s="551">
        <v>18068.045664746991</v>
      </c>
      <c r="BT620" s="551">
        <v>-281901.83702781925</v>
      </c>
    </row>
    <row r="621" spans="1:72" ht="9" hidden="1" customHeight="1" x14ac:dyDescent="0.25">
      <c r="A621" s="502"/>
      <c r="B621" s="502"/>
      <c r="C621" s="538"/>
      <c r="D621" s="500"/>
      <c r="E621" s="449"/>
      <c r="F621" s="449"/>
      <c r="G621" s="421"/>
      <c r="H621" s="449"/>
      <c r="I621" s="449"/>
      <c r="J621" s="426"/>
      <c r="K621" s="421"/>
      <c r="L621" s="449"/>
      <c r="M621" s="449"/>
      <c r="N621" s="449"/>
      <c r="O621" s="449"/>
      <c r="P621" s="449"/>
      <c r="Q621" s="449"/>
      <c r="R621" s="449"/>
      <c r="S621" s="449"/>
      <c r="T621" s="449"/>
      <c r="U621" s="449"/>
      <c r="V621" s="449"/>
      <c r="W621" s="449"/>
      <c r="X621" s="449"/>
      <c r="Y621" s="449"/>
      <c r="Z621" s="531"/>
      <c r="AA621" s="449"/>
      <c r="AB621" s="449"/>
      <c r="AC621" s="449"/>
      <c r="AD621" s="449"/>
      <c r="AE621" s="449"/>
      <c r="AF621" s="449"/>
      <c r="AG621" s="449"/>
      <c r="AH621" s="449"/>
      <c r="AI621" s="449"/>
      <c r="AJ621" s="449"/>
      <c r="AK621" s="449"/>
      <c r="AL621" s="449"/>
      <c r="AM621" s="400"/>
      <c r="AN621" s="500"/>
      <c r="AO621" s="449"/>
      <c r="AP621" s="449"/>
      <c r="AQ621" s="453"/>
      <c r="AR621" s="449"/>
      <c r="AS621" s="449"/>
      <c r="AT621" s="426"/>
      <c r="AU621" s="421"/>
      <c r="AV621" s="449"/>
      <c r="AW621" s="449"/>
      <c r="AX621" s="449"/>
      <c r="AY621" s="449"/>
      <c r="AZ621" s="449"/>
      <c r="BA621" s="449"/>
      <c r="BB621" s="449"/>
      <c r="BC621" s="449"/>
      <c r="BD621" s="449"/>
      <c r="BE621" s="449"/>
      <c r="BF621" s="449"/>
      <c r="BG621" s="449"/>
      <c r="BH621" s="531"/>
      <c r="BI621" s="449"/>
      <c r="BJ621" s="449"/>
      <c r="BK621" s="449"/>
      <c r="BL621" s="771"/>
      <c r="BM621" s="449"/>
      <c r="BN621" s="449"/>
      <c r="BO621" s="449"/>
      <c r="BP621" s="449"/>
      <c r="BQ621" s="449"/>
      <c r="BR621" s="449"/>
      <c r="BS621" s="449"/>
      <c r="BT621" s="449"/>
    </row>
    <row r="622" spans="1:72" hidden="1" x14ac:dyDescent="0.25">
      <c r="A622" s="524" t="s">
        <v>1022</v>
      </c>
      <c r="B622" s="502"/>
      <c r="C622" s="538"/>
      <c r="D622" s="550"/>
      <c r="E622" s="551">
        <v>2076213</v>
      </c>
      <c r="F622" s="551"/>
      <c r="G622" s="507"/>
      <c r="H622" s="551">
        <v>2076213</v>
      </c>
      <c r="I622" s="551"/>
      <c r="J622" s="529"/>
      <c r="K622" s="507"/>
      <c r="L622" s="551"/>
      <c r="M622" s="551"/>
      <c r="N622" s="551"/>
      <c r="O622" s="551"/>
      <c r="P622" s="551"/>
      <c r="Q622" s="551"/>
      <c r="R622" s="551"/>
      <c r="S622" s="551"/>
      <c r="T622" s="551"/>
      <c r="U622" s="551"/>
      <c r="V622" s="551"/>
      <c r="W622" s="551"/>
      <c r="X622" s="551"/>
      <c r="Y622" s="551"/>
      <c r="Z622" s="508"/>
      <c r="AA622" s="551"/>
      <c r="AB622" s="551"/>
      <c r="AC622" s="551"/>
      <c r="AD622" s="551"/>
      <c r="AE622" s="551"/>
      <c r="AF622" s="551"/>
      <c r="AG622" s="551"/>
      <c r="AH622" s="551"/>
      <c r="AI622" s="551"/>
      <c r="AJ622" s="551"/>
      <c r="AK622" s="551"/>
      <c r="AL622" s="551"/>
      <c r="AM622" s="400"/>
      <c r="AN622" s="550"/>
      <c r="AO622" s="551"/>
      <c r="AP622" s="551"/>
      <c r="AQ622" s="499"/>
      <c r="AR622" s="528">
        <v>2251655.9699999988</v>
      </c>
      <c r="AS622" s="551"/>
      <c r="AT622" s="529"/>
      <c r="AU622" s="507"/>
      <c r="AV622" s="551"/>
      <c r="AW622" s="551"/>
      <c r="AX622" s="551"/>
      <c r="AY622" s="551"/>
      <c r="AZ622" s="551"/>
      <c r="BA622" s="551"/>
      <c r="BB622" s="551"/>
      <c r="BC622" s="551"/>
      <c r="BD622" s="551"/>
      <c r="BE622" s="551"/>
      <c r="BF622" s="551"/>
      <c r="BG622" s="551"/>
      <c r="BH622" s="508"/>
      <c r="BI622" s="551"/>
      <c r="BJ622" s="551"/>
      <c r="BK622" s="551"/>
      <c r="BL622" s="780"/>
      <c r="BM622" s="551"/>
      <c r="BN622" s="551"/>
      <c r="BO622" s="551"/>
      <c r="BP622" s="551"/>
      <c r="BQ622" s="551"/>
      <c r="BR622" s="551"/>
      <c r="BS622" s="551"/>
      <c r="BT622" s="551"/>
    </row>
    <row r="623" spans="1:72" ht="7.5" hidden="1" customHeight="1" x14ac:dyDescent="0.25">
      <c r="A623" s="502"/>
      <c r="B623" s="502"/>
      <c r="C623" s="538"/>
      <c r="D623" s="500"/>
      <c r="E623" s="449"/>
      <c r="F623" s="449"/>
      <c r="G623" s="421"/>
      <c r="H623" s="449"/>
      <c r="I623" s="449"/>
      <c r="J623" s="426"/>
      <c r="K623" s="421"/>
      <c r="L623" s="449"/>
      <c r="M623" s="449"/>
      <c r="N623" s="449"/>
      <c r="O623" s="449"/>
      <c r="P623" s="449"/>
      <c r="Q623" s="449"/>
      <c r="R623" s="449"/>
      <c r="S623" s="449"/>
      <c r="T623" s="449"/>
      <c r="U623" s="449"/>
      <c r="V623" s="449"/>
      <c r="W623" s="449"/>
      <c r="X623" s="449"/>
      <c r="Y623" s="449"/>
      <c r="Z623" s="531"/>
      <c r="AA623" s="449"/>
      <c r="AB623" s="449"/>
      <c r="AC623" s="449"/>
      <c r="AD623" s="449"/>
      <c r="AE623" s="449"/>
      <c r="AF623" s="449"/>
      <c r="AG623" s="449"/>
      <c r="AH623" s="449"/>
      <c r="AI623" s="449"/>
      <c r="AJ623" s="449"/>
      <c r="AK623" s="449"/>
      <c r="AL623" s="449"/>
      <c r="AM623" s="400"/>
      <c r="AN623" s="500"/>
      <c r="AO623" s="449"/>
      <c r="AP623" s="449"/>
      <c r="AQ623" s="453"/>
      <c r="AR623" s="449"/>
      <c r="AS623" s="449"/>
      <c r="AT623" s="426"/>
      <c r="AU623" s="421"/>
      <c r="AV623" s="449"/>
      <c r="AW623" s="449"/>
      <c r="AX623" s="449"/>
      <c r="AY623" s="449"/>
      <c r="AZ623" s="449"/>
      <c r="BA623" s="449"/>
      <c r="BB623" s="449"/>
      <c r="BC623" s="449"/>
      <c r="BD623" s="449"/>
      <c r="BE623" s="449"/>
      <c r="BF623" s="449"/>
      <c r="BG623" s="449"/>
      <c r="BH623" s="531"/>
      <c r="BI623" s="449"/>
      <c r="BJ623" s="449"/>
      <c r="BK623" s="449"/>
      <c r="BL623" s="771"/>
      <c r="BM623" s="449"/>
      <c r="BN623" s="449"/>
      <c r="BO623" s="449"/>
      <c r="BP623" s="449"/>
      <c r="BQ623" s="449"/>
      <c r="BR623" s="449"/>
      <c r="BS623" s="449"/>
      <c r="BT623" s="449"/>
    </row>
    <row r="624" spans="1:72" ht="15.75" hidden="1" thickBot="1" x14ac:dyDescent="0.3">
      <c r="A624" s="524" t="s">
        <v>1023</v>
      </c>
      <c r="B624" s="502"/>
      <c r="C624" s="538"/>
      <c r="D624" s="550"/>
      <c r="E624" s="533">
        <v>2102176.682426</v>
      </c>
      <c r="F624" s="551"/>
      <c r="G624" s="507"/>
      <c r="H624" s="533">
        <v>2251655.9699999988</v>
      </c>
      <c r="I624" s="551"/>
      <c r="J624" s="529"/>
      <c r="K624" s="507"/>
      <c r="L624" s="551"/>
      <c r="M624" s="551"/>
      <c r="N624" s="551"/>
      <c r="O624" s="551"/>
      <c r="P624" s="551"/>
      <c r="Q624" s="551"/>
      <c r="R624" s="551"/>
      <c r="S624" s="551"/>
      <c r="T624" s="551"/>
      <c r="U624" s="551"/>
      <c r="V624" s="551"/>
      <c r="W624" s="551"/>
      <c r="X624" s="551"/>
      <c r="Y624" s="551"/>
      <c r="Z624" s="508"/>
      <c r="AA624" s="551"/>
      <c r="AB624" s="551"/>
      <c r="AC624" s="551"/>
      <c r="AD624" s="551"/>
      <c r="AE624" s="551"/>
      <c r="AF624" s="551"/>
      <c r="AG624" s="551"/>
      <c r="AH624" s="551"/>
      <c r="AI624" s="551"/>
      <c r="AJ624" s="551"/>
      <c r="AK624" s="551"/>
      <c r="AL624" s="551"/>
      <c r="AM624" s="400"/>
      <c r="AN624" s="550"/>
      <c r="AO624" s="551"/>
      <c r="AP624" s="551"/>
      <c r="AQ624" s="499"/>
      <c r="AR624" s="533">
        <v>1895299.1286139656</v>
      </c>
      <c r="AS624" s="551"/>
      <c r="AT624" s="529"/>
      <c r="AU624" s="507"/>
      <c r="AV624" s="551"/>
      <c r="AW624" s="551"/>
      <c r="AX624" s="551"/>
      <c r="AY624" s="551"/>
      <c r="AZ624" s="551"/>
      <c r="BA624" s="551"/>
      <c r="BB624" s="551"/>
      <c r="BC624" s="551"/>
      <c r="BD624" s="551"/>
      <c r="BE624" s="551"/>
      <c r="BF624" s="551"/>
      <c r="BG624" s="551"/>
      <c r="BH624" s="508"/>
      <c r="BI624" s="551"/>
      <c r="BJ624" s="551"/>
      <c r="BK624" s="551"/>
      <c r="BL624" s="780"/>
      <c r="BM624" s="551"/>
      <c r="BN624" s="551"/>
      <c r="BO624" s="551"/>
      <c r="BP624" s="551"/>
      <c r="BQ624" s="551"/>
      <c r="BR624" s="551"/>
      <c r="BS624" s="551"/>
      <c r="BT624" s="551"/>
    </row>
    <row r="625" spans="1:72" hidden="1" x14ac:dyDescent="0.25">
      <c r="A625" s="502"/>
      <c r="B625" s="502"/>
      <c r="C625" s="538"/>
      <c r="D625" s="500"/>
      <c r="E625" s="449"/>
      <c r="F625" s="449"/>
      <c r="G625" s="421"/>
      <c r="H625" s="449"/>
      <c r="I625" s="449"/>
      <c r="J625" s="426"/>
      <c r="K625" s="421"/>
      <c r="L625" s="449"/>
      <c r="M625" s="449"/>
      <c r="N625" s="449"/>
      <c r="O625" s="449"/>
      <c r="P625" s="449"/>
      <c r="Q625" s="449"/>
      <c r="R625" s="449"/>
      <c r="S625" s="449"/>
      <c r="T625" s="449"/>
      <c r="U625" s="449"/>
      <c r="V625" s="449"/>
      <c r="W625" s="449"/>
      <c r="X625" s="449"/>
      <c r="Y625" s="449"/>
      <c r="Z625" s="531"/>
      <c r="AA625" s="449"/>
      <c r="AB625" s="449"/>
      <c r="AC625" s="449"/>
      <c r="AD625" s="449"/>
      <c r="AE625" s="449"/>
      <c r="AF625" s="449"/>
      <c r="AG625" s="449"/>
      <c r="AH625" s="449"/>
      <c r="AI625" s="449"/>
      <c r="AJ625" s="449"/>
      <c r="AK625" s="449"/>
      <c r="AL625" s="449"/>
      <c r="AM625" s="400"/>
      <c r="AN625" s="500"/>
      <c r="AO625" s="449"/>
      <c r="AP625" s="449"/>
      <c r="AQ625" s="453"/>
      <c r="AR625" s="449"/>
      <c r="AS625" s="449"/>
      <c r="AT625" s="426"/>
      <c r="AU625" s="421"/>
      <c r="AV625" s="449"/>
      <c r="AW625" s="449"/>
      <c r="AX625" s="449"/>
      <c r="AY625" s="449"/>
      <c r="AZ625" s="449"/>
      <c r="BA625" s="449"/>
      <c r="BB625" s="449"/>
      <c r="BC625" s="449"/>
      <c r="BD625" s="449"/>
      <c r="BE625" s="449"/>
      <c r="BF625" s="449"/>
      <c r="BG625" s="449"/>
      <c r="BH625" s="531"/>
      <c r="BI625" s="449"/>
      <c r="BJ625" s="449"/>
      <c r="BK625" s="449"/>
      <c r="BL625" s="771"/>
      <c r="BM625" s="449"/>
      <c r="BN625" s="449"/>
      <c r="BO625" s="449"/>
      <c r="BP625" s="449"/>
      <c r="BQ625" s="449"/>
      <c r="BR625" s="449"/>
      <c r="BS625" s="449"/>
      <c r="BT625" s="449"/>
    </row>
    <row r="626" spans="1:72" x14ac:dyDescent="0.25">
      <c r="A626" s="502"/>
      <c r="B626" s="502"/>
      <c r="C626" s="538"/>
      <c r="D626" s="500"/>
      <c r="E626" s="449"/>
      <c r="F626" s="449"/>
      <c r="G626" s="421"/>
      <c r="H626" s="449"/>
      <c r="I626" s="449"/>
      <c r="J626" s="426"/>
      <c r="K626" s="421"/>
      <c r="L626" s="449"/>
      <c r="M626" s="449"/>
      <c r="N626" s="449"/>
      <c r="O626" s="449"/>
      <c r="P626" s="449"/>
      <c r="Q626" s="449"/>
      <c r="R626" s="449"/>
      <c r="S626" s="449"/>
      <c r="T626" s="449"/>
      <c r="U626" s="449"/>
      <c r="V626" s="449"/>
      <c r="W626" s="449"/>
      <c r="X626" s="449"/>
      <c r="Y626" s="449"/>
      <c r="Z626" s="531"/>
      <c r="AA626" s="449"/>
      <c r="AB626" s="449"/>
      <c r="AC626" s="449"/>
      <c r="AD626" s="449"/>
      <c r="AE626" s="449"/>
      <c r="AF626" s="449"/>
      <c r="AG626" s="449"/>
      <c r="AH626" s="449"/>
      <c r="AI626" s="449"/>
      <c r="AJ626" s="449"/>
      <c r="AK626" s="449"/>
      <c r="AL626" s="449"/>
      <c r="AM626" s="400"/>
      <c r="AN626" s="500"/>
      <c r="AO626" s="449"/>
      <c r="AP626" s="449"/>
      <c r="AQ626" s="453"/>
      <c r="AR626" s="449"/>
      <c r="AS626" s="449"/>
      <c r="AT626" s="426"/>
      <c r="AU626" s="421"/>
      <c r="AV626" s="449"/>
      <c r="AW626" s="449"/>
      <c r="AX626" s="449"/>
      <c r="AY626" s="449"/>
      <c r="AZ626" s="449"/>
      <c r="BA626" s="449"/>
      <c r="BB626" s="449"/>
      <c r="BC626" s="449"/>
      <c r="BD626" s="449"/>
      <c r="BE626" s="449"/>
      <c r="BF626" s="449"/>
      <c r="BG626" s="449"/>
      <c r="BH626" s="531"/>
      <c r="BI626" s="449"/>
      <c r="BJ626" s="449"/>
      <c r="BK626" s="449"/>
      <c r="BL626" s="771"/>
      <c r="BM626" s="449"/>
      <c r="BN626" s="449"/>
      <c r="BO626" s="449"/>
      <c r="BP626" s="449"/>
      <c r="BQ626" s="449"/>
      <c r="BR626" s="449"/>
      <c r="BS626" s="449"/>
      <c r="BT626" s="449"/>
    </row>
    <row r="627" spans="1:72" ht="18.75" x14ac:dyDescent="0.25">
      <c r="A627" s="502"/>
      <c r="B627" s="552" t="s">
        <v>1024</v>
      </c>
      <c r="C627" s="538"/>
      <c r="D627" s="500"/>
      <c r="E627" s="449"/>
      <c r="F627" s="449"/>
      <c r="G627" s="421"/>
      <c r="H627" s="449"/>
      <c r="I627" s="449"/>
      <c r="J627" s="426"/>
      <c r="K627" s="421"/>
      <c r="L627" s="449"/>
      <c r="M627" s="449"/>
      <c r="N627" s="449"/>
      <c r="O627" s="449"/>
      <c r="P627" s="449"/>
      <c r="Q627" s="449"/>
      <c r="R627" s="449"/>
      <c r="S627" s="449"/>
      <c r="T627" s="449"/>
      <c r="U627" s="449"/>
      <c r="V627" s="449"/>
      <c r="W627" s="449"/>
      <c r="X627" s="449"/>
      <c r="Y627" s="449"/>
      <c r="Z627" s="531"/>
      <c r="AA627" s="449"/>
      <c r="AB627" s="449"/>
      <c r="AC627" s="449"/>
      <c r="AD627" s="449"/>
      <c r="AE627" s="449"/>
      <c r="AF627" s="449"/>
      <c r="AG627" s="449"/>
      <c r="AH627" s="449"/>
      <c r="AI627" s="449"/>
      <c r="AJ627" s="449"/>
      <c r="AK627" s="449"/>
      <c r="AL627" s="449"/>
      <c r="AM627" s="400"/>
      <c r="AN627" s="500"/>
      <c r="AO627" s="449"/>
      <c r="AP627" s="449"/>
      <c r="AQ627" s="453"/>
      <c r="AR627" s="449"/>
      <c r="AS627" s="449"/>
      <c r="AT627" s="426"/>
      <c r="AU627" s="421"/>
      <c r="AV627" s="449"/>
      <c r="AW627" s="449"/>
      <c r="AX627" s="449"/>
      <c r="AY627" s="449"/>
      <c r="AZ627" s="449"/>
      <c r="BA627" s="449"/>
      <c r="BB627" s="449"/>
      <c r="BC627" s="449"/>
      <c r="BD627" s="449"/>
      <c r="BE627" s="449"/>
      <c r="BF627" s="449"/>
      <c r="BG627" s="449"/>
      <c r="BH627" s="531"/>
      <c r="BI627" s="449"/>
      <c r="BJ627" s="449"/>
      <c r="BK627" s="449"/>
      <c r="BL627" s="771"/>
      <c r="BM627" s="449"/>
      <c r="BN627" s="449"/>
      <c r="BO627" s="449"/>
      <c r="BP627" s="449"/>
      <c r="BQ627" s="449"/>
      <c r="BR627" s="449"/>
      <c r="BS627" s="449"/>
      <c r="BT627" s="449"/>
    </row>
    <row r="628" spans="1:72" ht="6.75" customHeight="1" x14ac:dyDescent="0.25">
      <c r="A628" s="502"/>
      <c r="B628" s="502"/>
      <c r="C628" s="538"/>
      <c r="D628" s="500"/>
      <c r="E628" s="449"/>
      <c r="F628" s="449"/>
      <c r="G628" s="421"/>
      <c r="H628" s="449"/>
      <c r="I628" s="449"/>
      <c r="J628" s="426"/>
      <c r="K628" s="421"/>
      <c r="L628" s="449"/>
      <c r="M628" s="449"/>
      <c r="N628" s="449"/>
      <c r="O628" s="449"/>
      <c r="P628" s="449"/>
      <c r="Q628" s="449"/>
      <c r="R628" s="449"/>
      <c r="S628" s="449"/>
      <c r="T628" s="449"/>
      <c r="U628" s="449"/>
      <c r="V628" s="449"/>
      <c r="W628" s="449"/>
      <c r="X628" s="449"/>
      <c r="Y628" s="449"/>
      <c r="Z628" s="531"/>
      <c r="AA628" s="449"/>
      <c r="AB628" s="449"/>
      <c r="AC628" s="449"/>
      <c r="AD628" s="449"/>
      <c r="AE628" s="449"/>
      <c r="AF628" s="449"/>
      <c r="AG628" s="449"/>
      <c r="AH628" s="449"/>
      <c r="AI628" s="449"/>
      <c r="AJ628" s="449"/>
      <c r="AK628" s="449"/>
      <c r="AL628" s="449"/>
      <c r="AM628" s="400"/>
      <c r="AN628" s="500"/>
      <c r="AO628" s="449"/>
      <c r="AP628" s="449"/>
      <c r="AQ628" s="453"/>
      <c r="AR628" s="449"/>
      <c r="AS628" s="449"/>
      <c r="AT628" s="426"/>
      <c r="AU628" s="421"/>
      <c r="AV628" s="449"/>
      <c r="AW628" s="449"/>
      <c r="AX628" s="449"/>
      <c r="AY628" s="449"/>
      <c r="AZ628" s="449"/>
      <c r="BA628" s="449"/>
      <c r="BB628" s="449"/>
      <c r="BC628" s="449"/>
      <c r="BD628" s="449"/>
      <c r="BE628" s="449"/>
      <c r="BF628" s="449"/>
      <c r="BG628" s="449"/>
      <c r="BH628" s="531"/>
      <c r="BI628" s="449"/>
      <c r="BJ628" s="449"/>
      <c r="BK628" s="449"/>
      <c r="BL628" s="771"/>
      <c r="BM628" s="449"/>
      <c r="BN628" s="449"/>
      <c r="BO628" s="449"/>
      <c r="BP628" s="449"/>
      <c r="BQ628" s="449"/>
      <c r="BR628" s="449"/>
      <c r="BS628" s="449"/>
      <c r="BT628" s="449"/>
    </row>
    <row r="629" spans="1:72" s="536" customFormat="1" x14ac:dyDescent="0.25">
      <c r="A629" s="524"/>
      <c r="B629" s="524" t="s">
        <v>1025</v>
      </c>
      <c r="C629" s="535"/>
      <c r="D629" s="527"/>
      <c r="E629" s="528"/>
      <c r="F629" s="528"/>
      <c r="G629" s="507"/>
      <c r="H629" s="528"/>
      <c r="I629" s="528"/>
      <c r="J629" s="529"/>
      <c r="K629" s="507"/>
      <c r="L629" s="528"/>
      <c r="M629" s="528"/>
      <c r="N629" s="528"/>
      <c r="O629" s="528"/>
      <c r="P629" s="528"/>
      <c r="Q629" s="528"/>
      <c r="R629" s="528"/>
      <c r="S629" s="528"/>
      <c r="T629" s="528"/>
      <c r="U629" s="528"/>
      <c r="V629" s="528"/>
      <c r="W629" s="528"/>
      <c r="X629" s="528"/>
      <c r="Y629" s="528"/>
      <c r="Z629" s="530"/>
      <c r="AA629" s="528"/>
      <c r="AB629" s="528"/>
      <c r="AC629" s="528"/>
      <c r="AD629" s="528"/>
      <c r="AE629" s="528"/>
      <c r="AF629" s="528"/>
      <c r="AG629" s="528"/>
      <c r="AH629" s="528"/>
      <c r="AI629" s="528"/>
      <c r="AJ629" s="528"/>
      <c r="AK629" s="528"/>
      <c r="AL629" s="528"/>
      <c r="AN629" s="527"/>
      <c r="AO629" s="528"/>
      <c r="AP629" s="528"/>
      <c r="AQ629" s="499"/>
      <c r="AR629" s="528"/>
      <c r="AS629" s="528"/>
      <c r="AT629" s="529"/>
      <c r="AU629" s="507"/>
      <c r="AV629" s="528"/>
      <c r="AW629" s="528"/>
      <c r="AX629" s="528"/>
      <c r="AY629" s="528"/>
      <c r="AZ629" s="528"/>
      <c r="BA629" s="528"/>
      <c r="BB629" s="528"/>
      <c r="BC629" s="528"/>
      <c r="BD629" s="528"/>
      <c r="BE629" s="528"/>
      <c r="BF629" s="528"/>
      <c r="BG629" s="528"/>
      <c r="BH629" s="530"/>
      <c r="BI629" s="528"/>
      <c r="BJ629" s="528"/>
      <c r="BK629" s="528"/>
      <c r="BL629" s="778"/>
      <c r="BM629" s="528"/>
      <c r="BN629" s="528"/>
      <c r="BO629" s="528"/>
      <c r="BP629" s="528"/>
      <c r="BQ629" s="528"/>
      <c r="BR629" s="528"/>
      <c r="BS629" s="528"/>
      <c r="BT629" s="528"/>
    </row>
    <row r="630" spans="1:72" s="536" customFormat="1" ht="5.25" customHeight="1" x14ac:dyDescent="0.25">
      <c r="A630" s="524"/>
      <c r="B630" s="524"/>
      <c r="C630" s="535"/>
      <c r="D630" s="527"/>
      <c r="E630" s="528"/>
      <c r="F630" s="528"/>
      <c r="G630" s="507"/>
      <c r="H630" s="528"/>
      <c r="I630" s="528"/>
      <c r="J630" s="529"/>
      <c r="K630" s="507"/>
      <c r="L630" s="528"/>
      <c r="M630" s="528"/>
      <c r="N630" s="528"/>
      <c r="O630" s="528"/>
      <c r="P630" s="528"/>
      <c r="Q630" s="528"/>
      <c r="R630" s="528"/>
      <c r="S630" s="528"/>
      <c r="T630" s="528"/>
      <c r="U630" s="528"/>
      <c r="V630" s="528"/>
      <c r="W630" s="528"/>
      <c r="X630" s="528"/>
      <c r="Y630" s="528"/>
      <c r="Z630" s="530"/>
      <c r="AA630" s="528"/>
      <c r="AB630" s="528"/>
      <c r="AC630" s="528"/>
      <c r="AD630" s="528"/>
      <c r="AE630" s="528"/>
      <c r="AF630" s="528"/>
      <c r="AG630" s="528"/>
      <c r="AH630" s="528"/>
      <c r="AI630" s="528"/>
      <c r="AJ630" s="528"/>
      <c r="AK630" s="528"/>
      <c r="AL630" s="528"/>
      <c r="AN630" s="527"/>
      <c r="AO630" s="528"/>
      <c r="AP630" s="528"/>
      <c r="AQ630" s="499"/>
      <c r="AR630" s="528"/>
      <c r="AS630" s="528"/>
      <c r="AT630" s="529"/>
      <c r="AU630" s="507"/>
      <c r="AV630" s="528"/>
      <c r="AW630" s="528"/>
      <c r="AX630" s="528"/>
      <c r="AY630" s="528"/>
      <c r="AZ630" s="528"/>
      <c r="BA630" s="528"/>
      <c r="BB630" s="528"/>
      <c r="BC630" s="528"/>
      <c r="BD630" s="528"/>
      <c r="BE630" s="528"/>
      <c r="BF630" s="528"/>
      <c r="BG630" s="528"/>
      <c r="BH630" s="530"/>
      <c r="BI630" s="528"/>
      <c r="BJ630" s="528"/>
      <c r="BK630" s="528"/>
      <c r="BL630" s="778"/>
      <c r="BM630" s="528"/>
      <c r="BN630" s="528"/>
      <c r="BO630" s="528"/>
      <c r="BP630" s="528"/>
      <c r="BQ630" s="528"/>
      <c r="BR630" s="528"/>
      <c r="BS630" s="528"/>
      <c r="BT630" s="528"/>
    </row>
    <row r="631" spans="1:72" x14ac:dyDescent="0.25">
      <c r="A631" s="502" t="s">
        <v>1026</v>
      </c>
      <c r="B631" s="502" t="s">
        <v>972</v>
      </c>
      <c r="C631" s="400"/>
      <c r="D631" s="500">
        <v>27891.46</v>
      </c>
      <c r="E631" s="449">
        <v>20000</v>
      </c>
      <c r="F631" s="449">
        <v>7891.4599999999991</v>
      </c>
      <c r="G631" s="421">
        <v>0.39457299999999995</v>
      </c>
      <c r="H631" s="449">
        <v>20000</v>
      </c>
      <c r="I631" s="449">
        <v>7891.4599999999991</v>
      </c>
      <c r="J631" s="426">
        <v>0.39457299999999995</v>
      </c>
      <c r="K631" s="421"/>
      <c r="L631" s="449">
        <v>6153.82</v>
      </c>
      <c r="M631" s="449">
        <v>3580.58</v>
      </c>
      <c r="N631" s="449">
        <v>2681.8099999999995</v>
      </c>
      <c r="O631" s="449">
        <v>8361.6000000000022</v>
      </c>
      <c r="P631" s="449">
        <v>2574.8199999999997</v>
      </c>
      <c r="Q631" s="449">
        <v>4538.8299999999981</v>
      </c>
      <c r="R631" s="449">
        <v>0</v>
      </c>
      <c r="S631" s="449">
        <v>0</v>
      </c>
      <c r="T631" s="449">
        <v>0</v>
      </c>
      <c r="U631" s="449">
        <v>0</v>
      </c>
      <c r="V631" s="449">
        <v>0</v>
      </c>
      <c r="W631" s="449">
        <v>0</v>
      </c>
      <c r="X631" s="449"/>
      <c r="Y631" s="449">
        <v>27891.46</v>
      </c>
      <c r="Z631" s="501"/>
      <c r="AA631" s="449">
        <v>1666.6666666666667</v>
      </c>
      <c r="AB631" s="449">
        <v>1666.6666666666667</v>
      </c>
      <c r="AC631" s="449">
        <v>1666.6666666666667</v>
      </c>
      <c r="AD631" s="449">
        <v>1666.6666666666667</v>
      </c>
      <c r="AE631" s="449">
        <v>1666.6666666666667</v>
      </c>
      <c r="AF631" s="449">
        <v>1666.6666666666667</v>
      </c>
      <c r="AG631" s="449">
        <v>1666.6666666666667</v>
      </c>
      <c r="AH631" s="449">
        <v>1666.6666666666667</v>
      </c>
      <c r="AI631" s="449">
        <v>1666.6666666666667</v>
      </c>
      <c r="AJ631" s="449">
        <v>1666.6666666666667</v>
      </c>
      <c r="AK631" s="449">
        <v>1666.6666666666667</v>
      </c>
      <c r="AL631" s="449">
        <v>1666.6666666666667</v>
      </c>
      <c r="AM631" s="400"/>
      <c r="AN631" s="500">
        <v>27891.46</v>
      </c>
      <c r="AO631" s="449">
        <v>27891.460000000003</v>
      </c>
      <c r="AP631" s="449">
        <v>3.637978807091713E-12</v>
      </c>
      <c r="AQ631" s="453">
        <v>1.3043343041532115E-16</v>
      </c>
      <c r="AR631" s="449">
        <v>27891.460000000003</v>
      </c>
      <c r="AS631" s="449">
        <v>0</v>
      </c>
      <c r="AT631" s="426">
        <v>0</v>
      </c>
      <c r="AU631" s="421"/>
      <c r="AV631" s="449">
        <v>2324.2883333333334</v>
      </c>
      <c r="AW631" s="449">
        <v>2324.2883333333334</v>
      </c>
      <c r="AX631" s="449">
        <v>2324.2883333333334</v>
      </c>
      <c r="AY631" s="449">
        <v>2324.2883333333334</v>
      </c>
      <c r="AZ631" s="449">
        <v>2324.2883333333334</v>
      </c>
      <c r="BA631" s="449">
        <v>2324.2883333333334</v>
      </c>
      <c r="BB631" s="449">
        <v>2324.2883333333334</v>
      </c>
      <c r="BC631" s="449">
        <v>2324.2883333333334</v>
      </c>
      <c r="BD631" s="449">
        <v>2324.2883333333334</v>
      </c>
      <c r="BE631" s="449">
        <v>2324.2883333333334</v>
      </c>
      <c r="BF631" s="449">
        <v>2324.2883333333334</v>
      </c>
      <c r="BG631" s="449">
        <v>2324.2883333333334</v>
      </c>
      <c r="BH631" s="400"/>
      <c r="BI631" s="449">
        <v>2324.2883333333334</v>
      </c>
      <c r="BJ631" s="449">
        <v>2324.2883333333334</v>
      </c>
      <c r="BK631" s="449">
        <v>2324.2883333333334</v>
      </c>
      <c r="BL631" s="771">
        <v>2324.2883333333334</v>
      </c>
      <c r="BM631" s="449">
        <v>2324.2883333333334</v>
      </c>
      <c r="BN631" s="449">
        <v>2324.2883333333334</v>
      </c>
      <c r="BO631" s="449">
        <v>2324.2883333333334</v>
      </c>
      <c r="BP631" s="449">
        <v>2324.2883333333334</v>
      </c>
      <c r="BQ631" s="449">
        <v>2324.2883333333334</v>
      </c>
      <c r="BR631" s="449">
        <v>2324.2883333333334</v>
      </c>
      <c r="BS631" s="449">
        <v>2324.2883333333334</v>
      </c>
      <c r="BT631" s="449">
        <v>2324.2883333333334</v>
      </c>
    </row>
    <row r="632" spans="1:72" x14ac:dyDescent="0.25">
      <c r="A632" s="502" t="s">
        <v>1027</v>
      </c>
      <c r="B632" s="502" t="s">
        <v>1028</v>
      </c>
      <c r="C632" s="400"/>
      <c r="D632" s="500">
        <v>1311098</v>
      </c>
      <c r="E632" s="449">
        <v>1415585.63</v>
      </c>
      <c r="F632" s="449">
        <v>-104487.62999999989</v>
      </c>
      <c r="G632" s="421">
        <v>-7.3812299154237593E-2</v>
      </c>
      <c r="H632" s="449">
        <v>1311098</v>
      </c>
      <c r="I632" s="449">
        <v>0</v>
      </c>
      <c r="J632" s="426">
        <v>0</v>
      </c>
      <c r="K632" s="421"/>
      <c r="L632" s="449">
        <v>77038.23</v>
      </c>
      <c r="M632" s="449">
        <v>77038.23</v>
      </c>
      <c r="N632" s="449">
        <v>77038.23000000001</v>
      </c>
      <c r="O632" s="449">
        <v>77038.229999999981</v>
      </c>
      <c r="P632" s="449">
        <v>77038.23000000004</v>
      </c>
      <c r="Q632" s="449">
        <v>140080.16999999993</v>
      </c>
      <c r="R632" s="449">
        <v>130971.11333333334</v>
      </c>
      <c r="S632" s="449">
        <v>130971.11333333333</v>
      </c>
      <c r="T632" s="449">
        <v>130971.11333333334</v>
      </c>
      <c r="U632" s="449">
        <v>130971.11333333336</v>
      </c>
      <c r="V632" s="449">
        <v>130971.1133333334</v>
      </c>
      <c r="W632" s="449">
        <v>130971.11333333328</v>
      </c>
      <c r="X632" s="449"/>
      <c r="Y632" s="449">
        <v>1311098</v>
      </c>
      <c r="Z632" s="501"/>
      <c r="AA632" s="449">
        <v>109258.16666666667</v>
      </c>
      <c r="AB632" s="449">
        <v>109258.16666666667</v>
      </c>
      <c r="AC632" s="449">
        <v>109258.16666666667</v>
      </c>
      <c r="AD632" s="449">
        <v>109258.16666666667</v>
      </c>
      <c r="AE632" s="449">
        <v>109258.16666666667</v>
      </c>
      <c r="AF632" s="449">
        <v>109258.16666666667</v>
      </c>
      <c r="AG632" s="449">
        <v>109258.16666666667</v>
      </c>
      <c r="AH632" s="449">
        <v>109258.16666666667</v>
      </c>
      <c r="AI632" s="449">
        <v>109258.16666666667</v>
      </c>
      <c r="AJ632" s="449">
        <v>109258.16666666667</v>
      </c>
      <c r="AK632" s="449">
        <v>109258.16666666667</v>
      </c>
      <c r="AL632" s="449">
        <v>109258.16666666667</v>
      </c>
      <c r="AM632" s="400"/>
      <c r="AN632" s="500">
        <v>1311098</v>
      </c>
      <c r="AO632" s="449">
        <v>1763199.5000000002</v>
      </c>
      <c r="AP632" s="449">
        <v>452101.50000000023</v>
      </c>
      <c r="AQ632" s="453">
        <v>0.34482662623236421</v>
      </c>
      <c r="AR632" s="449">
        <v>1763199.5000000002</v>
      </c>
      <c r="AS632" s="449">
        <v>0</v>
      </c>
      <c r="AT632" s="426">
        <v>0</v>
      </c>
      <c r="AU632" s="421"/>
      <c r="AV632" s="449">
        <v>146933.29166666666</v>
      </c>
      <c r="AW632" s="449">
        <v>146933.29166666666</v>
      </c>
      <c r="AX632" s="449">
        <v>146933.29166666666</v>
      </c>
      <c r="AY632" s="449">
        <v>146933.29166666666</v>
      </c>
      <c r="AZ632" s="449">
        <v>146933.29166666666</v>
      </c>
      <c r="BA632" s="449">
        <v>146933.29166666666</v>
      </c>
      <c r="BB632" s="449">
        <v>146933.29166666666</v>
      </c>
      <c r="BC632" s="449">
        <v>146933.29166666666</v>
      </c>
      <c r="BD632" s="449">
        <v>146933.29166666666</v>
      </c>
      <c r="BE632" s="449">
        <v>146933.29166666666</v>
      </c>
      <c r="BF632" s="449">
        <v>146933.29166666666</v>
      </c>
      <c r="BG632" s="449">
        <v>146933.29166666666</v>
      </c>
      <c r="BH632" s="400"/>
      <c r="BI632" s="449">
        <v>146933.29166666666</v>
      </c>
      <c r="BJ632" s="449">
        <v>146933.29166666666</v>
      </c>
      <c r="BK632" s="449">
        <v>146933.29166666666</v>
      </c>
      <c r="BL632" s="771">
        <v>146933.29166666666</v>
      </c>
      <c r="BM632" s="449">
        <v>146933.29166666666</v>
      </c>
      <c r="BN632" s="449">
        <v>146933.29166666666</v>
      </c>
      <c r="BO632" s="449">
        <v>146933.29166666666</v>
      </c>
      <c r="BP632" s="449">
        <v>146933.29166666666</v>
      </c>
      <c r="BQ632" s="449">
        <v>146933.29166666666</v>
      </c>
      <c r="BR632" s="449">
        <v>146933.29166666666</v>
      </c>
      <c r="BS632" s="449">
        <v>146933.29166666666</v>
      </c>
      <c r="BT632" s="449">
        <v>146933.29166666666</v>
      </c>
    </row>
    <row r="633" spans="1:72" ht="6.75" customHeight="1" x14ac:dyDescent="0.25">
      <c r="A633" s="587"/>
      <c r="B633" s="502"/>
      <c r="C633" s="400"/>
      <c r="D633" s="500"/>
      <c r="E633" s="449"/>
      <c r="F633" s="449"/>
      <c r="G633" s="421"/>
      <c r="H633" s="449"/>
      <c r="I633" s="449"/>
      <c r="J633" s="426"/>
      <c r="K633" s="421"/>
      <c r="L633" s="449"/>
      <c r="M633" s="449"/>
      <c r="N633" s="449"/>
      <c r="O633" s="449"/>
      <c r="P633" s="449"/>
      <c r="Q633" s="449"/>
      <c r="R633" s="449"/>
      <c r="S633" s="449"/>
      <c r="T633" s="449"/>
      <c r="U633" s="449"/>
      <c r="V633" s="449"/>
      <c r="W633" s="449"/>
      <c r="X633" s="449"/>
      <c r="Y633" s="449"/>
      <c r="Z633" s="501"/>
      <c r="AA633" s="449"/>
      <c r="AB633" s="449"/>
      <c r="AC633" s="449"/>
      <c r="AD633" s="449"/>
      <c r="AE633" s="449"/>
      <c r="AF633" s="449"/>
      <c r="AG633" s="449"/>
      <c r="AH633" s="449"/>
      <c r="AI633" s="449"/>
      <c r="AJ633" s="449"/>
      <c r="AK633" s="449"/>
      <c r="AL633" s="449"/>
      <c r="AM633" s="400"/>
      <c r="AN633" s="500"/>
      <c r="AO633" s="449"/>
      <c r="AP633" s="449"/>
      <c r="AQ633" s="453"/>
      <c r="AR633" s="449"/>
      <c r="AS633" s="449"/>
      <c r="AT633" s="426"/>
      <c r="AU633" s="421"/>
      <c r="AV633" s="449"/>
      <c r="AW633" s="449"/>
      <c r="AX633" s="449"/>
      <c r="AY633" s="449"/>
      <c r="AZ633" s="449"/>
      <c r="BA633" s="449"/>
      <c r="BB633" s="449"/>
      <c r="BC633" s="449"/>
      <c r="BD633" s="449"/>
      <c r="BE633" s="449"/>
      <c r="BF633" s="449"/>
      <c r="BG633" s="449"/>
      <c r="BH633" s="501"/>
      <c r="BI633" s="449"/>
      <c r="BJ633" s="449"/>
      <c r="BK633" s="449"/>
      <c r="BL633" s="771"/>
      <c r="BM633" s="449"/>
      <c r="BN633" s="449"/>
      <c r="BO633" s="449"/>
      <c r="BP633" s="449"/>
      <c r="BQ633" s="449"/>
      <c r="BR633" s="449"/>
      <c r="BS633" s="449"/>
      <c r="BT633" s="449"/>
    </row>
    <row r="634" spans="1:72" s="536" customFormat="1" ht="15.75" thickBot="1" x14ac:dyDescent="0.3">
      <c r="A634" s="526"/>
      <c r="B634" s="524" t="s">
        <v>1029</v>
      </c>
      <c r="D634" s="532">
        <v>1338989.46</v>
      </c>
      <c r="E634" s="533">
        <v>1435585.63</v>
      </c>
      <c r="F634" s="533">
        <v>-96596.169999999925</v>
      </c>
      <c r="G634" s="520">
        <v>-6.7286944074523736E-2</v>
      </c>
      <c r="H634" s="533">
        <v>1331098</v>
      </c>
      <c r="I634" s="533">
        <v>7891.4599999999627</v>
      </c>
      <c r="J634" s="521">
        <v>5.9285341875654259E-3</v>
      </c>
      <c r="K634" s="507"/>
      <c r="L634" s="533">
        <v>83192.049999999988</v>
      </c>
      <c r="M634" s="533">
        <v>80618.81</v>
      </c>
      <c r="N634" s="533">
        <v>79720.040000000008</v>
      </c>
      <c r="O634" s="533">
        <v>85399.829999999987</v>
      </c>
      <c r="P634" s="533">
        <v>79613.050000000047</v>
      </c>
      <c r="Q634" s="533">
        <v>144618.99999999991</v>
      </c>
      <c r="R634" s="533">
        <v>130971.11333333334</v>
      </c>
      <c r="S634" s="533">
        <v>130971.11333333333</v>
      </c>
      <c r="T634" s="533">
        <v>130971.11333333334</v>
      </c>
      <c r="U634" s="533">
        <v>130971.11333333336</v>
      </c>
      <c r="V634" s="533">
        <v>130971.1133333334</v>
      </c>
      <c r="W634" s="533">
        <v>130971.11333333328</v>
      </c>
      <c r="X634" s="533"/>
      <c r="Y634" s="533">
        <v>1338989.46</v>
      </c>
      <c r="Z634" s="508"/>
      <c r="AA634" s="533">
        <v>110924.83333333334</v>
      </c>
      <c r="AB634" s="533">
        <v>110924.83333333334</v>
      </c>
      <c r="AC634" s="533">
        <v>110924.83333333334</v>
      </c>
      <c r="AD634" s="533">
        <v>110924.83333333334</v>
      </c>
      <c r="AE634" s="533">
        <v>110924.83333333334</v>
      </c>
      <c r="AF634" s="533">
        <v>110924.83333333334</v>
      </c>
      <c r="AG634" s="533">
        <v>110924.83333333334</v>
      </c>
      <c r="AH634" s="533">
        <v>110924.83333333334</v>
      </c>
      <c r="AI634" s="533">
        <v>110924.83333333334</v>
      </c>
      <c r="AJ634" s="533">
        <v>110924.83333333334</v>
      </c>
      <c r="AK634" s="533">
        <v>110924.83333333334</v>
      </c>
      <c r="AL634" s="533">
        <v>110924.83333333334</v>
      </c>
      <c r="AN634" s="532">
        <v>1338989.46</v>
      </c>
      <c r="AO634" s="533">
        <v>1791090.9600000002</v>
      </c>
      <c r="AP634" s="533">
        <v>452101.50000000023</v>
      </c>
      <c r="AQ634" s="523">
        <v>0.33764380789076581</v>
      </c>
      <c r="AR634" s="533">
        <v>1791090.9600000002</v>
      </c>
      <c r="AS634" s="533">
        <v>0</v>
      </c>
      <c r="AT634" s="521">
        <v>0</v>
      </c>
      <c r="AU634" s="507"/>
      <c r="AV634" s="533">
        <v>149257.57999999999</v>
      </c>
      <c r="AW634" s="533">
        <v>149257.57999999999</v>
      </c>
      <c r="AX634" s="533">
        <v>149257.57999999999</v>
      </c>
      <c r="AY634" s="533">
        <v>149257.57999999999</v>
      </c>
      <c r="AZ634" s="533">
        <v>149257.57999999999</v>
      </c>
      <c r="BA634" s="533">
        <v>149257.57999999999</v>
      </c>
      <c r="BB634" s="533">
        <v>149257.57999999999</v>
      </c>
      <c r="BC634" s="533">
        <v>149257.57999999999</v>
      </c>
      <c r="BD634" s="533">
        <v>149257.57999999999</v>
      </c>
      <c r="BE634" s="533">
        <v>149257.57999999999</v>
      </c>
      <c r="BF634" s="533">
        <v>149257.57999999999</v>
      </c>
      <c r="BG634" s="533">
        <v>149257.57999999999</v>
      </c>
      <c r="BH634" s="508"/>
      <c r="BI634" s="533">
        <v>149257.57999999999</v>
      </c>
      <c r="BJ634" s="533">
        <v>149257.57999999999</v>
      </c>
      <c r="BK634" s="533">
        <v>149257.57999999999</v>
      </c>
      <c r="BL634" s="777">
        <v>149257.57999999999</v>
      </c>
      <c r="BM634" s="533">
        <v>149257.57999999999</v>
      </c>
      <c r="BN634" s="533">
        <v>149257.57999999999</v>
      </c>
      <c r="BO634" s="533">
        <v>149257.57999999999</v>
      </c>
      <c r="BP634" s="533">
        <v>149257.57999999999</v>
      </c>
      <c r="BQ634" s="533">
        <v>149257.57999999999</v>
      </c>
      <c r="BR634" s="533">
        <v>149257.57999999999</v>
      </c>
      <c r="BS634" s="533">
        <v>149257.57999999999</v>
      </c>
      <c r="BT634" s="533">
        <v>149257.57999999999</v>
      </c>
    </row>
    <row r="635" spans="1:72" ht="15.75" thickTop="1" x14ac:dyDescent="0.25">
      <c r="A635" s="587"/>
      <c r="B635" s="502"/>
      <c r="C635" s="400"/>
      <c r="D635" s="500"/>
      <c r="E635" s="449"/>
      <c r="F635" s="449"/>
      <c r="G635" s="421"/>
      <c r="H635" s="449"/>
      <c r="I635" s="449"/>
      <c r="J635" s="426"/>
      <c r="K635" s="421"/>
      <c r="L635" s="449"/>
      <c r="M635" s="449"/>
      <c r="N635" s="449"/>
      <c r="O635" s="449"/>
      <c r="P635" s="449"/>
      <c r="Q635" s="449"/>
      <c r="R635" s="449"/>
      <c r="S635" s="449"/>
      <c r="T635" s="449"/>
      <c r="U635" s="449"/>
      <c r="V635" s="449"/>
      <c r="W635" s="449"/>
      <c r="X635" s="449"/>
      <c r="Y635" s="449"/>
      <c r="Z635" s="501"/>
      <c r="AA635" s="449"/>
      <c r="AB635" s="449"/>
      <c r="AC635" s="449"/>
      <c r="AD635" s="449"/>
      <c r="AE635" s="449"/>
      <c r="AF635" s="449"/>
      <c r="AG635" s="449"/>
      <c r="AH635" s="449"/>
      <c r="AI635" s="449"/>
      <c r="AJ635" s="449"/>
      <c r="AK635" s="449"/>
      <c r="AL635" s="449"/>
      <c r="AM635" s="400"/>
      <c r="AN635" s="500"/>
      <c r="AO635" s="449"/>
      <c r="AP635" s="449"/>
      <c r="AQ635" s="453"/>
      <c r="AR635" s="449"/>
      <c r="AS635" s="449"/>
      <c r="AT635" s="426"/>
      <c r="AU635" s="421"/>
      <c r="AV635" s="449"/>
      <c r="AW635" s="449"/>
      <c r="AX635" s="449"/>
      <c r="AY635" s="449"/>
      <c r="AZ635" s="449"/>
      <c r="BA635" s="449"/>
      <c r="BB635" s="449"/>
      <c r="BC635" s="449"/>
      <c r="BD635" s="449"/>
      <c r="BE635" s="449"/>
      <c r="BF635" s="449"/>
      <c r="BG635" s="449"/>
      <c r="BH635" s="501"/>
      <c r="BI635" s="449"/>
      <c r="BJ635" s="449"/>
      <c r="BK635" s="449"/>
      <c r="BL635" s="771"/>
      <c r="BM635" s="449"/>
      <c r="BN635" s="449"/>
      <c r="BO635" s="449"/>
      <c r="BP635" s="449"/>
      <c r="BQ635" s="449"/>
      <c r="BR635" s="449"/>
      <c r="BS635" s="449"/>
      <c r="BT635" s="449"/>
    </row>
    <row r="636" spans="1:72" x14ac:dyDescent="0.25">
      <c r="A636" s="587"/>
      <c r="B636" s="524" t="s">
        <v>1030</v>
      </c>
      <c r="C636" s="400"/>
      <c r="D636" s="500"/>
      <c r="E636" s="449"/>
      <c r="F636" s="449"/>
      <c r="G636" s="421"/>
      <c r="H636" s="449"/>
      <c r="I636" s="449"/>
      <c r="J636" s="426"/>
      <c r="K636" s="421"/>
      <c r="L636" s="449"/>
      <c r="M636" s="449"/>
      <c r="N636" s="449"/>
      <c r="O636" s="449"/>
      <c r="P636" s="449"/>
      <c r="Q636" s="449"/>
      <c r="R636" s="449"/>
      <c r="S636" s="449"/>
      <c r="T636" s="449"/>
      <c r="U636" s="449"/>
      <c r="V636" s="449"/>
      <c r="W636" s="449"/>
      <c r="X636" s="449"/>
      <c r="Y636" s="449"/>
      <c r="Z636" s="501"/>
      <c r="AA636" s="449"/>
      <c r="AB636" s="449"/>
      <c r="AC636" s="449"/>
      <c r="AD636" s="449"/>
      <c r="AE636" s="449"/>
      <c r="AF636" s="449"/>
      <c r="AG636" s="449"/>
      <c r="AH636" s="449"/>
      <c r="AI636" s="449"/>
      <c r="AJ636" s="449"/>
      <c r="AK636" s="449"/>
      <c r="AL636" s="449"/>
      <c r="AM636" s="400"/>
      <c r="AN636" s="500"/>
      <c r="AO636" s="449"/>
      <c r="AP636" s="449"/>
      <c r="AQ636" s="453"/>
      <c r="AR636" s="449"/>
      <c r="AS636" s="449"/>
      <c r="AT636" s="426"/>
      <c r="AU636" s="421"/>
      <c r="AV636" s="449"/>
      <c r="AW636" s="449"/>
      <c r="AX636" s="449"/>
      <c r="AY636" s="449"/>
      <c r="AZ636" s="449"/>
      <c r="BA636" s="449"/>
      <c r="BB636" s="449"/>
      <c r="BC636" s="449"/>
      <c r="BD636" s="449"/>
      <c r="BE636" s="449"/>
      <c r="BF636" s="449"/>
      <c r="BG636" s="449"/>
      <c r="BH636" s="501"/>
      <c r="BI636" s="449"/>
      <c r="BJ636" s="449"/>
      <c r="BK636" s="449"/>
      <c r="BL636" s="771"/>
      <c r="BM636" s="449"/>
      <c r="BN636" s="449"/>
      <c r="BO636" s="449"/>
      <c r="BP636" s="449"/>
      <c r="BQ636" s="449"/>
      <c r="BR636" s="449"/>
      <c r="BS636" s="449"/>
      <c r="BT636" s="449"/>
    </row>
    <row r="637" spans="1:72" ht="5.25" customHeight="1" x14ac:dyDescent="0.25">
      <c r="A637" s="587"/>
      <c r="B637" s="524"/>
      <c r="C637" s="400"/>
      <c r="D637" s="500"/>
      <c r="E637" s="449"/>
      <c r="F637" s="449"/>
      <c r="G637" s="421"/>
      <c r="H637" s="449"/>
      <c r="I637" s="449"/>
      <c r="J637" s="426"/>
      <c r="K637" s="421"/>
      <c r="L637" s="449"/>
      <c r="M637" s="449"/>
      <c r="N637" s="449"/>
      <c r="O637" s="449"/>
      <c r="P637" s="449"/>
      <c r="Q637" s="449"/>
      <c r="R637" s="449"/>
      <c r="S637" s="449"/>
      <c r="T637" s="449"/>
      <c r="U637" s="449"/>
      <c r="V637" s="449"/>
      <c r="W637" s="449"/>
      <c r="X637" s="449"/>
      <c r="Y637" s="449"/>
      <c r="Z637" s="501"/>
      <c r="AA637" s="449"/>
      <c r="AB637" s="449"/>
      <c r="AC637" s="449"/>
      <c r="AD637" s="449"/>
      <c r="AE637" s="449"/>
      <c r="AF637" s="449"/>
      <c r="AG637" s="449"/>
      <c r="AH637" s="449"/>
      <c r="AI637" s="449"/>
      <c r="AJ637" s="449"/>
      <c r="AK637" s="449"/>
      <c r="AL637" s="449"/>
      <c r="AM637" s="400"/>
      <c r="AN637" s="500"/>
      <c r="AO637" s="449"/>
      <c r="AP637" s="449"/>
      <c r="AQ637" s="453"/>
      <c r="AR637" s="449"/>
      <c r="AS637" s="449"/>
      <c r="AT637" s="426"/>
      <c r="AU637" s="421"/>
      <c r="AV637" s="449"/>
      <c r="AW637" s="449"/>
      <c r="AX637" s="449"/>
      <c r="AY637" s="449"/>
      <c r="AZ637" s="449"/>
      <c r="BA637" s="449"/>
      <c r="BB637" s="449"/>
      <c r="BC637" s="449"/>
      <c r="BD637" s="449"/>
      <c r="BE637" s="449"/>
      <c r="BF637" s="449"/>
      <c r="BG637" s="449"/>
      <c r="BH637" s="501"/>
      <c r="BI637" s="449"/>
      <c r="BJ637" s="449"/>
      <c r="BK637" s="449"/>
      <c r="BL637" s="771"/>
      <c r="BM637" s="449"/>
      <c r="BN637" s="449"/>
      <c r="BO637" s="449"/>
      <c r="BP637" s="449"/>
      <c r="BQ637" s="449"/>
      <c r="BR637" s="449"/>
      <c r="BS637" s="449"/>
      <c r="BT637" s="449"/>
    </row>
    <row r="638" spans="1:72" x14ac:dyDescent="0.25">
      <c r="A638" s="502" t="s">
        <v>1031</v>
      </c>
      <c r="B638" s="502" t="s">
        <v>1032</v>
      </c>
      <c r="C638" s="538"/>
      <c r="D638" s="500">
        <v>0</v>
      </c>
      <c r="E638" s="449">
        <v>0</v>
      </c>
      <c r="F638" s="449">
        <v>0</v>
      </c>
      <c r="G638" s="421">
        <v>0</v>
      </c>
      <c r="H638" s="449">
        <v>0</v>
      </c>
      <c r="I638" s="449">
        <v>0</v>
      </c>
      <c r="J638" s="426">
        <v>0</v>
      </c>
      <c r="K638" s="421"/>
      <c r="L638" s="449">
        <v>0</v>
      </c>
      <c r="M638" s="449">
        <v>0</v>
      </c>
      <c r="N638" s="449">
        <v>0</v>
      </c>
      <c r="O638" s="449">
        <v>0</v>
      </c>
      <c r="P638" s="449">
        <v>0</v>
      </c>
      <c r="Q638" s="449">
        <v>0</v>
      </c>
      <c r="R638" s="449">
        <v>0</v>
      </c>
      <c r="S638" s="449">
        <v>0</v>
      </c>
      <c r="T638" s="449">
        <v>0</v>
      </c>
      <c r="U638" s="449">
        <v>0</v>
      </c>
      <c r="V638" s="449">
        <v>0</v>
      </c>
      <c r="W638" s="449">
        <v>0</v>
      </c>
      <c r="X638" s="449"/>
      <c r="Y638" s="449">
        <v>0</v>
      </c>
      <c r="Z638" s="531"/>
      <c r="AA638" s="449">
        <v>0</v>
      </c>
      <c r="AB638" s="449">
        <v>0</v>
      </c>
      <c r="AC638" s="449">
        <v>0</v>
      </c>
      <c r="AD638" s="449">
        <v>0</v>
      </c>
      <c r="AE638" s="449">
        <v>0</v>
      </c>
      <c r="AF638" s="449">
        <v>0</v>
      </c>
      <c r="AG638" s="449">
        <v>0</v>
      </c>
      <c r="AH638" s="449">
        <v>0</v>
      </c>
      <c r="AI638" s="449">
        <v>0</v>
      </c>
      <c r="AJ638" s="449">
        <v>0</v>
      </c>
      <c r="AK638" s="449">
        <v>0</v>
      </c>
      <c r="AL638" s="449">
        <v>0</v>
      </c>
      <c r="AM638" s="400"/>
      <c r="AN638" s="500">
        <v>0</v>
      </c>
      <c r="AO638" s="449">
        <v>0</v>
      </c>
      <c r="AP638" s="449">
        <v>0</v>
      </c>
      <c r="AQ638" s="453" t="s">
        <v>1519</v>
      </c>
      <c r="AR638" s="449">
        <v>0</v>
      </c>
      <c r="AS638" s="449">
        <v>0</v>
      </c>
      <c r="AT638" s="426">
        <v>0</v>
      </c>
      <c r="AU638" s="421"/>
      <c r="AV638" s="449">
        <v>0</v>
      </c>
      <c r="AW638" s="449">
        <v>0</v>
      </c>
      <c r="AX638" s="449">
        <v>0</v>
      </c>
      <c r="AY638" s="449">
        <v>0</v>
      </c>
      <c r="AZ638" s="449">
        <v>0</v>
      </c>
      <c r="BA638" s="449">
        <v>0</v>
      </c>
      <c r="BB638" s="449">
        <v>0</v>
      </c>
      <c r="BC638" s="449">
        <v>0</v>
      </c>
      <c r="BD638" s="449">
        <v>0</v>
      </c>
      <c r="BE638" s="449">
        <v>0</v>
      </c>
      <c r="BF638" s="449">
        <v>0</v>
      </c>
      <c r="BG638" s="449">
        <v>0</v>
      </c>
      <c r="BH638" s="400"/>
      <c r="BI638" s="449">
        <v>0</v>
      </c>
      <c r="BJ638" s="449">
        <v>0</v>
      </c>
      <c r="BK638" s="449">
        <v>0</v>
      </c>
      <c r="BL638" s="771">
        <v>0</v>
      </c>
      <c r="BM638" s="449">
        <v>0</v>
      </c>
      <c r="BN638" s="449">
        <v>0</v>
      </c>
      <c r="BO638" s="449">
        <v>0</v>
      </c>
      <c r="BP638" s="449">
        <v>0</v>
      </c>
      <c r="BQ638" s="449">
        <v>0</v>
      </c>
      <c r="BR638" s="449">
        <v>0</v>
      </c>
      <c r="BS638" s="449">
        <v>0</v>
      </c>
      <c r="BT638" s="449">
        <v>0</v>
      </c>
    </row>
    <row r="639" spans="1:72" x14ac:dyDescent="0.25">
      <c r="A639" s="502" t="s">
        <v>1033</v>
      </c>
      <c r="B639" s="502" t="s">
        <v>1034</v>
      </c>
      <c r="C639" s="538"/>
      <c r="D639" s="500">
        <v>0</v>
      </c>
      <c r="E639" s="449">
        <v>0</v>
      </c>
      <c r="F639" s="449">
        <v>0</v>
      </c>
      <c r="G639" s="421">
        <v>0</v>
      </c>
      <c r="H639" s="449">
        <v>0</v>
      </c>
      <c r="I639" s="449">
        <v>0</v>
      </c>
      <c r="J639" s="426">
        <v>0</v>
      </c>
      <c r="K639" s="421"/>
      <c r="L639" s="449">
        <v>0</v>
      </c>
      <c r="M639" s="449">
        <v>0</v>
      </c>
      <c r="N639" s="449">
        <v>0</v>
      </c>
      <c r="O639" s="449">
        <v>0</v>
      </c>
      <c r="P639" s="449">
        <v>0</v>
      </c>
      <c r="Q639" s="449">
        <v>0</v>
      </c>
      <c r="R639" s="449">
        <v>0</v>
      </c>
      <c r="S639" s="449">
        <v>0</v>
      </c>
      <c r="T639" s="449">
        <v>0</v>
      </c>
      <c r="U639" s="449">
        <v>0</v>
      </c>
      <c r="V639" s="449">
        <v>0</v>
      </c>
      <c r="W639" s="449">
        <v>0</v>
      </c>
      <c r="X639" s="449"/>
      <c r="Y639" s="449">
        <v>0</v>
      </c>
      <c r="Z639" s="531"/>
      <c r="AA639" s="449">
        <v>0</v>
      </c>
      <c r="AB639" s="449">
        <v>0</v>
      </c>
      <c r="AC639" s="449">
        <v>0</v>
      </c>
      <c r="AD639" s="449">
        <v>0</v>
      </c>
      <c r="AE639" s="449">
        <v>0</v>
      </c>
      <c r="AF639" s="449">
        <v>0</v>
      </c>
      <c r="AG639" s="449">
        <v>0</v>
      </c>
      <c r="AH639" s="449">
        <v>0</v>
      </c>
      <c r="AI639" s="449">
        <v>0</v>
      </c>
      <c r="AJ639" s="449">
        <v>0</v>
      </c>
      <c r="AK639" s="449">
        <v>0</v>
      </c>
      <c r="AL639" s="449">
        <v>0</v>
      </c>
      <c r="AM639" s="400"/>
      <c r="AN639" s="500">
        <v>0</v>
      </c>
      <c r="AO639" s="449">
        <v>0</v>
      </c>
      <c r="AP639" s="449">
        <v>0</v>
      </c>
      <c r="AQ639" s="453" t="s">
        <v>1519</v>
      </c>
      <c r="AR639" s="449">
        <v>0</v>
      </c>
      <c r="AS639" s="449">
        <v>0</v>
      </c>
      <c r="AT639" s="426">
        <v>0</v>
      </c>
      <c r="AU639" s="421"/>
      <c r="AV639" s="449">
        <v>0</v>
      </c>
      <c r="AW639" s="449">
        <v>0</v>
      </c>
      <c r="AX639" s="449">
        <v>0</v>
      </c>
      <c r="AY639" s="449">
        <v>0</v>
      </c>
      <c r="AZ639" s="449">
        <v>0</v>
      </c>
      <c r="BA639" s="449">
        <v>0</v>
      </c>
      <c r="BB639" s="449">
        <v>0</v>
      </c>
      <c r="BC639" s="449">
        <v>0</v>
      </c>
      <c r="BD639" s="449">
        <v>0</v>
      </c>
      <c r="BE639" s="449">
        <v>0</v>
      </c>
      <c r="BF639" s="449">
        <v>0</v>
      </c>
      <c r="BG639" s="449">
        <v>0</v>
      </c>
      <c r="BH639" s="400"/>
      <c r="BI639" s="449">
        <v>0</v>
      </c>
      <c r="BJ639" s="449">
        <v>0</v>
      </c>
      <c r="BK639" s="449">
        <v>0</v>
      </c>
      <c r="BL639" s="771">
        <v>0</v>
      </c>
      <c r="BM639" s="449">
        <v>0</v>
      </c>
      <c r="BN639" s="449">
        <v>0</v>
      </c>
      <c r="BO639" s="449">
        <v>0</v>
      </c>
      <c r="BP639" s="449">
        <v>0</v>
      </c>
      <c r="BQ639" s="449">
        <v>0</v>
      </c>
      <c r="BR639" s="449">
        <v>0</v>
      </c>
      <c r="BS639" s="449">
        <v>0</v>
      </c>
      <c r="BT639" s="449">
        <v>0</v>
      </c>
    </row>
    <row r="640" spans="1:72" x14ac:dyDescent="0.25">
      <c r="A640" s="502" t="s">
        <v>1035</v>
      </c>
      <c r="B640" s="502" t="s">
        <v>1036</v>
      </c>
      <c r="C640" s="538"/>
      <c r="D640" s="500">
        <v>0</v>
      </c>
      <c r="E640" s="449">
        <v>0</v>
      </c>
      <c r="F640" s="449">
        <v>0</v>
      </c>
      <c r="G640" s="421">
        <v>0</v>
      </c>
      <c r="H640" s="449">
        <v>0</v>
      </c>
      <c r="I640" s="449">
        <v>0</v>
      </c>
      <c r="J640" s="426">
        <v>0</v>
      </c>
      <c r="K640" s="421"/>
      <c r="L640" s="449">
        <v>0</v>
      </c>
      <c r="M640" s="449">
        <v>0</v>
      </c>
      <c r="N640" s="449">
        <v>0</v>
      </c>
      <c r="O640" s="449">
        <v>0</v>
      </c>
      <c r="P640" s="449">
        <v>0</v>
      </c>
      <c r="Q640" s="449">
        <v>0</v>
      </c>
      <c r="R640" s="449">
        <v>0</v>
      </c>
      <c r="S640" s="449">
        <v>0</v>
      </c>
      <c r="T640" s="449">
        <v>0</v>
      </c>
      <c r="U640" s="449">
        <v>0</v>
      </c>
      <c r="V640" s="449">
        <v>0</v>
      </c>
      <c r="W640" s="449">
        <v>0</v>
      </c>
      <c r="X640" s="449"/>
      <c r="Y640" s="449">
        <v>0</v>
      </c>
      <c r="Z640" s="531"/>
      <c r="AA640" s="449">
        <v>0</v>
      </c>
      <c r="AB640" s="449">
        <v>0</v>
      </c>
      <c r="AC640" s="449">
        <v>0</v>
      </c>
      <c r="AD640" s="449">
        <v>0</v>
      </c>
      <c r="AE640" s="449">
        <v>0</v>
      </c>
      <c r="AF640" s="449">
        <v>0</v>
      </c>
      <c r="AG640" s="449">
        <v>0</v>
      </c>
      <c r="AH640" s="449">
        <v>0</v>
      </c>
      <c r="AI640" s="449">
        <v>0</v>
      </c>
      <c r="AJ640" s="449">
        <v>0</v>
      </c>
      <c r="AK640" s="449">
        <v>0</v>
      </c>
      <c r="AL640" s="449">
        <v>0</v>
      </c>
      <c r="AM640" s="400"/>
      <c r="AN640" s="500">
        <v>0</v>
      </c>
      <c r="AO640" s="449">
        <v>0</v>
      </c>
      <c r="AP640" s="449">
        <v>0</v>
      </c>
      <c r="AQ640" s="453" t="s">
        <v>1519</v>
      </c>
      <c r="AR640" s="449">
        <v>0</v>
      </c>
      <c r="AS640" s="449">
        <v>0</v>
      </c>
      <c r="AT640" s="426">
        <v>0</v>
      </c>
      <c r="AU640" s="421"/>
      <c r="AV640" s="449">
        <v>0</v>
      </c>
      <c r="AW640" s="449">
        <v>0</v>
      </c>
      <c r="AX640" s="449">
        <v>0</v>
      </c>
      <c r="AY640" s="449">
        <v>0</v>
      </c>
      <c r="AZ640" s="449">
        <v>0</v>
      </c>
      <c r="BA640" s="449">
        <v>0</v>
      </c>
      <c r="BB640" s="449">
        <v>0</v>
      </c>
      <c r="BC640" s="449">
        <v>0</v>
      </c>
      <c r="BD640" s="449">
        <v>0</v>
      </c>
      <c r="BE640" s="449">
        <v>0</v>
      </c>
      <c r="BF640" s="449">
        <v>0</v>
      </c>
      <c r="BG640" s="449">
        <v>0</v>
      </c>
      <c r="BH640" s="400"/>
      <c r="BI640" s="449">
        <v>0</v>
      </c>
      <c r="BJ640" s="449">
        <v>0</v>
      </c>
      <c r="BK640" s="449">
        <v>0</v>
      </c>
      <c r="BL640" s="771">
        <v>0</v>
      </c>
      <c r="BM640" s="449">
        <v>0</v>
      </c>
      <c r="BN640" s="449">
        <v>0</v>
      </c>
      <c r="BO640" s="449">
        <v>0</v>
      </c>
      <c r="BP640" s="449">
        <v>0</v>
      </c>
      <c r="BQ640" s="449">
        <v>0</v>
      </c>
      <c r="BR640" s="449">
        <v>0</v>
      </c>
      <c r="BS640" s="449">
        <v>0</v>
      </c>
      <c r="BT640" s="449">
        <v>0</v>
      </c>
    </row>
    <row r="641" spans="1:72" x14ac:dyDescent="0.25">
      <c r="A641" s="502" t="s">
        <v>1037</v>
      </c>
      <c r="B641" s="502" t="s">
        <v>1038</v>
      </c>
      <c r="C641" s="538"/>
      <c r="D641" s="500">
        <v>0</v>
      </c>
      <c r="E641" s="449">
        <v>0</v>
      </c>
      <c r="F641" s="449">
        <v>0</v>
      </c>
      <c r="G641" s="421">
        <v>0</v>
      </c>
      <c r="H641" s="449">
        <v>0</v>
      </c>
      <c r="I641" s="449">
        <v>0</v>
      </c>
      <c r="J641" s="426">
        <v>0</v>
      </c>
      <c r="K641" s="421"/>
      <c r="L641" s="449">
        <v>0</v>
      </c>
      <c r="M641" s="449">
        <v>0</v>
      </c>
      <c r="N641" s="449">
        <v>0</v>
      </c>
      <c r="O641" s="449">
        <v>0</v>
      </c>
      <c r="P641" s="449">
        <v>0</v>
      </c>
      <c r="Q641" s="449">
        <v>0</v>
      </c>
      <c r="R641" s="449">
        <v>0</v>
      </c>
      <c r="S641" s="449">
        <v>0</v>
      </c>
      <c r="T641" s="449">
        <v>0</v>
      </c>
      <c r="U641" s="449">
        <v>0</v>
      </c>
      <c r="V641" s="449">
        <v>0</v>
      </c>
      <c r="W641" s="449">
        <v>0</v>
      </c>
      <c r="X641" s="449"/>
      <c r="Y641" s="449">
        <v>0</v>
      </c>
      <c r="Z641" s="531"/>
      <c r="AA641" s="449">
        <v>0</v>
      </c>
      <c r="AB641" s="449">
        <v>0</v>
      </c>
      <c r="AC641" s="449">
        <v>0</v>
      </c>
      <c r="AD641" s="449">
        <v>0</v>
      </c>
      <c r="AE641" s="449">
        <v>0</v>
      </c>
      <c r="AF641" s="449">
        <v>0</v>
      </c>
      <c r="AG641" s="449">
        <v>0</v>
      </c>
      <c r="AH641" s="449">
        <v>0</v>
      </c>
      <c r="AI641" s="449">
        <v>0</v>
      </c>
      <c r="AJ641" s="449">
        <v>0</v>
      </c>
      <c r="AK641" s="449">
        <v>0</v>
      </c>
      <c r="AL641" s="449">
        <v>0</v>
      </c>
      <c r="AM641" s="400"/>
      <c r="AN641" s="500">
        <v>0</v>
      </c>
      <c r="AO641" s="449">
        <v>0</v>
      </c>
      <c r="AP641" s="449">
        <v>0</v>
      </c>
      <c r="AQ641" s="453" t="s">
        <v>1519</v>
      </c>
      <c r="AR641" s="449">
        <v>0</v>
      </c>
      <c r="AS641" s="449">
        <v>0</v>
      </c>
      <c r="AT641" s="426">
        <v>0</v>
      </c>
      <c r="AU641" s="421"/>
      <c r="AV641" s="449">
        <v>0</v>
      </c>
      <c r="AW641" s="449">
        <v>0</v>
      </c>
      <c r="AX641" s="449">
        <v>0</v>
      </c>
      <c r="AY641" s="449">
        <v>0</v>
      </c>
      <c r="AZ641" s="449">
        <v>0</v>
      </c>
      <c r="BA641" s="449">
        <v>0</v>
      </c>
      <c r="BB641" s="449">
        <v>0</v>
      </c>
      <c r="BC641" s="449">
        <v>0</v>
      </c>
      <c r="BD641" s="449">
        <v>0</v>
      </c>
      <c r="BE641" s="449">
        <v>0</v>
      </c>
      <c r="BF641" s="449">
        <v>0</v>
      </c>
      <c r="BG641" s="449">
        <v>0</v>
      </c>
      <c r="BH641" s="400"/>
      <c r="BI641" s="449">
        <v>0</v>
      </c>
      <c r="BJ641" s="449">
        <v>0</v>
      </c>
      <c r="BK641" s="449">
        <v>0</v>
      </c>
      <c r="BL641" s="771">
        <v>0</v>
      </c>
      <c r="BM641" s="449">
        <v>0</v>
      </c>
      <c r="BN641" s="449">
        <v>0</v>
      </c>
      <c r="BO641" s="449">
        <v>0</v>
      </c>
      <c r="BP641" s="449">
        <v>0</v>
      </c>
      <c r="BQ641" s="449">
        <v>0</v>
      </c>
      <c r="BR641" s="449">
        <v>0</v>
      </c>
      <c r="BS641" s="449">
        <v>0</v>
      </c>
      <c r="BT641" s="449">
        <v>0</v>
      </c>
    </row>
    <row r="642" spans="1:72" x14ac:dyDescent="0.25">
      <c r="A642" s="502" t="s">
        <v>1039</v>
      </c>
      <c r="B642" s="502" t="s">
        <v>1040</v>
      </c>
      <c r="C642" s="538"/>
      <c r="D642" s="500">
        <v>334375</v>
      </c>
      <c r="E642" s="449">
        <v>0</v>
      </c>
      <c r="F642" s="449">
        <v>334375</v>
      </c>
      <c r="G642" s="421">
        <v>0</v>
      </c>
      <c r="H642" s="449">
        <v>334375</v>
      </c>
      <c r="I642" s="449">
        <v>0</v>
      </c>
      <c r="J642" s="426">
        <v>0</v>
      </c>
      <c r="K642" s="421"/>
      <c r="L642" s="449">
        <v>0</v>
      </c>
      <c r="M642" s="449">
        <v>334375.45</v>
      </c>
      <c r="N642" s="449">
        <v>0</v>
      </c>
      <c r="O642" s="449">
        <v>0</v>
      </c>
      <c r="P642" s="449">
        <v>0</v>
      </c>
      <c r="Q642" s="449">
        <v>-66625</v>
      </c>
      <c r="R642" s="449">
        <v>11104.091666666665</v>
      </c>
      <c r="S642" s="449">
        <v>11104.091666666664</v>
      </c>
      <c r="T642" s="449">
        <v>11104.09166666666</v>
      </c>
      <c r="U642" s="449">
        <v>11104.091666666654</v>
      </c>
      <c r="V642" s="449">
        <v>11104.091666666645</v>
      </c>
      <c r="W642" s="449">
        <v>11104.091666666674</v>
      </c>
      <c r="X642" s="449"/>
      <c r="Y642" s="449">
        <v>334375</v>
      </c>
      <c r="Z642" s="531"/>
      <c r="AA642" s="449">
        <v>27864.583333333332</v>
      </c>
      <c r="AB642" s="449">
        <v>27864.583333333332</v>
      </c>
      <c r="AC642" s="449">
        <v>27864.583333333332</v>
      </c>
      <c r="AD642" s="449">
        <v>27864.583333333332</v>
      </c>
      <c r="AE642" s="449">
        <v>27864.583333333332</v>
      </c>
      <c r="AF642" s="449">
        <v>27864.583333333332</v>
      </c>
      <c r="AG642" s="449">
        <v>27864.583333333332</v>
      </c>
      <c r="AH642" s="449">
        <v>27864.583333333332</v>
      </c>
      <c r="AI642" s="449">
        <v>27864.583333333332</v>
      </c>
      <c r="AJ642" s="449">
        <v>27864.583333333332</v>
      </c>
      <c r="AK642" s="449">
        <v>27864.583333333332</v>
      </c>
      <c r="AL642" s="449">
        <v>27864.583333333332</v>
      </c>
      <c r="AM642" s="400"/>
      <c r="AN642" s="500">
        <v>334375</v>
      </c>
      <c r="AO642" s="449">
        <v>0</v>
      </c>
      <c r="AP642" s="449">
        <v>-334375</v>
      </c>
      <c r="AQ642" s="453">
        <v>-1</v>
      </c>
      <c r="AR642" s="449">
        <v>0</v>
      </c>
      <c r="AS642" s="449">
        <v>0</v>
      </c>
      <c r="AT642" s="426">
        <v>0</v>
      </c>
      <c r="AU642" s="421"/>
      <c r="AV642" s="449">
        <v>0</v>
      </c>
      <c r="AW642" s="449">
        <v>0</v>
      </c>
      <c r="AX642" s="449">
        <v>0</v>
      </c>
      <c r="AY642" s="449">
        <v>0</v>
      </c>
      <c r="AZ642" s="449">
        <v>0</v>
      </c>
      <c r="BA642" s="449">
        <v>0</v>
      </c>
      <c r="BB642" s="449">
        <v>0</v>
      </c>
      <c r="BC642" s="449">
        <v>0</v>
      </c>
      <c r="BD642" s="449">
        <v>0</v>
      </c>
      <c r="BE642" s="449">
        <v>0</v>
      </c>
      <c r="BF642" s="449">
        <v>0</v>
      </c>
      <c r="BG642" s="449">
        <v>0</v>
      </c>
      <c r="BH642" s="400"/>
      <c r="BI642" s="449">
        <v>0</v>
      </c>
      <c r="BJ642" s="449">
        <v>0</v>
      </c>
      <c r="BK642" s="449">
        <v>0</v>
      </c>
      <c r="BL642" s="771">
        <v>0</v>
      </c>
      <c r="BM642" s="449">
        <v>0</v>
      </c>
      <c r="BN642" s="449">
        <v>0</v>
      </c>
      <c r="BO642" s="449">
        <v>0</v>
      </c>
      <c r="BP642" s="449">
        <v>0</v>
      </c>
      <c r="BQ642" s="449">
        <v>0</v>
      </c>
      <c r="BR642" s="449">
        <v>0</v>
      </c>
      <c r="BS642" s="449">
        <v>0</v>
      </c>
      <c r="BT642" s="449">
        <v>0</v>
      </c>
    </row>
    <row r="643" spans="1:72" x14ac:dyDescent="0.25">
      <c r="A643" s="502" t="s">
        <v>1041</v>
      </c>
      <c r="B643" s="502" t="s">
        <v>1042</v>
      </c>
      <c r="C643" s="538"/>
      <c r="D643" s="500">
        <v>32500</v>
      </c>
      <c r="E643" s="449">
        <v>0</v>
      </c>
      <c r="F643" s="449">
        <v>32500</v>
      </c>
      <c r="G643" s="421">
        <v>0</v>
      </c>
      <c r="H643" s="449">
        <v>32500</v>
      </c>
      <c r="I643" s="449">
        <v>0</v>
      </c>
      <c r="J643" s="426">
        <v>0</v>
      </c>
      <c r="K643" s="421"/>
      <c r="L643" s="449">
        <v>0</v>
      </c>
      <c r="M643" s="449">
        <v>32499.91</v>
      </c>
      <c r="N643" s="449">
        <v>0</v>
      </c>
      <c r="O643" s="449">
        <v>0</v>
      </c>
      <c r="P643" s="449">
        <v>0</v>
      </c>
      <c r="Q643" s="449">
        <v>0</v>
      </c>
      <c r="R643" s="449">
        <v>1.5000000000024253E-2</v>
      </c>
      <c r="S643" s="449">
        <v>1.5000000000145518E-2</v>
      </c>
      <c r="T643" s="449">
        <v>1.5000000000327418E-2</v>
      </c>
      <c r="U643" s="449">
        <v>1.5000000000630584E-2</v>
      </c>
      <c r="V643" s="449">
        <v>1.5000000001236913E-2</v>
      </c>
      <c r="W643" s="449">
        <v>1.4999999999417923E-2</v>
      </c>
      <c r="X643" s="449"/>
      <c r="Y643" s="449">
        <v>32500</v>
      </c>
      <c r="Z643" s="531"/>
      <c r="AA643" s="449">
        <v>2708.3333333333335</v>
      </c>
      <c r="AB643" s="449">
        <v>2708.3333333333335</v>
      </c>
      <c r="AC643" s="449">
        <v>2708.3333333333335</v>
      </c>
      <c r="AD643" s="449">
        <v>2708.3333333333335</v>
      </c>
      <c r="AE643" s="449">
        <v>2708.3333333333335</v>
      </c>
      <c r="AF643" s="449">
        <v>2708.3333333333335</v>
      </c>
      <c r="AG643" s="449">
        <v>2708.3333333333335</v>
      </c>
      <c r="AH643" s="449">
        <v>2708.3333333333335</v>
      </c>
      <c r="AI643" s="449">
        <v>2708.3333333333335</v>
      </c>
      <c r="AJ643" s="449">
        <v>2708.3333333333335</v>
      </c>
      <c r="AK643" s="449">
        <v>2708.3333333333335</v>
      </c>
      <c r="AL643" s="449">
        <v>2708.3333333333335</v>
      </c>
      <c r="AM643" s="400"/>
      <c r="AN643" s="500">
        <v>32500</v>
      </c>
      <c r="AO643" s="449">
        <v>0</v>
      </c>
      <c r="AP643" s="449">
        <v>-32500</v>
      </c>
      <c r="AQ643" s="453">
        <v>-1</v>
      </c>
      <c r="AR643" s="449">
        <v>0</v>
      </c>
      <c r="AS643" s="449">
        <v>0</v>
      </c>
      <c r="AT643" s="426">
        <v>0</v>
      </c>
      <c r="AU643" s="421"/>
      <c r="AV643" s="449">
        <v>0</v>
      </c>
      <c r="AW643" s="449">
        <v>0</v>
      </c>
      <c r="AX643" s="449">
        <v>0</v>
      </c>
      <c r="AY643" s="449">
        <v>0</v>
      </c>
      <c r="AZ643" s="449">
        <v>0</v>
      </c>
      <c r="BA643" s="449">
        <v>0</v>
      </c>
      <c r="BB643" s="449">
        <v>0</v>
      </c>
      <c r="BC643" s="449">
        <v>0</v>
      </c>
      <c r="BD643" s="449">
        <v>0</v>
      </c>
      <c r="BE643" s="449">
        <v>0</v>
      </c>
      <c r="BF643" s="449">
        <v>0</v>
      </c>
      <c r="BG643" s="449">
        <v>0</v>
      </c>
      <c r="BH643" s="400"/>
      <c r="BI643" s="449">
        <v>0</v>
      </c>
      <c r="BJ643" s="449">
        <v>0</v>
      </c>
      <c r="BK643" s="449">
        <v>0</v>
      </c>
      <c r="BL643" s="771">
        <v>0</v>
      </c>
      <c r="BM643" s="449">
        <v>0</v>
      </c>
      <c r="BN643" s="449">
        <v>0</v>
      </c>
      <c r="BO643" s="449">
        <v>0</v>
      </c>
      <c r="BP643" s="449">
        <v>0</v>
      </c>
      <c r="BQ643" s="449">
        <v>0</v>
      </c>
      <c r="BR643" s="449">
        <v>0</v>
      </c>
      <c r="BS643" s="449">
        <v>0</v>
      </c>
      <c r="BT643" s="449">
        <v>0</v>
      </c>
    </row>
    <row r="644" spans="1:72" x14ac:dyDescent="0.25">
      <c r="A644" s="502" t="s">
        <v>1043</v>
      </c>
      <c r="B644" s="502" t="s">
        <v>1044</v>
      </c>
      <c r="C644" s="538"/>
      <c r="D644" s="500">
        <v>0</v>
      </c>
      <c r="E644" s="449">
        <v>0</v>
      </c>
      <c r="F644" s="449">
        <v>0</v>
      </c>
      <c r="G644" s="421">
        <v>0</v>
      </c>
      <c r="H644" s="449">
        <v>0</v>
      </c>
      <c r="I644" s="449">
        <v>0</v>
      </c>
      <c r="J644" s="426">
        <v>0</v>
      </c>
      <c r="K644" s="421"/>
      <c r="L644" s="449">
        <v>0</v>
      </c>
      <c r="M644" s="449">
        <v>0</v>
      </c>
      <c r="N644" s="449">
        <v>0</v>
      </c>
      <c r="O644" s="449">
        <v>0</v>
      </c>
      <c r="P644" s="449">
        <v>0</v>
      </c>
      <c r="Q644" s="449">
        <v>0</v>
      </c>
      <c r="R644" s="449">
        <v>0</v>
      </c>
      <c r="S644" s="449">
        <v>0</v>
      </c>
      <c r="T644" s="449">
        <v>0</v>
      </c>
      <c r="U644" s="449">
        <v>0</v>
      </c>
      <c r="V644" s="449">
        <v>0</v>
      </c>
      <c r="W644" s="449">
        <v>0</v>
      </c>
      <c r="X644" s="449"/>
      <c r="Y644" s="449">
        <v>0</v>
      </c>
      <c r="Z644" s="531"/>
      <c r="AA644" s="449">
        <v>0</v>
      </c>
      <c r="AB644" s="449">
        <v>0</v>
      </c>
      <c r="AC644" s="449">
        <v>0</v>
      </c>
      <c r="AD644" s="449">
        <v>0</v>
      </c>
      <c r="AE644" s="449">
        <v>0</v>
      </c>
      <c r="AF644" s="449">
        <v>0</v>
      </c>
      <c r="AG644" s="449">
        <v>0</v>
      </c>
      <c r="AH644" s="449">
        <v>0</v>
      </c>
      <c r="AI644" s="449">
        <v>0</v>
      </c>
      <c r="AJ644" s="449">
        <v>0</v>
      </c>
      <c r="AK644" s="449">
        <v>0</v>
      </c>
      <c r="AL644" s="449">
        <v>0</v>
      </c>
      <c r="AM644" s="400"/>
      <c r="AN644" s="500">
        <v>0</v>
      </c>
      <c r="AO644" s="449">
        <v>0</v>
      </c>
      <c r="AP644" s="449">
        <v>0</v>
      </c>
      <c r="AQ644" s="453" t="s">
        <v>1519</v>
      </c>
      <c r="AR644" s="449">
        <v>0</v>
      </c>
      <c r="AS644" s="449">
        <v>0</v>
      </c>
      <c r="AT644" s="426">
        <v>0</v>
      </c>
      <c r="AU644" s="421"/>
      <c r="AV644" s="449">
        <v>0</v>
      </c>
      <c r="AW644" s="449">
        <v>0</v>
      </c>
      <c r="AX644" s="449">
        <v>0</v>
      </c>
      <c r="AY644" s="449">
        <v>0</v>
      </c>
      <c r="AZ644" s="449">
        <v>0</v>
      </c>
      <c r="BA644" s="449">
        <v>0</v>
      </c>
      <c r="BB644" s="449">
        <v>0</v>
      </c>
      <c r="BC644" s="449">
        <v>0</v>
      </c>
      <c r="BD644" s="449">
        <v>0</v>
      </c>
      <c r="BE644" s="449">
        <v>0</v>
      </c>
      <c r="BF644" s="449">
        <v>0</v>
      </c>
      <c r="BG644" s="449">
        <v>0</v>
      </c>
      <c r="BH644" s="400"/>
      <c r="BI644" s="449">
        <v>0</v>
      </c>
      <c r="BJ644" s="449">
        <v>0</v>
      </c>
      <c r="BK644" s="449">
        <v>0</v>
      </c>
      <c r="BL644" s="771">
        <v>0</v>
      </c>
      <c r="BM644" s="449">
        <v>0</v>
      </c>
      <c r="BN644" s="449">
        <v>0</v>
      </c>
      <c r="BO644" s="449">
        <v>0</v>
      </c>
      <c r="BP644" s="449">
        <v>0</v>
      </c>
      <c r="BQ644" s="449">
        <v>0</v>
      </c>
      <c r="BR644" s="449">
        <v>0</v>
      </c>
      <c r="BS644" s="449">
        <v>0</v>
      </c>
      <c r="BT644" s="449">
        <v>0</v>
      </c>
    </row>
    <row r="645" spans="1:72" x14ac:dyDescent="0.25">
      <c r="A645" s="502" t="s">
        <v>1045</v>
      </c>
      <c r="B645" s="502" t="s">
        <v>1046</v>
      </c>
      <c r="C645" s="538"/>
      <c r="D645" s="500">
        <v>449114</v>
      </c>
      <c r="E645" s="449">
        <v>449114.375</v>
      </c>
      <c r="F645" s="449">
        <v>-0.375</v>
      </c>
      <c r="G645" s="421">
        <v>-8.3497661369667806E-7</v>
      </c>
      <c r="H645" s="449">
        <v>449114</v>
      </c>
      <c r="I645" s="449">
        <v>0</v>
      </c>
      <c r="J645" s="426">
        <v>0</v>
      </c>
      <c r="K645" s="421"/>
      <c r="L645" s="449">
        <v>0</v>
      </c>
      <c r="M645" s="449">
        <v>0</v>
      </c>
      <c r="N645" s="449">
        <v>0</v>
      </c>
      <c r="O645" s="449">
        <v>0</v>
      </c>
      <c r="P645" s="449">
        <v>0</v>
      </c>
      <c r="Q645" s="449">
        <v>0</v>
      </c>
      <c r="R645" s="449">
        <v>74852.333333333328</v>
      </c>
      <c r="S645" s="449">
        <v>74852.333333333343</v>
      </c>
      <c r="T645" s="449">
        <v>74852.333333333328</v>
      </c>
      <c r="U645" s="449">
        <v>74852.333333333328</v>
      </c>
      <c r="V645" s="449">
        <v>74852.333333333343</v>
      </c>
      <c r="W645" s="449">
        <v>74852.333333333372</v>
      </c>
      <c r="X645" s="449"/>
      <c r="Y645" s="449">
        <v>449114</v>
      </c>
      <c r="Z645" s="531"/>
      <c r="AA645" s="449">
        <v>37426.166666666664</v>
      </c>
      <c r="AB645" s="449">
        <v>37426.166666666664</v>
      </c>
      <c r="AC645" s="449">
        <v>37426.166666666664</v>
      </c>
      <c r="AD645" s="449">
        <v>37426.166666666664</v>
      </c>
      <c r="AE645" s="449">
        <v>37426.166666666664</v>
      </c>
      <c r="AF645" s="449">
        <v>37426.166666666664</v>
      </c>
      <c r="AG645" s="449">
        <v>37426.166666666664</v>
      </c>
      <c r="AH645" s="449">
        <v>37426.166666666664</v>
      </c>
      <c r="AI645" s="449">
        <v>37426.166666666664</v>
      </c>
      <c r="AJ645" s="449">
        <v>37426.166666666664</v>
      </c>
      <c r="AK645" s="449">
        <v>37426.166666666664</v>
      </c>
      <c r="AL645" s="449">
        <v>37426.166666666664</v>
      </c>
      <c r="AM645" s="400"/>
      <c r="AN645" s="500">
        <v>449114</v>
      </c>
      <c r="AO645" s="449">
        <v>449114.00000000006</v>
      </c>
      <c r="AP645" s="449">
        <v>5.8207660913467407E-11</v>
      </c>
      <c r="AQ645" s="453">
        <v>1.296055364862093E-16</v>
      </c>
      <c r="AR645" s="449">
        <v>449114.00000000006</v>
      </c>
      <c r="AS645" s="449">
        <v>0</v>
      </c>
      <c r="AT645" s="426">
        <v>0</v>
      </c>
      <c r="AU645" s="421"/>
      <c r="AV645" s="449">
        <v>37426.166666666664</v>
      </c>
      <c r="AW645" s="449">
        <v>37426.166666666664</v>
      </c>
      <c r="AX645" s="449">
        <v>37426.166666666664</v>
      </c>
      <c r="AY645" s="449">
        <v>37426.166666666664</v>
      </c>
      <c r="AZ645" s="449">
        <v>37426.166666666664</v>
      </c>
      <c r="BA645" s="449">
        <v>37426.166666666664</v>
      </c>
      <c r="BB645" s="449">
        <v>37426.166666666664</v>
      </c>
      <c r="BC645" s="449">
        <v>37426.166666666664</v>
      </c>
      <c r="BD645" s="449">
        <v>37426.166666666664</v>
      </c>
      <c r="BE645" s="449">
        <v>37426.166666666664</v>
      </c>
      <c r="BF645" s="449">
        <v>37426.166666666664</v>
      </c>
      <c r="BG645" s="449">
        <v>37426.166666666664</v>
      </c>
      <c r="BH645" s="400"/>
      <c r="BI645" s="449">
        <v>37426.166666666664</v>
      </c>
      <c r="BJ645" s="449">
        <v>37426.166666666664</v>
      </c>
      <c r="BK645" s="449">
        <v>37426.166666666664</v>
      </c>
      <c r="BL645" s="771">
        <v>37426.166666666664</v>
      </c>
      <c r="BM645" s="449">
        <v>37426.166666666664</v>
      </c>
      <c r="BN645" s="449">
        <v>37426.166666666664</v>
      </c>
      <c r="BO645" s="449">
        <v>37426.166666666664</v>
      </c>
      <c r="BP645" s="449">
        <v>37426.166666666664</v>
      </c>
      <c r="BQ645" s="449">
        <v>37426.166666666664</v>
      </c>
      <c r="BR645" s="449">
        <v>37426.166666666664</v>
      </c>
      <c r="BS645" s="449">
        <v>37426.166666666664</v>
      </c>
      <c r="BT645" s="449">
        <v>37426.166666666664</v>
      </c>
    </row>
    <row r="646" spans="1:72" x14ac:dyDescent="0.25">
      <c r="A646" s="502" t="s">
        <v>1047</v>
      </c>
      <c r="B646" s="502" t="s">
        <v>1048</v>
      </c>
      <c r="C646" s="538"/>
      <c r="D646" s="500">
        <v>20308</v>
      </c>
      <c r="E646" s="449">
        <v>20307.5</v>
      </c>
      <c r="F646" s="449">
        <v>0.5</v>
      </c>
      <c r="G646" s="421">
        <v>2.4621445278837867E-5</v>
      </c>
      <c r="H646" s="449">
        <v>20308</v>
      </c>
      <c r="I646" s="449">
        <v>0</v>
      </c>
      <c r="J646" s="426">
        <v>0</v>
      </c>
      <c r="K646" s="421"/>
      <c r="L646" s="449">
        <v>0</v>
      </c>
      <c r="M646" s="449">
        <v>0</v>
      </c>
      <c r="N646" s="449">
        <v>0</v>
      </c>
      <c r="O646" s="449">
        <v>0</v>
      </c>
      <c r="P646" s="449">
        <v>0</v>
      </c>
      <c r="Q646" s="449">
        <v>0</v>
      </c>
      <c r="R646" s="449">
        <v>3384.6666666666665</v>
      </c>
      <c r="S646" s="449">
        <v>3384.6666666666665</v>
      </c>
      <c r="T646" s="449">
        <v>3384.666666666667</v>
      </c>
      <c r="U646" s="449">
        <v>3384.6666666666665</v>
      </c>
      <c r="V646" s="449">
        <v>3384.666666666667</v>
      </c>
      <c r="W646" s="449">
        <v>3384.6666666666679</v>
      </c>
      <c r="X646" s="449"/>
      <c r="Y646" s="449">
        <v>20308</v>
      </c>
      <c r="Z646" s="531"/>
      <c r="AA646" s="449">
        <v>1692.3333333333333</v>
      </c>
      <c r="AB646" s="449">
        <v>1692.3333333333333</v>
      </c>
      <c r="AC646" s="449">
        <v>1692.3333333333333</v>
      </c>
      <c r="AD646" s="449">
        <v>1692.3333333333333</v>
      </c>
      <c r="AE646" s="449">
        <v>1692.3333333333333</v>
      </c>
      <c r="AF646" s="449">
        <v>1692.3333333333333</v>
      </c>
      <c r="AG646" s="449">
        <v>1692.3333333333333</v>
      </c>
      <c r="AH646" s="449">
        <v>1692.3333333333333</v>
      </c>
      <c r="AI646" s="449">
        <v>1692.3333333333333</v>
      </c>
      <c r="AJ646" s="449">
        <v>1692.3333333333333</v>
      </c>
      <c r="AK646" s="449">
        <v>1692.3333333333333</v>
      </c>
      <c r="AL646" s="449">
        <v>1692.3333333333333</v>
      </c>
      <c r="AM646" s="400"/>
      <c r="AN646" s="500">
        <v>20308</v>
      </c>
      <c r="AO646" s="449">
        <v>20308</v>
      </c>
      <c r="AP646" s="449">
        <v>0</v>
      </c>
      <c r="AQ646" s="453">
        <v>0</v>
      </c>
      <c r="AR646" s="449">
        <v>20308</v>
      </c>
      <c r="AS646" s="449">
        <v>0</v>
      </c>
      <c r="AT646" s="426">
        <v>0</v>
      </c>
      <c r="AU646" s="421"/>
      <c r="AV646" s="449">
        <v>1692.3333333333333</v>
      </c>
      <c r="AW646" s="449">
        <v>1692.3333333333333</v>
      </c>
      <c r="AX646" s="449">
        <v>1692.3333333333333</v>
      </c>
      <c r="AY646" s="449">
        <v>1692.3333333333333</v>
      </c>
      <c r="AZ646" s="449">
        <v>1692.3333333333333</v>
      </c>
      <c r="BA646" s="449">
        <v>1692.3333333333333</v>
      </c>
      <c r="BB646" s="449">
        <v>1692.3333333333333</v>
      </c>
      <c r="BC646" s="449">
        <v>1692.3333333333333</v>
      </c>
      <c r="BD646" s="449">
        <v>1692.3333333333333</v>
      </c>
      <c r="BE646" s="449">
        <v>1692.3333333333333</v>
      </c>
      <c r="BF646" s="449">
        <v>1692.3333333333333</v>
      </c>
      <c r="BG646" s="449">
        <v>1692.3333333333333</v>
      </c>
      <c r="BH646" s="400"/>
      <c r="BI646" s="449">
        <v>1692.3333333333333</v>
      </c>
      <c r="BJ646" s="449">
        <v>1692.3333333333333</v>
      </c>
      <c r="BK646" s="449">
        <v>1692.3333333333333</v>
      </c>
      <c r="BL646" s="771">
        <v>1692.3333333333333</v>
      </c>
      <c r="BM646" s="449">
        <v>1692.3333333333333</v>
      </c>
      <c r="BN646" s="449">
        <v>1692.3333333333333</v>
      </c>
      <c r="BO646" s="449">
        <v>1692.3333333333333</v>
      </c>
      <c r="BP646" s="449">
        <v>1692.3333333333333</v>
      </c>
      <c r="BQ646" s="449">
        <v>1692.3333333333333</v>
      </c>
      <c r="BR646" s="449">
        <v>1692.3333333333333</v>
      </c>
      <c r="BS646" s="449">
        <v>1692.3333333333333</v>
      </c>
      <c r="BT646" s="449">
        <v>1692.3333333333333</v>
      </c>
    </row>
    <row r="647" spans="1:72" ht="15" customHeight="1" x14ac:dyDescent="0.25">
      <c r="A647" s="502" t="s">
        <v>1049</v>
      </c>
      <c r="B647" s="502" t="s">
        <v>1050</v>
      </c>
      <c r="C647" s="538"/>
      <c r="D647" s="500">
        <v>0</v>
      </c>
      <c r="E647" s="449">
        <v>0</v>
      </c>
      <c r="F647" s="449">
        <v>0</v>
      </c>
      <c r="G647" s="421">
        <v>0</v>
      </c>
      <c r="H647" s="449">
        <v>0</v>
      </c>
      <c r="I647" s="449">
        <v>0</v>
      </c>
      <c r="J647" s="426">
        <v>0</v>
      </c>
      <c r="K647" s="421"/>
      <c r="L647" s="449">
        <v>0</v>
      </c>
      <c r="M647" s="449">
        <v>0</v>
      </c>
      <c r="N647" s="449">
        <v>0</v>
      </c>
      <c r="O647" s="449">
        <v>0</v>
      </c>
      <c r="P647" s="449">
        <v>0</v>
      </c>
      <c r="Q647" s="449">
        <v>0</v>
      </c>
      <c r="R647" s="449">
        <v>0</v>
      </c>
      <c r="S647" s="449">
        <v>0</v>
      </c>
      <c r="T647" s="449">
        <v>0</v>
      </c>
      <c r="U647" s="449">
        <v>0</v>
      </c>
      <c r="V647" s="449">
        <v>0</v>
      </c>
      <c r="W647" s="449">
        <v>0</v>
      </c>
      <c r="X647" s="449"/>
      <c r="Y647" s="449">
        <v>0</v>
      </c>
      <c r="Z647" s="531"/>
      <c r="AA647" s="449">
        <v>0</v>
      </c>
      <c r="AB647" s="449">
        <v>0</v>
      </c>
      <c r="AC647" s="449">
        <v>0</v>
      </c>
      <c r="AD647" s="449">
        <v>0</v>
      </c>
      <c r="AE647" s="449">
        <v>0</v>
      </c>
      <c r="AF647" s="449">
        <v>0</v>
      </c>
      <c r="AG647" s="449">
        <v>0</v>
      </c>
      <c r="AH647" s="449">
        <v>0</v>
      </c>
      <c r="AI647" s="449">
        <v>0</v>
      </c>
      <c r="AJ647" s="449">
        <v>0</v>
      </c>
      <c r="AK647" s="449">
        <v>0</v>
      </c>
      <c r="AL647" s="449">
        <v>0</v>
      </c>
      <c r="AM647" s="400"/>
      <c r="AN647" s="500">
        <v>0</v>
      </c>
      <c r="AO647" s="449">
        <v>0</v>
      </c>
      <c r="AP647" s="449">
        <v>0</v>
      </c>
      <c r="AQ647" s="453" t="s">
        <v>1519</v>
      </c>
      <c r="AR647" s="449">
        <v>0</v>
      </c>
      <c r="AS647" s="449">
        <v>0</v>
      </c>
      <c r="AT647" s="426">
        <v>0</v>
      </c>
      <c r="AU647" s="421"/>
      <c r="AV647" s="449">
        <v>0</v>
      </c>
      <c r="AW647" s="449">
        <v>0</v>
      </c>
      <c r="AX647" s="449">
        <v>0</v>
      </c>
      <c r="AY647" s="449">
        <v>0</v>
      </c>
      <c r="AZ647" s="449">
        <v>0</v>
      </c>
      <c r="BA647" s="449">
        <v>0</v>
      </c>
      <c r="BB647" s="449">
        <v>0</v>
      </c>
      <c r="BC647" s="449">
        <v>0</v>
      </c>
      <c r="BD647" s="449">
        <v>0</v>
      </c>
      <c r="BE647" s="449">
        <v>0</v>
      </c>
      <c r="BF647" s="449">
        <v>0</v>
      </c>
      <c r="BG647" s="449">
        <v>0</v>
      </c>
      <c r="BH647" s="400"/>
      <c r="BI647" s="449">
        <v>0</v>
      </c>
      <c r="BJ647" s="449">
        <v>0</v>
      </c>
      <c r="BK647" s="449">
        <v>0</v>
      </c>
      <c r="BL647" s="771">
        <v>0</v>
      </c>
      <c r="BM647" s="449">
        <v>0</v>
      </c>
      <c r="BN647" s="449">
        <v>0</v>
      </c>
      <c r="BO647" s="449">
        <v>0</v>
      </c>
      <c r="BP647" s="449">
        <v>0</v>
      </c>
      <c r="BQ647" s="449">
        <v>0</v>
      </c>
      <c r="BR647" s="449">
        <v>0</v>
      </c>
      <c r="BS647" s="449">
        <v>0</v>
      </c>
      <c r="BT647" s="449">
        <v>0</v>
      </c>
    </row>
    <row r="648" spans="1:72" ht="15" customHeight="1" x14ac:dyDescent="0.25">
      <c r="A648" s="612" t="s">
        <v>1051</v>
      </c>
      <c r="B648" s="502" t="s">
        <v>1052</v>
      </c>
      <c r="C648" s="538"/>
      <c r="D648" s="500">
        <v>1677350</v>
      </c>
      <c r="E648" s="449">
        <v>1677350</v>
      </c>
      <c r="F648" s="449">
        <v>0</v>
      </c>
      <c r="G648" s="421">
        <v>0</v>
      </c>
      <c r="H648" s="449">
        <v>1677350</v>
      </c>
      <c r="I648" s="449">
        <v>0</v>
      </c>
      <c r="J648" s="426">
        <v>0</v>
      </c>
      <c r="K648" s="421"/>
      <c r="L648" s="449">
        <v>0</v>
      </c>
      <c r="M648" s="449">
        <v>0</v>
      </c>
      <c r="N648" s="449">
        <v>0</v>
      </c>
      <c r="O648" s="449">
        <v>0</v>
      </c>
      <c r="P648" s="449">
        <v>0</v>
      </c>
      <c r="Q648" s="449">
        <v>840481</v>
      </c>
      <c r="R648" s="449">
        <v>139478.16666666666</v>
      </c>
      <c r="S648" s="449">
        <v>139478.16666666669</v>
      </c>
      <c r="T648" s="449">
        <v>139478.16666666669</v>
      </c>
      <c r="U648" s="449">
        <v>139478.16666666666</v>
      </c>
      <c r="V648" s="449">
        <v>139478.16666666663</v>
      </c>
      <c r="W648" s="449">
        <v>139478.16666666651</v>
      </c>
      <c r="X648" s="449"/>
      <c r="Y648" s="449">
        <v>1677350</v>
      </c>
      <c r="Z648" s="531"/>
      <c r="AA648" s="449">
        <v>139779.16666666666</v>
      </c>
      <c r="AB648" s="449">
        <v>139779.16666666666</v>
      </c>
      <c r="AC648" s="449">
        <v>139779.16666666666</v>
      </c>
      <c r="AD648" s="449">
        <v>139779.16666666666</v>
      </c>
      <c r="AE648" s="449">
        <v>139779.16666666666</v>
      </c>
      <c r="AF648" s="449">
        <v>139779.16666666666</v>
      </c>
      <c r="AG648" s="449">
        <v>139779.16666666666</v>
      </c>
      <c r="AH648" s="449">
        <v>139779.16666666666</v>
      </c>
      <c r="AI648" s="449">
        <v>139779.16666666666</v>
      </c>
      <c r="AJ648" s="449">
        <v>139779.16666666666</v>
      </c>
      <c r="AK648" s="449">
        <v>139779.16666666666</v>
      </c>
      <c r="AL648" s="449">
        <v>139779.16666666666</v>
      </c>
      <c r="AM648" s="400"/>
      <c r="AN648" s="500">
        <v>1677350</v>
      </c>
      <c r="AO648" s="449">
        <v>1763199.5</v>
      </c>
      <c r="AP648" s="449">
        <v>85849.5</v>
      </c>
      <c r="AQ648" s="453">
        <v>5.1181625778758164E-2</v>
      </c>
      <c r="AR648" s="449">
        <v>1763199.5</v>
      </c>
      <c r="AS648" s="449">
        <v>0</v>
      </c>
      <c r="AT648" s="426">
        <v>0</v>
      </c>
      <c r="AU648" s="421"/>
      <c r="AV648" s="449">
        <v>0</v>
      </c>
      <c r="AW648" s="449">
        <v>0</v>
      </c>
      <c r="AX648" s="449">
        <v>0</v>
      </c>
      <c r="AY648" s="449">
        <v>0</v>
      </c>
      <c r="AZ648" s="449">
        <v>0</v>
      </c>
      <c r="BA648" s="449">
        <v>881599.75</v>
      </c>
      <c r="BB648" s="449">
        <v>0</v>
      </c>
      <c r="BC648" s="449">
        <v>0</v>
      </c>
      <c r="BD648" s="449">
        <v>0</v>
      </c>
      <c r="BE648" s="449">
        <v>0</v>
      </c>
      <c r="BF648" s="449">
        <v>0</v>
      </c>
      <c r="BG648" s="449">
        <v>881599.75</v>
      </c>
      <c r="BH648" s="400"/>
      <c r="BI648" s="449">
        <v>0</v>
      </c>
      <c r="BJ648" s="449">
        <v>0</v>
      </c>
      <c r="BK648" s="449">
        <v>0</v>
      </c>
      <c r="BL648" s="771">
        <v>0</v>
      </c>
      <c r="BM648" s="449">
        <v>0</v>
      </c>
      <c r="BN648" s="449">
        <v>881599.75</v>
      </c>
      <c r="BO648" s="449">
        <v>0</v>
      </c>
      <c r="BP648" s="449">
        <v>0</v>
      </c>
      <c r="BQ648" s="449">
        <v>0</v>
      </c>
      <c r="BR648" s="449">
        <v>0</v>
      </c>
      <c r="BS648" s="449">
        <v>0</v>
      </c>
      <c r="BT648" s="449">
        <v>881599.75</v>
      </c>
    </row>
    <row r="649" spans="1:72" ht="15" customHeight="1" x14ac:dyDescent="0.25">
      <c r="A649" s="502" t="s">
        <v>1053</v>
      </c>
      <c r="B649" s="502" t="s">
        <v>1052</v>
      </c>
      <c r="C649" s="538"/>
      <c r="D649" s="500">
        <v>0</v>
      </c>
      <c r="E649" s="449">
        <v>0</v>
      </c>
      <c r="F649" s="449">
        <v>0</v>
      </c>
      <c r="G649" s="421">
        <v>0</v>
      </c>
      <c r="H649" s="449">
        <v>0</v>
      </c>
      <c r="I649" s="449">
        <v>0</v>
      </c>
      <c r="J649" s="426">
        <v>0</v>
      </c>
      <c r="K649" s="421"/>
      <c r="L649" s="449">
        <v>0</v>
      </c>
      <c r="M649" s="449">
        <v>0</v>
      </c>
      <c r="N649" s="449">
        <v>0</v>
      </c>
      <c r="O649" s="449">
        <v>0</v>
      </c>
      <c r="P649" s="449">
        <v>0</v>
      </c>
      <c r="Q649" s="449">
        <v>0</v>
      </c>
      <c r="R649" s="449">
        <v>0</v>
      </c>
      <c r="S649" s="449">
        <v>0</v>
      </c>
      <c r="T649" s="449">
        <v>0</v>
      </c>
      <c r="U649" s="449">
        <v>0</v>
      </c>
      <c r="V649" s="449">
        <v>0</v>
      </c>
      <c r="W649" s="449">
        <v>0</v>
      </c>
      <c r="X649" s="449"/>
      <c r="Y649" s="449">
        <v>0</v>
      </c>
      <c r="Z649" s="531"/>
      <c r="AA649" s="449">
        <v>0</v>
      </c>
      <c r="AB649" s="449">
        <v>0</v>
      </c>
      <c r="AC649" s="449">
        <v>0</v>
      </c>
      <c r="AD649" s="449">
        <v>0</v>
      </c>
      <c r="AE649" s="449">
        <v>0</v>
      </c>
      <c r="AF649" s="449">
        <v>0</v>
      </c>
      <c r="AG649" s="449">
        <v>0</v>
      </c>
      <c r="AH649" s="449">
        <v>0</v>
      </c>
      <c r="AI649" s="449">
        <v>0</v>
      </c>
      <c r="AJ649" s="449">
        <v>0</v>
      </c>
      <c r="AK649" s="449">
        <v>0</v>
      </c>
      <c r="AL649" s="449">
        <v>0</v>
      </c>
      <c r="AM649" s="400"/>
      <c r="AN649" s="500">
        <v>0</v>
      </c>
      <c r="AO649" s="449">
        <v>0</v>
      </c>
      <c r="AP649" s="449">
        <v>0</v>
      </c>
      <c r="AQ649" s="553" t="s">
        <v>1519</v>
      </c>
      <c r="AR649" s="449">
        <v>0</v>
      </c>
      <c r="AS649" s="449">
        <v>0</v>
      </c>
      <c r="AT649" s="426">
        <v>0</v>
      </c>
      <c r="AU649" s="421"/>
      <c r="AV649" s="449">
        <v>0</v>
      </c>
      <c r="AW649" s="449">
        <v>0</v>
      </c>
      <c r="AX649" s="449">
        <v>0</v>
      </c>
      <c r="AY649" s="449">
        <v>0</v>
      </c>
      <c r="AZ649" s="449">
        <v>0</v>
      </c>
      <c r="BA649" s="449">
        <v>0</v>
      </c>
      <c r="BB649" s="449">
        <v>0</v>
      </c>
      <c r="BC649" s="449">
        <v>0</v>
      </c>
      <c r="BD649" s="449">
        <v>0</v>
      </c>
      <c r="BE649" s="449">
        <v>0</v>
      </c>
      <c r="BF649" s="449">
        <v>0</v>
      </c>
      <c r="BG649" s="449">
        <v>0</v>
      </c>
      <c r="BH649" s="400"/>
      <c r="BI649" s="449">
        <v>0</v>
      </c>
      <c r="BJ649" s="449">
        <v>0</v>
      </c>
      <c r="BK649" s="449">
        <v>0</v>
      </c>
      <c r="BL649" s="771">
        <v>0</v>
      </c>
      <c r="BM649" s="449">
        <v>0</v>
      </c>
      <c r="BN649" s="449">
        <v>0</v>
      </c>
      <c r="BO649" s="449">
        <v>0</v>
      </c>
      <c r="BP649" s="449">
        <v>0</v>
      </c>
      <c r="BQ649" s="449">
        <v>0</v>
      </c>
      <c r="BR649" s="449">
        <v>0</v>
      </c>
      <c r="BS649" s="449">
        <v>0</v>
      </c>
      <c r="BT649" s="449">
        <v>0</v>
      </c>
    </row>
    <row r="650" spans="1:72" ht="15" customHeight="1" x14ac:dyDescent="0.25">
      <c r="A650" s="502" t="s">
        <v>1054</v>
      </c>
      <c r="B650" s="502" t="s">
        <v>1055</v>
      </c>
      <c r="C650" s="538"/>
      <c r="D650" s="500">
        <v>9627</v>
      </c>
      <c r="E650" s="449">
        <v>3595.02</v>
      </c>
      <c r="F650" s="449">
        <v>6031.98</v>
      </c>
      <c r="G650" s="421">
        <v>1.6778710549593603</v>
      </c>
      <c r="H650" s="449">
        <v>7000</v>
      </c>
      <c r="I650" s="449">
        <v>2627</v>
      </c>
      <c r="J650" s="426">
        <v>0.37528571428571428</v>
      </c>
      <c r="K650" s="421"/>
      <c r="L650" s="449">
        <v>0</v>
      </c>
      <c r="M650" s="449">
        <v>0</v>
      </c>
      <c r="N650" s="449">
        <v>0</v>
      </c>
      <c r="O650" s="449">
        <v>9627</v>
      </c>
      <c r="P650" s="449">
        <v>0</v>
      </c>
      <c r="Q650" s="449">
        <v>0</v>
      </c>
      <c r="R650" s="449">
        <v>0</v>
      </c>
      <c r="S650" s="449">
        <v>0</v>
      </c>
      <c r="T650" s="449">
        <v>0</v>
      </c>
      <c r="U650" s="449">
        <v>0</v>
      </c>
      <c r="V650" s="449">
        <v>0</v>
      </c>
      <c r="W650" s="449">
        <v>0</v>
      </c>
      <c r="X650" s="449"/>
      <c r="Y650" s="449">
        <v>9627</v>
      </c>
      <c r="Z650" s="531"/>
      <c r="AA650" s="449">
        <v>583.33333333333337</v>
      </c>
      <c r="AB650" s="449">
        <v>583.33333333333337</v>
      </c>
      <c r="AC650" s="449">
        <v>583.33333333333337</v>
      </c>
      <c r="AD650" s="449">
        <v>583.33333333333337</v>
      </c>
      <c r="AE650" s="449">
        <v>583.33333333333337</v>
      </c>
      <c r="AF650" s="449">
        <v>583.33333333333337</v>
      </c>
      <c r="AG650" s="449">
        <v>583.33333333333337</v>
      </c>
      <c r="AH650" s="449">
        <v>583.33333333333337</v>
      </c>
      <c r="AI650" s="449">
        <v>583.33333333333337</v>
      </c>
      <c r="AJ650" s="449">
        <v>583.33333333333337</v>
      </c>
      <c r="AK650" s="449">
        <v>583.33333333333337</v>
      </c>
      <c r="AL650" s="449">
        <v>583.33333333333337</v>
      </c>
      <c r="AM650" s="400"/>
      <c r="AN650" s="500">
        <v>9627</v>
      </c>
      <c r="AO650" s="449">
        <v>10585.833734939757</v>
      </c>
      <c r="AP650" s="449">
        <v>958.83373493975705</v>
      </c>
      <c r="AQ650" s="453">
        <v>9.9598393574296978E-2</v>
      </c>
      <c r="AR650" s="449">
        <v>10585.833734939757</v>
      </c>
      <c r="AS650" s="449">
        <v>0</v>
      </c>
      <c r="AT650" s="426">
        <v>0</v>
      </c>
      <c r="AU650" s="421"/>
      <c r="AV650" s="449">
        <v>882.15281124497994</v>
      </c>
      <c r="AW650" s="449">
        <v>882.15281124497994</v>
      </c>
      <c r="AX650" s="449">
        <v>882.15281124497994</v>
      </c>
      <c r="AY650" s="449">
        <v>882.15281124497994</v>
      </c>
      <c r="AZ650" s="449">
        <v>882.15281124497994</v>
      </c>
      <c r="BA650" s="449">
        <v>882.15281124497994</v>
      </c>
      <c r="BB650" s="449">
        <v>882.15281124497994</v>
      </c>
      <c r="BC650" s="449">
        <v>882.15281124497994</v>
      </c>
      <c r="BD650" s="449">
        <v>882.15281124497994</v>
      </c>
      <c r="BE650" s="449">
        <v>882.15281124497994</v>
      </c>
      <c r="BF650" s="449">
        <v>882.15281124497994</v>
      </c>
      <c r="BG650" s="449">
        <v>882.15281124497994</v>
      </c>
      <c r="BH650" s="400"/>
      <c r="BI650" s="449">
        <v>882.15281124497994</v>
      </c>
      <c r="BJ650" s="449">
        <v>882.15281124497994</v>
      </c>
      <c r="BK650" s="449">
        <v>882.15281124497994</v>
      </c>
      <c r="BL650" s="771">
        <v>882.15281124497994</v>
      </c>
      <c r="BM650" s="449">
        <v>882.15281124497994</v>
      </c>
      <c r="BN650" s="449">
        <v>882.15281124497994</v>
      </c>
      <c r="BO650" s="449">
        <v>882.15281124497994</v>
      </c>
      <c r="BP650" s="449">
        <v>882.15281124497994</v>
      </c>
      <c r="BQ650" s="449">
        <v>882.15281124497994</v>
      </c>
      <c r="BR650" s="449">
        <v>882.15281124497994</v>
      </c>
      <c r="BS650" s="449">
        <v>882.15281124497994</v>
      </c>
      <c r="BT650" s="449">
        <v>882.15281124497994</v>
      </c>
    </row>
    <row r="651" spans="1:72" s="536" customFormat="1" ht="8.25" customHeight="1" x14ac:dyDescent="0.25">
      <c r="A651" s="502"/>
      <c r="B651" s="502"/>
      <c r="C651" s="538"/>
      <c r="D651" s="500"/>
      <c r="E651" s="449"/>
      <c r="F651" s="449"/>
      <c r="G651" s="421"/>
      <c r="H651" s="449"/>
      <c r="I651" s="449"/>
      <c r="J651" s="426"/>
      <c r="K651" s="421"/>
      <c r="L651" s="449"/>
      <c r="M651" s="449"/>
      <c r="N651" s="449"/>
      <c r="O651" s="449"/>
      <c r="P651" s="449"/>
      <c r="Q651" s="449"/>
      <c r="R651" s="449"/>
      <c r="S651" s="449"/>
      <c r="T651" s="449"/>
      <c r="U651" s="449"/>
      <c r="V651" s="449"/>
      <c r="W651" s="449"/>
      <c r="X651" s="449"/>
      <c r="Y651" s="449"/>
      <c r="Z651" s="531"/>
      <c r="AA651" s="449"/>
      <c r="AB651" s="449"/>
      <c r="AC651" s="449"/>
      <c r="AD651" s="449"/>
      <c r="AE651" s="449"/>
      <c r="AF651" s="449"/>
      <c r="AG651" s="449"/>
      <c r="AH651" s="449"/>
      <c r="AI651" s="449"/>
      <c r="AJ651" s="449"/>
      <c r="AK651" s="449"/>
      <c r="AL651" s="449"/>
      <c r="AN651" s="500"/>
      <c r="AO651" s="449"/>
      <c r="AP651" s="449"/>
      <c r="AQ651" s="453"/>
      <c r="AR651" s="449"/>
      <c r="AS651" s="449"/>
      <c r="AT651" s="426"/>
      <c r="AU651" s="421"/>
      <c r="AV651" s="449"/>
      <c r="AW651" s="449"/>
      <c r="AX651" s="449"/>
      <c r="AY651" s="449"/>
      <c r="AZ651" s="449"/>
      <c r="BA651" s="449"/>
      <c r="BB651" s="449"/>
      <c r="BC651" s="449"/>
      <c r="BD651" s="449"/>
      <c r="BE651" s="449"/>
      <c r="BF651" s="449"/>
      <c r="BG651" s="449"/>
      <c r="BH651" s="531"/>
      <c r="BI651" s="449"/>
      <c r="BJ651" s="449"/>
      <c r="BK651" s="449"/>
      <c r="BL651" s="771"/>
      <c r="BM651" s="449"/>
      <c r="BN651" s="449"/>
      <c r="BO651" s="449"/>
      <c r="BP651" s="449"/>
      <c r="BQ651" s="449"/>
      <c r="BR651" s="449"/>
      <c r="BS651" s="449"/>
      <c r="BT651" s="449"/>
    </row>
    <row r="652" spans="1:72" s="536" customFormat="1" ht="15" customHeight="1" thickBot="1" x14ac:dyDescent="0.3">
      <c r="A652" s="524"/>
      <c r="B652" s="524" t="s">
        <v>1056</v>
      </c>
      <c r="C652" s="535"/>
      <c r="D652" s="532">
        <v>2523274</v>
      </c>
      <c r="E652" s="533">
        <v>2150366.895</v>
      </c>
      <c r="F652" s="533">
        <v>372907.10499999998</v>
      </c>
      <c r="G652" s="520">
        <v>0.1734155719505717</v>
      </c>
      <c r="H652" s="533">
        <v>2520647</v>
      </c>
      <c r="I652" s="533">
        <v>2627</v>
      </c>
      <c r="J652" s="521">
        <v>1.0421927386103647E-3</v>
      </c>
      <c r="K652" s="507"/>
      <c r="L652" s="533">
        <v>0</v>
      </c>
      <c r="M652" s="533">
        <v>366875.36</v>
      </c>
      <c r="N652" s="533">
        <v>0</v>
      </c>
      <c r="O652" s="533">
        <v>9627</v>
      </c>
      <c r="P652" s="533">
        <v>0</v>
      </c>
      <c r="Q652" s="533">
        <v>773856</v>
      </c>
      <c r="R652" s="533">
        <v>228819.27333333332</v>
      </c>
      <c r="S652" s="533">
        <v>228819.27333333337</v>
      </c>
      <c r="T652" s="533">
        <v>228819.27333333335</v>
      </c>
      <c r="U652" s="533">
        <v>228819.27333333332</v>
      </c>
      <c r="V652" s="533">
        <v>228819.27333333329</v>
      </c>
      <c r="W652" s="533">
        <v>228819.27333333323</v>
      </c>
      <c r="X652" s="533"/>
      <c r="Y652" s="533">
        <v>2523274.0000000005</v>
      </c>
      <c r="Z652" s="508"/>
      <c r="AA652" s="533">
        <v>210053.91666666666</v>
      </c>
      <c r="AB652" s="533">
        <v>210053.91666666666</v>
      </c>
      <c r="AC652" s="533">
        <v>210053.91666666666</v>
      </c>
      <c r="AD652" s="533">
        <v>210053.91666666666</v>
      </c>
      <c r="AE652" s="533">
        <v>210053.91666666666</v>
      </c>
      <c r="AF652" s="533">
        <v>210053.91666666666</v>
      </c>
      <c r="AG652" s="533">
        <v>210053.91666666666</v>
      </c>
      <c r="AH652" s="533">
        <v>210053.91666666666</v>
      </c>
      <c r="AI652" s="533">
        <v>210053.91666666666</v>
      </c>
      <c r="AJ652" s="533">
        <v>210053.91666666666</v>
      </c>
      <c r="AK652" s="533">
        <v>210053.91666666666</v>
      </c>
      <c r="AL652" s="533">
        <v>210053.91666666666</v>
      </c>
      <c r="AN652" s="532">
        <v>2523274</v>
      </c>
      <c r="AO652" s="533">
        <v>2243207.3337349398</v>
      </c>
      <c r="AP652" s="533">
        <v>-280066.66626506019</v>
      </c>
      <c r="AQ652" s="523">
        <v>-0.11099336269666323</v>
      </c>
      <c r="AR652" s="533">
        <v>2243207.3337349398</v>
      </c>
      <c r="AS652" s="533">
        <v>0</v>
      </c>
      <c r="AT652" s="521">
        <v>0</v>
      </c>
      <c r="AU652" s="507"/>
      <c r="AV652" s="533">
        <v>40000.652811244981</v>
      </c>
      <c r="AW652" s="533">
        <v>40000.652811244981</v>
      </c>
      <c r="AX652" s="533">
        <v>40000.652811244981</v>
      </c>
      <c r="AY652" s="533">
        <v>40000.652811244981</v>
      </c>
      <c r="AZ652" s="533">
        <v>40000.652811244981</v>
      </c>
      <c r="BA652" s="533">
        <v>921600.40281124495</v>
      </c>
      <c r="BB652" s="533">
        <v>40000.652811244981</v>
      </c>
      <c r="BC652" s="533">
        <v>40000.652811244981</v>
      </c>
      <c r="BD652" s="533">
        <v>40000.652811244981</v>
      </c>
      <c r="BE652" s="533">
        <v>40000.652811244981</v>
      </c>
      <c r="BF652" s="533">
        <v>40000.652811244981</v>
      </c>
      <c r="BG652" s="533">
        <v>921600.40281124495</v>
      </c>
      <c r="BH652" s="508"/>
      <c r="BI652" s="533">
        <v>40000.652811244981</v>
      </c>
      <c r="BJ652" s="533">
        <v>40000.652811244981</v>
      </c>
      <c r="BK652" s="533">
        <v>40000.652811244981</v>
      </c>
      <c r="BL652" s="777">
        <v>40000.652811244981</v>
      </c>
      <c r="BM652" s="533">
        <v>40000.652811244981</v>
      </c>
      <c r="BN652" s="533">
        <v>921600.40281124495</v>
      </c>
      <c r="BO652" s="533">
        <v>40000.652811244981</v>
      </c>
      <c r="BP652" s="533">
        <v>40000.652811244981</v>
      </c>
      <c r="BQ652" s="533">
        <v>40000.652811244981</v>
      </c>
      <c r="BR652" s="533">
        <v>40000.652811244981</v>
      </c>
      <c r="BS652" s="533">
        <v>40000.652811244981</v>
      </c>
      <c r="BT652" s="533">
        <v>921600.40281124495</v>
      </c>
    </row>
    <row r="653" spans="1:72" s="536" customFormat="1" ht="15" customHeight="1" thickTop="1" x14ac:dyDescent="0.25">
      <c r="A653" s="502"/>
      <c r="B653" s="502"/>
      <c r="C653" s="538"/>
      <c r="D653" s="500"/>
      <c r="E653" s="449"/>
      <c r="F653" s="449"/>
      <c r="G653" s="421"/>
      <c r="H653" s="449"/>
      <c r="I653" s="449"/>
      <c r="J653" s="426"/>
      <c r="K653" s="421"/>
      <c r="L653" s="449"/>
      <c r="M653" s="449"/>
      <c r="N653" s="449"/>
      <c r="O653" s="449"/>
      <c r="P653" s="449"/>
      <c r="Q653" s="449"/>
      <c r="R653" s="449"/>
      <c r="S653" s="449"/>
      <c r="T653" s="449"/>
      <c r="U653" s="449"/>
      <c r="V653" s="449"/>
      <c r="W653" s="449"/>
      <c r="X653" s="449"/>
      <c r="Y653" s="449"/>
      <c r="Z653" s="531"/>
      <c r="AA653" s="449"/>
      <c r="AB653" s="449"/>
      <c r="AC653" s="449"/>
      <c r="AD653" s="449"/>
      <c r="AE653" s="449"/>
      <c r="AF653" s="449"/>
      <c r="AG653" s="449"/>
      <c r="AH653" s="449"/>
      <c r="AI653" s="449"/>
      <c r="AJ653" s="449"/>
      <c r="AK653" s="449"/>
      <c r="AL653" s="449"/>
      <c r="AN653" s="500"/>
      <c r="AO653" s="449"/>
      <c r="AP653" s="449"/>
      <c r="AQ653" s="453"/>
      <c r="AR653" s="449"/>
      <c r="AS653" s="449"/>
      <c r="AT653" s="426"/>
      <c r="AU653" s="421"/>
      <c r="AV653" s="449"/>
      <c r="AW653" s="449"/>
      <c r="AX653" s="449"/>
      <c r="AY653" s="449"/>
      <c r="AZ653" s="449"/>
      <c r="BA653" s="449"/>
      <c r="BB653" s="449"/>
      <c r="BC653" s="449"/>
      <c r="BD653" s="449"/>
      <c r="BE653" s="449"/>
      <c r="BF653" s="449"/>
      <c r="BG653" s="449"/>
      <c r="BH653" s="531"/>
      <c r="BI653" s="449"/>
      <c r="BJ653" s="449"/>
      <c r="BK653" s="449"/>
      <c r="BL653" s="771"/>
      <c r="BM653" s="449"/>
      <c r="BN653" s="449"/>
      <c r="BO653" s="449"/>
      <c r="BP653" s="449"/>
      <c r="BQ653" s="449"/>
      <c r="BR653" s="449"/>
      <c r="BS653" s="449"/>
      <c r="BT653" s="449"/>
    </row>
    <row r="654" spans="1:72" s="536" customFormat="1" ht="15" customHeight="1" x14ac:dyDescent="0.25">
      <c r="A654" s="524" t="s">
        <v>1057</v>
      </c>
      <c r="B654" s="502"/>
      <c r="C654" s="538"/>
      <c r="D654" s="550">
        <v>-1184284.54</v>
      </c>
      <c r="E654" s="551">
        <v>-714781.26500000013</v>
      </c>
      <c r="F654" s="551">
        <v>-469503.27499999991</v>
      </c>
      <c r="G654" s="507">
        <v>-0.65684888229408167</v>
      </c>
      <c r="H654" s="551">
        <v>-1189549</v>
      </c>
      <c r="I654" s="551">
        <v>5264.4599999999627</v>
      </c>
      <c r="J654" s="529">
        <v>4.4255932290304667E-3</v>
      </c>
      <c r="K654" s="507"/>
      <c r="L654" s="551">
        <v>83192.049999999988</v>
      </c>
      <c r="M654" s="551">
        <v>-286256.55</v>
      </c>
      <c r="N654" s="551">
        <v>79720.040000000008</v>
      </c>
      <c r="O654" s="551">
        <v>75772.829999999987</v>
      </c>
      <c r="P654" s="551">
        <v>79613.050000000047</v>
      </c>
      <c r="Q654" s="551">
        <v>-629237.00000000012</v>
      </c>
      <c r="R654" s="551">
        <v>-97848.159999999974</v>
      </c>
      <c r="S654" s="551">
        <v>-97848.160000000047</v>
      </c>
      <c r="T654" s="551">
        <v>-97848.16</v>
      </c>
      <c r="U654" s="551">
        <v>-97848.15999999996</v>
      </c>
      <c r="V654" s="551">
        <v>-97848.159999999887</v>
      </c>
      <c r="W654" s="551">
        <v>-97848.159999999945</v>
      </c>
      <c r="X654" s="551"/>
      <c r="Y654" s="551">
        <v>-1184284.5399999998</v>
      </c>
      <c r="Z654" s="508"/>
      <c r="AA654" s="551">
        <v>-99129.083333333314</v>
      </c>
      <c r="AB654" s="551">
        <v>-99129.083333333314</v>
      </c>
      <c r="AC654" s="551">
        <v>-99129.083333333314</v>
      </c>
      <c r="AD654" s="551">
        <v>-99129.083333333314</v>
      </c>
      <c r="AE654" s="551">
        <v>-99129.083333333314</v>
      </c>
      <c r="AF654" s="551">
        <v>-99129.083333333314</v>
      </c>
      <c r="AG654" s="551">
        <v>-99129.083333333314</v>
      </c>
      <c r="AH654" s="551">
        <v>-99129.083333333314</v>
      </c>
      <c r="AI654" s="551">
        <v>-99129.083333333314</v>
      </c>
      <c r="AJ654" s="551">
        <v>-99129.083333333314</v>
      </c>
      <c r="AK654" s="551">
        <v>-99129.083333333314</v>
      </c>
      <c r="AL654" s="551">
        <v>-99129.083333333314</v>
      </c>
      <c r="AN654" s="550">
        <v>-1184284.54</v>
      </c>
      <c r="AO654" s="551">
        <v>-452116.37373493961</v>
      </c>
      <c r="AP654" s="551">
        <v>732168.16626506043</v>
      </c>
      <c r="AQ654" s="499">
        <v>0.61823670033306388</v>
      </c>
      <c r="AR654" s="551">
        <v>-452116.37373493961</v>
      </c>
      <c r="AS654" s="551">
        <v>0</v>
      </c>
      <c r="AT654" s="529">
        <v>0</v>
      </c>
      <c r="AU654" s="507"/>
      <c r="AV654" s="551">
        <v>109256.92718875501</v>
      </c>
      <c r="AW654" s="551">
        <v>109256.92718875501</v>
      </c>
      <c r="AX654" s="551">
        <v>109256.92718875501</v>
      </c>
      <c r="AY654" s="551">
        <v>109256.92718875501</v>
      </c>
      <c r="AZ654" s="551">
        <v>109256.92718875501</v>
      </c>
      <c r="BA654" s="551">
        <v>-772342.82281124499</v>
      </c>
      <c r="BB654" s="551">
        <v>109256.92718875501</v>
      </c>
      <c r="BC654" s="551">
        <v>109256.92718875501</v>
      </c>
      <c r="BD654" s="551">
        <v>109256.92718875501</v>
      </c>
      <c r="BE654" s="551">
        <v>109256.92718875501</v>
      </c>
      <c r="BF654" s="551">
        <v>109256.92718875501</v>
      </c>
      <c r="BG654" s="551">
        <v>-772342.82281124499</v>
      </c>
      <c r="BH654" s="508"/>
      <c r="BI654" s="551">
        <v>109256.92718875501</v>
      </c>
      <c r="BJ654" s="551">
        <v>109256.92718875501</v>
      </c>
      <c r="BK654" s="551">
        <v>109256.92718875501</v>
      </c>
      <c r="BL654" s="780">
        <v>109256.92718875501</v>
      </c>
      <c r="BM654" s="551">
        <v>109256.92718875501</v>
      </c>
      <c r="BN654" s="551">
        <v>-772342.82281124499</v>
      </c>
      <c r="BO654" s="551">
        <v>109256.92718875501</v>
      </c>
      <c r="BP654" s="551">
        <v>109256.92718875501</v>
      </c>
      <c r="BQ654" s="551">
        <v>109256.92718875501</v>
      </c>
      <c r="BR654" s="551">
        <v>109256.92718875501</v>
      </c>
      <c r="BS654" s="551">
        <v>109256.92718875501</v>
      </c>
      <c r="BT654" s="551">
        <v>-772342.82281124499</v>
      </c>
    </row>
    <row r="655" spans="1:72" s="536" customFormat="1" ht="9" hidden="1" customHeight="1" x14ac:dyDescent="0.25">
      <c r="A655" s="502"/>
      <c r="B655" s="502"/>
      <c r="C655" s="538"/>
      <c r="D655" s="500"/>
      <c r="E655" s="449"/>
      <c r="F655" s="449"/>
      <c r="G655" s="421"/>
      <c r="H655" s="449"/>
      <c r="I655" s="449"/>
      <c r="J655" s="426"/>
      <c r="K655" s="421"/>
      <c r="L655" s="449"/>
      <c r="M655" s="449"/>
      <c r="N655" s="449"/>
      <c r="O655" s="449"/>
      <c r="P655" s="449"/>
      <c r="Q655" s="449"/>
      <c r="R655" s="449"/>
      <c r="S655" s="449"/>
      <c r="T655" s="449"/>
      <c r="U655" s="449"/>
      <c r="V655" s="449"/>
      <c r="W655" s="449"/>
      <c r="X655" s="449"/>
      <c r="Y655" s="449"/>
      <c r="Z655" s="531"/>
      <c r="AA655" s="449"/>
      <c r="AB655" s="449"/>
      <c r="AC655" s="449"/>
      <c r="AD655" s="449"/>
      <c r="AE655" s="449"/>
      <c r="AF655" s="449"/>
      <c r="AG655" s="449"/>
      <c r="AH655" s="449"/>
      <c r="AI655" s="449"/>
      <c r="AJ655" s="449"/>
      <c r="AK655" s="449"/>
      <c r="AL655" s="449"/>
      <c r="AN655" s="500"/>
      <c r="AO655" s="449"/>
      <c r="AP655" s="449"/>
      <c r="AQ655" s="453"/>
      <c r="AR655" s="449"/>
      <c r="AS655" s="449"/>
      <c r="AT655" s="426"/>
      <c r="AU655" s="421"/>
      <c r="AV655" s="449"/>
      <c r="AW655" s="449"/>
      <c r="AX655" s="449"/>
      <c r="AY655" s="449"/>
      <c r="AZ655" s="449"/>
      <c r="BA655" s="449"/>
      <c r="BB655" s="449"/>
      <c r="BC655" s="449"/>
      <c r="BD655" s="449"/>
      <c r="BE655" s="449"/>
      <c r="BF655" s="449"/>
      <c r="BG655" s="449"/>
      <c r="BH655" s="531"/>
      <c r="BI655" s="449"/>
      <c r="BJ655" s="449"/>
      <c r="BK655" s="449"/>
      <c r="BL655" s="771"/>
      <c r="BM655" s="449"/>
      <c r="BN655" s="449"/>
      <c r="BO655" s="449"/>
      <c r="BP655" s="449"/>
      <c r="BQ655" s="449"/>
      <c r="BR655" s="449"/>
      <c r="BS655" s="449"/>
      <c r="BT655" s="449"/>
    </row>
    <row r="656" spans="1:72" s="536" customFormat="1" ht="15" hidden="1" customHeight="1" x14ac:dyDescent="0.25">
      <c r="A656" s="524" t="s">
        <v>1058</v>
      </c>
      <c r="B656" s="502"/>
      <c r="C656" s="538"/>
      <c r="D656" s="550"/>
      <c r="E656" s="551">
        <v>-1859211</v>
      </c>
      <c r="F656" s="551"/>
      <c r="G656" s="507"/>
      <c r="H656" s="551">
        <v>-1859211</v>
      </c>
      <c r="I656" s="551"/>
      <c r="J656" s="529"/>
      <c r="K656" s="507"/>
      <c r="L656" s="551"/>
      <c r="M656" s="551"/>
      <c r="N656" s="551"/>
      <c r="O656" s="551"/>
      <c r="P656" s="551"/>
      <c r="Q656" s="551"/>
      <c r="R656" s="551"/>
      <c r="S656" s="551"/>
      <c r="T656" s="551"/>
      <c r="U656" s="551"/>
      <c r="V656" s="551"/>
      <c r="W656" s="551"/>
      <c r="X656" s="551"/>
      <c r="Y656" s="551"/>
      <c r="Z656" s="508"/>
      <c r="AA656" s="551"/>
      <c r="AB656" s="551"/>
      <c r="AC656" s="551"/>
      <c r="AD656" s="551"/>
      <c r="AE656" s="551"/>
      <c r="AF656" s="551"/>
      <c r="AG656" s="551"/>
      <c r="AH656" s="551"/>
      <c r="AI656" s="551"/>
      <c r="AJ656" s="551"/>
      <c r="AK656" s="551"/>
      <c r="AL656" s="551"/>
      <c r="AN656" s="550"/>
      <c r="AO656" s="551"/>
      <c r="AP656" s="551"/>
      <c r="AQ656" s="499"/>
      <c r="AR656" s="528">
        <v>-3048760</v>
      </c>
      <c r="AS656" s="551"/>
      <c r="AT656" s="529"/>
      <c r="AU656" s="507"/>
      <c r="AV656" s="551"/>
      <c r="AW656" s="551"/>
      <c r="AX656" s="551"/>
      <c r="AY656" s="551"/>
      <c r="AZ656" s="551"/>
      <c r="BA656" s="551"/>
      <c r="BB656" s="551"/>
      <c r="BC656" s="551"/>
      <c r="BD656" s="551"/>
      <c r="BE656" s="551"/>
      <c r="BF656" s="551"/>
      <c r="BG656" s="551"/>
      <c r="BH656" s="508"/>
      <c r="BI656" s="551"/>
      <c r="BJ656" s="551"/>
      <c r="BK656" s="551"/>
      <c r="BL656" s="780"/>
      <c r="BM656" s="551"/>
      <c r="BN656" s="551"/>
      <c r="BO656" s="551"/>
      <c r="BP656" s="551"/>
      <c r="BQ656" s="551"/>
      <c r="BR656" s="551"/>
      <c r="BS656" s="551"/>
      <c r="BT656" s="551"/>
    </row>
    <row r="657" spans="1:72" s="536" customFormat="1" ht="7.5" hidden="1" customHeight="1" x14ac:dyDescent="0.25">
      <c r="A657" s="502"/>
      <c r="B657" s="502"/>
      <c r="C657" s="538"/>
      <c r="D657" s="500"/>
      <c r="E657" s="449"/>
      <c r="F657" s="449"/>
      <c r="G657" s="421"/>
      <c r="H657" s="449"/>
      <c r="I657" s="449"/>
      <c r="J657" s="426"/>
      <c r="K657" s="421"/>
      <c r="L657" s="449"/>
      <c r="M657" s="449"/>
      <c r="N657" s="449"/>
      <c r="O657" s="449"/>
      <c r="P657" s="449"/>
      <c r="Q657" s="449"/>
      <c r="R657" s="449"/>
      <c r="S657" s="449"/>
      <c r="T657" s="449"/>
      <c r="U657" s="449"/>
      <c r="V657" s="449"/>
      <c r="W657" s="449"/>
      <c r="X657" s="449"/>
      <c r="Y657" s="449"/>
      <c r="Z657" s="531"/>
      <c r="AA657" s="449"/>
      <c r="AB657" s="449"/>
      <c r="AC657" s="449"/>
      <c r="AD657" s="449"/>
      <c r="AE657" s="449"/>
      <c r="AF657" s="449"/>
      <c r="AG657" s="449"/>
      <c r="AH657" s="449"/>
      <c r="AI657" s="449"/>
      <c r="AJ657" s="449"/>
      <c r="AK657" s="449"/>
      <c r="AL657" s="449"/>
      <c r="AN657" s="500"/>
      <c r="AO657" s="449"/>
      <c r="AP657" s="449"/>
      <c r="AQ657" s="453"/>
      <c r="AR657" s="449"/>
      <c r="AS657" s="449"/>
      <c r="AT657" s="426"/>
      <c r="AU657" s="421"/>
      <c r="AV657" s="449"/>
      <c r="AW657" s="449"/>
      <c r="AX657" s="449"/>
      <c r="AY657" s="449"/>
      <c r="AZ657" s="449"/>
      <c r="BA657" s="449"/>
      <c r="BB657" s="449"/>
      <c r="BC657" s="449"/>
      <c r="BD657" s="449"/>
      <c r="BE657" s="449"/>
      <c r="BF657" s="449"/>
      <c r="BG657" s="449"/>
      <c r="BH657" s="531"/>
      <c r="BI657" s="449"/>
      <c r="BJ657" s="449"/>
      <c r="BK657" s="449"/>
      <c r="BL657" s="771"/>
      <c r="BM657" s="449"/>
      <c r="BN657" s="449"/>
      <c r="BO657" s="449"/>
      <c r="BP657" s="449"/>
      <c r="BQ657" s="449"/>
      <c r="BR657" s="449"/>
      <c r="BS657" s="449"/>
      <c r="BT657" s="449"/>
    </row>
    <row r="658" spans="1:72" s="536" customFormat="1" ht="15" hidden="1" customHeight="1" thickBot="1" x14ac:dyDescent="0.3">
      <c r="A658" s="524" t="s">
        <v>1059</v>
      </c>
      <c r="B658" s="502"/>
      <c r="C658" s="538"/>
      <c r="D658" s="550"/>
      <c r="E658" s="533">
        <v>-2573992.2650000001</v>
      </c>
      <c r="F658" s="551"/>
      <c r="G658" s="507"/>
      <c r="H658" s="533">
        <v>-3048760</v>
      </c>
      <c r="I658" s="551"/>
      <c r="J658" s="529"/>
      <c r="K658" s="507"/>
      <c r="L658" s="551"/>
      <c r="M658" s="551"/>
      <c r="N658" s="551"/>
      <c r="O658" s="551"/>
      <c r="P658" s="551"/>
      <c r="Q658" s="551"/>
      <c r="R658" s="551"/>
      <c r="S658" s="551"/>
      <c r="T658" s="551"/>
      <c r="U658" s="551"/>
      <c r="V658" s="551"/>
      <c r="W658" s="551"/>
      <c r="X658" s="551"/>
      <c r="Y658" s="551"/>
      <c r="Z658" s="508"/>
      <c r="AA658" s="551"/>
      <c r="AB658" s="551"/>
      <c r="AC658" s="551"/>
      <c r="AD658" s="551"/>
      <c r="AE658" s="551"/>
      <c r="AF658" s="551"/>
      <c r="AG658" s="551"/>
      <c r="AH658" s="551"/>
      <c r="AI658" s="551"/>
      <c r="AJ658" s="551"/>
      <c r="AK658" s="551"/>
      <c r="AL658" s="551"/>
      <c r="AN658" s="550"/>
      <c r="AO658" s="551"/>
      <c r="AP658" s="551"/>
      <c r="AQ658" s="499"/>
      <c r="AR658" s="533">
        <v>-3500876.3737349398</v>
      </c>
      <c r="AS658" s="551"/>
      <c r="AT658" s="529"/>
      <c r="AU658" s="507"/>
      <c r="AV658" s="551"/>
      <c r="AW658" s="551"/>
      <c r="AX658" s="551"/>
      <c r="AY658" s="551"/>
      <c r="AZ658" s="551"/>
      <c r="BA658" s="551"/>
      <c r="BB658" s="551"/>
      <c r="BC658" s="551"/>
      <c r="BD658" s="551"/>
      <c r="BE658" s="551"/>
      <c r="BF658" s="551"/>
      <c r="BG658" s="551"/>
      <c r="BH658" s="508"/>
      <c r="BI658" s="551"/>
      <c r="BJ658" s="551"/>
      <c r="BK658" s="551"/>
      <c r="BL658" s="780"/>
      <c r="BM658" s="551"/>
      <c r="BN658" s="551"/>
      <c r="BO658" s="551"/>
      <c r="BP658" s="551"/>
      <c r="BQ658" s="551"/>
      <c r="BR658" s="551"/>
      <c r="BS658" s="551"/>
      <c r="BT658" s="551"/>
    </row>
    <row r="659" spans="1:72" s="536" customFormat="1" ht="15" hidden="1" customHeight="1" thickTop="1" x14ac:dyDescent="0.25">
      <c r="A659" s="502"/>
      <c r="B659" s="502"/>
      <c r="C659" s="538"/>
      <c r="D659" s="500"/>
      <c r="E659" s="449"/>
      <c r="F659" s="449"/>
      <c r="G659" s="421"/>
      <c r="H659" s="449"/>
      <c r="I659" s="449"/>
      <c r="J659" s="426"/>
      <c r="K659" s="421"/>
      <c r="L659" s="449"/>
      <c r="M659" s="449"/>
      <c r="N659" s="449"/>
      <c r="O659" s="449"/>
      <c r="P659" s="449"/>
      <c r="Q659" s="449"/>
      <c r="R659" s="449"/>
      <c r="S659" s="449"/>
      <c r="T659" s="449"/>
      <c r="U659" s="449"/>
      <c r="V659" s="449"/>
      <c r="W659" s="449"/>
      <c r="X659" s="449"/>
      <c r="Y659" s="449"/>
      <c r="Z659" s="531"/>
      <c r="AA659" s="449"/>
      <c r="AB659" s="449"/>
      <c r="AC659" s="449"/>
      <c r="AD659" s="449"/>
      <c r="AE659" s="449"/>
      <c r="AF659" s="449"/>
      <c r="AG659" s="449"/>
      <c r="AH659" s="449"/>
      <c r="AI659" s="449"/>
      <c r="AJ659" s="449"/>
      <c r="AK659" s="449"/>
      <c r="AL659" s="449"/>
      <c r="AN659" s="500"/>
      <c r="AO659" s="449"/>
      <c r="AP659" s="449"/>
      <c r="AQ659" s="453"/>
      <c r="AR659" s="449"/>
      <c r="AS659" s="449"/>
      <c r="AT659" s="426"/>
      <c r="AU659" s="421"/>
      <c r="AV659" s="449"/>
      <c r="AW659" s="449"/>
      <c r="AX659" s="449"/>
      <c r="AY659" s="449"/>
      <c r="AZ659" s="449"/>
      <c r="BA659" s="449"/>
      <c r="BB659" s="449"/>
      <c r="BC659" s="449"/>
      <c r="BD659" s="449"/>
      <c r="BE659" s="449"/>
      <c r="BF659" s="449"/>
      <c r="BG659" s="449"/>
      <c r="BH659" s="531"/>
      <c r="BI659" s="449"/>
      <c r="BJ659" s="449"/>
      <c r="BK659" s="449"/>
      <c r="BL659" s="771"/>
      <c r="BM659" s="449"/>
      <c r="BN659" s="449"/>
      <c r="BO659" s="449"/>
      <c r="BP659" s="449"/>
      <c r="BQ659" s="449"/>
      <c r="BR659" s="449"/>
      <c r="BS659" s="449"/>
      <c r="BT659" s="449"/>
    </row>
    <row r="660" spans="1:72" s="536" customFormat="1" ht="15" customHeight="1" x14ac:dyDescent="0.25">
      <c r="A660" s="502"/>
      <c r="B660" s="502"/>
      <c r="C660" s="538"/>
      <c r="D660" s="500"/>
      <c r="E660" s="449"/>
      <c r="F660" s="449"/>
      <c r="G660" s="421"/>
      <c r="H660" s="449"/>
      <c r="I660" s="449"/>
      <c r="J660" s="426"/>
      <c r="K660" s="421"/>
      <c r="L660" s="449"/>
      <c r="M660" s="449"/>
      <c r="N660" s="449"/>
      <c r="O660" s="449"/>
      <c r="P660" s="449"/>
      <c r="Q660" s="449"/>
      <c r="R660" s="449"/>
      <c r="S660" s="449"/>
      <c r="T660" s="449"/>
      <c r="U660" s="449"/>
      <c r="V660" s="449"/>
      <c r="W660" s="449"/>
      <c r="X660" s="449"/>
      <c r="Y660" s="449"/>
      <c r="Z660" s="531"/>
      <c r="AA660" s="449"/>
      <c r="AB660" s="449"/>
      <c r="AC660" s="449"/>
      <c r="AD660" s="449"/>
      <c r="AE660" s="449"/>
      <c r="AF660" s="449"/>
      <c r="AG660" s="449"/>
      <c r="AH660" s="449"/>
      <c r="AI660" s="449"/>
      <c r="AJ660" s="449"/>
      <c r="AK660" s="449"/>
      <c r="AL660" s="449"/>
      <c r="AN660" s="500"/>
      <c r="AO660" s="449"/>
      <c r="AP660" s="449"/>
      <c r="AQ660" s="453"/>
      <c r="AR660" s="449"/>
      <c r="AS660" s="449"/>
      <c r="AT660" s="426"/>
      <c r="AU660" s="421"/>
      <c r="AV660" s="449"/>
      <c r="AW660" s="449"/>
      <c r="AX660" s="449"/>
      <c r="AY660" s="449"/>
      <c r="AZ660" s="449"/>
      <c r="BA660" s="449"/>
      <c r="BB660" s="449"/>
      <c r="BC660" s="449"/>
      <c r="BD660" s="449"/>
      <c r="BE660" s="449"/>
      <c r="BF660" s="449"/>
      <c r="BG660" s="449"/>
      <c r="BH660" s="531"/>
      <c r="BI660" s="449"/>
      <c r="BJ660" s="449"/>
      <c r="BK660" s="449"/>
      <c r="BL660" s="771"/>
      <c r="BM660" s="449"/>
      <c r="BN660" s="449"/>
      <c r="BO660" s="449"/>
      <c r="BP660" s="449"/>
      <c r="BQ660" s="449"/>
      <c r="BR660" s="449"/>
      <c r="BS660" s="449"/>
      <c r="BT660" s="449"/>
    </row>
    <row r="661" spans="1:72" s="536" customFormat="1" ht="15" customHeight="1" x14ac:dyDescent="0.25">
      <c r="A661" s="502"/>
      <c r="B661" s="552" t="s">
        <v>1060</v>
      </c>
      <c r="C661" s="538"/>
      <c r="D661" s="500"/>
      <c r="E661" s="449"/>
      <c r="F661" s="449"/>
      <c r="G661" s="421"/>
      <c r="H661" s="449"/>
      <c r="I661" s="449"/>
      <c r="J661" s="426"/>
      <c r="K661" s="421"/>
      <c r="L661" s="449"/>
      <c r="M661" s="449"/>
      <c r="N661" s="449"/>
      <c r="O661" s="449"/>
      <c r="P661" s="449"/>
      <c r="Q661" s="449"/>
      <c r="R661" s="449"/>
      <c r="S661" s="449"/>
      <c r="T661" s="449"/>
      <c r="U661" s="449"/>
      <c r="V661" s="449"/>
      <c r="W661" s="449"/>
      <c r="X661" s="449"/>
      <c r="Y661" s="449"/>
      <c r="Z661" s="531"/>
      <c r="AA661" s="449"/>
      <c r="AB661" s="449"/>
      <c r="AC661" s="449"/>
      <c r="AD661" s="449"/>
      <c r="AE661" s="449"/>
      <c r="AF661" s="449"/>
      <c r="AG661" s="449"/>
      <c r="AH661" s="449"/>
      <c r="AI661" s="449"/>
      <c r="AJ661" s="449"/>
      <c r="AK661" s="449"/>
      <c r="AL661" s="449"/>
      <c r="AN661" s="500"/>
      <c r="AO661" s="449"/>
      <c r="AP661" s="449"/>
      <c r="AQ661" s="453"/>
      <c r="AR661" s="449"/>
      <c r="AS661" s="449"/>
      <c r="AT661" s="426"/>
      <c r="AU661" s="421"/>
      <c r="AV661" s="449"/>
      <c r="AW661" s="449"/>
      <c r="AX661" s="449"/>
      <c r="AY661" s="449"/>
      <c r="AZ661" s="449"/>
      <c r="BA661" s="449"/>
      <c r="BB661" s="449"/>
      <c r="BC661" s="449"/>
      <c r="BD661" s="449"/>
      <c r="BE661" s="449"/>
      <c r="BF661" s="449"/>
      <c r="BG661" s="449"/>
      <c r="BH661" s="531"/>
      <c r="BI661" s="449"/>
      <c r="BJ661" s="449"/>
      <c r="BK661" s="449"/>
      <c r="BL661" s="771"/>
      <c r="BM661" s="449"/>
      <c r="BN661" s="449"/>
      <c r="BO661" s="449"/>
      <c r="BP661" s="449"/>
      <c r="BQ661" s="449"/>
      <c r="BR661" s="449"/>
      <c r="BS661" s="449"/>
      <c r="BT661" s="449"/>
    </row>
    <row r="662" spans="1:72" s="536" customFormat="1" ht="15" customHeight="1" x14ac:dyDescent="0.25">
      <c r="A662" s="502"/>
      <c r="B662" s="502"/>
      <c r="C662" s="538"/>
      <c r="D662" s="500"/>
      <c r="E662" s="449"/>
      <c r="F662" s="449"/>
      <c r="G662" s="421"/>
      <c r="H662" s="449"/>
      <c r="I662" s="449"/>
      <c r="J662" s="426"/>
      <c r="K662" s="421"/>
      <c r="L662" s="449"/>
      <c r="M662" s="449"/>
      <c r="N662" s="449"/>
      <c r="O662" s="449"/>
      <c r="P662" s="449"/>
      <c r="Q662" s="449"/>
      <c r="R662" s="449"/>
      <c r="S662" s="449"/>
      <c r="T662" s="449"/>
      <c r="U662" s="449"/>
      <c r="V662" s="449"/>
      <c r="W662" s="449"/>
      <c r="X662" s="449"/>
      <c r="Y662" s="449"/>
      <c r="Z662" s="531"/>
      <c r="AA662" s="449"/>
      <c r="AB662" s="449"/>
      <c r="AC662" s="449"/>
      <c r="AD662" s="449"/>
      <c r="AE662" s="449"/>
      <c r="AF662" s="449"/>
      <c r="AG662" s="449"/>
      <c r="AH662" s="449"/>
      <c r="AI662" s="449"/>
      <c r="AJ662" s="449"/>
      <c r="AK662" s="449"/>
      <c r="AL662" s="449"/>
      <c r="AN662" s="500"/>
      <c r="AO662" s="449"/>
      <c r="AP662" s="449"/>
      <c r="AQ662" s="453"/>
      <c r="AR662" s="449"/>
      <c r="AS662" s="449"/>
      <c r="AT662" s="426"/>
      <c r="AU662" s="421"/>
      <c r="AV662" s="449"/>
      <c r="AW662" s="449"/>
      <c r="AX662" s="449"/>
      <c r="AY662" s="449"/>
      <c r="AZ662" s="449"/>
      <c r="BA662" s="449"/>
      <c r="BB662" s="449"/>
      <c r="BC662" s="449"/>
      <c r="BD662" s="449"/>
      <c r="BE662" s="449"/>
      <c r="BF662" s="449"/>
      <c r="BG662" s="449"/>
      <c r="BH662" s="531"/>
      <c r="BI662" s="449"/>
      <c r="BJ662" s="449"/>
      <c r="BK662" s="449"/>
      <c r="BL662" s="771"/>
      <c r="BM662" s="449"/>
      <c r="BN662" s="449"/>
      <c r="BO662" s="449"/>
      <c r="BP662" s="449"/>
      <c r="BQ662" s="449"/>
      <c r="BR662" s="449"/>
      <c r="BS662" s="449"/>
      <c r="BT662" s="449"/>
    </row>
    <row r="663" spans="1:72" s="536" customFormat="1" ht="15" customHeight="1" x14ac:dyDescent="0.25">
      <c r="A663" s="502"/>
      <c r="B663" s="524" t="s">
        <v>1061</v>
      </c>
      <c r="C663" s="538"/>
      <c r="D663" s="500"/>
      <c r="E663" s="449"/>
      <c r="F663" s="449"/>
      <c r="G663" s="421"/>
      <c r="H663" s="449"/>
      <c r="I663" s="449"/>
      <c r="J663" s="426"/>
      <c r="K663" s="421"/>
      <c r="L663" s="449"/>
      <c r="M663" s="449"/>
      <c r="N663" s="449"/>
      <c r="O663" s="449"/>
      <c r="P663" s="449"/>
      <c r="Q663" s="449"/>
      <c r="R663" s="449"/>
      <c r="S663" s="449"/>
      <c r="T663" s="449"/>
      <c r="U663" s="449"/>
      <c r="V663" s="449"/>
      <c r="W663" s="449"/>
      <c r="X663" s="449"/>
      <c r="Y663" s="449"/>
      <c r="Z663" s="531"/>
      <c r="AA663" s="449"/>
      <c r="AB663" s="449"/>
      <c r="AC663" s="449"/>
      <c r="AD663" s="449"/>
      <c r="AE663" s="449"/>
      <c r="AF663" s="449"/>
      <c r="AG663" s="449"/>
      <c r="AH663" s="449"/>
      <c r="AI663" s="449"/>
      <c r="AJ663" s="449"/>
      <c r="AK663" s="449"/>
      <c r="AL663" s="449"/>
      <c r="AN663" s="500"/>
      <c r="AO663" s="449"/>
      <c r="AP663" s="449"/>
      <c r="AQ663" s="453"/>
      <c r="AR663" s="449"/>
      <c r="AS663" s="449"/>
      <c r="AT663" s="426"/>
      <c r="AU663" s="421"/>
      <c r="AV663" s="449"/>
      <c r="AW663" s="449"/>
      <c r="AX663" s="449"/>
      <c r="AY663" s="449"/>
      <c r="AZ663" s="449"/>
      <c r="BA663" s="449"/>
      <c r="BB663" s="449"/>
      <c r="BC663" s="449"/>
      <c r="BD663" s="449"/>
      <c r="BE663" s="449"/>
      <c r="BF663" s="449"/>
      <c r="BG663" s="449"/>
      <c r="BH663" s="531"/>
      <c r="BI663" s="449"/>
      <c r="BJ663" s="449"/>
      <c r="BK663" s="449"/>
      <c r="BL663" s="771"/>
      <c r="BM663" s="449"/>
      <c r="BN663" s="449"/>
      <c r="BO663" s="449"/>
      <c r="BP663" s="449"/>
      <c r="BQ663" s="449"/>
      <c r="BR663" s="449"/>
      <c r="BS663" s="449"/>
      <c r="BT663" s="449"/>
    </row>
    <row r="664" spans="1:72" ht="15" customHeight="1" x14ac:dyDescent="0.25">
      <c r="A664" s="502" t="s">
        <v>1062</v>
      </c>
      <c r="B664" s="502" t="s">
        <v>1063</v>
      </c>
      <c r="C664" s="400"/>
      <c r="D664" s="500">
        <v>16075</v>
      </c>
      <c r="E664" s="449">
        <v>16075</v>
      </c>
      <c r="F664" s="449">
        <v>0</v>
      </c>
      <c r="G664" s="421">
        <v>0</v>
      </c>
      <c r="H664" s="449">
        <v>16075</v>
      </c>
      <c r="I664" s="449">
        <v>0</v>
      </c>
      <c r="J664" s="426">
        <v>0</v>
      </c>
      <c r="K664" s="421"/>
      <c r="L664" s="449">
        <v>465.2</v>
      </c>
      <c r="M664" s="449">
        <v>0</v>
      </c>
      <c r="N664" s="449">
        <v>0</v>
      </c>
      <c r="O664" s="449">
        <v>0</v>
      </c>
      <c r="P664" s="449">
        <v>39.600000000000023</v>
      </c>
      <c r="Q664" s="449">
        <v>15.949999999999989</v>
      </c>
      <c r="R664" s="449">
        <v>2592.375</v>
      </c>
      <c r="S664" s="449">
        <v>2592.375</v>
      </c>
      <c r="T664" s="449">
        <v>2592.375</v>
      </c>
      <c r="U664" s="449">
        <v>2592.375</v>
      </c>
      <c r="V664" s="449">
        <v>2592.375</v>
      </c>
      <c r="W664" s="449">
        <v>2592.375</v>
      </c>
      <c r="X664" s="449"/>
      <c r="Y664" s="449">
        <v>16075</v>
      </c>
      <c r="Z664" s="501"/>
      <c r="AA664" s="449">
        <v>1339.5833333333333</v>
      </c>
      <c r="AB664" s="449">
        <v>1339.5833333333333</v>
      </c>
      <c r="AC664" s="449">
        <v>1339.5833333333333</v>
      </c>
      <c r="AD664" s="449">
        <v>1339.5833333333333</v>
      </c>
      <c r="AE664" s="449">
        <v>1339.5833333333333</v>
      </c>
      <c r="AF664" s="449">
        <v>1339.5833333333333</v>
      </c>
      <c r="AG664" s="449">
        <v>1339.5833333333333</v>
      </c>
      <c r="AH664" s="449">
        <v>1339.5833333333333</v>
      </c>
      <c r="AI664" s="449">
        <v>1339.5833333333333</v>
      </c>
      <c r="AJ664" s="449">
        <v>1339.5833333333333</v>
      </c>
      <c r="AK664" s="449">
        <v>1339.5833333333333</v>
      </c>
      <c r="AL664" s="449">
        <v>1339.5833333333333</v>
      </c>
      <c r="AM664" s="400"/>
      <c r="AN664" s="500">
        <v>16075</v>
      </c>
      <c r="AO664" s="449">
        <v>17676.04417670683</v>
      </c>
      <c r="AP664" s="449">
        <v>1601.0441767068296</v>
      </c>
      <c r="AQ664" s="453">
        <v>9.9598393574297325E-2</v>
      </c>
      <c r="AR664" s="449">
        <v>17676.04417670683</v>
      </c>
      <c r="AS664" s="449">
        <v>0</v>
      </c>
      <c r="AT664" s="426">
        <v>0</v>
      </c>
      <c r="AU664" s="421"/>
      <c r="AV664" s="449">
        <v>1473.0036813922359</v>
      </c>
      <c r="AW664" s="449">
        <v>1473.0036813922359</v>
      </c>
      <c r="AX664" s="449">
        <v>1473.0036813922359</v>
      </c>
      <c r="AY664" s="449">
        <v>1473.0036813922359</v>
      </c>
      <c r="AZ664" s="449">
        <v>1473.0036813922359</v>
      </c>
      <c r="BA664" s="449">
        <v>1473.0036813922359</v>
      </c>
      <c r="BB664" s="449">
        <v>1473.0036813922359</v>
      </c>
      <c r="BC664" s="449">
        <v>1473.0036813922359</v>
      </c>
      <c r="BD664" s="449">
        <v>1473.0036813922359</v>
      </c>
      <c r="BE664" s="449">
        <v>1473.0036813922359</v>
      </c>
      <c r="BF664" s="449">
        <v>1473.0036813922359</v>
      </c>
      <c r="BG664" s="449">
        <v>1473.0036813922359</v>
      </c>
      <c r="BH664" s="400"/>
      <c r="BI664" s="449">
        <v>1473.0036813922359</v>
      </c>
      <c r="BJ664" s="449">
        <v>1473.0036813922359</v>
      </c>
      <c r="BK664" s="449">
        <v>1473.0036813922359</v>
      </c>
      <c r="BL664" s="771">
        <v>1473.0036813922359</v>
      </c>
      <c r="BM664" s="449">
        <v>1473.0036813922359</v>
      </c>
      <c r="BN664" s="449">
        <v>1473.0036813922359</v>
      </c>
      <c r="BO664" s="449">
        <v>1473.0036813922359</v>
      </c>
      <c r="BP664" s="449">
        <v>1473.0036813922359</v>
      </c>
      <c r="BQ664" s="449">
        <v>1473.0036813922359</v>
      </c>
      <c r="BR664" s="449">
        <v>1473.0036813922359</v>
      </c>
      <c r="BS664" s="449">
        <v>1473.0036813922359</v>
      </c>
      <c r="BT664" s="449">
        <v>1473.0036813922359</v>
      </c>
    </row>
    <row r="665" spans="1:72" ht="15" customHeight="1" x14ac:dyDescent="0.25">
      <c r="A665" s="502" t="s">
        <v>1064</v>
      </c>
      <c r="B665" s="502" t="s">
        <v>1065</v>
      </c>
      <c r="C665" s="400"/>
      <c r="D665" s="500">
        <v>48225</v>
      </c>
      <c r="E665" s="449">
        <v>48225</v>
      </c>
      <c r="F665" s="449">
        <v>0</v>
      </c>
      <c r="G665" s="421">
        <v>0</v>
      </c>
      <c r="H665" s="449">
        <v>48225</v>
      </c>
      <c r="I665" s="449">
        <v>0</v>
      </c>
      <c r="J665" s="426">
        <v>0</v>
      </c>
      <c r="K665" s="421"/>
      <c r="L665" s="449">
        <v>0</v>
      </c>
      <c r="M665" s="449">
        <v>0</v>
      </c>
      <c r="N665" s="449">
        <v>0</v>
      </c>
      <c r="O665" s="449">
        <v>8700</v>
      </c>
      <c r="P665" s="449">
        <v>1839</v>
      </c>
      <c r="Q665" s="449">
        <v>1654</v>
      </c>
      <c r="R665" s="449">
        <v>6005.333333333333</v>
      </c>
      <c r="S665" s="449">
        <v>6005.3333333333339</v>
      </c>
      <c r="T665" s="449">
        <v>6005.3333333333339</v>
      </c>
      <c r="U665" s="449">
        <v>6005.333333333333</v>
      </c>
      <c r="V665" s="449">
        <v>6005.3333333333321</v>
      </c>
      <c r="W665" s="449">
        <v>6005.3333333333285</v>
      </c>
      <c r="X665" s="449"/>
      <c r="Y665" s="449">
        <v>48225</v>
      </c>
      <c r="Z665" s="501"/>
      <c r="AA665" s="449">
        <v>4018.75</v>
      </c>
      <c r="AB665" s="449">
        <v>4018.75</v>
      </c>
      <c r="AC665" s="449">
        <v>4018.75</v>
      </c>
      <c r="AD665" s="449">
        <v>4018.75</v>
      </c>
      <c r="AE665" s="449">
        <v>4018.75</v>
      </c>
      <c r="AF665" s="449">
        <v>4018.75</v>
      </c>
      <c r="AG665" s="449">
        <v>4018.75</v>
      </c>
      <c r="AH665" s="449">
        <v>4018.75</v>
      </c>
      <c r="AI665" s="449">
        <v>4018.75</v>
      </c>
      <c r="AJ665" s="449">
        <v>4018.75</v>
      </c>
      <c r="AK665" s="449">
        <v>4018.75</v>
      </c>
      <c r="AL665" s="449">
        <v>4018.75</v>
      </c>
      <c r="AM665" s="400"/>
      <c r="AN665" s="500">
        <v>48225</v>
      </c>
      <c r="AO665" s="449">
        <v>53028.1325301205</v>
      </c>
      <c r="AP665" s="449">
        <v>4803.1325301204997</v>
      </c>
      <c r="AQ665" s="453">
        <v>9.9598393574297561E-2</v>
      </c>
      <c r="AR665" s="449">
        <v>53028.1325301205</v>
      </c>
      <c r="AS665" s="449">
        <v>0</v>
      </c>
      <c r="AT665" s="426">
        <v>0</v>
      </c>
      <c r="AU665" s="421"/>
      <c r="AV665" s="449">
        <v>4419.0110441767074</v>
      </c>
      <c r="AW665" s="449">
        <v>4419.0110441767074</v>
      </c>
      <c r="AX665" s="449">
        <v>4419.0110441767074</v>
      </c>
      <c r="AY665" s="449">
        <v>4419.0110441767074</v>
      </c>
      <c r="AZ665" s="449">
        <v>4419.0110441767074</v>
      </c>
      <c r="BA665" s="449">
        <v>4419.0110441767074</v>
      </c>
      <c r="BB665" s="449">
        <v>4419.0110441767074</v>
      </c>
      <c r="BC665" s="449">
        <v>4419.0110441767074</v>
      </c>
      <c r="BD665" s="449">
        <v>4419.0110441767074</v>
      </c>
      <c r="BE665" s="449">
        <v>4419.0110441767074</v>
      </c>
      <c r="BF665" s="449">
        <v>4419.0110441767074</v>
      </c>
      <c r="BG665" s="449">
        <v>4419.0110441767074</v>
      </c>
      <c r="BH665" s="400"/>
      <c r="BI665" s="449">
        <v>4419.0110441767074</v>
      </c>
      <c r="BJ665" s="449">
        <v>4419.0110441767074</v>
      </c>
      <c r="BK665" s="449">
        <v>4419.0110441767074</v>
      </c>
      <c r="BL665" s="771">
        <v>4419.0110441767074</v>
      </c>
      <c r="BM665" s="449">
        <v>4419.0110441767074</v>
      </c>
      <c r="BN665" s="449">
        <v>4419.0110441767074</v>
      </c>
      <c r="BO665" s="449">
        <v>4419.0110441767074</v>
      </c>
      <c r="BP665" s="449">
        <v>4419.0110441767074</v>
      </c>
      <c r="BQ665" s="449">
        <v>4419.0110441767074</v>
      </c>
      <c r="BR665" s="449">
        <v>4419.0110441767074</v>
      </c>
      <c r="BS665" s="449">
        <v>4419.0110441767074</v>
      </c>
      <c r="BT665" s="449">
        <v>4419.0110441767074</v>
      </c>
    </row>
    <row r="666" spans="1:72" ht="15" customHeight="1" x14ac:dyDescent="0.25">
      <c r="A666" s="502" t="s">
        <v>1066</v>
      </c>
      <c r="B666" s="502" t="s">
        <v>1067</v>
      </c>
      <c r="C666" s="400"/>
      <c r="D666" s="500">
        <v>102880</v>
      </c>
      <c r="E666" s="449">
        <v>102880</v>
      </c>
      <c r="F666" s="449">
        <v>0</v>
      </c>
      <c r="G666" s="421">
        <v>0</v>
      </c>
      <c r="H666" s="449">
        <v>102880</v>
      </c>
      <c r="I666" s="449">
        <v>0</v>
      </c>
      <c r="J666" s="426">
        <v>0</v>
      </c>
      <c r="K666" s="421"/>
      <c r="L666" s="449">
        <v>6.39</v>
      </c>
      <c r="M666" s="449">
        <v>0</v>
      </c>
      <c r="N666" s="449">
        <v>1247.9399999999998</v>
      </c>
      <c r="O666" s="449">
        <v>27448.239999999998</v>
      </c>
      <c r="P666" s="449">
        <v>890.88000000000102</v>
      </c>
      <c r="Q666" s="449">
        <v>695.52999999999884</v>
      </c>
      <c r="R666" s="449">
        <v>12098.503333333334</v>
      </c>
      <c r="S666" s="449">
        <v>12098.503333333332</v>
      </c>
      <c r="T666" s="449">
        <v>12098.503333333332</v>
      </c>
      <c r="U666" s="449">
        <v>12098.503333333332</v>
      </c>
      <c r="V666" s="449">
        <v>12098.503333333334</v>
      </c>
      <c r="W666" s="449">
        <v>12098.503333333327</v>
      </c>
      <c r="X666" s="449"/>
      <c r="Y666" s="449">
        <v>102880</v>
      </c>
      <c r="Z666" s="501"/>
      <c r="AA666" s="449">
        <v>8573.3333333333339</v>
      </c>
      <c r="AB666" s="449">
        <v>8573.3333333333339</v>
      </c>
      <c r="AC666" s="449">
        <v>8573.3333333333339</v>
      </c>
      <c r="AD666" s="449">
        <v>8573.3333333333339</v>
      </c>
      <c r="AE666" s="449">
        <v>8573.3333333333339</v>
      </c>
      <c r="AF666" s="449">
        <v>8573.3333333333339</v>
      </c>
      <c r="AG666" s="449">
        <v>8573.3333333333339</v>
      </c>
      <c r="AH666" s="449">
        <v>8573.3333333333339</v>
      </c>
      <c r="AI666" s="449">
        <v>8573.3333333333339</v>
      </c>
      <c r="AJ666" s="449">
        <v>8573.3333333333339</v>
      </c>
      <c r="AK666" s="449">
        <v>8573.3333333333339</v>
      </c>
      <c r="AL666" s="449">
        <v>8573.3333333333339</v>
      </c>
      <c r="AM666" s="400"/>
      <c r="AN666" s="500">
        <v>102880</v>
      </c>
      <c r="AO666" s="449">
        <v>113126.6827309237</v>
      </c>
      <c r="AP666" s="449">
        <v>10246.682730923698</v>
      </c>
      <c r="AQ666" s="453">
        <v>9.9598393574297214E-2</v>
      </c>
      <c r="AR666" s="449">
        <v>113126.6827309237</v>
      </c>
      <c r="AS666" s="449">
        <v>0</v>
      </c>
      <c r="AT666" s="426">
        <v>0</v>
      </c>
      <c r="AU666" s="421"/>
      <c r="AV666" s="449">
        <v>9427.2235609103082</v>
      </c>
      <c r="AW666" s="449">
        <v>9427.2235609103082</v>
      </c>
      <c r="AX666" s="449">
        <v>9427.2235609103082</v>
      </c>
      <c r="AY666" s="449">
        <v>9427.2235609103082</v>
      </c>
      <c r="AZ666" s="449">
        <v>9427.2235609103082</v>
      </c>
      <c r="BA666" s="449">
        <v>9427.2235609103082</v>
      </c>
      <c r="BB666" s="449">
        <v>9427.2235609103082</v>
      </c>
      <c r="BC666" s="449">
        <v>9427.2235609103082</v>
      </c>
      <c r="BD666" s="449">
        <v>9427.2235609103082</v>
      </c>
      <c r="BE666" s="449">
        <v>9427.2235609103082</v>
      </c>
      <c r="BF666" s="449">
        <v>9427.2235609103082</v>
      </c>
      <c r="BG666" s="449">
        <v>9427.2235609103082</v>
      </c>
      <c r="BH666" s="400"/>
      <c r="BI666" s="449">
        <v>9427.2235609103082</v>
      </c>
      <c r="BJ666" s="449">
        <v>9427.2235609103082</v>
      </c>
      <c r="BK666" s="449">
        <v>9427.2235609103082</v>
      </c>
      <c r="BL666" s="771">
        <v>9427.2235609103082</v>
      </c>
      <c r="BM666" s="449">
        <v>9427.2235609103082</v>
      </c>
      <c r="BN666" s="449">
        <v>9427.2235609103082</v>
      </c>
      <c r="BO666" s="449">
        <v>9427.2235609103082</v>
      </c>
      <c r="BP666" s="449">
        <v>9427.2235609103082</v>
      </c>
      <c r="BQ666" s="449">
        <v>9427.2235609103082</v>
      </c>
      <c r="BR666" s="449">
        <v>9427.2235609103082</v>
      </c>
      <c r="BS666" s="449">
        <v>9427.2235609103082</v>
      </c>
      <c r="BT666" s="449">
        <v>9427.2235609103082</v>
      </c>
    </row>
    <row r="667" spans="1:72" x14ac:dyDescent="0.25">
      <c r="A667" s="502" t="s">
        <v>1068</v>
      </c>
      <c r="B667" s="502" t="s">
        <v>1069</v>
      </c>
      <c r="C667" s="400"/>
      <c r="D667" s="500">
        <v>5000</v>
      </c>
      <c r="E667" s="449">
        <v>5000</v>
      </c>
      <c r="F667" s="449">
        <v>0</v>
      </c>
      <c r="G667" s="421">
        <v>0</v>
      </c>
      <c r="H667" s="449">
        <v>5000</v>
      </c>
      <c r="I667" s="449">
        <v>0</v>
      </c>
      <c r="J667" s="426">
        <v>0</v>
      </c>
      <c r="K667" s="421"/>
      <c r="L667" s="449">
        <v>0</v>
      </c>
      <c r="M667" s="449">
        <v>0</v>
      </c>
      <c r="N667" s="449">
        <v>0</v>
      </c>
      <c r="O667" s="449">
        <v>0</v>
      </c>
      <c r="P667" s="449">
        <v>0</v>
      </c>
      <c r="Q667" s="449">
        <v>100</v>
      </c>
      <c r="R667" s="449">
        <v>816.66666666666663</v>
      </c>
      <c r="S667" s="449">
        <v>816.66666666666674</v>
      </c>
      <c r="T667" s="449">
        <v>816.66666666666663</v>
      </c>
      <c r="U667" s="449">
        <v>816.66666666666663</v>
      </c>
      <c r="V667" s="449">
        <v>816.66666666666674</v>
      </c>
      <c r="W667" s="449">
        <v>816.66666666666697</v>
      </c>
      <c r="X667" s="449"/>
      <c r="Y667" s="449">
        <v>5000</v>
      </c>
      <c r="Z667" s="501"/>
      <c r="AA667" s="449">
        <v>416.66666666666669</v>
      </c>
      <c r="AB667" s="449">
        <v>416.66666666666669</v>
      </c>
      <c r="AC667" s="449">
        <v>416.66666666666669</v>
      </c>
      <c r="AD667" s="449">
        <v>416.66666666666669</v>
      </c>
      <c r="AE667" s="449">
        <v>416.66666666666669</v>
      </c>
      <c r="AF667" s="449">
        <v>416.66666666666669</v>
      </c>
      <c r="AG667" s="449">
        <v>416.66666666666669</v>
      </c>
      <c r="AH667" s="449">
        <v>416.66666666666669</v>
      </c>
      <c r="AI667" s="449">
        <v>416.66666666666669</v>
      </c>
      <c r="AJ667" s="449">
        <v>416.66666666666669</v>
      </c>
      <c r="AK667" s="449">
        <v>416.66666666666669</v>
      </c>
      <c r="AL667" s="449">
        <v>416.66666666666669</v>
      </c>
      <c r="AM667" s="400"/>
      <c r="AN667" s="500">
        <v>5000</v>
      </c>
      <c r="AO667" s="449">
        <v>5000</v>
      </c>
      <c r="AP667" s="449">
        <v>0</v>
      </c>
      <c r="AQ667" s="453">
        <v>0</v>
      </c>
      <c r="AR667" s="449">
        <v>5000</v>
      </c>
      <c r="AS667" s="449">
        <v>0</v>
      </c>
      <c r="AT667" s="426">
        <v>0</v>
      </c>
      <c r="AU667" s="421"/>
      <c r="AV667" s="449">
        <v>416.66666666666669</v>
      </c>
      <c r="AW667" s="449">
        <v>416.66666666666669</v>
      </c>
      <c r="AX667" s="449">
        <v>416.66666666666669</v>
      </c>
      <c r="AY667" s="449">
        <v>416.66666666666669</v>
      </c>
      <c r="AZ667" s="449">
        <v>416.66666666666669</v>
      </c>
      <c r="BA667" s="449">
        <v>416.66666666666669</v>
      </c>
      <c r="BB667" s="449">
        <v>416.66666666666669</v>
      </c>
      <c r="BC667" s="449">
        <v>416.66666666666669</v>
      </c>
      <c r="BD667" s="449">
        <v>416.66666666666669</v>
      </c>
      <c r="BE667" s="449">
        <v>416.66666666666669</v>
      </c>
      <c r="BF667" s="449">
        <v>416.66666666666669</v>
      </c>
      <c r="BG667" s="449">
        <v>416.66666666666669</v>
      </c>
      <c r="BH667" s="400"/>
      <c r="BI667" s="449">
        <v>416.66666666666669</v>
      </c>
      <c r="BJ667" s="449">
        <v>416.66666666666669</v>
      </c>
      <c r="BK667" s="449">
        <v>416.66666666666669</v>
      </c>
      <c r="BL667" s="771">
        <v>416.66666666666669</v>
      </c>
      <c r="BM667" s="449">
        <v>416.66666666666669</v>
      </c>
      <c r="BN667" s="449">
        <v>416.66666666666669</v>
      </c>
      <c r="BO667" s="449">
        <v>416.66666666666669</v>
      </c>
      <c r="BP667" s="449">
        <v>416.66666666666669</v>
      </c>
      <c r="BQ667" s="449">
        <v>416.66666666666669</v>
      </c>
      <c r="BR667" s="449">
        <v>416.66666666666669</v>
      </c>
      <c r="BS667" s="449">
        <v>416.66666666666669</v>
      </c>
      <c r="BT667" s="449">
        <v>416.66666666666669</v>
      </c>
    </row>
    <row r="668" spans="1:72" x14ac:dyDescent="0.25">
      <c r="A668" s="502" t="s">
        <v>1070</v>
      </c>
      <c r="B668" s="502" t="s">
        <v>1071</v>
      </c>
      <c r="C668" s="400"/>
      <c r="D668" s="500">
        <v>16075</v>
      </c>
      <c r="E668" s="449">
        <v>16075</v>
      </c>
      <c r="F668" s="449">
        <v>0</v>
      </c>
      <c r="G668" s="421">
        <v>0</v>
      </c>
      <c r="H668" s="449">
        <v>16075</v>
      </c>
      <c r="I668" s="449">
        <v>0</v>
      </c>
      <c r="J668" s="426">
        <v>0</v>
      </c>
      <c r="K668" s="421"/>
      <c r="L668" s="449">
        <v>0</v>
      </c>
      <c r="M668" s="449">
        <v>490</v>
      </c>
      <c r="N668" s="449">
        <v>90</v>
      </c>
      <c r="O668" s="449">
        <v>1596</v>
      </c>
      <c r="P668" s="449">
        <v>842</v>
      </c>
      <c r="Q668" s="449">
        <v>323.7199999999998</v>
      </c>
      <c r="R668" s="449">
        <v>2122.2133333333336</v>
      </c>
      <c r="S668" s="449">
        <v>2122.2133333333331</v>
      </c>
      <c r="T668" s="449">
        <v>2122.2133333333331</v>
      </c>
      <c r="U668" s="449">
        <v>2122.2133333333331</v>
      </c>
      <c r="V668" s="449">
        <v>2122.2133333333331</v>
      </c>
      <c r="W668" s="449">
        <v>2122.2133333333331</v>
      </c>
      <c r="X668" s="449"/>
      <c r="Y668" s="449">
        <v>16075</v>
      </c>
      <c r="Z668" s="501"/>
      <c r="AA668" s="449">
        <v>1339.5833333333333</v>
      </c>
      <c r="AB668" s="449">
        <v>1339.5833333333333</v>
      </c>
      <c r="AC668" s="449">
        <v>1339.5833333333333</v>
      </c>
      <c r="AD668" s="449">
        <v>1339.5833333333333</v>
      </c>
      <c r="AE668" s="449">
        <v>1339.5833333333333</v>
      </c>
      <c r="AF668" s="449">
        <v>1339.5833333333333</v>
      </c>
      <c r="AG668" s="449">
        <v>1339.5833333333333</v>
      </c>
      <c r="AH668" s="449">
        <v>1339.5833333333333</v>
      </c>
      <c r="AI668" s="449">
        <v>1339.5833333333333</v>
      </c>
      <c r="AJ668" s="449">
        <v>1339.5833333333333</v>
      </c>
      <c r="AK668" s="449">
        <v>1339.5833333333333</v>
      </c>
      <c r="AL668" s="449">
        <v>1339.5833333333333</v>
      </c>
      <c r="AM668" s="400"/>
      <c r="AN668" s="500">
        <v>16075</v>
      </c>
      <c r="AO668" s="449">
        <v>17676.04417670683</v>
      </c>
      <c r="AP668" s="449">
        <v>1601.0441767068296</v>
      </c>
      <c r="AQ668" s="453">
        <v>9.9598393574297325E-2</v>
      </c>
      <c r="AR668" s="449">
        <v>17676.04417670683</v>
      </c>
      <c r="AS668" s="449">
        <v>0</v>
      </c>
      <c r="AT668" s="426">
        <v>0</v>
      </c>
      <c r="AU668" s="421"/>
      <c r="AV668" s="449">
        <v>1473.0036813922359</v>
      </c>
      <c r="AW668" s="449">
        <v>1473.0036813922359</v>
      </c>
      <c r="AX668" s="449">
        <v>1473.0036813922359</v>
      </c>
      <c r="AY668" s="449">
        <v>1473.0036813922359</v>
      </c>
      <c r="AZ668" s="449">
        <v>1473.0036813922359</v>
      </c>
      <c r="BA668" s="449">
        <v>1473.0036813922359</v>
      </c>
      <c r="BB668" s="449">
        <v>1473.0036813922359</v>
      </c>
      <c r="BC668" s="449">
        <v>1473.0036813922359</v>
      </c>
      <c r="BD668" s="449">
        <v>1473.0036813922359</v>
      </c>
      <c r="BE668" s="449">
        <v>1473.0036813922359</v>
      </c>
      <c r="BF668" s="449">
        <v>1473.0036813922359</v>
      </c>
      <c r="BG668" s="449">
        <v>1473.0036813922359</v>
      </c>
      <c r="BH668" s="400"/>
      <c r="BI668" s="449">
        <v>1473.0036813922359</v>
      </c>
      <c r="BJ668" s="449">
        <v>1473.0036813922359</v>
      </c>
      <c r="BK668" s="449">
        <v>1473.0036813922359</v>
      </c>
      <c r="BL668" s="771">
        <v>1473.0036813922359</v>
      </c>
      <c r="BM668" s="449">
        <v>1473.0036813922359</v>
      </c>
      <c r="BN668" s="449">
        <v>1473.0036813922359</v>
      </c>
      <c r="BO668" s="449">
        <v>1473.0036813922359</v>
      </c>
      <c r="BP668" s="449">
        <v>1473.0036813922359</v>
      </c>
      <c r="BQ668" s="449">
        <v>1473.0036813922359</v>
      </c>
      <c r="BR668" s="449">
        <v>1473.0036813922359</v>
      </c>
      <c r="BS668" s="449">
        <v>1473.0036813922359</v>
      </c>
      <c r="BT668" s="449">
        <v>1473.0036813922359</v>
      </c>
    </row>
    <row r="669" spans="1:72" x14ac:dyDescent="0.25">
      <c r="A669" s="502" t="s">
        <v>1072</v>
      </c>
      <c r="B669" s="502" t="s">
        <v>1073</v>
      </c>
      <c r="C669" s="400"/>
      <c r="D669" s="500">
        <v>1608</v>
      </c>
      <c r="E669" s="449">
        <v>1607.5</v>
      </c>
      <c r="F669" s="449">
        <v>0.5</v>
      </c>
      <c r="G669" s="421">
        <v>3.1104199066874026E-4</v>
      </c>
      <c r="H669" s="449">
        <v>1608</v>
      </c>
      <c r="I669" s="449">
        <v>0</v>
      </c>
      <c r="J669" s="426">
        <v>0</v>
      </c>
      <c r="K669" s="421"/>
      <c r="L669" s="449">
        <v>0</v>
      </c>
      <c r="M669" s="449">
        <v>0</v>
      </c>
      <c r="N669" s="449">
        <v>0</v>
      </c>
      <c r="O669" s="449">
        <v>625</v>
      </c>
      <c r="P669" s="449">
        <v>40</v>
      </c>
      <c r="Q669" s="449">
        <v>0</v>
      </c>
      <c r="R669" s="449">
        <v>157.16666666666666</v>
      </c>
      <c r="S669" s="449">
        <v>157.16666666666669</v>
      </c>
      <c r="T669" s="449">
        <v>157.16666666666669</v>
      </c>
      <c r="U669" s="449">
        <v>157.16666666666666</v>
      </c>
      <c r="V669" s="449">
        <v>157.16666666666663</v>
      </c>
      <c r="W669" s="449">
        <v>157.16666666666652</v>
      </c>
      <c r="X669" s="449"/>
      <c r="Y669" s="449">
        <v>1608</v>
      </c>
      <c r="Z669" s="501"/>
      <c r="AA669" s="449">
        <v>134</v>
      </c>
      <c r="AB669" s="449">
        <v>134</v>
      </c>
      <c r="AC669" s="449">
        <v>134</v>
      </c>
      <c r="AD669" s="449">
        <v>134</v>
      </c>
      <c r="AE669" s="449">
        <v>134</v>
      </c>
      <c r="AF669" s="449">
        <v>134</v>
      </c>
      <c r="AG669" s="449">
        <v>134</v>
      </c>
      <c r="AH669" s="449">
        <v>134</v>
      </c>
      <c r="AI669" s="449">
        <v>134</v>
      </c>
      <c r="AJ669" s="449">
        <v>134</v>
      </c>
      <c r="AK669" s="449">
        <v>134</v>
      </c>
      <c r="AL669" s="449">
        <v>134</v>
      </c>
      <c r="AM669" s="400"/>
      <c r="AN669" s="500">
        <v>1608</v>
      </c>
      <c r="AO669" s="449">
        <v>1768.1542168674698</v>
      </c>
      <c r="AP669" s="449">
        <v>160.15421686746981</v>
      </c>
      <c r="AQ669" s="453">
        <v>9.9598393574297145E-2</v>
      </c>
      <c r="AR669" s="449">
        <v>1768.1542168674698</v>
      </c>
      <c r="AS669" s="449">
        <v>0</v>
      </c>
      <c r="AT669" s="426">
        <v>0</v>
      </c>
      <c r="AU669" s="421"/>
      <c r="AV669" s="449">
        <v>147.34618473895583</v>
      </c>
      <c r="AW669" s="449">
        <v>147.34618473895583</v>
      </c>
      <c r="AX669" s="449">
        <v>147.34618473895583</v>
      </c>
      <c r="AY669" s="449">
        <v>147.34618473895583</v>
      </c>
      <c r="AZ669" s="449">
        <v>147.34618473895583</v>
      </c>
      <c r="BA669" s="449">
        <v>147.34618473895583</v>
      </c>
      <c r="BB669" s="449">
        <v>147.34618473895583</v>
      </c>
      <c r="BC669" s="449">
        <v>147.34618473895583</v>
      </c>
      <c r="BD669" s="449">
        <v>147.34618473895583</v>
      </c>
      <c r="BE669" s="449">
        <v>147.34618473895583</v>
      </c>
      <c r="BF669" s="449">
        <v>147.34618473895583</v>
      </c>
      <c r="BG669" s="449">
        <v>147.34618473895583</v>
      </c>
      <c r="BH669" s="400"/>
      <c r="BI669" s="449">
        <v>147.34618473895583</v>
      </c>
      <c r="BJ669" s="449">
        <v>147.34618473895583</v>
      </c>
      <c r="BK669" s="449">
        <v>147.34618473895583</v>
      </c>
      <c r="BL669" s="771">
        <v>147.34618473895583</v>
      </c>
      <c r="BM669" s="449">
        <v>147.34618473895583</v>
      </c>
      <c r="BN669" s="449">
        <v>147.34618473895583</v>
      </c>
      <c r="BO669" s="449">
        <v>147.34618473895583</v>
      </c>
      <c r="BP669" s="449">
        <v>147.34618473895583</v>
      </c>
      <c r="BQ669" s="449">
        <v>147.34618473895583</v>
      </c>
      <c r="BR669" s="449">
        <v>147.34618473895583</v>
      </c>
      <c r="BS669" s="449">
        <v>147.34618473895583</v>
      </c>
      <c r="BT669" s="449">
        <v>147.34618473895583</v>
      </c>
    </row>
    <row r="670" spans="1:72" x14ac:dyDescent="0.25">
      <c r="A670" s="502" t="s">
        <v>1074</v>
      </c>
      <c r="B670" s="502" t="s">
        <v>1075</v>
      </c>
      <c r="C670" s="400"/>
      <c r="D670" s="500">
        <v>10076.84</v>
      </c>
      <c r="E670" s="449">
        <v>4822.5</v>
      </c>
      <c r="F670" s="449">
        <v>5254.34</v>
      </c>
      <c r="G670" s="421">
        <v>1.0895469155002593</v>
      </c>
      <c r="H670" s="449">
        <v>4823</v>
      </c>
      <c r="I670" s="449">
        <v>5253.84</v>
      </c>
      <c r="J670" s="426">
        <v>1.0893302923491603</v>
      </c>
      <c r="K670" s="421"/>
      <c r="L670" s="449">
        <v>5500</v>
      </c>
      <c r="M670" s="449">
        <v>832.36999999999989</v>
      </c>
      <c r="N670" s="449">
        <v>477</v>
      </c>
      <c r="O670" s="449">
        <v>799</v>
      </c>
      <c r="P670" s="449">
        <v>2216.7200000000003</v>
      </c>
      <c r="Q670" s="449">
        <v>251.75</v>
      </c>
      <c r="R670" s="449">
        <v>0</v>
      </c>
      <c r="S670" s="449">
        <v>0</v>
      </c>
      <c r="T670" s="449">
        <v>0</v>
      </c>
      <c r="U670" s="449">
        <v>0</v>
      </c>
      <c r="V670" s="449">
        <v>0</v>
      </c>
      <c r="W670" s="449">
        <v>0</v>
      </c>
      <c r="X670" s="449"/>
      <c r="Y670" s="449">
        <v>10076.84</v>
      </c>
      <c r="Z670" s="501"/>
      <c r="AA670" s="449">
        <v>401.91666666666669</v>
      </c>
      <c r="AB670" s="449">
        <v>401.91666666666669</v>
      </c>
      <c r="AC670" s="449">
        <v>401.91666666666669</v>
      </c>
      <c r="AD670" s="449">
        <v>401.91666666666669</v>
      </c>
      <c r="AE670" s="449">
        <v>401.91666666666669</v>
      </c>
      <c r="AF670" s="449">
        <v>401.91666666666669</v>
      </c>
      <c r="AG670" s="449">
        <v>401.91666666666669</v>
      </c>
      <c r="AH670" s="449">
        <v>401.91666666666669</v>
      </c>
      <c r="AI670" s="449">
        <v>401.91666666666669</v>
      </c>
      <c r="AJ670" s="449">
        <v>401.91666666666669</v>
      </c>
      <c r="AK670" s="449">
        <v>401.91666666666669</v>
      </c>
      <c r="AL670" s="449">
        <v>401.91666666666669</v>
      </c>
      <c r="AM670" s="400"/>
      <c r="AN670" s="500">
        <v>10076.84</v>
      </c>
      <c r="AO670" s="449">
        <v>11080.477076305222</v>
      </c>
      <c r="AP670" s="449">
        <v>1003.6370763052219</v>
      </c>
      <c r="AQ670" s="453">
        <v>9.9598393574297284E-2</v>
      </c>
      <c r="AR670" s="449">
        <v>11080.477076305222</v>
      </c>
      <c r="AS670" s="449">
        <v>0</v>
      </c>
      <c r="AT670" s="426">
        <v>0</v>
      </c>
      <c r="AU670" s="421"/>
      <c r="AV670" s="449">
        <v>923.37308969210164</v>
      </c>
      <c r="AW670" s="449">
        <v>923.37308969210164</v>
      </c>
      <c r="AX670" s="449">
        <v>923.37308969210164</v>
      </c>
      <c r="AY670" s="449">
        <v>923.37308969210164</v>
      </c>
      <c r="AZ670" s="449">
        <v>923.37308969210164</v>
      </c>
      <c r="BA670" s="449">
        <v>923.37308969210164</v>
      </c>
      <c r="BB670" s="449">
        <v>923.37308969210164</v>
      </c>
      <c r="BC670" s="449">
        <v>923.37308969210164</v>
      </c>
      <c r="BD670" s="449">
        <v>923.37308969210164</v>
      </c>
      <c r="BE670" s="449">
        <v>923.37308969210164</v>
      </c>
      <c r="BF670" s="449">
        <v>923.37308969210164</v>
      </c>
      <c r="BG670" s="449">
        <v>923.37308969210164</v>
      </c>
      <c r="BH670" s="400"/>
      <c r="BI670" s="449">
        <v>923.37308969210164</v>
      </c>
      <c r="BJ670" s="449">
        <v>923.37308969210164</v>
      </c>
      <c r="BK670" s="449">
        <v>923.37308969210164</v>
      </c>
      <c r="BL670" s="771">
        <v>923.37308969210164</v>
      </c>
      <c r="BM670" s="449">
        <v>923.37308969210164</v>
      </c>
      <c r="BN670" s="449">
        <v>923.37308969210164</v>
      </c>
      <c r="BO670" s="449">
        <v>923.37308969210164</v>
      </c>
      <c r="BP670" s="449">
        <v>923.37308969210164</v>
      </c>
      <c r="BQ670" s="449">
        <v>923.37308969210164</v>
      </c>
      <c r="BR670" s="449">
        <v>923.37308969210164</v>
      </c>
      <c r="BS670" s="449">
        <v>923.37308969210164</v>
      </c>
      <c r="BT670" s="449">
        <v>923.37308969210164</v>
      </c>
    </row>
    <row r="671" spans="1:72" x14ac:dyDescent="0.25">
      <c r="A671" s="587"/>
      <c r="B671" s="502"/>
      <c r="C671" s="400"/>
      <c r="D671" s="500"/>
      <c r="E671" s="449"/>
      <c r="F671" s="449"/>
      <c r="G671" s="421"/>
      <c r="H671" s="449"/>
      <c r="I671" s="449"/>
      <c r="J671" s="426"/>
      <c r="K671" s="421"/>
      <c r="L671" s="449"/>
      <c r="M671" s="449"/>
      <c r="N671" s="449"/>
      <c r="O671" s="449"/>
      <c r="P671" s="449"/>
      <c r="Q671" s="449"/>
      <c r="R671" s="449"/>
      <c r="S671" s="449"/>
      <c r="T671" s="449"/>
      <c r="U671" s="449"/>
      <c r="V671" s="449"/>
      <c r="W671" s="449"/>
      <c r="X671" s="449"/>
      <c r="Y671" s="449"/>
      <c r="Z671" s="501"/>
      <c r="AA671" s="449"/>
      <c r="AB671" s="449"/>
      <c r="AC671" s="449"/>
      <c r="AD671" s="449"/>
      <c r="AE671" s="449"/>
      <c r="AF671" s="449"/>
      <c r="AG671" s="449"/>
      <c r="AH671" s="449"/>
      <c r="AI671" s="449"/>
      <c r="AJ671" s="449"/>
      <c r="AK671" s="449"/>
      <c r="AL671" s="449"/>
      <c r="AM671" s="400"/>
      <c r="AN671" s="500"/>
      <c r="AO671" s="449"/>
      <c r="AP671" s="449"/>
      <c r="AQ671" s="453"/>
      <c r="AR671" s="449"/>
      <c r="AS671" s="449"/>
      <c r="AT671" s="426"/>
      <c r="AU671" s="421"/>
      <c r="AV671" s="449"/>
      <c r="AW671" s="449"/>
      <c r="AX671" s="449"/>
      <c r="AY671" s="449"/>
      <c r="AZ671" s="449"/>
      <c r="BA671" s="449"/>
      <c r="BB671" s="449"/>
      <c r="BC671" s="449"/>
      <c r="BD671" s="449"/>
      <c r="BE671" s="449"/>
      <c r="BF671" s="449"/>
      <c r="BG671" s="449"/>
      <c r="BH671" s="501"/>
      <c r="BI671" s="449"/>
      <c r="BJ671" s="449"/>
      <c r="BK671" s="449"/>
      <c r="BL671" s="771"/>
      <c r="BM671" s="449"/>
      <c r="BN671" s="449"/>
      <c r="BO671" s="449"/>
      <c r="BP671" s="449"/>
      <c r="BQ671" s="449"/>
      <c r="BR671" s="449"/>
      <c r="BS671" s="449"/>
      <c r="BT671" s="449"/>
    </row>
    <row r="672" spans="1:72" s="536" customFormat="1" ht="15.75" thickBot="1" x14ac:dyDescent="0.3">
      <c r="A672" s="526"/>
      <c r="B672" s="524" t="s">
        <v>1076</v>
      </c>
      <c r="D672" s="532">
        <v>199939.84</v>
      </c>
      <c r="E672" s="533">
        <v>194685</v>
      </c>
      <c r="F672" s="533">
        <v>5254.8399999999965</v>
      </c>
      <c r="G672" s="520">
        <v>2.6991499088270778E-2</v>
      </c>
      <c r="H672" s="533">
        <v>194686</v>
      </c>
      <c r="I672" s="533">
        <v>5253.8399999999965</v>
      </c>
      <c r="J672" s="521">
        <v>2.698622397090698E-2</v>
      </c>
      <c r="K672" s="507"/>
      <c r="L672" s="533">
        <v>5971.59</v>
      </c>
      <c r="M672" s="533">
        <v>1322.37</v>
      </c>
      <c r="N672" s="533">
        <v>1814.9399999999998</v>
      </c>
      <c r="O672" s="533">
        <v>39168.239999999998</v>
      </c>
      <c r="P672" s="533">
        <v>5868.2000000000007</v>
      </c>
      <c r="Q672" s="533">
        <v>3040.9499999999985</v>
      </c>
      <c r="R672" s="533">
        <v>23792.258333333335</v>
      </c>
      <c r="S672" s="533">
        <v>23792.258333333335</v>
      </c>
      <c r="T672" s="533">
        <v>23792.258333333335</v>
      </c>
      <c r="U672" s="533">
        <v>23792.258333333331</v>
      </c>
      <c r="V672" s="533">
        <v>23792.258333333335</v>
      </c>
      <c r="W672" s="533">
        <v>23792.258333333324</v>
      </c>
      <c r="X672" s="533"/>
      <c r="Y672" s="533">
        <v>199939.83999999997</v>
      </c>
      <c r="Z672" s="508"/>
      <c r="AA672" s="533">
        <v>16223.833333333334</v>
      </c>
      <c r="AB672" s="533">
        <v>16223.833333333334</v>
      </c>
      <c r="AC672" s="533">
        <v>16223.833333333334</v>
      </c>
      <c r="AD672" s="533">
        <v>16223.833333333334</v>
      </c>
      <c r="AE672" s="533">
        <v>16223.833333333334</v>
      </c>
      <c r="AF672" s="533">
        <v>16223.833333333334</v>
      </c>
      <c r="AG672" s="533">
        <v>16223.833333333334</v>
      </c>
      <c r="AH672" s="533">
        <v>16223.833333333334</v>
      </c>
      <c r="AI672" s="533">
        <v>16223.833333333334</v>
      </c>
      <c r="AJ672" s="533">
        <v>16223.833333333334</v>
      </c>
      <c r="AK672" s="533">
        <v>16223.833333333334</v>
      </c>
      <c r="AL672" s="533">
        <v>16223.833333333334</v>
      </c>
      <c r="AN672" s="532">
        <v>199939.84</v>
      </c>
      <c r="AO672" s="533">
        <v>219355.53490763056</v>
      </c>
      <c r="AP672" s="533">
        <v>19415.694907630561</v>
      </c>
      <c r="AQ672" s="523">
        <v>9.710768452965933E-2</v>
      </c>
      <c r="AR672" s="533">
        <v>219355.53490763056</v>
      </c>
      <c r="AS672" s="533">
        <v>0</v>
      </c>
      <c r="AT672" s="521">
        <v>0</v>
      </c>
      <c r="AU672" s="507"/>
      <c r="AV672" s="533">
        <v>18279.627908969211</v>
      </c>
      <c r="AW672" s="533">
        <v>18279.627908969211</v>
      </c>
      <c r="AX672" s="533">
        <v>18279.627908969211</v>
      </c>
      <c r="AY672" s="533">
        <v>18279.627908969211</v>
      </c>
      <c r="AZ672" s="533">
        <v>18279.627908969211</v>
      </c>
      <c r="BA672" s="533">
        <v>18279.627908969211</v>
      </c>
      <c r="BB672" s="533">
        <v>18279.627908969211</v>
      </c>
      <c r="BC672" s="533">
        <v>18279.627908969211</v>
      </c>
      <c r="BD672" s="533">
        <v>18279.627908969211</v>
      </c>
      <c r="BE672" s="533">
        <v>18279.627908969211</v>
      </c>
      <c r="BF672" s="533">
        <v>18279.627908969211</v>
      </c>
      <c r="BG672" s="533">
        <v>18279.627908969211</v>
      </c>
      <c r="BH672" s="508"/>
      <c r="BI672" s="533">
        <v>18279.627908969211</v>
      </c>
      <c r="BJ672" s="533">
        <v>18279.627908969211</v>
      </c>
      <c r="BK672" s="533">
        <v>18279.627908969211</v>
      </c>
      <c r="BL672" s="777">
        <v>18279.627908969211</v>
      </c>
      <c r="BM672" s="533">
        <v>18279.627908969211</v>
      </c>
      <c r="BN672" s="533">
        <v>18279.627908969211</v>
      </c>
      <c r="BO672" s="533">
        <v>18279.627908969211</v>
      </c>
      <c r="BP672" s="533">
        <v>18279.627908969211</v>
      </c>
      <c r="BQ672" s="533">
        <v>18279.627908969211</v>
      </c>
      <c r="BR672" s="533">
        <v>18279.627908969211</v>
      </c>
      <c r="BS672" s="533">
        <v>18279.627908969211</v>
      </c>
      <c r="BT672" s="533">
        <v>18279.627908969211</v>
      </c>
    </row>
    <row r="673" spans="1:72" ht="15.75" thickTop="1" x14ac:dyDescent="0.25">
      <c r="A673" s="587"/>
      <c r="B673" s="502"/>
      <c r="C673" s="400"/>
      <c r="D673" s="500"/>
      <c r="E673" s="449"/>
      <c r="F673" s="449"/>
      <c r="G673" s="421"/>
      <c r="H673" s="449"/>
      <c r="I673" s="449"/>
      <c r="J673" s="426"/>
      <c r="K673" s="421"/>
      <c r="L673" s="449"/>
      <c r="M673" s="449"/>
      <c r="N673" s="449"/>
      <c r="O673" s="449"/>
      <c r="P673" s="449"/>
      <c r="Q673" s="449"/>
      <c r="R673" s="449"/>
      <c r="S673" s="449"/>
      <c r="T673" s="449"/>
      <c r="U673" s="449"/>
      <c r="V673" s="449"/>
      <c r="W673" s="449"/>
      <c r="X673" s="449"/>
      <c r="Y673" s="449"/>
      <c r="Z673" s="501"/>
      <c r="AA673" s="449"/>
      <c r="AB673" s="449"/>
      <c r="AC673" s="449"/>
      <c r="AD673" s="449"/>
      <c r="AE673" s="449"/>
      <c r="AF673" s="449"/>
      <c r="AG673" s="449"/>
      <c r="AH673" s="449"/>
      <c r="AI673" s="449"/>
      <c r="AJ673" s="449"/>
      <c r="AK673" s="449"/>
      <c r="AL673" s="449"/>
      <c r="AM673" s="400"/>
      <c r="AN673" s="500"/>
      <c r="AO673" s="449"/>
      <c r="AP673" s="449"/>
      <c r="AQ673" s="453"/>
      <c r="AR673" s="449"/>
      <c r="AS673" s="449"/>
      <c r="AT673" s="426"/>
      <c r="AU673" s="421"/>
      <c r="AV673" s="449"/>
      <c r="AW673" s="449"/>
      <c r="AX673" s="449"/>
      <c r="AY673" s="449"/>
      <c r="AZ673" s="449"/>
      <c r="BA673" s="449"/>
      <c r="BB673" s="449"/>
      <c r="BC673" s="449"/>
      <c r="BD673" s="449"/>
      <c r="BE673" s="449"/>
      <c r="BF673" s="449"/>
      <c r="BG673" s="449"/>
      <c r="BH673" s="501"/>
      <c r="BI673" s="449"/>
      <c r="BJ673" s="449"/>
      <c r="BK673" s="449"/>
      <c r="BL673" s="771"/>
      <c r="BM673" s="449"/>
      <c r="BN673" s="449"/>
      <c r="BO673" s="449"/>
      <c r="BP673" s="449"/>
      <c r="BQ673" s="449"/>
      <c r="BR673" s="449"/>
      <c r="BS673" s="449"/>
      <c r="BT673" s="449"/>
    </row>
    <row r="674" spans="1:72" x14ac:dyDescent="0.25">
      <c r="A674" s="587"/>
      <c r="B674" s="524" t="s">
        <v>1077</v>
      </c>
      <c r="C674" s="400"/>
      <c r="D674" s="500"/>
      <c r="E674" s="449"/>
      <c r="F674" s="449"/>
      <c r="G674" s="421"/>
      <c r="H674" s="449"/>
      <c r="I674" s="449"/>
      <c r="J674" s="426"/>
      <c r="K674" s="421"/>
      <c r="L674" s="449"/>
      <c r="M674" s="449"/>
      <c r="N674" s="449"/>
      <c r="O674" s="449"/>
      <c r="P674" s="449"/>
      <c r="Q674" s="449"/>
      <c r="R674" s="449"/>
      <c r="S674" s="449"/>
      <c r="T674" s="449"/>
      <c r="U674" s="449"/>
      <c r="V674" s="449"/>
      <c r="W674" s="449"/>
      <c r="X674" s="449"/>
      <c r="Y674" s="449"/>
      <c r="Z674" s="501"/>
      <c r="AA674" s="449"/>
      <c r="AB674" s="449"/>
      <c r="AC674" s="449"/>
      <c r="AD674" s="449"/>
      <c r="AE674" s="449"/>
      <c r="AF674" s="449"/>
      <c r="AG674" s="449"/>
      <c r="AH674" s="449"/>
      <c r="AI674" s="449"/>
      <c r="AJ674" s="449"/>
      <c r="AK674" s="449"/>
      <c r="AL674" s="449"/>
      <c r="AM674" s="400"/>
      <c r="AN674" s="500"/>
      <c r="AO674" s="449"/>
      <c r="AP674" s="449"/>
      <c r="AQ674" s="453"/>
      <c r="AR674" s="449"/>
      <c r="AS674" s="449"/>
      <c r="AT674" s="426"/>
      <c r="AU674" s="421"/>
      <c r="AV674" s="449"/>
      <c r="AW674" s="449"/>
      <c r="AX674" s="449"/>
      <c r="AY674" s="449"/>
      <c r="AZ674" s="449"/>
      <c r="BA674" s="449"/>
      <c r="BB674" s="449"/>
      <c r="BC674" s="449"/>
      <c r="BD674" s="449"/>
      <c r="BE674" s="449"/>
      <c r="BF674" s="449"/>
      <c r="BG674" s="449"/>
      <c r="BH674" s="501"/>
      <c r="BI674" s="449"/>
      <c r="BJ674" s="449"/>
      <c r="BK674" s="449"/>
      <c r="BL674" s="771"/>
      <c r="BM674" s="449"/>
      <c r="BN674" s="449"/>
      <c r="BO674" s="449"/>
      <c r="BP674" s="449"/>
      <c r="BQ674" s="449"/>
      <c r="BR674" s="449"/>
      <c r="BS674" s="449"/>
      <c r="BT674" s="449"/>
    </row>
    <row r="675" spans="1:72" x14ac:dyDescent="0.25">
      <c r="A675" s="502" t="s">
        <v>1078</v>
      </c>
      <c r="B675" s="502" t="s">
        <v>1079</v>
      </c>
      <c r="C675" s="538"/>
      <c r="D675" s="500">
        <v>48225</v>
      </c>
      <c r="E675" s="449">
        <v>48225</v>
      </c>
      <c r="F675" s="449">
        <v>0</v>
      </c>
      <c r="G675" s="421">
        <v>0</v>
      </c>
      <c r="H675" s="449">
        <v>48225</v>
      </c>
      <c r="I675" s="449">
        <v>0</v>
      </c>
      <c r="J675" s="426">
        <v>0</v>
      </c>
      <c r="K675" s="421"/>
      <c r="L675" s="449">
        <v>0</v>
      </c>
      <c r="M675" s="449">
        <v>0</v>
      </c>
      <c r="N675" s="449">
        <v>0</v>
      </c>
      <c r="O675" s="449">
        <v>6607.5</v>
      </c>
      <c r="P675" s="449">
        <v>4015.59</v>
      </c>
      <c r="Q675" s="449">
        <v>0</v>
      </c>
      <c r="R675" s="449">
        <v>6266.9850000000006</v>
      </c>
      <c r="S675" s="449">
        <v>6266.9849999999997</v>
      </c>
      <c r="T675" s="449">
        <v>6266.9849999999997</v>
      </c>
      <c r="U675" s="449">
        <v>6266.9849999999997</v>
      </c>
      <c r="V675" s="449">
        <v>6266.9850000000006</v>
      </c>
      <c r="W675" s="449">
        <v>6266.9850000000006</v>
      </c>
      <c r="X675" s="449"/>
      <c r="Y675" s="449">
        <v>48225</v>
      </c>
      <c r="Z675" s="531"/>
      <c r="AA675" s="449">
        <v>4018.75</v>
      </c>
      <c r="AB675" s="449">
        <v>4018.75</v>
      </c>
      <c r="AC675" s="449">
        <v>4018.75</v>
      </c>
      <c r="AD675" s="449">
        <v>4018.75</v>
      </c>
      <c r="AE675" s="449">
        <v>4018.75</v>
      </c>
      <c r="AF675" s="449">
        <v>4018.75</v>
      </c>
      <c r="AG675" s="449">
        <v>4018.75</v>
      </c>
      <c r="AH675" s="449">
        <v>4018.75</v>
      </c>
      <c r="AI675" s="449">
        <v>4018.75</v>
      </c>
      <c r="AJ675" s="449">
        <v>4018.75</v>
      </c>
      <c r="AK675" s="449">
        <v>4018.75</v>
      </c>
      <c r="AL675" s="449">
        <v>4018.75</v>
      </c>
      <c r="AM675" s="400"/>
      <c r="AN675" s="500">
        <v>48225</v>
      </c>
      <c r="AO675" s="449">
        <v>53028.1325301205</v>
      </c>
      <c r="AP675" s="449">
        <v>4803.1325301204997</v>
      </c>
      <c r="AQ675" s="453">
        <v>9.9598393574297561E-2</v>
      </c>
      <c r="AR675" s="449">
        <v>53028.1325301205</v>
      </c>
      <c r="AS675" s="449">
        <v>0</v>
      </c>
      <c r="AT675" s="426">
        <v>0</v>
      </c>
      <c r="AU675" s="421"/>
      <c r="AV675" s="449">
        <v>4419.0110441767074</v>
      </c>
      <c r="AW675" s="449">
        <v>4419.0110441767074</v>
      </c>
      <c r="AX675" s="449">
        <v>4419.0110441767074</v>
      </c>
      <c r="AY675" s="449">
        <v>4419.0110441767074</v>
      </c>
      <c r="AZ675" s="449">
        <v>4419.0110441767074</v>
      </c>
      <c r="BA675" s="449">
        <v>4419.0110441767074</v>
      </c>
      <c r="BB675" s="449">
        <v>4419.0110441767074</v>
      </c>
      <c r="BC675" s="449">
        <v>4419.0110441767074</v>
      </c>
      <c r="BD675" s="449">
        <v>4419.0110441767074</v>
      </c>
      <c r="BE675" s="449">
        <v>4419.0110441767074</v>
      </c>
      <c r="BF675" s="449">
        <v>4419.0110441767074</v>
      </c>
      <c r="BG675" s="449">
        <v>4419.0110441767074</v>
      </c>
      <c r="BH675" s="400"/>
      <c r="BI675" s="449">
        <v>4419.0110441767074</v>
      </c>
      <c r="BJ675" s="449">
        <v>4419.0110441767074</v>
      </c>
      <c r="BK675" s="449">
        <v>4419.0110441767074</v>
      </c>
      <c r="BL675" s="771">
        <v>4419.0110441767074</v>
      </c>
      <c r="BM675" s="449">
        <v>4419.0110441767074</v>
      </c>
      <c r="BN675" s="449">
        <v>4419.0110441767074</v>
      </c>
      <c r="BO675" s="449">
        <v>4419.0110441767074</v>
      </c>
      <c r="BP675" s="449">
        <v>4419.0110441767074</v>
      </c>
      <c r="BQ675" s="449">
        <v>4419.0110441767074</v>
      </c>
      <c r="BR675" s="449">
        <v>4419.0110441767074</v>
      </c>
      <c r="BS675" s="449">
        <v>4419.0110441767074</v>
      </c>
      <c r="BT675" s="449">
        <v>4419.0110441767074</v>
      </c>
    </row>
    <row r="676" spans="1:72" x14ac:dyDescent="0.25">
      <c r="A676" s="502" t="s">
        <v>1080</v>
      </c>
      <c r="B676" s="502" t="s">
        <v>1081</v>
      </c>
      <c r="C676" s="538"/>
      <c r="D676" s="500">
        <v>161</v>
      </c>
      <c r="E676" s="449">
        <v>160.75</v>
      </c>
      <c r="F676" s="449">
        <v>0.25</v>
      </c>
      <c r="G676" s="421">
        <v>1.5552099533437014E-3</v>
      </c>
      <c r="H676" s="449">
        <v>161</v>
      </c>
      <c r="I676" s="449">
        <v>0</v>
      </c>
      <c r="J676" s="426">
        <v>0</v>
      </c>
      <c r="K676" s="421"/>
      <c r="L676" s="449">
        <v>0</v>
      </c>
      <c r="M676" s="449">
        <v>0</v>
      </c>
      <c r="N676" s="449">
        <v>0</v>
      </c>
      <c r="O676" s="449">
        <v>0</v>
      </c>
      <c r="P676" s="449">
        <v>0</v>
      </c>
      <c r="Q676" s="449">
        <v>0</v>
      </c>
      <c r="R676" s="449">
        <v>26.833333333333332</v>
      </c>
      <c r="S676" s="449">
        <v>26.833333333333332</v>
      </c>
      <c r="T676" s="449">
        <v>26.833333333333336</v>
      </c>
      <c r="U676" s="449">
        <v>26.833333333333332</v>
      </c>
      <c r="V676" s="449">
        <v>26.833333333333336</v>
      </c>
      <c r="W676" s="449">
        <v>26.833333333333343</v>
      </c>
      <c r="X676" s="449"/>
      <c r="Y676" s="449">
        <v>161</v>
      </c>
      <c r="Z676" s="531"/>
      <c r="AA676" s="449">
        <v>13.416666666666666</v>
      </c>
      <c r="AB676" s="449">
        <v>13.416666666666666</v>
      </c>
      <c r="AC676" s="449">
        <v>13.416666666666666</v>
      </c>
      <c r="AD676" s="449">
        <v>13.416666666666666</v>
      </c>
      <c r="AE676" s="449">
        <v>13.416666666666666</v>
      </c>
      <c r="AF676" s="449">
        <v>13.416666666666666</v>
      </c>
      <c r="AG676" s="449">
        <v>13.416666666666666</v>
      </c>
      <c r="AH676" s="449">
        <v>13.416666666666666</v>
      </c>
      <c r="AI676" s="449">
        <v>13.416666666666666</v>
      </c>
      <c r="AJ676" s="449">
        <v>13.416666666666666</v>
      </c>
      <c r="AK676" s="449">
        <v>13.416666666666666</v>
      </c>
      <c r="AL676" s="449">
        <v>13.416666666666666</v>
      </c>
      <c r="AM676" s="400"/>
      <c r="AN676" s="500">
        <v>161</v>
      </c>
      <c r="AO676" s="449">
        <v>177.03534136546185</v>
      </c>
      <c r="AP676" s="449">
        <v>16.035341365461846</v>
      </c>
      <c r="AQ676" s="453">
        <v>9.9598393574297187E-2</v>
      </c>
      <c r="AR676" s="449">
        <v>177.03534136546185</v>
      </c>
      <c r="AS676" s="449">
        <v>0</v>
      </c>
      <c r="AT676" s="426">
        <v>0</v>
      </c>
      <c r="AU676" s="421"/>
      <c r="AV676" s="449">
        <v>14.752945113788487</v>
      </c>
      <c r="AW676" s="449">
        <v>14.752945113788487</v>
      </c>
      <c r="AX676" s="449">
        <v>14.752945113788487</v>
      </c>
      <c r="AY676" s="449">
        <v>14.752945113788487</v>
      </c>
      <c r="AZ676" s="449">
        <v>14.752945113788487</v>
      </c>
      <c r="BA676" s="449">
        <v>14.752945113788487</v>
      </c>
      <c r="BB676" s="449">
        <v>14.752945113788487</v>
      </c>
      <c r="BC676" s="449">
        <v>14.752945113788487</v>
      </c>
      <c r="BD676" s="449">
        <v>14.752945113788487</v>
      </c>
      <c r="BE676" s="449">
        <v>14.752945113788487</v>
      </c>
      <c r="BF676" s="449">
        <v>14.752945113788487</v>
      </c>
      <c r="BG676" s="449">
        <v>14.752945113788487</v>
      </c>
      <c r="BH676" s="400"/>
      <c r="BI676" s="449">
        <v>14.752945113788487</v>
      </c>
      <c r="BJ676" s="449">
        <v>14.752945113788487</v>
      </c>
      <c r="BK676" s="449">
        <v>14.752945113788487</v>
      </c>
      <c r="BL676" s="771">
        <v>14.752945113788487</v>
      </c>
      <c r="BM676" s="449">
        <v>14.752945113788487</v>
      </c>
      <c r="BN676" s="449">
        <v>14.752945113788487</v>
      </c>
      <c r="BO676" s="449">
        <v>14.752945113788487</v>
      </c>
      <c r="BP676" s="449">
        <v>14.752945113788487</v>
      </c>
      <c r="BQ676" s="449">
        <v>14.752945113788487</v>
      </c>
      <c r="BR676" s="449">
        <v>14.752945113788487</v>
      </c>
      <c r="BS676" s="449">
        <v>14.752945113788487</v>
      </c>
      <c r="BT676" s="449">
        <v>14.752945113788487</v>
      </c>
    </row>
    <row r="677" spans="1:72" x14ac:dyDescent="0.25">
      <c r="A677" s="502" t="s">
        <v>1082</v>
      </c>
      <c r="B677" s="502" t="s">
        <v>1063</v>
      </c>
      <c r="C677" s="538"/>
      <c r="D677" s="500">
        <v>24113</v>
      </c>
      <c r="E677" s="449">
        <v>24112.5</v>
      </c>
      <c r="F677" s="449">
        <v>0.5</v>
      </c>
      <c r="G677" s="421">
        <v>2.0736132711249351E-5</v>
      </c>
      <c r="H677" s="449">
        <v>24113</v>
      </c>
      <c r="I677" s="449">
        <v>0</v>
      </c>
      <c r="J677" s="426">
        <v>0</v>
      </c>
      <c r="K677" s="421"/>
      <c r="L677" s="449">
        <v>0</v>
      </c>
      <c r="M677" s="449">
        <v>0</v>
      </c>
      <c r="N677" s="449">
        <v>0</v>
      </c>
      <c r="O677" s="449">
        <v>0</v>
      </c>
      <c r="P677" s="449">
        <v>0</v>
      </c>
      <c r="Q677" s="449">
        <v>1125</v>
      </c>
      <c r="R677" s="449">
        <v>3831.3333333333335</v>
      </c>
      <c r="S677" s="449">
        <v>3831.333333333333</v>
      </c>
      <c r="T677" s="449">
        <v>3831.333333333333</v>
      </c>
      <c r="U677" s="449">
        <v>3831.3333333333335</v>
      </c>
      <c r="V677" s="449">
        <v>3831.3333333333339</v>
      </c>
      <c r="W677" s="449">
        <v>3831.3333333333358</v>
      </c>
      <c r="X677" s="449"/>
      <c r="Y677" s="449">
        <v>24113</v>
      </c>
      <c r="Z677" s="531"/>
      <c r="AA677" s="449">
        <v>2009.4166666666667</v>
      </c>
      <c r="AB677" s="449">
        <v>2009.4166666666667</v>
      </c>
      <c r="AC677" s="449">
        <v>2009.4166666666667</v>
      </c>
      <c r="AD677" s="449">
        <v>2009.4166666666667</v>
      </c>
      <c r="AE677" s="449">
        <v>2009.4166666666667</v>
      </c>
      <c r="AF677" s="449">
        <v>2009.4166666666667</v>
      </c>
      <c r="AG677" s="449">
        <v>2009.4166666666667</v>
      </c>
      <c r="AH677" s="449">
        <v>2009.4166666666667</v>
      </c>
      <c r="AI677" s="449">
        <v>2009.4166666666667</v>
      </c>
      <c r="AJ677" s="449">
        <v>2009.4166666666667</v>
      </c>
      <c r="AK677" s="449">
        <v>2009.4166666666667</v>
      </c>
      <c r="AL677" s="449">
        <v>2009.4166666666667</v>
      </c>
      <c r="AM677" s="400"/>
      <c r="AN677" s="500">
        <v>24113</v>
      </c>
      <c r="AO677" s="449">
        <v>26514.616064257028</v>
      </c>
      <c r="AP677" s="449">
        <v>2401.6160642570285</v>
      </c>
      <c r="AQ677" s="453">
        <v>9.95983935742972E-2</v>
      </c>
      <c r="AR677" s="449">
        <v>26514.616064257028</v>
      </c>
      <c r="AS677" s="449">
        <v>0</v>
      </c>
      <c r="AT677" s="426">
        <v>0</v>
      </c>
      <c r="AU677" s="421"/>
      <c r="AV677" s="449">
        <v>2209.5513386880862</v>
      </c>
      <c r="AW677" s="449">
        <v>2209.5513386880862</v>
      </c>
      <c r="AX677" s="449">
        <v>2209.5513386880862</v>
      </c>
      <c r="AY677" s="449">
        <v>2209.5513386880862</v>
      </c>
      <c r="AZ677" s="449">
        <v>2209.5513386880862</v>
      </c>
      <c r="BA677" s="449">
        <v>2209.5513386880862</v>
      </c>
      <c r="BB677" s="449">
        <v>2209.5513386880862</v>
      </c>
      <c r="BC677" s="449">
        <v>2209.5513386880862</v>
      </c>
      <c r="BD677" s="449">
        <v>2209.5513386880862</v>
      </c>
      <c r="BE677" s="449">
        <v>2209.5513386880862</v>
      </c>
      <c r="BF677" s="449">
        <v>2209.5513386880862</v>
      </c>
      <c r="BG677" s="449">
        <v>2209.5513386880862</v>
      </c>
      <c r="BH677" s="400"/>
      <c r="BI677" s="449">
        <v>2209.5513386880862</v>
      </c>
      <c r="BJ677" s="449">
        <v>2209.5513386880862</v>
      </c>
      <c r="BK677" s="449">
        <v>2209.5513386880862</v>
      </c>
      <c r="BL677" s="771">
        <v>2209.5513386880862</v>
      </c>
      <c r="BM677" s="449">
        <v>2209.5513386880862</v>
      </c>
      <c r="BN677" s="449">
        <v>2209.5513386880862</v>
      </c>
      <c r="BO677" s="449">
        <v>2209.5513386880862</v>
      </c>
      <c r="BP677" s="449">
        <v>2209.5513386880862</v>
      </c>
      <c r="BQ677" s="449">
        <v>2209.5513386880862</v>
      </c>
      <c r="BR677" s="449">
        <v>2209.5513386880862</v>
      </c>
      <c r="BS677" s="449">
        <v>2209.5513386880862</v>
      </c>
      <c r="BT677" s="449">
        <v>2209.5513386880862</v>
      </c>
    </row>
    <row r="678" spans="1:72" x14ac:dyDescent="0.25">
      <c r="A678" s="502" t="s">
        <v>1083</v>
      </c>
      <c r="B678" s="502" t="s">
        <v>1084</v>
      </c>
      <c r="C678" s="538"/>
      <c r="D678" s="500">
        <v>38580</v>
      </c>
      <c r="E678" s="449">
        <v>38580</v>
      </c>
      <c r="F678" s="449">
        <v>0</v>
      </c>
      <c r="G678" s="421">
        <v>0</v>
      </c>
      <c r="H678" s="449">
        <v>38580</v>
      </c>
      <c r="I678" s="449">
        <v>0</v>
      </c>
      <c r="J678" s="426">
        <v>0</v>
      </c>
      <c r="K678" s="421"/>
      <c r="L678" s="449">
        <v>0</v>
      </c>
      <c r="M678" s="449">
        <v>0</v>
      </c>
      <c r="N678" s="449">
        <v>0</v>
      </c>
      <c r="O678" s="449">
        <v>0</v>
      </c>
      <c r="P678" s="449">
        <v>975</v>
      </c>
      <c r="Q678" s="449">
        <v>-975</v>
      </c>
      <c r="R678" s="449">
        <v>6430</v>
      </c>
      <c r="S678" s="449">
        <v>6430</v>
      </c>
      <c r="T678" s="449">
        <v>6430</v>
      </c>
      <c r="U678" s="449">
        <v>6430</v>
      </c>
      <c r="V678" s="449">
        <v>6430</v>
      </c>
      <c r="W678" s="449">
        <v>6430</v>
      </c>
      <c r="X678" s="449"/>
      <c r="Y678" s="449">
        <v>38580</v>
      </c>
      <c r="Z678" s="531"/>
      <c r="AA678" s="449">
        <v>3215</v>
      </c>
      <c r="AB678" s="449">
        <v>3215</v>
      </c>
      <c r="AC678" s="449">
        <v>3215</v>
      </c>
      <c r="AD678" s="449">
        <v>3215</v>
      </c>
      <c r="AE678" s="449">
        <v>3215</v>
      </c>
      <c r="AF678" s="449">
        <v>3215</v>
      </c>
      <c r="AG678" s="449">
        <v>3215</v>
      </c>
      <c r="AH678" s="449">
        <v>3215</v>
      </c>
      <c r="AI678" s="449">
        <v>3215</v>
      </c>
      <c r="AJ678" s="449">
        <v>3215</v>
      </c>
      <c r="AK678" s="449">
        <v>3215</v>
      </c>
      <c r="AL678" s="449">
        <v>3215</v>
      </c>
      <c r="AM678" s="400"/>
      <c r="AN678" s="500">
        <v>38580</v>
      </c>
      <c r="AO678" s="449">
        <v>42422.506024096372</v>
      </c>
      <c r="AP678" s="449">
        <v>3842.5060240963721</v>
      </c>
      <c r="AQ678" s="453">
        <v>9.959839357429684E-2</v>
      </c>
      <c r="AR678" s="449">
        <v>42422.506024096372</v>
      </c>
      <c r="AS678" s="449">
        <v>0</v>
      </c>
      <c r="AT678" s="426">
        <v>0</v>
      </c>
      <c r="AU678" s="421"/>
      <c r="AV678" s="449">
        <v>3535.2088353413656</v>
      </c>
      <c r="AW678" s="449">
        <v>3535.2088353413656</v>
      </c>
      <c r="AX678" s="449">
        <v>3535.2088353413656</v>
      </c>
      <c r="AY678" s="449">
        <v>3535.2088353413656</v>
      </c>
      <c r="AZ678" s="449">
        <v>3535.2088353413656</v>
      </c>
      <c r="BA678" s="449">
        <v>3535.2088353413656</v>
      </c>
      <c r="BB678" s="449">
        <v>3535.2088353413656</v>
      </c>
      <c r="BC678" s="449">
        <v>3535.2088353413656</v>
      </c>
      <c r="BD678" s="449">
        <v>3535.2088353413656</v>
      </c>
      <c r="BE678" s="449">
        <v>3535.2088353413656</v>
      </c>
      <c r="BF678" s="449">
        <v>3535.2088353413656</v>
      </c>
      <c r="BG678" s="449">
        <v>3535.2088353413656</v>
      </c>
      <c r="BH678" s="400"/>
      <c r="BI678" s="449">
        <v>3535.2088353413656</v>
      </c>
      <c r="BJ678" s="449">
        <v>3535.2088353413656</v>
      </c>
      <c r="BK678" s="449">
        <v>3535.2088353413656</v>
      </c>
      <c r="BL678" s="771">
        <v>3535.2088353413656</v>
      </c>
      <c r="BM678" s="449">
        <v>3535.2088353413656</v>
      </c>
      <c r="BN678" s="449">
        <v>3535.2088353413656</v>
      </c>
      <c r="BO678" s="449">
        <v>3535.2088353413656</v>
      </c>
      <c r="BP678" s="449">
        <v>3535.2088353413656</v>
      </c>
      <c r="BQ678" s="449">
        <v>3535.2088353413656</v>
      </c>
      <c r="BR678" s="449">
        <v>3535.2088353413656</v>
      </c>
      <c r="BS678" s="449">
        <v>3535.2088353413656</v>
      </c>
      <c r="BT678" s="449">
        <v>3535.2088353413656</v>
      </c>
    </row>
    <row r="679" spans="1:72" x14ac:dyDescent="0.25">
      <c r="A679" s="502" t="s">
        <v>1085</v>
      </c>
      <c r="B679" s="502" t="s">
        <v>1086</v>
      </c>
      <c r="C679" s="538"/>
      <c r="D679" s="500">
        <v>2572</v>
      </c>
      <c r="E679" s="449">
        <v>2572</v>
      </c>
      <c r="F679" s="449">
        <v>0</v>
      </c>
      <c r="G679" s="421">
        <v>0</v>
      </c>
      <c r="H679" s="449">
        <v>2572</v>
      </c>
      <c r="I679" s="449">
        <v>0</v>
      </c>
      <c r="J679" s="426">
        <v>0</v>
      </c>
      <c r="K679" s="421"/>
      <c r="L679" s="449">
        <v>0</v>
      </c>
      <c r="M679" s="449">
        <v>0</v>
      </c>
      <c r="N679" s="449">
        <v>0</v>
      </c>
      <c r="O679" s="449">
        <v>0</v>
      </c>
      <c r="P679" s="449">
        <v>132.47</v>
      </c>
      <c r="Q679" s="449">
        <v>0</v>
      </c>
      <c r="R679" s="449">
        <v>406.58833333333337</v>
      </c>
      <c r="S679" s="449">
        <v>406.58833333333331</v>
      </c>
      <c r="T679" s="449">
        <v>406.58833333333331</v>
      </c>
      <c r="U679" s="449">
        <v>406.58833333333331</v>
      </c>
      <c r="V679" s="449">
        <v>406.58833333333325</v>
      </c>
      <c r="W679" s="449">
        <v>406.58833333333314</v>
      </c>
      <c r="X679" s="449"/>
      <c r="Y679" s="449">
        <v>2572</v>
      </c>
      <c r="Z679" s="531"/>
      <c r="AA679" s="449">
        <v>214.33333333333334</v>
      </c>
      <c r="AB679" s="449">
        <v>214.33333333333334</v>
      </c>
      <c r="AC679" s="449">
        <v>214.33333333333334</v>
      </c>
      <c r="AD679" s="449">
        <v>214.33333333333334</v>
      </c>
      <c r="AE679" s="449">
        <v>214.33333333333334</v>
      </c>
      <c r="AF679" s="449">
        <v>214.33333333333334</v>
      </c>
      <c r="AG679" s="449">
        <v>214.33333333333334</v>
      </c>
      <c r="AH679" s="449">
        <v>214.33333333333334</v>
      </c>
      <c r="AI679" s="449">
        <v>214.33333333333334</v>
      </c>
      <c r="AJ679" s="449">
        <v>214.33333333333334</v>
      </c>
      <c r="AK679" s="449">
        <v>214.33333333333334</v>
      </c>
      <c r="AL679" s="449">
        <v>214.33333333333334</v>
      </c>
      <c r="AM679" s="400"/>
      <c r="AN679" s="500">
        <v>2572</v>
      </c>
      <c r="AO679" s="449">
        <v>2828.1670682730928</v>
      </c>
      <c r="AP679" s="449">
        <v>256.16706827309281</v>
      </c>
      <c r="AQ679" s="453">
        <v>9.9598393574297353E-2</v>
      </c>
      <c r="AR679" s="449">
        <v>2828.1670682730928</v>
      </c>
      <c r="AS679" s="449">
        <v>0</v>
      </c>
      <c r="AT679" s="426">
        <v>0</v>
      </c>
      <c r="AU679" s="421"/>
      <c r="AV679" s="449">
        <v>235.68058902275769</v>
      </c>
      <c r="AW679" s="449">
        <v>235.68058902275769</v>
      </c>
      <c r="AX679" s="449">
        <v>235.68058902275769</v>
      </c>
      <c r="AY679" s="449">
        <v>235.68058902275769</v>
      </c>
      <c r="AZ679" s="449">
        <v>235.68058902275769</v>
      </c>
      <c r="BA679" s="449">
        <v>235.68058902275769</v>
      </c>
      <c r="BB679" s="449">
        <v>235.68058902275769</v>
      </c>
      <c r="BC679" s="449">
        <v>235.68058902275769</v>
      </c>
      <c r="BD679" s="449">
        <v>235.68058902275769</v>
      </c>
      <c r="BE679" s="449">
        <v>235.68058902275769</v>
      </c>
      <c r="BF679" s="449">
        <v>235.68058902275769</v>
      </c>
      <c r="BG679" s="449">
        <v>235.68058902275769</v>
      </c>
      <c r="BH679" s="400"/>
      <c r="BI679" s="449">
        <v>235.68058902275769</v>
      </c>
      <c r="BJ679" s="449">
        <v>235.68058902275769</v>
      </c>
      <c r="BK679" s="449">
        <v>235.68058902275769</v>
      </c>
      <c r="BL679" s="771">
        <v>235.68058902275769</v>
      </c>
      <c r="BM679" s="449">
        <v>235.68058902275769</v>
      </c>
      <c r="BN679" s="449">
        <v>235.68058902275769</v>
      </c>
      <c r="BO679" s="449">
        <v>235.68058902275769</v>
      </c>
      <c r="BP679" s="449">
        <v>235.68058902275769</v>
      </c>
      <c r="BQ679" s="449">
        <v>235.68058902275769</v>
      </c>
      <c r="BR679" s="449">
        <v>235.68058902275769</v>
      </c>
      <c r="BS679" s="449">
        <v>235.68058902275769</v>
      </c>
      <c r="BT679" s="449">
        <v>235.68058902275769</v>
      </c>
    </row>
    <row r="680" spans="1:72" x14ac:dyDescent="0.25">
      <c r="A680" s="502" t="s">
        <v>1087</v>
      </c>
      <c r="B680" s="502" t="s">
        <v>1088</v>
      </c>
      <c r="C680" s="538"/>
      <c r="D680" s="500">
        <v>7038.62</v>
      </c>
      <c r="E680" s="449">
        <v>6751.5</v>
      </c>
      <c r="F680" s="449">
        <v>287.11999999999989</v>
      </c>
      <c r="G680" s="421">
        <v>4.2526845886099368E-2</v>
      </c>
      <c r="H680" s="449">
        <v>6752</v>
      </c>
      <c r="I680" s="449">
        <v>286.61999999999989</v>
      </c>
      <c r="J680" s="426">
        <v>4.2449644549763015E-2</v>
      </c>
      <c r="K680" s="421"/>
      <c r="L680" s="449">
        <v>0</v>
      </c>
      <c r="M680" s="449">
        <v>1021.76</v>
      </c>
      <c r="N680" s="449">
        <v>1144.9100000000001</v>
      </c>
      <c r="O680" s="449">
        <v>0</v>
      </c>
      <c r="P680" s="449">
        <v>4871.95</v>
      </c>
      <c r="Q680" s="449">
        <v>0</v>
      </c>
      <c r="R680" s="449">
        <v>0</v>
      </c>
      <c r="S680" s="449">
        <v>0</v>
      </c>
      <c r="T680" s="449">
        <v>0</v>
      </c>
      <c r="U680" s="449">
        <v>0</v>
      </c>
      <c r="V680" s="449">
        <v>0</v>
      </c>
      <c r="W680" s="449">
        <v>0</v>
      </c>
      <c r="X680" s="449"/>
      <c r="Y680" s="449">
        <v>7038.62</v>
      </c>
      <c r="Z680" s="531"/>
      <c r="AA680" s="449">
        <v>562.66666666666663</v>
      </c>
      <c r="AB680" s="449">
        <v>562.66666666666663</v>
      </c>
      <c r="AC680" s="449">
        <v>562.66666666666663</v>
      </c>
      <c r="AD680" s="449">
        <v>562.66666666666663</v>
      </c>
      <c r="AE680" s="449">
        <v>562.66666666666663</v>
      </c>
      <c r="AF680" s="449">
        <v>562.66666666666663</v>
      </c>
      <c r="AG680" s="449">
        <v>562.66666666666663</v>
      </c>
      <c r="AH680" s="449">
        <v>562.66666666666663</v>
      </c>
      <c r="AI680" s="449">
        <v>562.66666666666663</v>
      </c>
      <c r="AJ680" s="449">
        <v>562.66666666666663</v>
      </c>
      <c r="AK680" s="449">
        <v>562.66666666666663</v>
      </c>
      <c r="AL680" s="449">
        <v>562.66666666666663</v>
      </c>
      <c r="AM680" s="400"/>
      <c r="AN680" s="500">
        <v>7038.62</v>
      </c>
      <c r="AO680" s="449">
        <v>7739.6552449799201</v>
      </c>
      <c r="AP680" s="449">
        <v>701.03524497992021</v>
      </c>
      <c r="AQ680" s="453">
        <v>9.959839357429727E-2</v>
      </c>
      <c r="AR680" s="449">
        <v>7739.6552449799201</v>
      </c>
      <c r="AS680" s="449">
        <v>0</v>
      </c>
      <c r="AT680" s="426">
        <v>0</v>
      </c>
      <c r="AU680" s="421"/>
      <c r="AV680" s="449">
        <v>644.97127041499334</v>
      </c>
      <c r="AW680" s="449">
        <v>644.97127041499334</v>
      </c>
      <c r="AX680" s="449">
        <v>644.97127041499334</v>
      </c>
      <c r="AY680" s="449">
        <v>644.97127041499334</v>
      </c>
      <c r="AZ680" s="449">
        <v>644.97127041499334</v>
      </c>
      <c r="BA680" s="449">
        <v>644.97127041499334</v>
      </c>
      <c r="BB680" s="449">
        <v>644.97127041499334</v>
      </c>
      <c r="BC680" s="449">
        <v>644.97127041499334</v>
      </c>
      <c r="BD680" s="449">
        <v>644.97127041499334</v>
      </c>
      <c r="BE680" s="449">
        <v>644.97127041499334</v>
      </c>
      <c r="BF680" s="449">
        <v>644.97127041499334</v>
      </c>
      <c r="BG680" s="449">
        <v>644.97127041499334</v>
      </c>
      <c r="BH680" s="400"/>
      <c r="BI680" s="449">
        <v>644.97127041499334</v>
      </c>
      <c r="BJ680" s="449">
        <v>644.97127041499334</v>
      </c>
      <c r="BK680" s="449">
        <v>644.97127041499334</v>
      </c>
      <c r="BL680" s="771">
        <v>644.97127041499334</v>
      </c>
      <c r="BM680" s="449">
        <v>644.97127041499334</v>
      </c>
      <c r="BN680" s="449">
        <v>644.97127041499334</v>
      </c>
      <c r="BO680" s="449">
        <v>644.97127041499334</v>
      </c>
      <c r="BP680" s="449">
        <v>644.97127041499334</v>
      </c>
      <c r="BQ680" s="449">
        <v>644.97127041499334</v>
      </c>
      <c r="BR680" s="449">
        <v>644.97127041499334</v>
      </c>
      <c r="BS680" s="449">
        <v>644.97127041499334</v>
      </c>
      <c r="BT680" s="449">
        <v>644.97127041499334</v>
      </c>
    </row>
    <row r="681" spans="1:72" x14ac:dyDescent="0.25">
      <c r="A681" s="502" t="s">
        <v>1089</v>
      </c>
      <c r="B681" s="502" t="s">
        <v>1090</v>
      </c>
      <c r="C681" s="538"/>
      <c r="D681" s="500">
        <v>32150</v>
      </c>
      <c r="E681" s="449">
        <v>32150</v>
      </c>
      <c r="F681" s="449">
        <v>0</v>
      </c>
      <c r="G681" s="421">
        <v>0</v>
      </c>
      <c r="H681" s="449">
        <v>32150</v>
      </c>
      <c r="I681" s="449">
        <v>0</v>
      </c>
      <c r="J681" s="426">
        <v>0</v>
      </c>
      <c r="K681" s="421"/>
      <c r="L681" s="449">
        <v>0</v>
      </c>
      <c r="M681" s="449">
        <v>0</v>
      </c>
      <c r="N681" s="449">
        <v>0</v>
      </c>
      <c r="O681" s="449">
        <v>0</v>
      </c>
      <c r="P681" s="449">
        <v>1492.01</v>
      </c>
      <c r="Q681" s="449">
        <v>0</v>
      </c>
      <c r="R681" s="449">
        <v>5109.665</v>
      </c>
      <c r="S681" s="449">
        <v>5109.665</v>
      </c>
      <c r="T681" s="449">
        <v>5109.665</v>
      </c>
      <c r="U681" s="449">
        <v>5109.665</v>
      </c>
      <c r="V681" s="449">
        <v>5109.6649999999991</v>
      </c>
      <c r="W681" s="449">
        <v>5109.6650000000009</v>
      </c>
      <c r="X681" s="449"/>
      <c r="Y681" s="449">
        <v>32150</v>
      </c>
      <c r="Z681" s="531"/>
      <c r="AA681" s="449">
        <v>2679.1666666666665</v>
      </c>
      <c r="AB681" s="449">
        <v>2679.1666666666665</v>
      </c>
      <c r="AC681" s="449">
        <v>2679.1666666666665</v>
      </c>
      <c r="AD681" s="449">
        <v>2679.1666666666665</v>
      </c>
      <c r="AE681" s="449">
        <v>2679.1666666666665</v>
      </c>
      <c r="AF681" s="449">
        <v>2679.1666666666665</v>
      </c>
      <c r="AG681" s="449">
        <v>2679.1666666666665</v>
      </c>
      <c r="AH681" s="449">
        <v>2679.1666666666665</v>
      </c>
      <c r="AI681" s="449">
        <v>2679.1666666666665</v>
      </c>
      <c r="AJ681" s="449">
        <v>2679.1666666666665</v>
      </c>
      <c r="AK681" s="449">
        <v>2679.1666666666665</v>
      </c>
      <c r="AL681" s="449">
        <v>2679.1666666666665</v>
      </c>
      <c r="AM681" s="400"/>
      <c r="AN681" s="500">
        <v>32150</v>
      </c>
      <c r="AO681" s="449">
        <v>35352.088353413659</v>
      </c>
      <c r="AP681" s="449">
        <v>3202.0883534136592</v>
      </c>
      <c r="AQ681" s="453">
        <v>9.9598393574297325E-2</v>
      </c>
      <c r="AR681" s="449">
        <v>35352.088353413659</v>
      </c>
      <c r="AS681" s="449">
        <v>0</v>
      </c>
      <c r="AT681" s="426">
        <v>0</v>
      </c>
      <c r="AU681" s="421"/>
      <c r="AV681" s="449">
        <v>2946.0073627844718</v>
      </c>
      <c r="AW681" s="449">
        <v>2946.0073627844718</v>
      </c>
      <c r="AX681" s="449">
        <v>2946.0073627844718</v>
      </c>
      <c r="AY681" s="449">
        <v>2946.0073627844718</v>
      </c>
      <c r="AZ681" s="449">
        <v>2946.0073627844718</v>
      </c>
      <c r="BA681" s="449">
        <v>2946.0073627844718</v>
      </c>
      <c r="BB681" s="449">
        <v>2946.0073627844718</v>
      </c>
      <c r="BC681" s="449">
        <v>2946.0073627844718</v>
      </c>
      <c r="BD681" s="449">
        <v>2946.0073627844718</v>
      </c>
      <c r="BE681" s="449">
        <v>2946.0073627844718</v>
      </c>
      <c r="BF681" s="449">
        <v>2946.0073627844718</v>
      </c>
      <c r="BG681" s="449">
        <v>2946.0073627844718</v>
      </c>
      <c r="BH681" s="400"/>
      <c r="BI681" s="449">
        <v>2946.0073627844718</v>
      </c>
      <c r="BJ681" s="449">
        <v>2946.0073627844718</v>
      </c>
      <c r="BK681" s="449">
        <v>2946.0073627844718</v>
      </c>
      <c r="BL681" s="771">
        <v>2946.0073627844718</v>
      </c>
      <c r="BM681" s="449">
        <v>2946.0073627844718</v>
      </c>
      <c r="BN681" s="449">
        <v>2946.0073627844718</v>
      </c>
      <c r="BO681" s="449">
        <v>2946.0073627844718</v>
      </c>
      <c r="BP681" s="449">
        <v>2946.0073627844718</v>
      </c>
      <c r="BQ681" s="449">
        <v>2946.0073627844718</v>
      </c>
      <c r="BR681" s="449">
        <v>2946.0073627844718</v>
      </c>
      <c r="BS681" s="449">
        <v>2946.0073627844718</v>
      </c>
      <c r="BT681" s="449">
        <v>2946.0073627844718</v>
      </c>
    </row>
    <row r="682" spans="1:72" ht="15" customHeight="1" x14ac:dyDescent="0.25">
      <c r="A682" s="502" t="s">
        <v>1091</v>
      </c>
      <c r="B682" s="502" t="s">
        <v>1092</v>
      </c>
      <c r="C682" s="538"/>
      <c r="D682" s="500">
        <v>8038</v>
      </c>
      <c r="E682" s="449">
        <v>8037.5</v>
      </c>
      <c r="F682" s="449">
        <v>0.5</v>
      </c>
      <c r="G682" s="421">
        <v>6.2208398133748054E-5</v>
      </c>
      <c r="H682" s="449">
        <v>8038</v>
      </c>
      <c r="I682" s="449">
        <v>0</v>
      </c>
      <c r="J682" s="426">
        <v>0</v>
      </c>
      <c r="K682" s="421"/>
      <c r="L682" s="449">
        <v>0</v>
      </c>
      <c r="M682" s="449">
        <v>0</v>
      </c>
      <c r="N682" s="449">
        <v>0</v>
      </c>
      <c r="O682" s="449">
        <v>0</v>
      </c>
      <c r="P682" s="449">
        <v>0</v>
      </c>
      <c r="Q682" s="449">
        <v>0</v>
      </c>
      <c r="R682" s="449">
        <v>1339.6666666666667</v>
      </c>
      <c r="S682" s="449">
        <v>1339.6666666666665</v>
      </c>
      <c r="T682" s="449">
        <v>1339.6666666666667</v>
      </c>
      <c r="U682" s="449">
        <v>1339.6666666666667</v>
      </c>
      <c r="V682" s="449">
        <v>1339.6666666666665</v>
      </c>
      <c r="W682" s="449">
        <v>1339.6666666666661</v>
      </c>
      <c r="X682" s="449"/>
      <c r="Y682" s="449">
        <v>8038</v>
      </c>
      <c r="Z682" s="531"/>
      <c r="AA682" s="449">
        <v>669.83333333333337</v>
      </c>
      <c r="AB682" s="449">
        <v>669.83333333333337</v>
      </c>
      <c r="AC682" s="449">
        <v>669.83333333333337</v>
      </c>
      <c r="AD682" s="449">
        <v>669.83333333333337</v>
      </c>
      <c r="AE682" s="449">
        <v>669.83333333333337</v>
      </c>
      <c r="AF682" s="449">
        <v>669.83333333333337</v>
      </c>
      <c r="AG682" s="449">
        <v>669.83333333333337</v>
      </c>
      <c r="AH682" s="449">
        <v>669.83333333333337</v>
      </c>
      <c r="AI682" s="449">
        <v>669.83333333333337</v>
      </c>
      <c r="AJ682" s="449">
        <v>669.83333333333337</v>
      </c>
      <c r="AK682" s="449">
        <v>669.83333333333337</v>
      </c>
      <c r="AL682" s="449">
        <v>669.83333333333337</v>
      </c>
      <c r="AM682" s="400"/>
      <c r="AN682" s="500">
        <v>8038</v>
      </c>
      <c r="AO682" s="449">
        <v>8838.5718875502025</v>
      </c>
      <c r="AP682" s="449">
        <v>800.57188755020252</v>
      </c>
      <c r="AQ682" s="453">
        <v>9.9598393574297409E-2</v>
      </c>
      <c r="AR682" s="449">
        <v>8838.5718875502025</v>
      </c>
      <c r="AS682" s="449">
        <v>0</v>
      </c>
      <c r="AT682" s="426">
        <v>0</v>
      </c>
      <c r="AU682" s="421"/>
      <c r="AV682" s="449">
        <v>736.54765729585006</v>
      </c>
      <c r="AW682" s="449">
        <v>736.54765729585006</v>
      </c>
      <c r="AX682" s="449">
        <v>736.54765729585006</v>
      </c>
      <c r="AY682" s="449">
        <v>736.54765729585006</v>
      </c>
      <c r="AZ682" s="449">
        <v>736.54765729585006</v>
      </c>
      <c r="BA682" s="449">
        <v>736.54765729585006</v>
      </c>
      <c r="BB682" s="449">
        <v>736.54765729585006</v>
      </c>
      <c r="BC682" s="449">
        <v>736.54765729585006</v>
      </c>
      <c r="BD682" s="449">
        <v>736.54765729585006</v>
      </c>
      <c r="BE682" s="449">
        <v>736.54765729585006</v>
      </c>
      <c r="BF682" s="449">
        <v>736.54765729585006</v>
      </c>
      <c r="BG682" s="449">
        <v>736.54765729585006</v>
      </c>
      <c r="BH682" s="400"/>
      <c r="BI682" s="449">
        <v>736.54765729585006</v>
      </c>
      <c r="BJ682" s="449">
        <v>736.54765729585006</v>
      </c>
      <c r="BK682" s="449">
        <v>736.54765729585006</v>
      </c>
      <c r="BL682" s="771">
        <v>736.54765729585006</v>
      </c>
      <c r="BM682" s="449">
        <v>736.54765729585006</v>
      </c>
      <c r="BN682" s="449">
        <v>736.54765729585006</v>
      </c>
      <c r="BO682" s="449">
        <v>736.54765729585006</v>
      </c>
      <c r="BP682" s="449">
        <v>736.54765729585006</v>
      </c>
      <c r="BQ682" s="449">
        <v>736.54765729585006</v>
      </c>
      <c r="BR682" s="449">
        <v>736.54765729585006</v>
      </c>
      <c r="BS682" s="449">
        <v>736.54765729585006</v>
      </c>
      <c r="BT682" s="449">
        <v>736.54765729585006</v>
      </c>
    </row>
    <row r="683" spans="1:72" ht="15" customHeight="1" x14ac:dyDescent="0.25">
      <c r="A683" s="502" t="s">
        <v>1093</v>
      </c>
      <c r="B683" s="502" t="s">
        <v>1094</v>
      </c>
      <c r="C683" s="538"/>
      <c r="D683" s="500">
        <v>4823</v>
      </c>
      <c r="E683" s="449">
        <v>4822.5</v>
      </c>
      <c r="F683" s="449">
        <v>0.5</v>
      </c>
      <c r="G683" s="421">
        <v>1.0368066355624676E-4</v>
      </c>
      <c r="H683" s="449">
        <v>4823</v>
      </c>
      <c r="I683" s="449">
        <v>0</v>
      </c>
      <c r="J683" s="426">
        <v>0</v>
      </c>
      <c r="K683" s="421"/>
      <c r="L683" s="449">
        <v>469</v>
      </c>
      <c r="M683" s="449">
        <v>230.39999999999998</v>
      </c>
      <c r="N683" s="449">
        <v>0</v>
      </c>
      <c r="O683" s="449">
        <v>1065.83</v>
      </c>
      <c r="P683" s="449">
        <v>262.53999999999996</v>
      </c>
      <c r="Q683" s="449">
        <v>661.7199999999998</v>
      </c>
      <c r="R683" s="449">
        <v>355.58500000000004</v>
      </c>
      <c r="S683" s="449">
        <v>355.58500000000004</v>
      </c>
      <c r="T683" s="449">
        <v>355.58500000000004</v>
      </c>
      <c r="U683" s="449">
        <v>355.58500000000004</v>
      </c>
      <c r="V683" s="449">
        <v>355.58500000000004</v>
      </c>
      <c r="W683" s="449">
        <v>355.58500000000004</v>
      </c>
      <c r="X683" s="449"/>
      <c r="Y683" s="449">
        <v>4823</v>
      </c>
      <c r="Z683" s="531"/>
      <c r="AA683" s="449">
        <v>401.91666666666669</v>
      </c>
      <c r="AB683" s="449">
        <v>401.91666666666669</v>
      </c>
      <c r="AC683" s="449">
        <v>401.91666666666669</v>
      </c>
      <c r="AD683" s="449">
        <v>401.91666666666669</v>
      </c>
      <c r="AE683" s="449">
        <v>401.91666666666669</v>
      </c>
      <c r="AF683" s="449">
        <v>401.91666666666669</v>
      </c>
      <c r="AG683" s="449">
        <v>401.91666666666669</v>
      </c>
      <c r="AH683" s="449">
        <v>401.91666666666669</v>
      </c>
      <c r="AI683" s="449">
        <v>401.91666666666669</v>
      </c>
      <c r="AJ683" s="449">
        <v>401.91666666666669</v>
      </c>
      <c r="AK683" s="449">
        <v>401.91666666666669</v>
      </c>
      <c r="AL683" s="449">
        <v>401.91666666666669</v>
      </c>
      <c r="AM683" s="400"/>
      <c r="AN683" s="500">
        <v>4823</v>
      </c>
      <c r="AO683" s="449">
        <v>5303.3630522088351</v>
      </c>
      <c r="AP683" s="449">
        <v>480.36305220883514</v>
      </c>
      <c r="AQ683" s="453">
        <v>9.9598393574297145E-2</v>
      </c>
      <c r="AR683" s="449">
        <v>5303.3630522088351</v>
      </c>
      <c r="AS683" s="449">
        <v>0</v>
      </c>
      <c r="AT683" s="426">
        <v>0</v>
      </c>
      <c r="AU683" s="421"/>
      <c r="AV683" s="449">
        <v>441.94692101740293</v>
      </c>
      <c r="AW683" s="449">
        <v>441.94692101740293</v>
      </c>
      <c r="AX683" s="449">
        <v>441.94692101740293</v>
      </c>
      <c r="AY683" s="449">
        <v>441.94692101740293</v>
      </c>
      <c r="AZ683" s="449">
        <v>441.94692101740293</v>
      </c>
      <c r="BA683" s="449">
        <v>441.94692101740293</v>
      </c>
      <c r="BB683" s="449">
        <v>441.94692101740293</v>
      </c>
      <c r="BC683" s="449">
        <v>441.94692101740293</v>
      </c>
      <c r="BD683" s="449">
        <v>441.94692101740293</v>
      </c>
      <c r="BE683" s="449">
        <v>441.94692101740293</v>
      </c>
      <c r="BF683" s="449">
        <v>441.94692101740293</v>
      </c>
      <c r="BG683" s="449">
        <v>441.94692101740293</v>
      </c>
      <c r="BH683" s="400"/>
      <c r="BI683" s="449">
        <v>441.94692101740293</v>
      </c>
      <c r="BJ683" s="449">
        <v>441.94692101740293</v>
      </c>
      <c r="BK683" s="449">
        <v>441.94692101740293</v>
      </c>
      <c r="BL683" s="771">
        <v>441.94692101740293</v>
      </c>
      <c r="BM683" s="449">
        <v>441.94692101740293</v>
      </c>
      <c r="BN683" s="449">
        <v>441.94692101740293</v>
      </c>
      <c r="BO683" s="449">
        <v>441.94692101740293</v>
      </c>
      <c r="BP683" s="449">
        <v>441.94692101740293</v>
      </c>
      <c r="BQ683" s="449">
        <v>441.94692101740293</v>
      </c>
      <c r="BR683" s="449">
        <v>441.94692101740293</v>
      </c>
      <c r="BS683" s="449">
        <v>441.94692101740293</v>
      </c>
      <c r="BT683" s="449">
        <v>441.94692101740293</v>
      </c>
    </row>
    <row r="684" spans="1:72" x14ac:dyDescent="0.25">
      <c r="A684" s="400"/>
      <c r="B684" s="400"/>
      <c r="C684" s="583"/>
      <c r="D684" s="556"/>
      <c r="E684" s="407"/>
      <c r="F684" s="473"/>
      <c r="G684" s="474"/>
      <c r="H684" s="407"/>
      <c r="I684" s="473"/>
      <c r="J684" s="557"/>
      <c r="K684" s="474"/>
      <c r="L684" s="473"/>
      <c r="M684" s="473"/>
      <c r="N684" s="473"/>
      <c r="O684" s="473"/>
      <c r="P684" s="473"/>
      <c r="Q684" s="473"/>
      <c r="R684" s="473"/>
      <c r="S684" s="473"/>
      <c r="T684" s="473"/>
      <c r="U684" s="473"/>
      <c r="V684" s="473"/>
      <c r="W684" s="473"/>
      <c r="X684" s="473"/>
      <c r="Y684" s="473"/>
      <c r="Z684" s="471"/>
      <c r="AA684" s="473"/>
      <c r="AB684" s="473"/>
      <c r="AC684" s="473"/>
      <c r="AD684" s="473"/>
      <c r="AE684" s="473"/>
      <c r="AF684" s="473"/>
      <c r="AG684" s="473"/>
      <c r="AH684" s="473"/>
      <c r="AI684" s="473"/>
      <c r="AJ684" s="473"/>
      <c r="AK684" s="473"/>
      <c r="AL684" s="473"/>
      <c r="AM684" s="400"/>
      <c r="AN684" s="556"/>
      <c r="AO684" s="407"/>
      <c r="AP684" s="473"/>
      <c r="AQ684" s="517"/>
      <c r="AR684" s="407"/>
      <c r="AS684" s="473"/>
      <c r="AT684" s="557"/>
      <c r="AU684" s="474"/>
      <c r="AV684" s="473"/>
      <c r="AW684" s="473"/>
      <c r="AX684" s="473"/>
      <c r="AY684" s="473"/>
      <c r="AZ684" s="473"/>
      <c r="BA684" s="473"/>
      <c r="BB684" s="473"/>
      <c r="BC684" s="473"/>
      <c r="BD684" s="473"/>
      <c r="BE684" s="473"/>
      <c r="BF684" s="473"/>
      <c r="BG684" s="473"/>
      <c r="BH684" s="471"/>
      <c r="BI684" s="473"/>
      <c r="BJ684" s="473"/>
      <c r="BK684" s="473"/>
      <c r="BL684" s="781"/>
      <c r="BM684" s="473"/>
      <c r="BN684" s="473"/>
      <c r="BO684" s="473"/>
      <c r="BP684" s="473"/>
      <c r="BQ684" s="473"/>
      <c r="BR684" s="473"/>
      <c r="BS684" s="473"/>
      <c r="BT684" s="473"/>
    </row>
    <row r="685" spans="1:72" ht="15.75" thickBot="1" x14ac:dyDescent="0.3">
      <c r="A685" s="400"/>
      <c r="B685" s="524" t="s">
        <v>1095</v>
      </c>
      <c r="C685" s="583"/>
      <c r="D685" s="558">
        <v>165700.62</v>
      </c>
      <c r="E685" s="559">
        <v>165411.75</v>
      </c>
      <c r="F685" s="559">
        <v>288.86999999999534</v>
      </c>
      <c r="G685" s="560">
        <v>1.7463692875505843E-3</v>
      </c>
      <c r="H685" s="559">
        <v>165414</v>
      </c>
      <c r="I685" s="559">
        <v>286.61999999999534</v>
      </c>
      <c r="J685" s="561">
        <v>1.7327432986324939E-3</v>
      </c>
      <c r="K685" s="492"/>
      <c r="L685" s="559">
        <v>469</v>
      </c>
      <c r="M685" s="559">
        <v>1252.1599999999999</v>
      </c>
      <c r="N685" s="559">
        <v>1144.9100000000001</v>
      </c>
      <c r="O685" s="559">
        <v>7673.33</v>
      </c>
      <c r="P685" s="559">
        <v>11749.560000000001</v>
      </c>
      <c r="Q685" s="559">
        <v>811.7199999999998</v>
      </c>
      <c r="R685" s="559">
        <v>23766.656666666666</v>
      </c>
      <c r="S685" s="559">
        <v>23766.656666666666</v>
      </c>
      <c r="T685" s="559">
        <v>23766.656666666666</v>
      </c>
      <c r="U685" s="559">
        <v>23766.656666666666</v>
      </c>
      <c r="V685" s="559">
        <v>23766.656666666666</v>
      </c>
      <c r="W685" s="559">
        <v>23766.656666666669</v>
      </c>
      <c r="X685" s="559"/>
      <c r="Y685" s="559">
        <v>165700.62</v>
      </c>
      <c r="Z685" s="562"/>
      <c r="AA685" s="559">
        <v>13784.499999999998</v>
      </c>
      <c r="AB685" s="559">
        <v>13784.499999999998</v>
      </c>
      <c r="AC685" s="559">
        <v>13784.499999999998</v>
      </c>
      <c r="AD685" s="559">
        <v>13784.499999999998</v>
      </c>
      <c r="AE685" s="559">
        <v>13784.499999999998</v>
      </c>
      <c r="AF685" s="559">
        <v>13784.499999999998</v>
      </c>
      <c r="AG685" s="559">
        <v>13784.499999999998</v>
      </c>
      <c r="AH685" s="559">
        <v>13784.499999999998</v>
      </c>
      <c r="AI685" s="559">
        <v>13784.499999999998</v>
      </c>
      <c r="AJ685" s="559">
        <v>13784.499999999998</v>
      </c>
      <c r="AK685" s="559">
        <v>13784.499999999998</v>
      </c>
      <c r="AL685" s="559">
        <v>13784.499999999998</v>
      </c>
      <c r="AM685" s="400"/>
      <c r="AN685" s="558">
        <v>165700.62</v>
      </c>
      <c r="AO685" s="559">
        <v>182204.13556626509</v>
      </c>
      <c r="AP685" s="559">
        <v>16503.515566265094</v>
      </c>
      <c r="AQ685" s="523">
        <v>9.9598393574297395E-2</v>
      </c>
      <c r="AR685" s="559">
        <v>182204.13556626509</v>
      </c>
      <c r="AS685" s="559">
        <v>0</v>
      </c>
      <c r="AT685" s="561">
        <v>0</v>
      </c>
      <c r="AU685" s="492"/>
      <c r="AV685" s="559">
        <v>15183.677963855424</v>
      </c>
      <c r="AW685" s="559">
        <v>15183.677963855424</v>
      </c>
      <c r="AX685" s="559">
        <v>15183.677963855424</v>
      </c>
      <c r="AY685" s="559">
        <v>15183.677963855424</v>
      </c>
      <c r="AZ685" s="559">
        <v>15183.677963855424</v>
      </c>
      <c r="BA685" s="559">
        <v>15183.677963855424</v>
      </c>
      <c r="BB685" s="559">
        <v>15183.677963855424</v>
      </c>
      <c r="BC685" s="559">
        <v>15183.677963855424</v>
      </c>
      <c r="BD685" s="559">
        <v>15183.677963855424</v>
      </c>
      <c r="BE685" s="559">
        <v>15183.677963855424</v>
      </c>
      <c r="BF685" s="559">
        <v>15183.677963855424</v>
      </c>
      <c r="BG685" s="559">
        <v>15183.677963855424</v>
      </c>
      <c r="BH685" s="562"/>
      <c r="BI685" s="559">
        <v>15183.677963855424</v>
      </c>
      <c r="BJ685" s="559">
        <v>15183.677963855424</v>
      </c>
      <c r="BK685" s="559">
        <v>15183.677963855424</v>
      </c>
      <c r="BL685" s="782">
        <v>15183.677963855424</v>
      </c>
      <c r="BM685" s="559">
        <v>15183.677963855424</v>
      </c>
      <c r="BN685" s="559">
        <v>15183.677963855424</v>
      </c>
      <c r="BO685" s="559">
        <v>15183.677963855424</v>
      </c>
      <c r="BP685" s="559">
        <v>15183.677963855424</v>
      </c>
      <c r="BQ685" s="559">
        <v>15183.677963855424</v>
      </c>
      <c r="BR685" s="559">
        <v>15183.677963855424</v>
      </c>
      <c r="BS685" s="559">
        <v>15183.677963855424</v>
      </c>
      <c r="BT685" s="559">
        <v>15183.677963855424</v>
      </c>
    </row>
    <row r="686" spans="1:72" ht="15.75" thickTop="1" x14ac:dyDescent="0.25">
      <c r="A686" s="400"/>
      <c r="B686" s="400"/>
      <c r="C686" s="583"/>
      <c r="D686" s="556"/>
      <c r="E686" s="407"/>
      <c r="F686" s="473"/>
      <c r="G686" s="474"/>
      <c r="H686" s="407"/>
      <c r="I686" s="473"/>
      <c r="J686" s="557"/>
      <c r="K686" s="474"/>
      <c r="L686" s="473"/>
      <c r="M686" s="473"/>
      <c r="N686" s="473"/>
      <c r="O686" s="473"/>
      <c r="P686" s="473"/>
      <c r="Q686" s="473"/>
      <c r="R686" s="473"/>
      <c r="S686" s="473"/>
      <c r="T686" s="473"/>
      <c r="U686" s="473"/>
      <c r="V686" s="473"/>
      <c r="W686" s="473"/>
      <c r="X686" s="473"/>
      <c r="Y686" s="473"/>
      <c r="Z686" s="471"/>
      <c r="AA686" s="473"/>
      <c r="AB686" s="473"/>
      <c r="AC686" s="473"/>
      <c r="AD686" s="473"/>
      <c r="AE686" s="473"/>
      <c r="AF686" s="473"/>
      <c r="AG686" s="473"/>
      <c r="AH686" s="473"/>
      <c r="AI686" s="473"/>
      <c r="AJ686" s="473"/>
      <c r="AK686" s="473"/>
      <c r="AL686" s="473"/>
      <c r="AM686" s="400"/>
      <c r="AN686" s="556"/>
      <c r="AO686" s="407"/>
      <c r="AP686" s="473"/>
      <c r="AQ686" s="517"/>
      <c r="AR686" s="407"/>
      <c r="AS686" s="473"/>
      <c r="AT686" s="557"/>
      <c r="AU686" s="474"/>
      <c r="AV686" s="473"/>
      <c r="AW686" s="473"/>
      <c r="AX686" s="473"/>
      <c r="AY686" s="473"/>
      <c r="AZ686" s="473"/>
      <c r="BA686" s="473"/>
      <c r="BB686" s="473"/>
      <c r="BC686" s="473"/>
      <c r="BD686" s="473"/>
      <c r="BE686" s="473"/>
      <c r="BF686" s="473"/>
      <c r="BG686" s="473"/>
      <c r="BH686" s="471"/>
      <c r="BI686" s="473"/>
      <c r="BJ686" s="473"/>
      <c r="BK686" s="473"/>
      <c r="BL686" s="781"/>
      <c r="BM686" s="473"/>
      <c r="BN686" s="473"/>
      <c r="BO686" s="473"/>
      <c r="BP686" s="473"/>
      <c r="BQ686" s="473"/>
      <c r="BR686" s="473"/>
      <c r="BS686" s="473"/>
      <c r="BT686" s="473"/>
    </row>
    <row r="687" spans="1:72" x14ac:dyDescent="0.25">
      <c r="A687" s="524" t="s">
        <v>1021</v>
      </c>
      <c r="B687" s="400"/>
      <c r="C687" s="583"/>
      <c r="D687" s="563">
        <v>34239.22</v>
      </c>
      <c r="E687" s="564">
        <v>29273.25</v>
      </c>
      <c r="F687" s="564">
        <v>4965.9700000000012</v>
      </c>
      <c r="G687" s="492">
        <v>0.16964190856840294</v>
      </c>
      <c r="H687" s="564">
        <v>29272</v>
      </c>
      <c r="I687" s="564">
        <v>4967.2200000000012</v>
      </c>
      <c r="J687" s="491">
        <v>0.16969185569827827</v>
      </c>
      <c r="K687" s="492"/>
      <c r="L687" s="564">
        <v>5502.59</v>
      </c>
      <c r="M687" s="564">
        <v>70.210000000000036</v>
      </c>
      <c r="N687" s="564">
        <v>670.02999999999975</v>
      </c>
      <c r="O687" s="564">
        <v>31494.909999999996</v>
      </c>
      <c r="P687" s="564">
        <v>-5881.3600000000006</v>
      </c>
      <c r="Q687" s="564">
        <v>2229.2299999999987</v>
      </c>
      <c r="R687" s="564">
        <v>25.601666666669189</v>
      </c>
      <c r="S687" s="564">
        <v>25.601666666669189</v>
      </c>
      <c r="T687" s="564">
        <v>25.601666666669189</v>
      </c>
      <c r="U687" s="564">
        <v>25.601666666665551</v>
      </c>
      <c r="V687" s="564">
        <v>25.601666666669189</v>
      </c>
      <c r="W687" s="564">
        <v>25.601666666654637</v>
      </c>
      <c r="X687" s="564"/>
      <c r="Y687" s="564">
        <v>34239.219999999987</v>
      </c>
      <c r="Z687" s="562"/>
      <c r="AA687" s="564">
        <v>2439.3333333333358</v>
      </c>
      <c r="AB687" s="564">
        <v>2439.3333333333358</v>
      </c>
      <c r="AC687" s="564">
        <v>2439.3333333333358</v>
      </c>
      <c r="AD687" s="564">
        <v>2439.3333333333358</v>
      </c>
      <c r="AE687" s="564">
        <v>2439.3333333333358</v>
      </c>
      <c r="AF687" s="564">
        <v>2439.3333333333358</v>
      </c>
      <c r="AG687" s="564">
        <v>2439.3333333333358</v>
      </c>
      <c r="AH687" s="564">
        <v>2439.3333333333358</v>
      </c>
      <c r="AI687" s="564">
        <v>2439.3333333333358</v>
      </c>
      <c r="AJ687" s="564">
        <v>2439.3333333333358</v>
      </c>
      <c r="AK687" s="564">
        <v>2439.3333333333358</v>
      </c>
      <c r="AL687" s="564">
        <v>2439.3333333333358</v>
      </c>
      <c r="AM687" s="400"/>
      <c r="AN687" s="566">
        <v>34239.22</v>
      </c>
      <c r="AO687" s="568">
        <v>37151.399341365468</v>
      </c>
      <c r="AP687" s="568">
        <v>2912.1793413654668</v>
      </c>
      <c r="AQ687" s="571">
        <v>8.505390430522268E-2</v>
      </c>
      <c r="AR687" s="564">
        <v>37151.399341365468</v>
      </c>
      <c r="AS687" s="564">
        <v>0</v>
      </c>
      <c r="AT687" s="491">
        <v>0</v>
      </c>
      <c r="AU687" s="492"/>
      <c r="AV687" s="564">
        <v>3095.9499451137872</v>
      </c>
      <c r="AW687" s="564">
        <v>3095.9499451137872</v>
      </c>
      <c r="AX687" s="564">
        <v>3095.9499451137872</v>
      </c>
      <c r="AY687" s="564">
        <v>3095.9499451137872</v>
      </c>
      <c r="AZ687" s="564">
        <v>3095.9499451137872</v>
      </c>
      <c r="BA687" s="564">
        <v>3095.9499451137872</v>
      </c>
      <c r="BB687" s="564">
        <v>3095.9499451137872</v>
      </c>
      <c r="BC687" s="564">
        <v>3095.9499451137872</v>
      </c>
      <c r="BD687" s="564">
        <v>3095.9499451137872</v>
      </c>
      <c r="BE687" s="564">
        <v>3095.9499451137872</v>
      </c>
      <c r="BF687" s="564">
        <v>3095.9499451137872</v>
      </c>
      <c r="BG687" s="564">
        <v>3095.9499451137872</v>
      </c>
      <c r="BH687" s="562"/>
      <c r="BI687" s="564">
        <v>3095.9499451137872</v>
      </c>
      <c r="BJ687" s="564">
        <v>3095.9499451137872</v>
      </c>
      <c r="BK687" s="564">
        <v>3095.9499451137872</v>
      </c>
      <c r="BL687" s="783">
        <v>3095.9499451137872</v>
      </c>
      <c r="BM687" s="564">
        <v>3095.9499451137872</v>
      </c>
      <c r="BN687" s="564">
        <v>3095.9499451137872</v>
      </c>
      <c r="BO687" s="564">
        <v>3095.9499451137872</v>
      </c>
      <c r="BP687" s="564">
        <v>3095.9499451137872</v>
      </c>
      <c r="BQ687" s="564">
        <v>3095.9499451137872</v>
      </c>
      <c r="BR687" s="564">
        <v>3095.9499451137872</v>
      </c>
      <c r="BS687" s="564">
        <v>3095.9499451137872</v>
      </c>
      <c r="BT687" s="564">
        <v>3095.9499451137872</v>
      </c>
    </row>
    <row r="688" spans="1:72" ht="8.25" hidden="1" customHeight="1" x14ac:dyDescent="0.25">
      <c r="A688" s="502"/>
      <c r="B688" s="400"/>
      <c r="C688" s="583"/>
      <c r="D688" s="550"/>
      <c r="E688" s="564"/>
      <c r="F688" s="551"/>
      <c r="G688" s="565"/>
      <c r="H688" s="564"/>
      <c r="I688" s="551"/>
      <c r="J688" s="529"/>
      <c r="K688" s="507"/>
      <c r="L688" s="551"/>
      <c r="M688" s="551"/>
      <c r="N688" s="551"/>
      <c r="O688" s="551"/>
      <c r="P688" s="551"/>
      <c r="Q688" s="551"/>
      <c r="R688" s="551"/>
      <c r="S688" s="551"/>
      <c r="T688" s="551"/>
      <c r="U688" s="551"/>
      <c r="V688" s="551"/>
      <c r="W688" s="551"/>
      <c r="X688" s="551"/>
      <c r="Y688" s="551"/>
      <c r="Z688" s="508"/>
      <c r="AA688" s="551"/>
      <c r="AB688" s="551"/>
      <c r="AC688" s="551"/>
      <c r="AD688" s="551"/>
      <c r="AE688" s="551"/>
      <c r="AF688" s="551"/>
      <c r="AG688" s="551"/>
      <c r="AH688" s="551"/>
      <c r="AI688" s="551"/>
      <c r="AJ688" s="551"/>
      <c r="AK688" s="551"/>
      <c r="AL688" s="551"/>
      <c r="AM688" s="400"/>
      <c r="AN688" s="550"/>
      <c r="AO688" s="564"/>
      <c r="AP688" s="551"/>
      <c r="AQ688" s="499"/>
      <c r="AR688" s="564"/>
      <c r="AS688" s="551"/>
      <c r="AT688" s="529"/>
      <c r="AU688" s="507"/>
      <c r="AV688" s="508"/>
      <c r="AW688" s="508"/>
      <c r="AX688" s="508"/>
      <c r="AY688" s="508"/>
      <c r="AZ688" s="508"/>
      <c r="BA688" s="508"/>
      <c r="BB688" s="508"/>
      <c r="BC688" s="508"/>
      <c r="BD688" s="508"/>
      <c r="BE688" s="508"/>
      <c r="BF688" s="508"/>
      <c r="BG688" s="508"/>
      <c r="BH688" s="508"/>
      <c r="BI688" s="551"/>
      <c r="BJ688" s="551"/>
      <c r="BK688" s="551"/>
      <c r="BL688" s="780"/>
      <c r="BM688" s="551"/>
      <c r="BN688" s="551"/>
      <c r="BO688" s="551"/>
      <c r="BP688" s="551"/>
      <c r="BQ688" s="551"/>
      <c r="BR688" s="551"/>
      <c r="BS688" s="551"/>
      <c r="BT688" s="551"/>
    </row>
    <row r="689" spans="1:72" hidden="1" x14ac:dyDescent="0.25">
      <c r="A689" s="524" t="s">
        <v>1022</v>
      </c>
      <c r="B689" s="400"/>
      <c r="C689" s="583"/>
      <c r="D689" s="550"/>
      <c r="E689" s="564">
        <v>140981</v>
      </c>
      <c r="F689" s="551"/>
      <c r="G689" s="565"/>
      <c r="H689" s="564">
        <v>140981</v>
      </c>
      <c r="I689" s="551"/>
      <c r="J689" s="529"/>
      <c r="K689" s="507"/>
      <c r="L689" s="551"/>
      <c r="M689" s="551"/>
      <c r="N689" s="551"/>
      <c r="O689" s="551"/>
      <c r="P689" s="551"/>
      <c r="Q689" s="551"/>
      <c r="R689" s="551"/>
      <c r="S689" s="551"/>
      <c r="T689" s="551"/>
      <c r="U689" s="551"/>
      <c r="V689" s="551"/>
      <c r="W689" s="551"/>
      <c r="X689" s="551"/>
      <c r="Y689" s="551"/>
      <c r="Z689" s="508"/>
      <c r="AA689" s="551"/>
      <c r="AB689" s="551"/>
      <c r="AC689" s="551"/>
      <c r="AD689" s="551"/>
      <c r="AE689" s="551"/>
      <c r="AF689" s="551"/>
      <c r="AG689" s="551"/>
      <c r="AH689" s="551"/>
      <c r="AI689" s="551"/>
      <c r="AJ689" s="551"/>
      <c r="AK689" s="551"/>
      <c r="AL689" s="551"/>
      <c r="AM689" s="400"/>
      <c r="AN689" s="550"/>
      <c r="AO689" s="564"/>
      <c r="AP689" s="551"/>
      <c r="AQ689" s="499"/>
      <c r="AR689" s="528">
        <v>170253</v>
      </c>
      <c r="AS689" s="551"/>
      <c r="AT689" s="529"/>
      <c r="AU689" s="507"/>
      <c r="AV689" s="508"/>
      <c r="AW689" s="508"/>
      <c r="AX689" s="508"/>
      <c r="AY689" s="508"/>
      <c r="AZ689" s="508"/>
      <c r="BA689" s="508"/>
      <c r="BB689" s="508"/>
      <c r="BC689" s="508"/>
      <c r="BD689" s="508"/>
      <c r="BE689" s="508"/>
      <c r="BF689" s="508"/>
      <c r="BG689" s="508"/>
      <c r="BH689" s="508"/>
      <c r="BI689" s="551"/>
      <c r="BJ689" s="551"/>
      <c r="BK689" s="551"/>
      <c r="BL689" s="780"/>
      <c r="BM689" s="551"/>
      <c r="BN689" s="551"/>
      <c r="BO689" s="551"/>
      <c r="BP689" s="551"/>
      <c r="BQ689" s="551"/>
      <c r="BR689" s="551"/>
      <c r="BS689" s="551"/>
      <c r="BT689" s="551"/>
    </row>
    <row r="690" spans="1:72" ht="6.75" hidden="1" customHeight="1" x14ac:dyDescent="0.25">
      <c r="A690" s="502"/>
      <c r="B690" s="400"/>
      <c r="C690" s="583"/>
      <c r="D690" s="550"/>
      <c r="E690" s="564"/>
      <c r="F690" s="551"/>
      <c r="G690" s="565"/>
      <c r="H690" s="564"/>
      <c r="I690" s="551"/>
      <c r="J690" s="529"/>
      <c r="K690" s="507"/>
      <c r="L690" s="551"/>
      <c r="M690" s="551"/>
      <c r="N690" s="551"/>
      <c r="O690" s="551"/>
      <c r="P690" s="551"/>
      <c r="Q690" s="551"/>
      <c r="R690" s="551"/>
      <c r="S690" s="551"/>
      <c r="T690" s="551"/>
      <c r="U690" s="551"/>
      <c r="V690" s="551"/>
      <c r="W690" s="551"/>
      <c r="X690" s="551"/>
      <c r="Y690" s="551"/>
      <c r="Z690" s="508"/>
      <c r="AA690" s="551"/>
      <c r="AB690" s="551"/>
      <c r="AC690" s="551"/>
      <c r="AD690" s="551"/>
      <c r="AE690" s="551"/>
      <c r="AF690" s="551"/>
      <c r="AG690" s="551"/>
      <c r="AH690" s="551"/>
      <c r="AI690" s="551"/>
      <c r="AJ690" s="551"/>
      <c r="AK690" s="551"/>
      <c r="AL690" s="551"/>
      <c r="AM690" s="400"/>
      <c r="AN690" s="550"/>
      <c r="AO690" s="564"/>
      <c r="AP690" s="551"/>
      <c r="AQ690" s="499"/>
      <c r="AR690" s="564"/>
      <c r="AS690" s="551"/>
      <c r="AT690" s="529"/>
      <c r="AU690" s="507"/>
      <c r="AV690" s="508"/>
      <c r="AW690" s="508"/>
      <c r="AX690" s="508"/>
      <c r="AY690" s="508"/>
      <c r="AZ690" s="508"/>
      <c r="BA690" s="508"/>
      <c r="BB690" s="508"/>
      <c r="BC690" s="508"/>
      <c r="BD690" s="508"/>
      <c r="BE690" s="508"/>
      <c r="BF690" s="508"/>
      <c r="BG690" s="508"/>
      <c r="BH690" s="508"/>
      <c r="BI690" s="551"/>
      <c r="BJ690" s="551"/>
      <c r="BK690" s="551"/>
      <c r="BL690" s="780"/>
      <c r="BM690" s="551"/>
      <c r="BN690" s="551"/>
      <c r="BO690" s="551"/>
      <c r="BP690" s="551"/>
      <c r="BQ690" s="551"/>
      <c r="BR690" s="551"/>
      <c r="BS690" s="551"/>
      <c r="BT690" s="551"/>
    </row>
    <row r="691" spans="1:72" hidden="1" x14ac:dyDescent="0.25">
      <c r="A691" s="524" t="s">
        <v>1023</v>
      </c>
      <c r="B691" s="400"/>
      <c r="C691" s="583"/>
      <c r="D691" s="566"/>
      <c r="E691" s="567">
        <v>170254.25</v>
      </c>
      <c r="F691" s="568"/>
      <c r="G691" s="569"/>
      <c r="H691" s="567">
        <v>170253</v>
      </c>
      <c r="I691" s="568"/>
      <c r="J691" s="570"/>
      <c r="K691" s="492"/>
      <c r="L691" s="564"/>
      <c r="M691" s="564"/>
      <c r="N691" s="564"/>
      <c r="O691" s="564"/>
      <c r="P691" s="564"/>
      <c r="Q691" s="564"/>
      <c r="R691" s="564"/>
      <c r="S691" s="564"/>
      <c r="T691" s="564"/>
      <c r="U691" s="564"/>
      <c r="V691" s="564"/>
      <c r="W691" s="564"/>
      <c r="X691" s="564"/>
      <c r="Y691" s="551"/>
      <c r="Z691" s="562"/>
      <c r="AA691" s="564"/>
      <c r="AB691" s="564"/>
      <c r="AC691" s="564"/>
      <c r="AD691" s="564"/>
      <c r="AE691" s="564"/>
      <c r="AF691" s="564"/>
      <c r="AG691" s="564"/>
      <c r="AH691" s="564"/>
      <c r="AI691" s="564"/>
      <c r="AJ691" s="564"/>
      <c r="AK691" s="564"/>
      <c r="AL691" s="564"/>
      <c r="AM691" s="400"/>
      <c r="AN691" s="566"/>
      <c r="AO691" s="568"/>
      <c r="AP691" s="568"/>
      <c r="AQ691" s="571"/>
      <c r="AR691" s="567">
        <v>207404.39934136547</v>
      </c>
      <c r="AS691" s="568"/>
      <c r="AT691" s="570"/>
      <c r="AU691" s="492"/>
      <c r="AV691" s="562"/>
      <c r="AW691" s="562"/>
      <c r="AX691" s="562"/>
      <c r="AY691" s="562"/>
      <c r="AZ691" s="562"/>
      <c r="BA691" s="562"/>
      <c r="BB691" s="562"/>
      <c r="BC691" s="562"/>
      <c r="BD691" s="562"/>
      <c r="BE691" s="562"/>
      <c r="BF691" s="562"/>
      <c r="BG691" s="562"/>
      <c r="BH691" s="562"/>
      <c r="BI691" s="564"/>
      <c r="BJ691" s="564"/>
      <c r="BK691" s="564"/>
      <c r="BL691" s="783"/>
      <c r="BM691" s="564"/>
      <c r="BN691" s="564"/>
      <c r="BO691" s="564"/>
      <c r="BP691" s="564"/>
      <c r="BQ691" s="564"/>
      <c r="BR691" s="564"/>
      <c r="BS691" s="564"/>
      <c r="BT691" s="564"/>
    </row>
    <row r="692" spans="1:72" hidden="1" x14ac:dyDescent="0.25">
      <c r="A692" s="400"/>
      <c r="B692" s="400"/>
      <c r="C692" s="583"/>
      <c r="D692" s="473"/>
      <c r="E692" s="473"/>
      <c r="F692" s="473"/>
      <c r="G692" s="572"/>
      <c r="H692" s="407"/>
      <c r="I692" s="473"/>
      <c r="J692" s="474"/>
      <c r="K692" s="474"/>
      <c r="L692" s="473"/>
      <c r="M692" s="473"/>
      <c r="N692" s="473"/>
      <c r="O692" s="473"/>
      <c r="P692" s="473"/>
      <c r="Q692" s="473"/>
      <c r="R692" s="473"/>
      <c r="S692" s="473"/>
      <c r="T692" s="473"/>
      <c r="U692" s="473"/>
      <c r="V692" s="473"/>
      <c r="W692" s="473"/>
      <c r="X692" s="473"/>
      <c r="Y692" s="473"/>
      <c r="Z692" s="471"/>
      <c r="AA692" s="473"/>
      <c r="AB692" s="473"/>
      <c r="AC692" s="473"/>
      <c r="AD692" s="473"/>
      <c r="AE692" s="473"/>
      <c r="AF692" s="473"/>
      <c r="AG692" s="473"/>
      <c r="AH692" s="473"/>
      <c r="AI692" s="473"/>
      <c r="AJ692" s="473"/>
      <c r="AK692" s="473"/>
      <c r="AL692" s="473"/>
      <c r="AM692" s="400"/>
      <c r="AN692" s="473"/>
      <c r="AO692" s="407"/>
      <c r="AP692" s="473"/>
      <c r="AQ692" s="476"/>
      <c r="AR692" s="407"/>
      <c r="AS692" s="473"/>
      <c r="AT692" s="474"/>
      <c r="AU692" s="474"/>
      <c r="AV692" s="471"/>
      <c r="AW692" s="471"/>
      <c r="AX692" s="471"/>
      <c r="AY692" s="471"/>
      <c r="AZ692" s="471"/>
      <c r="BA692" s="471"/>
      <c r="BB692" s="471"/>
      <c r="BC692" s="471"/>
      <c r="BD692" s="471"/>
      <c r="BE692" s="471"/>
      <c r="BF692" s="471"/>
      <c r="BG692" s="471"/>
      <c r="BH692" s="471"/>
      <c r="BI692" s="473"/>
      <c r="BJ692" s="473"/>
      <c r="BK692" s="473"/>
      <c r="BL692" s="781"/>
      <c r="BM692" s="473"/>
      <c r="BN692" s="473"/>
      <c r="BO692" s="473"/>
      <c r="BP692" s="473"/>
      <c r="BQ692" s="473"/>
      <c r="BR692" s="473"/>
      <c r="BS692" s="473"/>
      <c r="BT692" s="473"/>
    </row>
    <row r="693" spans="1:72" hidden="1" x14ac:dyDescent="0.25">
      <c r="A693" s="400"/>
      <c r="B693" s="400"/>
      <c r="C693" s="583"/>
      <c r="D693" s="449">
        <v>11905305.919999998</v>
      </c>
      <c r="E693" s="449">
        <v>11778010.373999998</v>
      </c>
      <c r="F693" s="449"/>
      <c r="G693" s="573"/>
      <c r="H693" s="449">
        <v>11824851</v>
      </c>
      <c r="I693" s="449"/>
      <c r="J693" s="421"/>
      <c r="K693" s="421"/>
      <c r="L693" s="449">
        <v>819476.39</v>
      </c>
      <c r="M693" s="449">
        <v>930016.97999999986</v>
      </c>
      <c r="N693" s="449">
        <v>1047337.5300000001</v>
      </c>
      <c r="O693" s="449">
        <v>966896.18999999983</v>
      </c>
      <c r="P693" s="449">
        <v>847092.00999999966</v>
      </c>
      <c r="Q693" s="449">
        <v>1099526.6300000001</v>
      </c>
      <c r="R693" s="449">
        <v>1032493.3650000002</v>
      </c>
      <c r="S693" s="449">
        <v>1032493.3650000001</v>
      </c>
      <c r="T693" s="449">
        <v>1032493.3650000002</v>
      </c>
      <c r="U693" s="449">
        <v>1032493.3650000002</v>
      </c>
      <c r="V693" s="449">
        <v>1032493.3650000002</v>
      </c>
      <c r="W693" s="449">
        <v>1032493.3650000006</v>
      </c>
      <c r="X693" s="449"/>
      <c r="Y693" s="449">
        <v>11905305.920000002</v>
      </c>
      <c r="Z693" s="531"/>
      <c r="AA693" s="449">
        <v>985404.25000000012</v>
      </c>
      <c r="AB693" s="449">
        <v>985404.25000000012</v>
      </c>
      <c r="AC693" s="449">
        <v>985404.25000000012</v>
      </c>
      <c r="AD693" s="449">
        <v>985404.25000000012</v>
      </c>
      <c r="AE693" s="449">
        <v>985404.25000000012</v>
      </c>
      <c r="AF693" s="449">
        <v>985404.25000000012</v>
      </c>
      <c r="AG693" s="449">
        <v>985404.25000000012</v>
      </c>
      <c r="AH693" s="449">
        <v>985404.25000000012</v>
      </c>
      <c r="AI693" s="449">
        <v>985404.25000000012</v>
      </c>
      <c r="AJ693" s="449">
        <v>985404.25000000012</v>
      </c>
      <c r="AK693" s="449">
        <v>985404.25000000012</v>
      </c>
      <c r="AL693" s="449">
        <v>985404.25000000012</v>
      </c>
      <c r="AM693" s="400"/>
      <c r="AN693" s="449">
        <v>11905305.919999998</v>
      </c>
      <c r="AO693" s="449">
        <v>12796739.13908368</v>
      </c>
      <c r="AP693" s="449"/>
      <c r="AQ693" s="419"/>
      <c r="AR693" s="449">
        <v>12796739.13908368</v>
      </c>
      <c r="AS693" s="449"/>
      <c r="AT693" s="421"/>
      <c r="AU693" s="421"/>
      <c r="AV693" s="449">
        <v>1067274.3084594065</v>
      </c>
      <c r="AW693" s="449">
        <v>1134487.6328113598</v>
      </c>
      <c r="AX693" s="449">
        <v>1047787.3636442913</v>
      </c>
      <c r="AY693" s="449">
        <v>1067787.3636442914</v>
      </c>
      <c r="AZ693" s="449">
        <v>1051791.3636442914</v>
      </c>
      <c r="BA693" s="449">
        <v>1047787.3636442913</v>
      </c>
      <c r="BB693" s="449">
        <v>1047787.3636442913</v>
      </c>
      <c r="BC693" s="449">
        <v>1051791.3636442914</v>
      </c>
      <c r="BD693" s="449">
        <v>1092787.3636442914</v>
      </c>
      <c r="BE693" s="449">
        <v>1047787.3636442913</v>
      </c>
      <c r="BF693" s="449">
        <v>1047787.3636442913</v>
      </c>
      <c r="BG693" s="449">
        <v>1091882.9250142914</v>
      </c>
      <c r="BH693" s="531"/>
      <c r="BI693" s="449">
        <v>1067274.3084594065</v>
      </c>
      <c r="BJ693" s="449">
        <v>1134487.6328113598</v>
      </c>
      <c r="BK693" s="449">
        <v>1047787.3636442913</v>
      </c>
      <c r="BL693" s="771">
        <v>1067787.3636442914</v>
      </c>
      <c r="BM693" s="449">
        <v>1051791.3636442914</v>
      </c>
      <c r="BN693" s="449">
        <v>1047787.3636442913</v>
      </c>
      <c r="BO693" s="449">
        <v>1047787.3636442913</v>
      </c>
      <c r="BP693" s="449">
        <v>1051791.3636442914</v>
      </c>
      <c r="BQ693" s="449">
        <v>1092787.3636442914</v>
      </c>
      <c r="BR693" s="449">
        <v>1047787.3636442913</v>
      </c>
      <c r="BS693" s="449">
        <v>1047787.3636442913</v>
      </c>
      <c r="BT693" s="449">
        <v>1091882.9250142914</v>
      </c>
    </row>
    <row r="694" spans="1:72" hidden="1" x14ac:dyDescent="0.25">
      <c r="A694" s="400"/>
      <c r="B694" s="400"/>
      <c r="C694" s="583"/>
      <c r="D694" s="449">
        <v>12987710.529999999</v>
      </c>
      <c r="E694" s="449">
        <v>12437554.706573999</v>
      </c>
      <c r="F694" s="449"/>
      <c r="G694" s="573"/>
      <c r="H694" s="449">
        <v>12809685.030000001</v>
      </c>
      <c r="I694" s="449"/>
      <c r="J694" s="421"/>
      <c r="K694" s="421"/>
      <c r="L694" s="449">
        <v>568363.82999999984</v>
      </c>
      <c r="M694" s="449">
        <v>1361083.7699999998</v>
      </c>
      <c r="N694" s="449">
        <v>696470.44000000018</v>
      </c>
      <c r="O694" s="449">
        <v>916028.99999999988</v>
      </c>
      <c r="P694" s="449">
        <v>691268</v>
      </c>
      <c r="Q694" s="449">
        <v>1524270.7100000002</v>
      </c>
      <c r="R694" s="449">
        <v>1205037.4633333334</v>
      </c>
      <c r="S694" s="449">
        <v>1205037.4633333336</v>
      </c>
      <c r="T694" s="449">
        <v>1205037.4633333336</v>
      </c>
      <c r="U694" s="449">
        <v>1205037.4633333334</v>
      </c>
      <c r="V694" s="449">
        <v>1205037.4633333334</v>
      </c>
      <c r="W694" s="449">
        <v>1205037.4633333334</v>
      </c>
      <c r="X694" s="449"/>
      <c r="Y694" s="449">
        <v>12987710.530000001</v>
      </c>
      <c r="Z694" s="531"/>
      <c r="AA694" s="449">
        <v>1067473.7525000002</v>
      </c>
      <c r="AB694" s="449">
        <v>1067473.7525000002</v>
      </c>
      <c r="AC694" s="449">
        <v>1067473.7525000002</v>
      </c>
      <c r="AD694" s="449">
        <v>1067473.7525000002</v>
      </c>
      <c r="AE694" s="449">
        <v>1067473.7525000002</v>
      </c>
      <c r="AF694" s="449">
        <v>1067473.7525000002</v>
      </c>
      <c r="AG694" s="449">
        <v>1067473.7525000002</v>
      </c>
      <c r="AH694" s="449">
        <v>1067473.7525000002</v>
      </c>
      <c r="AI694" s="449">
        <v>1067473.7525000002</v>
      </c>
      <c r="AJ694" s="449">
        <v>1067473.7525000002</v>
      </c>
      <c r="AK694" s="449">
        <v>1067473.7525000002</v>
      </c>
      <c r="AL694" s="449">
        <v>1067473.7525000002</v>
      </c>
      <c r="AM694" s="400"/>
      <c r="AN694" s="449">
        <v>12987710.529999999</v>
      </c>
      <c r="AO694" s="449">
        <v>13568060.954863288</v>
      </c>
      <c r="AP694" s="449"/>
      <c r="AQ694" s="419"/>
      <c r="AR694" s="449">
        <v>13568060.954863288</v>
      </c>
      <c r="AS694" s="449"/>
      <c r="AT694" s="421"/>
      <c r="AU694" s="421"/>
      <c r="AV694" s="449">
        <v>785833.72817320284</v>
      </c>
      <c r="AW694" s="449">
        <v>968633.08028963674</v>
      </c>
      <c r="AX694" s="449">
        <v>959278.33547271707</v>
      </c>
      <c r="AY694" s="449">
        <v>1218997.8354727172</v>
      </c>
      <c r="AZ694" s="449">
        <v>959278.33547271707</v>
      </c>
      <c r="BA694" s="449">
        <v>1798966.1908456755</v>
      </c>
      <c r="BB694" s="449">
        <v>1017856.5508456755</v>
      </c>
      <c r="BC694" s="449">
        <v>917366.44084567553</v>
      </c>
      <c r="BD694" s="449">
        <v>917366.44084567553</v>
      </c>
      <c r="BE694" s="449">
        <v>964085.94084567542</v>
      </c>
      <c r="BF694" s="449">
        <v>917366.44084567553</v>
      </c>
      <c r="BG694" s="449">
        <v>2143031.6349082417</v>
      </c>
      <c r="BH694" s="531"/>
      <c r="BI694" s="449">
        <v>785833.72817320284</v>
      </c>
      <c r="BJ694" s="449">
        <v>968633.08028963674</v>
      </c>
      <c r="BK694" s="449">
        <v>959278.33547271707</v>
      </c>
      <c r="BL694" s="771">
        <v>1218997.8354727172</v>
      </c>
      <c r="BM694" s="449">
        <v>959278.33547271707</v>
      </c>
      <c r="BN694" s="449">
        <v>1798966.1908456755</v>
      </c>
      <c r="BO694" s="449">
        <v>1017856.5508456755</v>
      </c>
      <c r="BP694" s="449">
        <v>917366.44084567553</v>
      </c>
      <c r="BQ694" s="449">
        <v>917366.44084567553</v>
      </c>
      <c r="BR694" s="449">
        <v>964085.94084567542</v>
      </c>
      <c r="BS694" s="449">
        <v>917366.44084567553</v>
      </c>
      <c r="BT694" s="449">
        <v>2143031.6349082417</v>
      </c>
    </row>
    <row r="695" spans="1:72" hidden="1" x14ac:dyDescent="0.25">
      <c r="A695" s="400"/>
      <c r="B695" s="400"/>
      <c r="C695" s="583"/>
      <c r="D695" s="449">
        <v>-1082404.6100000013</v>
      </c>
      <c r="E695" s="449">
        <v>-659544.33257400058</v>
      </c>
      <c r="F695" s="449"/>
      <c r="G695" s="573"/>
      <c r="H695" s="449">
        <v>-984834.03000000119</v>
      </c>
      <c r="I695" s="449"/>
      <c r="J695" s="421"/>
      <c r="K695" s="421"/>
      <c r="L695" s="449">
        <v>251112.56000000017</v>
      </c>
      <c r="M695" s="449">
        <v>-431066.78999999992</v>
      </c>
      <c r="N695" s="449">
        <v>350867.08999999997</v>
      </c>
      <c r="O695" s="449">
        <v>50867.189999999944</v>
      </c>
      <c r="P695" s="449">
        <v>155824.00999999966</v>
      </c>
      <c r="Q695" s="449">
        <v>-424744.08000000007</v>
      </c>
      <c r="R695" s="449">
        <v>-172544.09833333315</v>
      </c>
      <c r="S695" s="449">
        <v>-172544.0983333335</v>
      </c>
      <c r="T695" s="449">
        <v>-172544.09833333339</v>
      </c>
      <c r="U695" s="449">
        <v>-172544.09833333315</v>
      </c>
      <c r="V695" s="449">
        <v>-172544.09833333315</v>
      </c>
      <c r="W695" s="449">
        <v>-172544.0983333328</v>
      </c>
      <c r="X695" s="449"/>
      <c r="Y695" s="449">
        <v>-1082404.6099999994</v>
      </c>
      <c r="Z695" s="531"/>
      <c r="AA695" s="449">
        <v>-82069.502500000061</v>
      </c>
      <c r="AB695" s="449">
        <v>-82069.502500000061</v>
      </c>
      <c r="AC695" s="449">
        <v>-82069.502500000061</v>
      </c>
      <c r="AD695" s="449">
        <v>-82069.502500000061</v>
      </c>
      <c r="AE695" s="449">
        <v>-82069.502500000061</v>
      </c>
      <c r="AF695" s="449">
        <v>-82069.502500000061</v>
      </c>
      <c r="AG695" s="449">
        <v>-82069.502500000061</v>
      </c>
      <c r="AH695" s="449">
        <v>-82069.502500000061</v>
      </c>
      <c r="AI695" s="449">
        <v>-82069.502500000061</v>
      </c>
      <c r="AJ695" s="449">
        <v>-82069.502500000061</v>
      </c>
      <c r="AK695" s="449">
        <v>-82069.502500000061</v>
      </c>
      <c r="AL695" s="449">
        <v>-82069.502500000061</v>
      </c>
      <c r="AM695" s="400"/>
      <c r="AN695" s="449">
        <v>-1082404.6100000013</v>
      </c>
      <c r="AO695" s="449">
        <v>-771321.81577960774</v>
      </c>
      <c r="AP695" s="449"/>
      <c r="AQ695" s="419"/>
      <c r="AR695" s="449">
        <v>-771321.81577960774</v>
      </c>
      <c r="AS695" s="449"/>
      <c r="AT695" s="421"/>
      <c r="AU695" s="421"/>
      <c r="AV695" s="449">
        <v>281440.58028620365</v>
      </c>
      <c r="AW695" s="449">
        <v>165854.55252172309</v>
      </c>
      <c r="AX695" s="449">
        <v>88509.028171574231</v>
      </c>
      <c r="AY695" s="449">
        <v>-151210.47182842577</v>
      </c>
      <c r="AZ695" s="449">
        <v>92513.028171574348</v>
      </c>
      <c r="BA695" s="449">
        <v>-751178.82720138424</v>
      </c>
      <c r="BB695" s="449">
        <v>29930.812798615778</v>
      </c>
      <c r="BC695" s="449">
        <v>134424.92279861588</v>
      </c>
      <c r="BD695" s="449">
        <v>175420.92279861588</v>
      </c>
      <c r="BE695" s="449">
        <v>83701.42279861588</v>
      </c>
      <c r="BF695" s="449">
        <v>130420.92279861576</v>
      </c>
      <c r="BG695" s="449">
        <v>-1051148.7098939503</v>
      </c>
      <c r="BH695" s="531"/>
      <c r="BI695" s="449">
        <v>281440.58028620365</v>
      </c>
      <c r="BJ695" s="449">
        <v>165854.55252172309</v>
      </c>
      <c r="BK695" s="449">
        <v>88509.028171574231</v>
      </c>
      <c r="BL695" s="771">
        <v>-151210.47182842577</v>
      </c>
      <c r="BM695" s="449">
        <v>92513.028171574348</v>
      </c>
      <c r="BN695" s="449">
        <v>-751178.82720138424</v>
      </c>
      <c r="BO695" s="449">
        <v>29930.812798615778</v>
      </c>
      <c r="BP695" s="449">
        <v>134424.92279861588</v>
      </c>
      <c r="BQ695" s="449">
        <v>175420.92279861588</v>
      </c>
      <c r="BR695" s="449">
        <v>83701.42279861588</v>
      </c>
      <c r="BS695" s="449">
        <v>130420.92279861576</v>
      </c>
      <c r="BT695" s="449">
        <v>-1051148.7098939503</v>
      </c>
    </row>
    <row r="696" spans="1:72" hidden="1" x14ac:dyDescent="0.25">
      <c r="A696" s="400"/>
      <c r="B696" s="400"/>
      <c r="C696" s="583"/>
      <c r="D696" s="471"/>
      <c r="E696" s="471"/>
      <c r="F696" s="473"/>
      <c r="G696" s="474"/>
      <c r="H696" s="477"/>
      <c r="I696" s="473"/>
      <c r="J696" s="474"/>
      <c r="K696" s="474"/>
      <c r="L696" s="471"/>
      <c r="M696" s="471"/>
      <c r="N696" s="471"/>
      <c r="O696" s="471"/>
      <c r="P696" s="471"/>
      <c r="Q696" s="471"/>
      <c r="R696" s="471"/>
      <c r="S696" s="471"/>
      <c r="T696" s="471"/>
      <c r="U696" s="471"/>
      <c r="V696" s="471"/>
      <c r="W696" s="471"/>
      <c r="X696" s="471"/>
      <c r="Y696" s="471"/>
      <c r="Z696" s="471"/>
      <c r="AA696" s="471"/>
      <c r="AB696" s="471"/>
      <c r="AC696" s="471"/>
      <c r="AD696" s="471"/>
      <c r="AE696" s="471"/>
      <c r="AF696" s="471"/>
      <c r="AG696" s="471"/>
      <c r="AH696" s="471"/>
      <c r="AI696" s="471"/>
      <c r="AJ696" s="471"/>
      <c r="AK696" s="471"/>
      <c r="AL696" s="471"/>
      <c r="AM696" s="400"/>
      <c r="AN696" s="471"/>
      <c r="AO696" s="477"/>
      <c r="AP696" s="473"/>
      <c r="AQ696" s="476"/>
      <c r="AR696" s="477"/>
      <c r="AS696" s="473"/>
      <c r="AT696" s="474"/>
      <c r="AU696" s="474"/>
      <c r="AV696" s="471"/>
      <c r="AW696" s="471"/>
      <c r="AX696" s="471"/>
      <c r="AY696" s="471"/>
      <c r="AZ696" s="471"/>
      <c r="BA696" s="471"/>
      <c r="BB696" s="471"/>
      <c r="BC696" s="471"/>
      <c r="BD696" s="471"/>
      <c r="BE696" s="471"/>
      <c r="BF696" s="471"/>
      <c r="BG696" s="471"/>
      <c r="BH696" s="471"/>
      <c r="BI696" s="471"/>
      <c r="BJ696" s="471"/>
      <c r="BK696" s="471"/>
      <c r="BL696" s="768"/>
      <c r="BM696" s="471"/>
      <c r="BN696" s="471"/>
      <c r="BO696" s="471"/>
      <c r="BP696" s="471"/>
      <c r="BQ696" s="471"/>
      <c r="BR696" s="471"/>
      <c r="BS696" s="471"/>
      <c r="BT696" s="471"/>
    </row>
    <row r="697" spans="1:72" s="588" customFormat="1" ht="15" hidden="1" customHeight="1" x14ac:dyDescent="0.25">
      <c r="A697" s="610"/>
      <c r="C697" s="538"/>
      <c r="D697" s="418"/>
      <c r="E697" s="574"/>
      <c r="F697" s="418"/>
      <c r="G697" s="573"/>
      <c r="H697" s="437"/>
      <c r="I697" s="418"/>
      <c r="J697" s="421"/>
      <c r="K697" s="421"/>
      <c r="L697" s="417">
        <v>1</v>
      </c>
      <c r="M697" s="417">
        <v>2</v>
      </c>
      <c r="N697" s="417">
        <v>3</v>
      </c>
      <c r="O697" s="417">
        <v>4</v>
      </c>
      <c r="P697" s="417">
        <v>5</v>
      </c>
      <c r="Q697" s="417">
        <v>6</v>
      </c>
      <c r="R697" s="417">
        <v>7</v>
      </c>
      <c r="S697" s="417">
        <v>8</v>
      </c>
      <c r="T697" s="417">
        <v>9</v>
      </c>
      <c r="U697" s="417">
        <v>10</v>
      </c>
      <c r="V697" s="417">
        <v>11</v>
      </c>
      <c r="W697" s="417">
        <v>12</v>
      </c>
      <c r="X697" s="417"/>
      <c r="Y697" s="417"/>
      <c r="Z697" s="417"/>
      <c r="AA697" s="417"/>
      <c r="AB697" s="417"/>
      <c r="AC697" s="417"/>
      <c r="AD697" s="417"/>
      <c r="AE697" s="417"/>
      <c r="AF697" s="417"/>
      <c r="AG697" s="417"/>
      <c r="AH697" s="417"/>
      <c r="AI697" s="417"/>
      <c r="AJ697" s="417"/>
      <c r="AK697" s="417"/>
      <c r="AL697" s="417"/>
      <c r="AN697" s="417"/>
      <c r="AO697" s="420"/>
      <c r="AP697" s="418"/>
      <c r="AQ697" s="419"/>
      <c r="AR697" s="420"/>
      <c r="AS697" s="418"/>
      <c r="AT697" s="421"/>
      <c r="AU697" s="421"/>
      <c r="AV697" s="417">
        <v>1</v>
      </c>
      <c r="AW697" s="417">
        <v>2</v>
      </c>
      <c r="AX697" s="417">
        <v>3</v>
      </c>
      <c r="AY697" s="417">
        <v>4</v>
      </c>
      <c r="AZ697" s="417">
        <v>5</v>
      </c>
      <c r="BA697" s="417">
        <v>6</v>
      </c>
      <c r="BB697" s="417">
        <v>7</v>
      </c>
      <c r="BC697" s="417">
        <v>8</v>
      </c>
      <c r="BD697" s="417">
        <v>9</v>
      </c>
      <c r="BE697" s="417">
        <v>10</v>
      </c>
      <c r="BF697" s="417">
        <v>11</v>
      </c>
      <c r="BG697" s="417">
        <v>12</v>
      </c>
      <c r="BH697" s="417"/>
      <c r="BI697" s="417">
        <v>1</v>
      </c>
      <c r="BJ697" s="417">
        <v>2</v>
      </c>
      <c r="BK697" s="417">
        <v>3</v>
      </c>
      <c r="BL697" s="784">
        <v>4</v>
      </c>
      <c r="BM697" s="417">
        <v>5</v>
      </c>
      <c r="BN697" s="417">
        <v>6</v>
      </c>
      <c r="BO697" s="417">
        <v>7</v>
      </c>
      <c r="BP697" s="417">
        <v>8</v>
      </c>
      <c r="BQ697" s="417">
        <v>9</v>
      </c>
      <c r="BR697" s="417">
        <v>10</v>
      </c>
      <c r="BS697" s="417">
        <v>11</v>
      </c>
      <c r="BT697" s="417">
        <v>12</v>
      </c>
    </row>
    <row r="698" spans="1:72" s="588" customFormat="1" ht="15" hidden="1" customHeight="1" x14ac:dyDescent="0.25">
      <c r="A698" s="610"/>
      <c r="C698" s="538"/>
      <c r="D698" s="418"/>
      <c r="E698" s="574"/>
      <c r="F698" s="418"/>
      <c r="G698" s="573"/>
      <c r="H698" s="437"/>
      <c r="I698" s="418"/>
      <c r="J698" s="421"/>
      <c r="K698" s="421"/>
      <c r="L698" s="417">
        <v>12</v>
      </c>
      <c r="M698" s="417">
        <v>11</v>
      </c>
      <c r="N698" s="417">
        <v>10</v>
      </c>
      <c r="O698" s="417">
        <v>9</v>
      </c>
      <c r="P698" s="417">
        <v>8</v>
      </c>
      <c r="Q698" s="417">
        <v>7</v>
      </c>
      <c r="R698" s="417">
        <v>6</v>
      </c>
      <c r="S698" s="417">
        <v>5</v>
      </c>
      <c r="T698" s="417">
        <v>4</v>
      </c>
      <c r="U698" s="417">
        <v>3</v>
      </c>
      <c r="V698" s="417">
        <v>2</v>
      </c>
      <c r="W698" s="417">
        <v>1</v>
      </c>
      <c r="X698" s="417"/>
      <c r="Y698" s="417"/>
      <c r="Z698" s="417"/>
      <c r="AA698" s="417"/>
      <c r="AB698" s="417"/>
      <c r="AC698" s="417"/>
      <c r="AD698" s="417"/>
      <c r="AE698" s="417"/>
      <c r="AF698" s="417"/>
      <c r="AG698" s="417"/>
      <c r="AH698" s="417"/>
      <c r="AI698" s="417"/>
      <c r="AJ698" s="417"/>
      <c r="AK698" s="417"/>
      <c r="AL698" s="417"/>
      <c r="AN698" s="417"/>
      <c r="AO698" s="437"/>
      <c r="AP698" s="418"/>
      <c r="AQ698" s="419"/>
      <c r="AR698" s="437"/>
      <c r="AS698" s="418"/>
      <c r="AT698" s="421"/>
      <c r="AU698" s="421"/>
      <c r="AV698" s="417">
        <v>12</v>
      </c>
      <c r="AW698" s="417">
        <v>11</v>
      </c>
      <c r="AX698" s="417">
        <v>10</v>
      </c>
      <c r="AY698" s="417">
        <v>9</v>
      </c>
      <c r="AZ698" s="417">
        <v>8</v>
      </c>
      <c r="BA698" s="417">
        <v>7</v>
      </c>
      <c r="BB698" s="417">
        <v>6</v>
      </c>
      <c r="BC698" s="417">
        <v>5</v>
      </c>
      <c r="BD698" s="417">
        <v>4</v>
      </c>
      <c r="BE698" s="417">
        <v>3</v>
      </c>
      <c r="BF698" s="417">
        <v>2</v>
      </c>
      <c r="BG698" s="417">
        <v>1</v>
      </c>
      <c r="BH698" s="417"/>
      <c r="BI698" s="417">
        <v>12</v>
      </c>
      <c r="BJ698" s="417">
        <v>11</v>
      </c>
      <c r="BK698" s="417">
        <v>10</v>
      </c>
      <c r="BL698" s="784">
        <v>9</v>
      </c>
      <c r="BM698" s="417">
        <v>8</v>
      </c>
      <c r="BN698" s="417">
        <v>7</v>
      </c>
      <c r="BO698" s="417">
        <v>6</v>
      </c>
      <c r="BP698" s="417">
        <v>5</v>
      </c>
      <c r="BQ698" s="417">
        <v>4</v>
      </c>
      <c r="BR698" s="417">
        <v>3</v>
      </c>
      <c r="BS698" s="417">
        <v>2</v>
      </c>
      <c r="BT698" s="417">
        <v>1</v>
      </c>
    </row>
    <row r="699" spans="1:72" ht="15" hidden="1" customHeight="1" x14ac:dyDescent="0.25">
      <c r="A699" s="620"/>
      <c r="B699" s="400"/>
      <c r="C699" s="583"/>
      <c r="D699" s="473"/>
      <c r="E699" s="575"/>
      <c r="F699" s="473"/>
      <c r="G699" s="572"/>
      <c r="H699" s="472"/>
      <c r="I699" s="473"/>
      <c r="J699" s="474"/>
      <c r="K699" s="474"/>
      <c r="L699" s="471"/>
      <c r="M699" s="471"/>
      <c r="N699" s="471"/>
      <c r="O699" s="471"/>
      <c r="P699" s="471"/>
      <c r="Q699" s="471"/>
      <c r="R699" s="471"/>
      <c r="S699" s="471"/>
      <c r="T699" s="471"/>
      <c r="U699" s="471"/>
      <c r="V699" s="471"/>
      <c r="W699" s="471"/>
      <c r="X699" s="471"/>
      <c r="Y699" s="471"/>
      <c r="Z699" s="471"/>
      <c r="AA699" s="471"/>
      <c r="AB699" s="471"/>
      <c r="AC699" s="471"/>
      <c r="AD699" s="471"/>
      <c r="AE699" s="471"/>
      <c r="AF699" s="471"/>
      <c r="AG699" s="471"/>
      <c r="AH699" s="471"/>
      <c r="AI699" s="471"/>
      <c r="AJ699" s="471"/>
      <c r="AK699" s="471"/>
      <c r="AL699" s="471"/>
      <c r="AM699" s="400"/>
      <c r="AN699" s="471"/>
      <c r="AO699" s="472"/>
      <c r="AP699" s="473"/>
      <c r="AQ699" s="476"/>
      <c r="AR699" s="472"/>
      <c r="AS699" s="473"/>
      <c r="AT699" s="474"/>
      <c r="AU699" s="474"/>
      <c r="AV699" s="471"/>
      <c r="AW699" s="471"/>
      <c r="AX699" s="471"/>
      <c r="AY699" s="471"/>
      <c r="AZ699" s="471"/>
      <c r="BA699" s="471"/>
      <c r="BB699" s="471"/>
      <c r="BC699" s="471"/>
      <c r="BD699" s="471"/>
      <c r="BE699" s="471"/>
      <c r="BF699" s="471"/>
      <c r="BG699" s="471"/>
      <c r="BH699" s="471"/>
      <c r="BI699" s="471"/>
      <c r="BJ699" s="406"/>
      <c r="BK699" s="406"/>
      <c r="BL699" s="785"/>
      <c r="BM699" s="406"/>
      <c r="BN699" s="406"/>
      <c r="BO699" s="406"/>
      <c r="BP699" s="406"/>
      <c r="BQ699" s="406"/>
      <c r="BR699" s="406"/>
      <c r="BS699" s="406"/>
      <c r="BT699" s="406"/>
    </row>
    <row r="700" spans="1:72" hidden="1" x14ac:dyDescent="0.25">
      <c r="A700" s="400"/>
      <c r="B700" s="400"/>
      <c r="C700" s="583"/>
      <c r="D700" s="471"/>
      <c r="E700" s="471"/>
      <c r="F700" s="473"/>
      <c r="G700" s="474"/>
      <c r="H700" s="477"/>
      <c r="I700" s="473"/>
      <c r="J700" s="474"/>
      <c r="K700" s="474"/>
      <c r="L700" s="471"/>
      <c r="M700" s="471"/>
      <c r="N700" s="471"/>
      <c r="O700" s="471"/>
      <c r="P700" s="471"/>
      <c r="Q700" s="471"/>
      <c r="R700" s="471"/>
      <c r="S700" s="471"/>
      <c r="T700" s="471"/>
      <c r="U700" s="471"/>
      <c r="V700" s="471"/>
      <c r="W700" s="471"/>
      <c r="X700" s="471"/>
      <c r="Y700" s="471"/>
      <c r="Z700" s="471"/>
      <c r="AA700" s="471"/>
      <c r="AB700" s="471"/>
      <c r="AC700" s="471"/>
      <c r="AD700" s="471"/>
      <c r="AE700" s="471"/>
      <c r="AF700" s="471"/>
      <c r="AG700" s="471"/>
      <c r="AH700" s="471"/>
      <c r="AI700" s="471"/>
      <c r="AJ700" s="471"/>
      <c r="AK700" s="471"/>
      <c r="AL700" s="471"/>
      <c r="AM700" s="400"/>
      <c r="AN700" s="471"/>
      <c r="AO700" s="477"/>
      <c r="AP700" s="473"/>
      <c r="AQ700" s="476"/>
      <c r="AR700" s="477"/>
      <c r="AS700" s="473"/>
      <c r="AT700" s="474"/>
      <c r="AU700" s="474"/>
      <c r="AV700" s="471"/>
      <c r="AW700" s="471"/>
      <c r="AX700" s="471"/>
      <c r="AY700" s="471"/>
      <c r="AZ700" s="471"/>
      <c r="BA700" s="471"/>
      <c r="BB700" s="471"/>
      <c r="BC700" s="471"/>
      <c r="BD700" s="471"/>
      <c r="BE700" s="471"/>
      <c r="BF700" s="471"/>
      <c r="BG700" s="471"/>
      <c r="BH700" s="471"/>
      <c r="BI700" s="606">
        <v>0.2</v>
      </c>
      <c r="BJ700" s="606">
        <v>0.2</v>
      </c>
      <c r="BK700" s="606">
        <v>0.13333333333333333</v>
      </c>
      <c r="BL700" s="786">
        <v>0.13333333333333333</v>
      </c>
      <c r="BM700" s="606">
        <v>0.13333333333333333</v>
      </c>
      <c r="BN700" s="606">
        <v>2.8571428571428571E-2</v>
      </c>
      <c r="BO700" s="606">
        <v>2.8571428571428571E-2</v>
      </c>
      <c r="BP700" s="606">
        <v>2.8571428571428571E-2</v>
      </c>
      <c r="BQ700" s="606">
        <v>2.8571428571428571E-2</v>
      </c>
      <c r="BR700" s="606">
        <v>2.8571428571428571E-2</v>
      </c>
      <c r="BS700" s="606">
        <v>2.8571428571428571E-2</v>
      </c>
      <c r="BT700" s="606">
        <v>2.8571428571428571E-2</v>
      </c>
    </row>
    <row r="701" spans="1:72" x14ac:dyDescent="0.25">
      <c r="B701" s="400"/>
      <c r="C701" s="583"/>
      <c r="D701" s="471"/>
      <c r="E701" s="471"/>
      <c r="F701" s="473"/>
      <c r="G701" s="474"/>
      <c r="H701" s="477"/>
      <c r="I701" s="473"/>
      <c r="J701" s="474"/>
      <c r="K701" s="474"/>
      <c r="L701" s="471"/>
      <c r="M701" s="471"/>
      <c r="N701" s="471"/>
      <c r="O701" s="471"/>
      <c r="P701" s="471"/>
      <c r="Q701" s="471"/>
      <c r="R701" s="471"/>
      <c r="S701" s="471"/>
      <c r="T701" s="471"/>
      <c r="U701" s="471"/>
      <c r="V701" s="471"/>
      <c r="W701" s="471"/>
      <c r="X701" s="471"/>
      <c r="Y701" s="471"/>
      <c r="Z701" s="471"/>
      <c r="AA701" s="471"/>
      <c r="AB701" s="471"/>
      <c r="AC701" s="471"/>
      <c r="AD701" s="471"/>
      <c r="AE701" s="471"/>
      <c r="AF701" s="471"/>
      <c r="AG701" s="471"/>
      <c r="AH701" s="471"/>
      <c r="AI701" s="471"/>
      <c r="AJ701" s="471"/>
      <c r="AK701" s="471"/>
      <c r="AL701" s="471"/>
      <c r="AM701" s="400"/>
      <c r="AN701" s="471"/>
      <c r="AO701" s="477"/>
      <c r="AP701" s="473"/>
      <c r="AQ701" s="476"/>
      <c r="AR701" s="477"/>
      <c r="AS701" s="473"/>
      <c r="AT701" s="474"/>
      <c r="AU701" s="474"/>
      <c r="AV701" s="471"/>
      <c r="AW701" s="471"/>
      <c r="AX701" s="471"/>
      <c r="AY701" s="471"/>
      <c r="AZ701" s="471"/>
      <c r="BA701" s="471"/>
      <c r="BB701" s="471"/>
      <c r="BC701" s="471"/>
      <c r="BD701" s="471"/>
      <c r="BE701" s="471"/>
      <c r="BF701" s="471"/>
      <c r="BG701" s="471"/>
      <c r="BH701" s="471"/>
      <c r="BI701" s="471"/>
      <c r="BJ701" s="471"/>
      <c r="BK701" s="471"/>
      <c r="BL701" s="768"/>
      <c r="BM701" s="471"/>
      <c r="BN701" s="471"/>
      <c r="BO701" s="471"/>
      <c r="BP701" s="471"/>
      <c r="BQ701" s="471"/>
      <c r="BR701" s="471"/>
      <c r="BS701" s="471"/>
      <c r="BT701" s="471"/>
    </row>
    <row r="702" spans="1:72" x14ac:dyDescent="0.25">
      <c r="A702" s="400"/>
      <c r="B702" s="400"/>
      <c r="C702" s="583"/>
      <c r="D702" s="471"/>
      <c r="E702" s="471"/>
      <c r="F702" s="473"/>
      <c r="G702" s="474"/>
      <c r="H702" s="477"/>
      <c r="I702" s="473"/>
      <c r="J702" s="474"/>
      <c r="K702" s="474"/>
      <c r="L702" s="471"/>
      <c r="M702" s="471"/>
      <c r="N702" s="471"/>
      <c r="O702" s="471"/>
      <c r="P702" s="471"/>
      <c r="Q702" s="471"/>
      <c r="R702" s="471"/>
      <c r="S702" s="471"/>
      <c r="T702" s="471"/>
      <c r="U702" s="471"/>
      <c r="V702" s="471"/>
      <c r="W702" s="471"/>
      <c r="X702" s="471"/>
      <c r="Y702" s="471"/>
      <c r="Z702" s="471"/>
      <c r="AA702" s="471"/>
      <c r="AB702" s="471"/>
      <c r="AC702" s="471"/>
      <c r="AD702" s="471"/>
      <c r="AE702" s="471"/>
      <c r="AF702" s="471"/>
      <c r="AG702" s="471"/>
      <c r="AH702" s="471"/>
      <c r="AI702" s="471"/>
      <c r="AJ702" s="471"/>
      <c r="AK702" s="471"/>
      <c r="AL702" s="471"/>
      <c r="AM702" s="400"/>
      <c r="AN702" s="471"/>
      <c r="AO702" s="477"/>
      <c r="AP702" s="473"/>
      <c r="AQ702" s="476"/>
      <c r="AR702" s="477"/>
      <c r="AS702" s="473"/>
      <c r="AT702" s="474"/>
      <c r="AU702" s="474"/>
      <c r="AV702" s="471"/>
      <c r="AW702" s="471"/>
      <c r="AX702" s="471"/>
      <c r="AY702" s="471"/>
      <c r="AZ702" s="471"/>
      <c r="BA702" s="471"/>
      <c r="BB702" s="471"/>
      <c r="BC702" s="471"/>
      <c r="BD702" s="471"/>
      <c r="BE702" s="471"/>
      <c r="BF702" s="471"/>
      <c r="BG702" s="471"/>
      <c r="BH702" s="471"/>
      <c r="BI702" s="471"/>
      <c r="BJ702" s="471"/>
      <c r="BK702" s="471"/>
      <c r="BL702" s="768"/>
      <c r="BM702" s="471"/>
      <c r="BN702" s="471"/>
      <c r="BO702" s="471"/>
      <c r="BP702" s="471"/>
      <c r="BQ702" s="471"/>
      <c r="BR702" s="471"/>
      <c r="BS702" s="471"/>
      <c r="BT702" s="471"/>
    </row>
    <row r="727" spans="2:40" hidden="1" x14ac:dyDescent="0.25">
      <c r="B727" s="607" t="s">
        <v>1096</v>
      </c>
      <c r="C727" s="583"/>
      <c r="D727" s="471"/>
      <c r="E727" s="471"/>
      <c r="F727" s="473"/>
      <c r="G727" s="474"/>
      <c r="H727" s="477"/>
      <c r="I727" s="473"/>
      <c r="J727" s="474"/>
      <c r="K727" s="474"/>
      <c r="L727" s="471"/>
      <c r="M727" s="471"/>
      <c r="N727" s="471"/>
      <c r="O727" s="471"/>
      <c r="P727" s="471"/>
      <c r="Q727" s="471"/>
      <c r="R727" s="471"/>
      <c r="S727" s="471"/>
      <c r="T727" s="471"/>
      <c r="U727" s="471"/>
      <c r="V727" s="471"/>
      <c r="W727" s="471"/>
      <c r="X727" s="471"/>
      <c r="Y727" s="471"/>
      <c r="Z727" s="471"/>
      <c r="AA727" s="471"/>
      <c r="AB727" s="471"/>
      <c r="AC727" s="471"/>
      <c r="AD727" s="471"/>
      <c r="AE727" s="471"/>
      <c r="AF727" s="471"/>
      <c r="AG727" s="471"/>
      <c r="AH727" s="471"/>
      <c r="AI727" s="471"/>
      <c r="AJ727" s="471"/>
      <c r="AK727" s="471"/>
      <c r="AL727" s="471"/>
      <c r="AM727" s="400"/>
      <c r="AN727" s="471"/>
    </row>
    <row r="728" spans="2:40" hidden="1" x14ac:dyDescent="0.25">
      <c r="B728" s="605" t="s">
        <v>1097</v>
      </c>
      <c r="C728" s="538"/>
      <c r="D728" s="417"/>
      <c r="E728" s="417"/>
      <c r="F728" s="418"/>
      <c r="G728" s="421"/>
      <c r="H728" s="429"/>
      <c r="I728" s="418"/>
      <c r="J728" s="421"/>
      <c r="K728" s="421"/>
      <c r="L728" s="417"/>
      <c r="M728" s="417"/>
      <c r="N728" s="417"/>
      <c r="O728" s="417"/>
      <c r="P728" s="417"/>
      <c r="Q728" s="417"/>
      <c r="R728" s="417"/>
      <c r="S728" s="417"/>
      <c r="T728" s="417"/>
      <c r="U728" s="417"/>
      <c r="V728" s="417"/>
      <c r="W728" s="417"/>
      <c r="X728" s="417"/>
      <c r="Y728" s="417"/>
      <c r="Z728" s="417"/>
      <c r="AA728" s="417"/>
      <c r="AB728" s="417"/>
      <c r="AC728" s="417"/>
      <c r="AD728" s="417"/>
      <c r="AE728" s="417"/>
      <c r="AF728" s="417"/>
      <c r="AG728" s="417"/>
      <c r="AH728" s="417"/>
      <c r="AI728" s="417"/>
      <c r="AJ728" s="417"/>
      <c r="AK728" s="417"/>
      <c r="AL728" s="417"/>
      <c r="AM728" s="588"/>
      <c r="AN728" s="608">
        <v>187000</v>
      </c>
    </row>
    <row r="729" spans="2:40" hidden="1" x14ac:dyDescent="0.25">
      <c r="B729" s="605" t="s">
        <v>1098</v>
      </c>
      <c r="C729" s="538"/>
      <c r="D729" s="417"/>
      <c r="E729" s="417"/>
      <c r="F729" s="418"/>
      <c r="G729" s="421"/>
      <c r="H729" s="429"/>
      <c r="I729" s="418"/>
      <c r="J729" s="421"/>
      <c r="K729" s="421"/>
      <c r="L729" s="417"/>
      <c r="M729" s="417"/>
      <c r="N729" s="417"/>
      <c r="O729" s="417"/>
      <c r="P729" s="417"/>
      <c r="Q729" s="417"/>
      <c r="R729" s="417"/>
      <c r="S729" s="417"/>
      <c r="T729" s="417"/>
      <c r="U729" s="417"/>
      <c r="V729" s="417"/>
      <c r="W729" s="417"/>
      <c r="X729" s="417"/>
      <c r="Y729" s="417"/>
      <c r="Z729" s="417"/>
      <c r="AA729" s="417"/>
      <c r="AB729" s="417"/>
      <c r="AC729" s="417"/>
      <c r="AD729" s="417"/>
      <c r="AE729" s="417"/>
      <c r="AF729" s="417"/>
      <c r="AG729" s="417"/>
      <c r="AH729" s="417"/>
      <c r="AI729" s="417"/>
      <c r="AJ729" s="417"/>
      <c r="AK729" s="417"/>
      <c r="AL729" s="417"/>
      <c r="AM729" s="588"/>
      <c r="AN729" s="432">
        <v>122324.43859999994</v>
      </c>
    </row>
    <row r="730" spans="2:40" hidden="1" x14ac:dyDescent="0.25">
      <c r="B730" s="588"/>
      <c r="C730" s="538"/>
      <c r="D730" s="417"/>
      <c r="E730" s="417"/>
      <c r="F730" s="418"/>
      <c r="G730" s="421"/>
      <c r="H730" s="429"/>
      <c r="I730" s="418"/>
      <c r="J730" s="421"/>
      <c r="K730" s="421"/>
      <c r="L730" s="417"/>
      <c r="M730" s="417"/>
      <c r="N730" s="417"/>
      <c r="O730" s="417"/>
      <c r="P730" s="417"/>
      <c r="Q730" s="417"/>
      <c r="R730" s="417"/>
      <c r="S730" s="417"/>
      <c r="T730" s="417"/>
      <c r="U730" s="417"/>
      <c r="V730" s="417"/>
      <c r="W730" s="417"/>
      <c r="X730" s="417"/>
      <c r="Y730" s="417"/>
      <c r="Z730" s="417"/>
      <c r="AA730" s="417"/>
      <c r="AB730" s="417"/>
      <c r="AC730" s="417"/>
      <c r="AD730" s="417"/>
      <c r="AE730" s="417"/>
      <c r="AF730" s="417"/>
      <c r="AG730" s="417"/>
      <c r="AH730" s="417"/>
      <c r="AI730" s="417"/>
      <c r="AJ730" s="417"/>
      <c r="AK730" s="417"/>
      <c r="AL730" s="417"/>
      <c r="AM730" s="588"/>
      <c r="AN730" s="608"/>
    </row>
    <row r="731" spans="2:40" hidden="1" x14ac:dyDescent="0.25">
      <c r="B731" s="605" t="s">
        <v>1099</v>
      </c>
      <c r="C731" s="538"/>
      <c r="D731" s="417"/>
      <c r="E731" s="417"/>
      <c r="F731" s="418"/>
      <c r="G731" s="421"/>
      <c r="H731" s="429"/>
      <c r="I731" s="418"/>
      <c r="J731" s="421"/>
      <c r="K731" s="421"/>
      <c r="L731" s="417"/>
      <c r="M731" s="417"/>
      <c r="N731" s="417"/>
      <c r="O731" s="417"/>
      <c r="P731" s="417"/>
      <c r="Q731" s="417"/>
      <c r="R731" s="417"/>
      <c r="S731" s="417"/>
      <c r="T731" s="417"/>
      <c r="U731" s="417"/>
      <c r="V731" s="417"/>
      <c r="W731" s="417"/>
      <c r="X731" s="417"/>
      <c r="Y731" s="417"/>
      <c r="Z731" s="417"/>
      <c r="AA731" s="417"/>
      <c r="AB731" s="417"/>
      <c r="AC731" s="417"/>
      <c r="AD731" s="417"/>
      <c r="AE731" s="417"/>
      <c r="AF731" s="417"/>
      <c r="AG731" s="417"/>
      <c r="AH731" s="417"/>
      <c r="AI731" s="417"/>
      <c r="AJ731" s="417"/>
      <c r="AK731" s="417"/>
      <c r="AL731" s="417"/>
      <c r="AM731" s="588"/>
      <c r="AN731" s="608">
        <v>309324.43859999994</v>
      </c>
    </row>
    <row r="732" spans="2:40" hidden="1" x14ac:dyDescent="0.25">
      <c r="B732" s="588"/>
      <c r="C732" s="538"/>
      <c r="D732" s="417"/>
      <c r="E732" s="417"/>
      <c r="F732" s="418"/>
      <c r="G732" s="421"/>
      <c r="H732" s="429"/>
      <c r="I732" s="418"/>
      <c r="J732" s="421"/>
      <c r="K732" s="421"/>
      <c r="L732" s="417"/>
      <c r="M732" s="417"/>
      <c r="N732" s="417"/>
      <c r="O732" s="417"/>
      <c r="P732" s="417"/>
      <c r="Q732" s="417"/>
      <c r="R732" s="417"/>
      <c r="S732" s="417"/>
      <c r="T732" s="417"/>
      <c r="U732" s="417"/>
      <c r="V732" s="417"/>
      <c r="W732" s="417"/>
      <c r="X732" s="417"/>
      <c r="Y732" s="417"/>
      <c r="Z732" s="417"/>
      <c r="AA732" s="417"/>
      <c r="AB732" s="417"/>
      <c r="AC732" s="417"/>
      <c r="AD732" s="417"/>
      <c r="AE732" s="417"/>
      <c r="AF732" s="417"/>
      <c r="AG732" s="417"/>
      <c r="AH732" s="417"/>
      <c r="AI732" s="417"/>
      <c r="AJ732" s="417"/>
      <c r="AK732" s="417"/>
      <c r="AL732" s="417"/>
      <c r="AM732" s="588"/>
      <c r="AN732" s="417"/>
    </row>
    <row r="733" spans="2:40" hidden="1" x14ac:dyDescent="0.25">
      <c r="B733" s="605" t="s">
        <v>1100</v>
      </c>
      <c r="C733" s="538"/>
      <c r="D733" s="417"/>
      <c r="E733" s="417"/>
      <c r="F733" s="418"/>
      <c r="G733" s="421"/>
      <c r="H733" s="429"/>
      <c r="I733" s="418"/>
      <c r="J733" s="421"/>
      <c r="K733" s="421"/>
      <c r="L733" s="417"/>
      <c r="M733" s="417"/>
      <c r="N733" s="417"/>
      <c r="O733" s="417"/>
      <c r="P733" s="417"/>
      <c r="Q733" s="417"/>
      <c r="R733" s="417"/>
      <c r="S733" s="417"/>
      <c r="T733" s="417"/>
      <c r="U733" s="417"/>
      <c r="V733" s="417"/>
      <c r="W733" s="417"/>
      <c r="X733" s="417"/>
      <c r="Y733" s="417"/>
      <c r="Z733" s="417"/>
      <c r="AA733" s="417"/>
      <c r="AB733" s="417"/>
      <c r="AC733" s="417"/>
      <c r="AD733" s="417"/>
      <c r="AE733" s="417"/>
      <c r="AF733" s="417"/>
      <c r="AG733" s="417"/>
      <c r="AH733" s="417"/>
      <c r="AI733" s="417"/>
      <c r="AJ733" s="417"/>
      <c r="AK733" s="417"/>
      <c r="AL733" s="417"/>
      <c r="AM733" s="588"/>
      <c r="AN733" s="608">
        <v>321474.20164080797</v>
      </c>
    </row>
    <row r="734" spans="2:40" hidden="1" x14ac:dyDescent="0.25">
      <c r="B734" s="588"/>
      <c r="C734" s="538"/>
      <c r="D734" s="417"/>
      <c r="E734" s="417"/>
      <c r="F734" s="418"/>
      <c r="G734" s="421"/>
      <c r="H734" s="429"/>
      <c r="I734" s="418"/>
      <c r="J734" s="421"/>
      <c r="K734" s="421"/>
      <c r="L734" s="417"/>
      <c r="M734" s="417"/>
      <c r="N734" s="417"/>
      <c r="O734" s="417"/>
      <c r="P734" s="417"/>
      <c r="Q734" s="417"/>
      <c r="R734" s="417"/>
      <c r="S734" s="417"/>
      <c r="T734" s="417"/>
      <c r="U734" s="417"/>
      <c r="V734" s="417"/>
      <c r="W734" s="417"/>
      <c r="X734" s="417"/>
      <c r="Y734" s="417"/>
      <c r="Z734" s="417"/>
      <c r="AA734" s="417"/>
      <c r="AB734" s="417"/>
      <c r="AC734" s="417"/>
      <c r="AD734" s="417"/>
      <c r="AE734" s="417"/>
      <c r="AF734" s="417"/>
      <c r="AG734" s="417"/>
      <c r="AH734" s="417"/>
      <c r="AI734" s="417"/>
      <c r="AJ734" s="417"/>
      <c r="AK734" s="417"/>
      <c r="AL734" s="417"/>
      <c r="AM734" s="588"/>
      <c r="AN734" s="417"/>
    </row>
    <row r="735" spans="2:40" hidden="1" x14ac:dyDescent="0.25">
      <c r="B735" s="605" t="s">
        <v>1101</v>
      </c>
      <c r="C735" s="538"/>
      <c r="D735" s="417"/>
      <c r="E735" s="417"/>
      <c r="F735" s="418"/>
      <c r="G735" s="421"/>
      <c r="H735" s="429"/>
      <c r="I735" s="418"/>
      <c r="J735" s="421"/>
      <c r="K735" s="421"/>
      <c r="L735" s="417"/>
      <c r="M735" s="417"/>
      <c r="N735" s="417"/>
      <c r="O735" s="417"/>
      <c r="P735" s="417"/>
      <c r="Q735" s="417"/>
      <c r="R735" s="417"/>
      <c r="S735" s="417"/>
      <c r="T735" s="417"/>
      <c r="U735" s="417"/>
      <c r="V735" s="417"/>
      <c r="W735" s="417"/>
      <c r="X735" s="417"/>
      <c r="Y735" s="417"/>
      <c r="Z735" s="417"/>
      <c r="AA735" s="417"/>
      <c r="AB735" s="417"/>
      <c r="AC735" s="417"/>
      <c r="AD735" s="417"/>
      <c r="AE735" s="417"/>
      <c r="AF735" s="417"/>
      <c r="AG735" s="417"/>
      <c r="AH735" s="417"/>
      <c r="AI735" s="417"/>
      <c r="AJ735" s="417"/>
      <c r="AK735" s="417"/>
      <c r="AL735" s="417"/>
      <c r="AM735" s="588"/>
      <c r="AN735" s="418">
        <v>12149.763040808029</v>
      </c>
    </row>
    <row r="736" spans="2:40" x14ac:dyDescent="0.25">
      <c r="B736" s="400"/>
      <c r="C736" s="583"/>
      <c r="D736" s="471"/>
      <c r="E736" s="471"/>
      <c r="F736" s="473"/>
      <c r="G736" s="474"/>
      <c r="H736" s="477"/>
      <c r="I736" s="473"/>
      <c r="J736" s="474"/>
      <c r="K736" s="474"/>
      <c r="L736" s="471"/>
      <c r="M736" s="471"/>
      <c r="N736" s="471"/>
      <c r="O736" s="471"/>
      <c r="P736" s="471"/>
      <c r="Q736" s="471"/>
      <c r="R736" s="471"/>
      <c r="S736" s="471"/>
      <c r="T736" s="471"/>
      <c r="U736" s="471"/>
      <c r="V736" s="471"/>
      <c r="W736" s="471"/>
      <c r="X736" s="471"/>
      <c r="Y736" s="471"/>
      <c r="Z736" s="471"/>
      <c r="AA736" s="471"/>
      <c r="AB736" s="471"/>
      <c r="AC736" s="471"/>
      <c r="AD736" s="471"/>
      <c r="AE736" s="471"/>
      <c r="AF736" s="471"/>
      <c r="AG736" s="471"/>
      <c r="AH736" s="471"/>
      <c r="AI736" s="471"/>
      <c r="AJ736" s="471"/>
      <c r="AK736" s="471"/>
      <c r="AL736" s="471"/>
      <c r="AM736" s="400"/>
      <c r="AN736" s="471"/>
    </row>
  </sheetData>
  <mergeCells count="16">
    <mergeCell ref="A572:B572"/>
    <mergeCell ref="A574:B574"/>
    <mergeCell ref="A576:B576"/>
    <mergeCell ref="AS5:AT5"/>
    <mergeCell ref="F20:G20"/>
    <mergeCell ref="I20:J20"/>
    <mergeCell ref="AP20:AQ20"/>
    <mergeCell ref="AS20:AT20"/>
    <mergeCell ref="A570:B570"/>
    <mergeCell ref="BU1:BU3"/>
    <mergeCell ref="AP2:AQ2"/>
    <mergeCell ref="K1:K3"/>
    <mergeCell ref="Z1:Z3"/>
    <mergeCell ref="AM1:AM3"/>
    <mergeCell ref="AU1:AU3"/>
    <mergeCell ref="BH1:BH3"/>
  </mergeCells>
  <printOptions horizontalCentered="1"/>
  <pageMargins left="0.25" right="0.25" top="0.5" bottom="0.5" header="0.25" footer="0.25"/>
  <pageSetup scale="48" fitToHeight="0" orientation="landscape" r:id="rId1"/>
  <headerFooter alignWithMargins="0">
    <oddFooter>&amp;CPage &amp;P of &amp;N&amp;R&amp;F</oddFooter>
  </headerFooter>
  <rowBreaks count="2" manualBreakCount="2">
    <brk id="56" max="71" man="1"/>
    <brk id="577" max="7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AM402"/>
  <sheetViews>
    <sheetView zoomScaleNormal="100" zoomScaleSheetLayoutView="75" workbookViewId="0">
      <pane ySplit="4" topLeftCell="A5" activePane="bottomLeft" state="frozen"/>
      <selection activeCell="A17" sqref="A17"/>
      <selection pane="bottomLeft" activeCell="E17" sqref="E17"/>
    </sheetView>
  </sheetViews>
  <sheetFormatPr defaultColWidth="8.7109375" defaultRowHeight="12.75" x14ac:dyDescent="0.2"/>
  <cols>
    <col min="1" max="1" width="11.7109375" style="1" customWidth="1"/>
    <col min="2" max="2" width="10.7109375" style="1" customWidth="1"/>
    <col min="3" max="3" width="26.28515625" style="1" customWidth="1"/>
    <col min="4" max="4" width="3.7109375" style="157" customWidth="1"/>
    <col min="5" max="5" width="49.28515625" style="157" customWidth="1"/>
    <col min="6" max="6" width="45.7109375" style="157" customWidth="1"/>
    <col min="7" max="7" width="8.42578125" style="157" customWidth="1"/>
    <col min="8" max="8" width="7.7109375" style="386" customWidth="1"/>
    <col min="9" max="9" width="5.28515625" style="386" customWidth="1"/>
    <col min="10" max="10" width="8.28515625" style="387" customWidth="1"/>
    <col min="11" max="12" width="12" style="397" customWidth="1"/>
    <col min="13" max="14" width="12" style="398" customWidth="1"/>
    <col min="15" max="15" width="7.42578125" style="399" customWidth="1"/>
    <col min="16" max="16" width="12" style="396" customWidth="1"/>
    <col min="17" max="17" width="11.28515625" style="157" customWidth="1"/>
    <col min="18" max="21" width="8.28515625" style="157" customWidth="1"/>
    <col min="22" max="22" width="10" style="157" bestFit="1" customWidth="1"/>
    <col min="23" max="28" width="8.28515625" style="157" customWidth="1"/>
    <col min="29" max="29" width="110.28515625" style="317" customWidth="1"/>
    <col min="30" max="30" width="10.7109375" style="1" customWidth="1"/>
    <col min="31" max="31" width="9.7109375" style="1" bestFit="1" customWidth="1"/>
    <col min="32" max="16384" width="8.7109375" style="1"/>
  </cols>
  <sheetData>
    <row r="1" spans="1:30" ht="13.5" thickBot="1" x14ac:dyDescent="0.25">
      <c r="D1" s="2"/>
      <c r="E1" s="3" t="s">
        <v>1102</v>
      </c>
      <c r="F1" s="3"/>
      <c r="G1" s="4"/>
      <c r="H1" s="5"/>
      <c r="I1" s="5"/>
      <c r="J1" s="6"/>
      <c r="K1" s="7"/>
      <c r="L1" s="7"/>
      <c r="M1" s="8"/>
      <c r="N1" s="8"/>
      <c r="O1" s="9"/>
      <c r="P1" s="10"/>
      <c r="Q1" s="11" t="s">
        <v>1103</v>
      </c>
      <c r="R1" s="12"/>
      <c r="S1" s="12"/>
      <c r="T1" s="12"/>
      <c r="U1" s="12"/>
      <c r="V1" s="13"/>
      <c r="W1" s="11" t="s">
        <v>1104</v>
      </c>
      <c r="X1" s="12"/>
      <c r="Y1" s="12"/>
      <c r="Z1" s="12"/>
      <c r="AA1" s="13"/>
      <c r="AB1" s="14" t="s">
        <v>1105</v>
      </c>
      <c r="AC1" s="814" t="s">
        <v>1106</v>
      </c>
    </row>
    <row r="2" spans="1:30" ht="13.5" thickBot="1" x14ac:dyDescent="0.25">
      <c r="D2" s="15"/>
      <c r="E2" s="16" t="s">
        <v>1107</v>
      </c>
      <c r="F2" s="17" t="s">
        <v>1108</v>
      </c>
      <c r="G2" s="18" t="s">
        <v>1109</v>
      </c>
      <c r="H2" s="19" t="s">
        <v>1110</v>
      </c>
      <c r="I2" s="19" t="s">
        <v>1111</v>
      </c>
      <c r="J2" s="20"/>
      <c r="K2" s="816" t="s">
        <v>1112</v>
      </c>
      <c r="L2" s="817"/>
      <c r="M2" s="818"/>
      <c r="N2" s="21"/>
      <c r="O2" s="22" t="s">
        <v>1113</v>
      </c>
      <c r="P2" s="819" t="s">
        <v>1114</v>
      </c>
      <c r="Q2" s="23" t="s">
        <v>1115</v>
      </c>
      <c r="R2" s="24" t="s">
        <v>1116</v>
      </c>
      <c r="S2" s="24" t="s">
        <v>1117</v>
      </c>
      <c r="T2" s="23" t="s">
        <v>1118</v>
      </c>
      <c r="U2" s="23" t="s">
        <v>1119</v>
      </c>
      <c r="V2" s="23" t="s">
        <v>1120</v>
      </c>
      <c r="W2" s="23" t="s">
        <v>1121</v>
      </c>
      <c r="X2" s="23" t="s">
        <v>1122</v>
      </c>
      <c r="Y2" s="23" t="s">
        <v>1123</v>
      </c>
      <c r="Z2" s="23" t="s">
        <v>1124</v>
      </c>
      <c r="AA2" s="23" t="s">
        <v>1120</v>
      </c>
      <c r="AB2" s="25" t="s">
        <v>1125</v>
      </c>
      <c r="AC2" s="814"/>
    </row>
    <row r="3" spans="1:30" ht="13.5" thickBot="1" x14ac:dyDescent="0.25">
      <c r="D3" s="15"/>
      <c r="E3" s="26"/>
      <c r="F3" s="27"/>
      <c r="G3" s="28"/>
      <c r="H3" s="29"/>
      <c r="I3" s="30"/>
      <c r="J3" s="31"/>
      <c r="K3" s="32" t="s">
        <v>1126</v>
      </c>
      <c r="L3" s="33" t="s">
        <v>1127</v>
      </c>
      <c r="M3" s="34" t="s">
        <v>1128</v>
      </c>
      <c r="N3" s="35" t="s">
        <v>1111</v>
      </c>
      <c r="O3" s="36" t="s">
        <v>1129</v>
      </c>
      <c r="P3" s="820"/>
      <c r="Q3" s="37" t="s">
        <v>1130</v>
      </c>
      <c r="R3" s="37" t="s">
        <v>1131</v>
      </c>
      <c r="S3" s="821" t="s">
        <v>1132</v>
      </c>
      <c r="T3" s="38">
        <v>0.06</v>
      </c>
      <c r="U3" s="39">
        <v>0.08</v>
      </c>
      <c r="V3" s="23" t="s">
        <v>1133</v>
      </c>
      <c r="W3" s="40">
        <v>0.15260000000000001</v>
      </c>
      <c r="X3" s="41" t="s">
        <v>1134</v>
      </c>
      <c r="Y3" s="41"/>
      <c r="Z3" s="42">
        <v>0</v>
      </c>
      <c r="AA3" s="24" t="s">
        <v>1135</v>
      </c>
      <c r="AB3" s="43" t="s">
        <v>1136</v>
      </c>
      <c r="AC3" s="814"/>
    </row>
    <row r="4" spans="1:30" ht="13.5" thickBot="1" x14ac:dyDescent="0.25">
      <c r="D4" s="15"/>
      <c r="E4" s="44"/>
      <c r="F4" s="44"/>
      <c r="G4" s="44"/>
      <c r="H4" s="45"/>
      <c r="I4" s="45"/>
      <c r="J4" s="46"/>
      <c r="K4" s="47"/>
      <c r="L4" s="47"/>
      <c r="M4" s="48">
        <v>0.03</v>
      </c>
      <c r="N4" s="48"/>
      <c r="O4" s="49"/>
      <c r="P4" s="50"/>
      <c r="Q4" s="51">
        <v>106800</v>
      </c>
      <c r="R4" s="23"/>
      <c r="S4" s="821"/>
      <c r="T4" s="52">
        <v>8750</v>
      </c>
      <c r="U4" s="52">
        <v>13700</v>
      </c>
      <c r="V4" s="23"/>
      <c r="W4" s="53">
        <v>558.72</v>
      </c>
      <c r="X4" s="39">
        <v>0</v>
      </c>
      <c r="Y4" s="39">
        <v>0</v>
      </c>
      <c r="Z4" s="54">
        <v>0</v>
      </c>
      <c r="AA4" s="23"/>
      <c r="AB4" s="43">
        <v>2.99</v>
      </c>
      <c r="AC4" s="815"/>
    </row>
    <row r="5" spans="1:30" x14ac:dyDescent="0.2">
      <c r="B5" s="55">
        <v>34200</v>
      </c>
      <c r="C5" s="55" t="s">
        <v>1137</v>
      </c>
      <c r="D5" s="56">
        <f>D4+1</f>
        <v>1</v>
      </c>
      <c r="E5" s="57" t="s">
        <v>1138</v>
      </c>
      <c r="F5" s="58" t="s">
        <v>1139</v>
      </c>
      <c r="G5" s="59">
        <v>1</v>
      </c>
      <c r="H5" s="60"/>
      <c r="I5" s="60"/>
      <c r="J5" s="61">
        <f t="shared" ref="J5:J34" si="0">IF(H5="NEW",0,3000)</f>
        <v>3000</v>
      </c>
      <c r="K5" s="62">
        <v>33619.199999999997</v>
      </c>
      <c r="L5" s="60"/>
      <c r="M5" s="63">
        <f>K5*$M$4</f>
        <v>1008.5759999999999</v>
      </c>
      <c r="N5" s="64"/>
      <c r="O5" s="65">
        <f>P5/24</f>
        <v>1442.8239999999998</v>
      </c>
      <c r="P5" s="66">
        <f>G5*(K5+L5+M5)</f>
        <v>34627.775999999998</v>
      </c>
      <c r="Q5" s="63">
        <f t="shared" ref="Q5:Q36" si="1">ROUND(MIN(P5,Q$4)*Q$3,2)</f>
        <v>2146.92</v>
      </c>
      <c r="R5" s="63">
        <f t="shared" ref="R5:R36" si="2">ROUND(P5*$R$3,2)</f>
        <v>502.1</v>
      </c>
      <c r="S5" s="67">
        <f t="shared" ref="S5:S36" si="3">ROUND(P5*0.04,2)</f>
        <v>1385.11</v>
      </c>
      <c r="T5" s="63">
        <f t="shared" ref="T5:T36" si="4">IF(H5="new",ROUND(MIN(P5,$T$4)*$T$3*G5*2,2),ROUND(MIN(P5,$T$4)*$T$3*G5,2))</f>
        <v>525</v>
      </c>
      <c r="U5" s="63">
        <f t="shared" ref="U5:U36" si="5">IF(H5="new",ROUND(MIN(P5,$U$4)*$U$3*G5*2,2),ROUND(MIN(P5,$U$4)*$U$3*G5,2))</f>
        <v>1096</v>
      </c>
      <c r="V5" s="64">
        <f t="shared" ref="V5:V36" si="6">SUM(Q5:U5)</f>
        <v>5655.13</v>
      </c>
      <c r="W5" s="68">
        <f>P5*$W$3</f>
        <v>5284.1986176</v>
      </c>
      <c r="X5" s="63">
        <f t="shared" ref="X5:X36" si="7">IF(I5="x",0,IF(H5="new",ROUND(X$4*12*0.9*G5,2),ROUND(X$4*12*G5,2)))</f>
        <v>0</v>
      </c>
      <c r="Y5" s="63">
        <f t="shared" ref="Y5:Y36" si="8">IF(I5="x",0,IF(H5="new",ROUND(Y$4*12*0.9*G5,2),ROUND(Y$4*12*G5,2)))</f>
        <v>0</v>
      </c>
      <c r="Z5" s="63">
        <f t="shared" ref="Z5:Z36" si="9">ROUND((Z$3*(MIN(P5,10000)/1000))+((P5/1000)*(Z$4)),2)</f>
        <v>0</v>
      </c>
      <c r="AA5" s="64">
        <f>SUM(W5:Z5)</f>
        <v>5284.1986176</v>
      </c>
      <c r="AB5" s="69">
        <f>19.4*22</f>
        <v>426.79999999999995</v>
      </c>
      <c r="AC5" s="70" t="s">
        <v>1140</v>
      </c>
    </row>
    <row r="6" spans="1:30" x14ac:dyDescent="0.2">
      <c r="B6" s="55">
        <v>36366</v>
      </c>
      <c r="C6" s="55" t="s">
        <v>1137</v>
      </c>
      <c r="D6" s="71">
        <f>D5+1</f>
        <v>2</v>
      </c>
      <c r="E6" s="72" t="s">
        <v>1141</v>
      </c>
      <c r="F6" s="73" t="s">
        <v>1139</v>
      </c>
      <c r="G6" s="74">
        <v>1</v>
      </c>
      <c r="H6" s="75" t="s">
        <v>1142</v>
      </c>
      <c r="I6" s="76"/>
      <c r="J6" s="46">
        <f t="shared" si="0"/>
        <v>0</v>
      </c>
      <c r="K6" s="77">
        <v>32500</v>
      </c>
      <c r="L6" s="76"/>
      <c r="M6" s="78">
        <f t="shared" ref="M6:M36" si="10">K6*$M$4</f>
        <v>975</v>
      </c>
      <c r="N6" s="79"/>
      <c r="O6" s="65">
        <f>P6/24</f>
        <v>1394.7916666666667</v>
      </c>
      <c r="P6" s="80">
        <f>G6*(K6+L6+M6)</f>
        <v>33475</v>
      </c>
      <c r="Q6" s="78">
        <f t="shared" si="1"/>
        <v>2075.4499999999998</v>
      </c>
      <c r="R6" s="78">
        <f t="shared" si="2"/>
        <v>485.39</v>
      </c>
      <c r="S6" s="81">
        <f t="shared" si="3"/>
        <v>1339</v>
      </c>
      <c r="T6" s="78">
        <f t="shared" si="4"/>
        <v>1050</v>
      </c>
      <c r="U6" s="78">
        <f t="shared" si="5"/>
        <v>2192</v>
      </c>
      <c r="V6" s="79">
        <f t="shared" si="6"/>
        <v>7141.84</v>
      </c>
      <c r="W6" s="68">
        <f t="shared" ref="W6:W36" si="11">P6*$W$3</f>
        <v>5108.2850000000008</v>
      </c>
      <c r="X6" s="78">
        <f t="shared" si="7"/>
        <v>0</v>
      </c>
      <c r="Y6" s="78">
        <f t="shared" si="8"/>
        <v>0</v>
      </c>
      <c r="Z6" s="78">
        <f t="shared" si="9"/>
        <v>0</v>
      </c>
      <c r="AA6" s="79">
        <f>AVERAGE(AA1:AA5)</f>
        <v>5284.1986176</v>
      </c>
      <c r="AB6" s="82">
        <f>AVERAGE(AB1:AB5)</f>
        <v>214.89499999999998</v>
      </c>
      <c r="AC6" s="70"/>
    </row>
    <row r="7" spans="1:30" x14ac:dyDescent="0.2">
      <c r="A7" s="1" t="s">
        <v>1143</v>
      </c>
      <c r="B7" s="55">
        <v>32000</v>
      </c>
      <c r="C7" s="55" t="s">
        <v>1137</v>
      </c>
      <c r="D7" s="71">
        <f>D6+1</f>
        <v>3</v>
      </c>
      <c r="E7" s="83" t="s">
        <v>1144</v>
      </c>
      <c r="F7" s="44" t="s">
        <v>1139</v>
      </c>
      <c r="G7" s="84">
        <v>1</v>
      </c>
      <c r="H7" s="76"/>
      <c r="I7" s="76"/>
      <c r="J7" s="46">
        <f t="shared" si="0"/>
        <v>3000</v>
      </c>
      <c r="K7" s="85">
        <v>32500</v>
      </c>
      <c r="L7" s="76"/>
      <c r="M7" s="78">
        <f t="shared" si="10"/>
        <v>975</v>
      </c>
      <c r="N7" s="79"/>
      <c r="O7" s="65">
        <f>P7/24</f>
        <v>1394.7916666666667</v>
      </c>
      <c r="P7" s="80">
        <f t="shared" ref="P7:P36" si="12">G7*(K7+L7+M7)</f>
        <v>33475</v>
      </c>
      <c r="Q7" s="78">
        <f t="shared" si="1"/>
        <v>2075.4499999999998</v>
      </c>
      <c r="R7" s="78">
        <f t="shared" si="2"/>
        <v>485.39</v>
      </c>
      <c r="S7" s="81">
        <f t="shared" si="3"/>
        <v>1339</v>
      </c>
      <c r="T7" s="78">
        <f t="shared" si="4"/>
        <v>525</v>
      </c>
      <c r="U7" s="78">
        <f t="shared" si="5"/>
        <v>1096</v>
      </c>
      <c r="V7" s="79">
        <f t="shared" si="6"/>
        <v>5520.84</v>
      </c>
      <c r="W7" s="68">
        <f t="shared" si="11"/>
        <v>5108.2850000000008</v>
      </c>
      <c r="X7" s="78">
        <f t="shared" si="7"/>
        <v>0</v>
      </c>
      <c r="Y7" s="78">
        <f t="shared" si="8"/>
        <v>0</v>
      </c>
      <c r="Z7" s="78">
        <f t="shared" si="9"/>
        <v>0</v>
      </c>
      <c r="AA7" s="79">
        <f>AA6</f>
        <v>5284.1986176</v>
      </c>
      <c r="AB7" s="82">
        <f>AB6</f>
        <v>214.89499999999998</v>
      </c>
      <c r="AC7" s="70"/>
    </row>
    <row r="8" spans="1:30" x14ac:dyDescent="0.2">
      <c r="B8" s="86">
        <v>38957</v>
      </c>
      <c r="C8" s="86" t="s">
        <v>1145</v>
      </c>
      <c r="D8" s="71">
        <f t="shared" ref="D8:D36" si="13">D7+1</f>
        <v>4</v>
      </c>
      <c r="E8" s="72" t="s">
        <v>1146</v>
      </c>
      <c r="F8" s="73" t="s">
        <v>1147</v>
      </c>
      <c r="G8" s="74">
        <v>0.5</v>
      </c>
      <c r="H8" s="75" t="s">
        <v>1142</v>
      </c>
      <c r="I8" s="76"/>
      <c r="J8" s="46">
        <f t="shared" si="0"/>
        <v>0</v>
      </c>
      <c r="K8" s="85">
        <v>47132</v>
      </c>
      <c r="L8" s="76"/>
      <c r="M8" s="78">
        <f t="shared" si="10"/>
        <v>1413.96</v>
      </c>
      <c r="N8" s="79"/>
      <c r="O8" s="65">
        <f>P8/24</f>
        <v>1011.3741666666666</v>
      </c>
      <c r="P8" s="80">
        <f t="shared" si="12"/>
        <v>24272.98</v>
      </c>
      <c r="Q8" s="78">
        <f t="shared" si="1"/>
        <v>1504.92</v>
      </c>
      <c r="R8" s="78">
        <f t="shared" si="2"/>
        <v>351.96</v>
      </c>
      <c r="S8" s="81">
        <f t="shared" si="3"/>
        <v>970.92</v>
      </c>
      <c r="T8" s="78">
        <f t="shared" si="4"/>
        <v>525</v>
      </c>
      <c r="U8" s="78">
        <f t="shared" si="5"/>
        <v>1096</v>
      </c>
      <c r="V8" s="79">
        <f t="shared" si="6"/>
        <v>4448.8</v>
      </c>
      <c r="W8" s="68">
        <f t="shared" si="11"/>
        <v>3704.0567480000004</v>
      </c>
      <c r="X8" s="78">
        <f t="shared" si="7"/>
        <v>0</v>
      </c>
      <c r="Y8" s="78">
        <f t="shared" si="8"/>
        <v>0</v>
      </c>
      <c r="Z8" s="78">
        <f t="shared" si="9"/>
        <v>0</v>
      </c>
      <c r="AA8" s="79">
        <f>SUM(W8:Z8)</f>
        <v>3704.0567480000004</v>
      </c>
      <c r="AB8" s="82">
        <f>22.22*22</f>
        <v>488.84</v>
      </c>
      <c r="AC8" s="70"/>
    </row>
    <row r="9" spans="1:30" x14ac:dyDescent="0.2">
      <c r="B9" s="86"/>
      <c r="C9" s="86" t="s">
        <v>1148</v>
      </c>
      <c r="D9" s="71">
        <f t="shared" si="13"/>
        <v>5</v>
      </c>
      <c r="E9" s="83" t="s">
        <v>1149</v>
      </c>
      <c r="F9" s="44" t="s">
        <v>1139</v>
      </c>
      <c r="G9" s="84">
        <v>1</v>
      </c>
      <c r="H9" s="76"/>
      <c r="I9" s="76"/>
      <c r="J9" s="46">
        <f t="shared" si="0"/>
        <v>3000</v>
      </c>
      <c r="K9" s="85">
        <v>40124.68</v>
      </c>
      <c r="L9" s="76"/>
      <c r="M9" s="78">
        <f t="shared" si="10"/>
        <v>1203.7403999999999</v>
      </c>
      <c r="N9" s="79"/>
      <c r="O9" s="65">
        <f>P9/24</f>
        <v>1722.0175166666668</v>
      </c>
      <c r="P9" s="80">
        <f t="shared" si="12"/>
        <v>41328.420400000003</v>
      </c>
      <c r="Q9" s="78">
        <f t="shared" si="1"/>
        <v>2562.36</v>
      </c>
      <c r="R9" s="78">
        <f t="shared" si="2"/>
        <v>599.26</v>
      </c>
      <c r="S9" s="81">
        <f t="shared" si="3"/>
        <v>1653.14</v>
      </c>
      <c r="T9" s="78">
        <f t="shared" si="4"/>
        <v>525</v>
      </c>
      <c r="U9" s="78">
        <f t="shared" si="5"/>
        <v>1096</v>
      </c>
      <c r="V9" s="79">
        <f t="shared" si="6"/>
        <v>6435.76</v>
      </c>
      <c r="W9" s="68">
        <f t="shared" si="11"/>
        <v>6306.7169530400006</v>
      </c>
      <c r="X9" s="78">
        <f t="shared" si="7"/>
        <v>0</v>
      </c>
      <c r="Y9" s="78">
        <f t="shared" si="8"/>
        <v>0</v>
      </c>
      <c r="Z9" s="78">
        <f t="shared" si="9"/>
        <v>0</v>
      </c>
      <c r="AA9" s="79">
        <f>SUM(W9:Z9)</f>
        <v>6306.7169530400006</v>
      </c>
      <c r="AB9" s="82">
        <f>22.26*22</f>
        <v>489.72</v>
      </c>
      <c r="AC9" s="70"/>
    </row>
    <row r="10" spans="1:30" x14ac:dyDescent="0.2">
      <c r="B10" s="86">
        <v>38192</v>
      </c>
      <c r="C10" s="86" t="s">
        <v>1150</v>
      </c>
      <c r="D10" s="71">
        <f t="shared" si="13"/>
        <v>6</v>
      </c>
      <c r="E10" s="83" t="s">
        <v>1151</v>
      </c>
      <c r="F10" s="44" t="s">
        <v>1139</v>
      </c>
      <c r="G10" s="84">
        <v>1</v>
      </c>
      <c r="H10" s="76"/>
      <c r="I10" s="76"/>
      <c r="J10" s="46">
        <f t="shared" si="0"/>
        <v>3000</v>
      </c>
      <c r="K10" s="85">
        <v>32500</v>
      </c>
      <c r="L10" s="76"/>
      <c r="M10" s="78">
        <f t="shared" si="10"/>
        <v>975</v>
      </c>
      <c r="N10" s="79"/>
      <c r="O10" s="65"/>
      <c r="P10" s="80">
        <f t="shared" si="12"/>
        <v>33475</v>
      </c>
      <c r="Q10" s="78">
        <f t="shared" si="1"/>
        <v>2075.4499999999998</v>
      </c>
      <c r="R10" s="78">
        <f t="shared" si="2"/>
        <v>485.39</v>
      </c>
      <c r="S10" s="81">
        <f t="shared" si="3"/>
        <v>1339</v>
      </c>
      <c r="T10" s="78">
        <f t="shared" si="4"/>
        <v>525</v>
      </c>
      <c r="U10" s="78">
        <f t="shared" si="5"/>
        <v>1096</v>
      </c>
      <c r="V10" s="79">
        <f t="shared" si="6"/>
        <v>5520.84</v>
      </c>
      <c r="W10" s="68">
        <f t="shared" si="11"/>
        <v>5108.2850000000008</v>
      </c>
      <c r="X10" s="78">
        <f t="shared" si="7"/>
        <v>0</v>
      </c>
      <c r="Y10" s="78">
        <f t="shared" si="8"/>
        <v>0</v>
      </c>
      <c r="Z10" s="78">
        <f t="shared" si="9"/>
        <v>0</v>
      </c>
      <c r="AA10" s="79">
        <f>AA9</f>
        <v>6306.7169530400006</v>
      </c>
      <c r="AB10" s="82">
        <f>AB9</f>
        <v>489.72</v>
      </c>
      <c r="AC10" s="70"/>
    </row>
    <row r="11" spans="1:30" x14ac:dyDescent="0.2">
      <c r="B11" s="86">
        <v>37368</v>
      </c>
      <c r="C11" s="86" t="s">
        <v>1150</v>
      </c>
      <c r="D11" s="71">
        <f t="shared" si="13"/>
        <v>7</v>
      </c>
      <c r="E11" s="72" t="s">
        <v>1152</v>
      </c>
      <c r="F11" s="73" t="s">
        <v>1139</v>
      </c>
      <c r="G11" s="74">
        <v>1</v>
      </c>
      <c r="H11" s="75" t="s">
        <v>1142</v>
      </c>
      <c r="I11" s="76"/>
      <c r="J11" s="46">
        <f t="shared" si="0"/>
        <v>0</v>
      </c>
      <c r="K11" s="85">
        <v>35500</v>
      </c>
      <c r="L11" s="76"/>
      <c r="M11" s="78">
        <f t="shared" si="10"/>
        <v>1065</v>
      </c>
      <c r="N11" s="79"/>
      <c r="O11" s="65"/>
      <c r="P11" s="80">
        <f t="shared" si="12"/>
        <v>36565</v>
      </c>
      <c r="Q11" s="78">
        <f t="shared" si="1"/>
        <v>2267.0300000000002</v>
      </c>
      <c r="R11" s="78">
        <f t="shared" si="2"/>
        <v>530.19000000000005</v>
      </c>
      <c r="S11" s="81">
        <f t="shared" si="3"/>
        <v>1462.6</v>
      </c>
      <c r="T11" s="78">
        <f t="shared" si="4"/>
        <v>1050</v>
      </c>
      <c r="U11" s="78">
        <f t="shared" si="5"/>
        <v>2192</v>
      </c>
      <c r="V11" s="79">
        <f t="shared" si="6"/>
        <v>7501.82</v>
      </c>
      <c r="W11" s="68">
        <f t="shared" si="11"/>
        <v>5579.8190000000004</v>
      </c>
      <c r="X11" s="78">
        <f t="shared" si="7"/>
        <v>0</v>
      </c>
      <c r="Y11" s="78">
        <f t="shared" si="8"/>
        <v>0</v>
      </c>
      <c r="Z11" s="78">
        <f t="shared" si="9"/>
        <v>0</v>
      </c>
      <c r="AA11" s="79">
        <f>AA10</f>
        <v>6306.7169530400006</v>
      </c>
      <c r="AB11" s="82">
        <f>AB10</f>
        <v>489.72</v>
      </c>
      <c r="AC11" s="70"/>
    </row>
    <row r="12" spans="1:30" x14ac:dyDescent="0.2">
      <c r="A12" s="1" t="s">
        <v>1153</v>
      </c>
      <c r="B12" s="86">
        <v>32000</v>
      </c>
      <c r="C12" s="86" t="s">
        <v>1148</v>
      </c>
      <c r="D12" s="71">
        <f t="shared" si="13"/>
        <v>8</v>
      </c>
      <c r="E12" s="83" t="s">
        <v>1154</v>
      </c>
      <c r="F12" s="44" t="s">
        <v>1139</v>
      </c>
      <c r="G12" s="84">
        <v>1</v>
      </c>
      <c r="H12" s="76"/>
      <c r="I12" s="76"/>
      <c r="J12" s="46">
        <f t="shared" si="0"/>
        <v>3000</v>
      </c>
      <c r="K12" s="85">
        <v>37080</v>
      </c>
      <c r="L12" s="76"/>
      <c r="M12" s="78">
        <f t="shared" si="10"/>
        <v>1112.3999999999999</v>
      </c>
      <c r="N12" s="79"/>
      <c r="O12" s="65">
        <f>P12/24</f>
        <v>1591.3500000000001</v>
      </c>
      <c r="P12" s="80">
        <f t="shared" si="12"/>
        <v>38192.400000000001</v>
      </c>
      <c r="Q12" s="78">
        <f t="shared" si="1"/>
        <v>2367.9299999999998</v>
      </c>
      <c r="R12" s="78">
        <f t="shared" si="2"/>
        <v>553.79</v>
      </c>
      <c r="S12" s="81">
        <f t="shared" si="3"/>
        <v>1527.7</v>
      </c>
      <c r="T12" s="78">
        <f t="shared" si="4"/>
        <v>525</v>
      </c>
      <c r="U12" s="78">
        <f t="shared" si="5"/>
        <v>1096</v>
      </c>
      <c r="V12" s="79">
        <f t="shared" si="6"/>
        <v>6070.42</v>
      </c>
      <c r="W12" s="68">
        <f t="shared" si="11"/>
        <v>5828.1602400000011</v>
      </c>
      <c r="X12" s="78">
        <f t="shared" si="7"/>
        <v>0</v>
      </c>
      <c r="Y12" s="78">
        <f t="shared" si="8"/>
        <v>0</v>
      </c>
      <c r="Z12" s="78">
        <f t="shared" si="9"/>
        <v>0</v>
      </c>
      <c r="AA12" s="79">
        <f>SUM(W12:Z12)</f>
        <v>5828.1602400000011</v>
      </c>
      <c r="AB12" s="82">
        <f>22.17*22</f>
        <v>487.74</v>
      </c>
      <c r="AC12" s="70"/>
    </row>
    <row r="13" spans="1:30" x14ac:dyDescent="0.2">
      <c r="A13" s="1" t="s">
        <v>1155</v>
      </c>
      <c r="B13" s="86">
        <v>38000</v>
      </c>
      <c r="C13" s="86" t="s">
        <v>1145</v>
      </c>
      <c r="D13" s="71">
        <f t="shared" si="13"/>
        <v>9</v>
      </c>
      <c r="E13" s="83" t="s">
        <v>1156</v>
      </c>
      <c r="F13" s="44" t="s">
        <v>1139</v>
      </c>
      <c r="G13" s="84">
        <v>1</v>
      </c>
      <c r="H13" s="76"/>
      <c r="I13" s="76"/>
      <c r="J13" s="46">
        <f t="shared" si="0"/>
        <v>3000</v>
      </c>
      <c r="K13" s="85">
        <v>32500</v>
      </c>
      <c r="L13" s="76"/>
      <c r="M13" s="78">
        <f t="shared" si="10"/>
        <v>975</v>
      </c>
      <c r="N13" s="79"/>
      <c r="O13" s="65"/>
      <c r="P13" s="80">
        <f t="shared" si="12"/>
        <v>33475</v>
      </c>
      <c r="Q13" s="78">
        <f t="shared" si="1"/>
        <v>2075.4499999999998</v>
      </c>
      <c r="R13" s="78">
        <f t="shared" si="2"/>
        <v>485.39</v>
      </c>
      <c r="S13" s="81">
        <f t="shared" si="3"/>
        <v>1339</v>
      </c>
      <c r="T13" s="78">
        <f t="shared" si="4"/>
        <v>525</v>
      </c>
      <c r="U13" s="78">
        <f t="shared" si="5"/>
        <v>1096</v>
      </c>
      <c r="V13" s="79">
        <f t="shared" si="6"/>
        <v>5520.84</v>
      </c>
      <c r="W13" s="68">
        <f t="shared" si="11"/>
        <v>5108.2850000000008</v>
      </c>
      <c r="X13" s="78">
        <f t="shared" si="7"/>
        <v>0</v>
      </c>
      <c r="Y13" s="78">
        <f t="shared" si="8"/>
        <v>0</v>
      </c>
      <c r="Z13" s="78">
        <f t="shared" si="9"/>
        <v>0</v>
      </c>
      <c r="AA13" s="79">
        <f>AA12</f>
        <v>5828.1602400000011</v>
      </c>
      <c r="AB13" s="82">
        <f>AB12</f>
        <v>487.74</v>
      </c>
      <c r="AC13" s="70"/>
      <c r="AD13" s="87"/>
    </row>
    <row r="14" spans="1:30" x14ac:dyDescent="0.2">
      <c r="B14" s="86">
        <v>32000</v>
      </c>
      <c r="C14" s="55" t="s">
        <v>1137</v>
      </c>
      <c r="D14" s="71">
        <f t="shared" si="13"/>
        <v>10</v>
      </c>
      <c r="E14" s="83" t="s">
        <v>1157</v>
      </c>
      <c r="F14" s="44" t="s">
        <v>1139</v>
      </c>
      <c r="G14" s="84">
        <v>1</v>
      </c>
      <c r="H14" s="76"/>
      <c r="I14" s="76"/>
      <c r="J14" s="46">
        <f t="shared" si="0"/>
        <v>3000</v>
      </c>
      <c r="K14" s="85">
        <v>35710.1</v>
      </c>
      <c r="L14" s="76"/>
      <c r="M14" s="78">
        <f t="shared" si="10"/>
        <v>1071.3029999999999</v>
      </c>
      <c r="N14" s="79"/>
      <c r="O14" s="65">
        <f t="shared" ref="O14:O19" si="14">P14/24</f>
        <v>1532.5584583333332</v>
      </c>
      <c r="P14" s="80">
        <f t="shared" si="12"/>
        <v>36781.402999999998</v>
      </c>
      <c r="Q14" s="78">
        <f t="shared" si="1"/>
        <v>2280.4499999999998</v>
      </c>
      <c r="R14" s="78">
        <f t="shared" si="2"/>
        <v>533.33000000000004</v>
      </c>
      <c r="S14" s="81">
        <f t="shared" si="3"/>
        <v>1471.26</v>
      </c>
      <c r="T14" s="78">
        <f t="shared" si="4"/>
        <v>525</v>
      </c>
      <c r="U14" s="78">
        <f t="shared" si="5"/>
        <v>1096</v>
      </c>
      <c r="V14" s="79">
        <f t="shared" si="6"/>
        <v>5906.04</v>
      </c>
      <c r="W14" s="68">
        <f t="shared" si="11"/>
        <v>5612.8420978000004</v>
      </c>
      <c r="X14" s="78">
        <f t="shared" si="7"/>
        <v>0</v>
      </c>
      <c r="Y14" s="78">
        <f t="shared" si="8"/>
        <v>0</v>
      </c>
      <c r="Z14" s="78">
        <f t="shared" si="9"/>
        <v>0</v>
      </c>
      <c r="AA14" s="79">
        <f t="shared" ref="AA14:AA21" si="15">SUM(W14:Z14)</f>
        <v>5612.8420978000004</v>
      </c>
      <c r="AB14" s="82">
        <f>20.41*22</f>
        <v>449.02</v>
      </c>
      <c r="AC14" s="70"/>
      <c r="AD14" s="87"/>
    </row>
    <row r="15" spans="1:30" x14ac:dyDescent="0.2">
      <c r="B15" s="55">
        <v>38110</v>
      </c>
      <c r="C15" s="86" t="s">
        <v>1158</v>
      </c>
      <c r="D15" s="71">
        <f t="shared" si="13"/>
        <v>11</v>
      </c>
      <c r="E15" s="83" t="s">
        <v>1159</v>
      </c>
      <c r="F15" s="44" t="s">
        <v>1139</v>
      </c>
      <c r="G15" s="84">
        <v>1</v>
      </c>
      <c r="H15" s="76"/>
      <c r="I15" s="76"/>
      <c r="J15" s="46">
        <f t="shared" si="0"/>
        <v>3000</v>
      </c>
      <c r="K15" s="85">
        <v>44583.55</v>
      </c>
      <c r="L15" s="76"/>
      <c r="M15" s="78">
        <f t="shared" si="10"/>
        <v>1337.5065</v>
      </c>
      <c r="N15" s="79"/>
      <c r="O15" s="65">
        <f t="shared" si="14"/>
        <v>1913.3773541666669</v>
      </c>
      <c r="P15" s="80">
        <f t="shared" si="12"/>
        <v>45921.056500000006</v>
      </c>
      <c r="Q15" s="78">
        <f t="shared" si="1"/>
        <v>2847.11</v>
      </c>
      <c r="R15" s="78">
        <f t="shared" si="2"/>
        <v>665.86</v>
      </c>
      <c r="S15" s="81">
        <f t="shared" si="3"/>
        <v>1836.84</v>
      </c>
      <c r="T15" s="78">
        <f t="shared" si="4"/>
        <v>525</v>
      </c>
      <c r="U15" s="78">
        <f t="shared" si="5"/>
        <v>1096</v>
      </c>
      <c r="V15" s="79">
        <f t="shared" si="6"/>
        <v>6970.81</v>
      </c>
      <c r="W15" s="68">
        <f t="shared" si="11"/>
        <v>7007.5532219000015</v>
      </c>
      <c r="X15" s="78">
        <f t="shared" si="7"/>
        <v>0</v>
      </c>
      <c r="Y15" s="78">
        <f t="shared" si="8"/>
        <v>0</v>
      </c>
      <c r="Z15" s="78">
        <f t="shared" si="9"/>
        <v>0</v>
      </c>
      <c r="AA15" s="79">
        <f t="shared" si="15"/>
        <v>7007.5532219000015</v>
      </c>
      <c r="AB15" s="82">
        <f>24.22*22</f>
        <v>532.83999999999992</v>
      </c>
      <c r="AC15" s="70"/>
      <c r="AD15" s="87"/>
    </row>
    <row r="16" spans="1:30" x14ac:dyDescent="0.2">
      <c r="B16" s="86">
        <v>35381</v>
      </c>
      <c r="C16" s="86" t="s">
        <v>1160</v>
      </c>
      <c r="D16" s="71">
        <f t="shared" si="13"/>
        <v>12</v>
      </c>
      <c r="E16" s="83" t="s">
        <v>1161</v>
      </c>
      <c r="F16" s="44" t="s">
        <v>1139</v>
      </c>
      <c r="G16" s="84">
        <v>1</v>
      </c>
      <c r="H16" s="76"/>
      <c r="I16" s="76"/>
      <c r="J16" s="46">
        <f t="shared" si="0"/>
        <v>3000</v>
      </c>
      <c r="K16" s="85">
        <v>34670</v>
      </c>
      <c r="L16" s="76"/>
      <c r="M16" s="78">
        <f t="shared" si="10"/>
        <v>1040.0999999999999</v>
      </c>
      <c r="N16" s="79"/>
      <c r="O16" s="65">
        <f t="shared" si="14"/>
        <v>1487.9208333333333</v>
      </c>
      <c r="P16" s="80">
        <f t="shared" si="12"/>
        <v>35710.1</v>
      </c>
      <c r="Q16" s="78">
        <f t="shared" si="1"/>
        <v>2214.0300000000002</v>
      </c>
      <c r="R16" s="78">
        <f t="shared" si="2"/>
        <v>517.79999999999995</v>
      </c>
      <c r="S16" s="81">
        <f t="shared" si="3"/>
        <v>1428.4</v>
      </c>
      <c r="T16" s="78">
        <f t="shared" si="4"/>
        <v>525</v>
      </c>
      <c r="U16" s="78">
        <f t="shared" si="5"/>
        <v>1096</v>
      </c>
      <c r="V16" s="79">
        <f t="shared" si="6"/>
        <v>5781.23</v>
      </c>
      <c r="W16" s="68">
        <f t="shared" si="11"/>
        <v>5449.3612600000006</v>
      </c>
      <c r="X16" s="78">
        <f t="shared" si="7"/>
        <v>0</v>
      </c>
      <c r="Y16" s="78">
        <f t="shared" si="8"/>
        <v>0</v>
      </c>
      <c r="Z16" s="78">
        <f t="shared" si="9"/>
        <v>0</v>
      </c>
      <c r="AA16" s="79">
        <f t="shared" si="15"/>
        <v>5449.3612600000006</v>
      </c>
      <c r="AB16" s="82">
        <f>19.4*22</f>
        <v>426.79999999999995</v>
      </c>
      <c r="AC16" s="70"/>
      <c r="AD16" s="87"/>
    </row>
    <row r="17" spans="1:30" x14ac:dyDescent="0.2">
      <c r="A17" s="1" t="s">
        <v>1162</v>
      </c>
      <c r="B17" s="86">
        <v>36000</v>
      </c>
      <c r="C17" s="86" t="s">
        <v>1158</v>
      </c>
      <c r="D17" s="71">
        <f t="shared" si="13"/>
        <v>13</v>
      </c>
      <c r="E17" s="83" t="s">
        <v>1163</v>
      </c>
      <c r="F17" s="44" t="s">
        <v>1139</v>
      </c>
      <c r="G17" s="84">
        <v>1</v>
      </c>
      <c r="H17" s="76"/>
      <c r="I17" s="45"/>
      <c r="J17" s="46">
        <f t="shared" si="0"/>
        <v>3000</v>
      </c>
      <c r="K17" s="85">
        <v>41200</v>
      </c>
      <c r="L17" s="76"/>
      <c r="M17" s="78">
        <f t="shared" si="10"/>
        <v>1236</v>
      </c>
      <c r="N17" s="79"/>
      <c r="O17" s="65">
        <f t="shared" si="14"/>
        <v>1768.1666666666667</v>
      </c>
      <c r="P17" s="80">
        <f t="shared" si="12"/>
        <v>42436</v>
      </c>
      <c r="Q17" s="78">
        <f t="shared" si="1"/>
        <v>2631.03</v>
      </c>
      <c r="R17" s="78">
        <f t="shared" si="2"/>
        <v>615.32000000000005</v>
      </c>
      <c r="S17" s="81">
        <f t="shared" si="3"/>
        <v>1697.44</v>
      </c>
      <c r="T17" s="78">
        <f t="shared" si="4"/>
        <v>525</v>
      </c>
      <c r="U17" s="78">
        <f t="shared" si="5"/>
        <v>1096</v>
      </c>
      <c r="V17" s="79">
        <f t="shared" si="6"/>
        <v>6564.7900000000009</v>
      </c>
      <c r="W17" s="68">
        <f t="shared" si="11"/>
        <v>6475.7336000000005</v>
      </c>
      <c r="X17" s="78">
        <f t="shared" si="7"/>
        <v>0</v>
      </c>
      <c r="Y17" s="78">
        <f t="shared" si="8"/>
        <v>0</v>
      </c>
      <c r="Z17" s="78">
        <f t="shared" si="9"/>
        <v>0</v>
      </c>
      <c r="AA17" s="79">
        <f t="shared" si="15"/>
        <v>6475.7336000000005</v>
      </c>
      <c r="AB17" s="82">
        <f>23.25*22</f>
        <v>511.5</v>
      </c>
      <c r="AC17" s="70"/>
      <c r="AD17" s="87"/>
    </row>
    <row r="18" spans="1:30" x14ac:dyDescent="0.2">
      <c r="B18" s="86">
        <v>34479</v>
      </c>
      <c r="C18" s="86" t="s">
        <v>1150</v>
      </c>
      <c r="D18" s="71">
        <f t="shared" si="13"/>
        <v>14</v>
      </c>
      <c r="E18" s="83" t="s">
        <v>1164</v>
      </c>
      <c r="F18" s="44" t="s">
        <v>1139</v>
      </c>
      <c r="G18" s="84">
        <v>1</v>
      </c>
      <c r="H18" s="76"/>
      <c r="I18" s="76"/>
      <c r="J18" s="46">
        <f t="shared" si="0"/>
        <v>3000</v>
      </c>
      <c r="K18" s="85">
        <v>32960</v>
      </c>
      <c r="L18" s="76"/>
      <c r="M18" s="78">
        <f t="shared" si="10"/>
        <v>988.8</v>
      </c>
      <c r="N18" s="79"/>
      <c r="O18" s="65">
        <f t="shared" si="14"/>
        <v>1414.5333333333335</v>
      </c>
      <c r="P18" s="80">
        <f t="shared" si="12"/>
        <v>33948.800000000003</v>
      </c>
      <c r="Q18" s="78">
        <f t="shared" si="1"/>
        <v>2104.83</v>
      </c>
      <c r="R18" s="78">
        <f t="shared" si="2"/>
        <v>492.26</v>
      </c>
      <c r="S18" s="81">
        <f t="shared" si="3"/>
        <v>1357.95</v>
      </c>
      <c r="T18" s="78">
        <f t="shared" si="4"/>
        <v>525</v>
      </c>
      <c r="U18" s="78">
        <f t="shared" si="5"/>
        <v>1096</v>
      </c>
      <c r="V18" s="79">
        <f t="shared" si="6"/>
        <v>5576.04</v>
      </c>
      <c r="W18" s="68">
        <f t="shared" si="11"/>
        <v>5180.5868800000007</v>
      </c>
      <c r="X18" s="78">
        <f t="shared" si="7"/>
        <v>0</v>
      </c>
      <c r="Y18" s="78">
        <f t="shared" si="8"/>
        <v>0</v>
      </c>
      <c r="Z18" s="78">
        <f t="shared" si="9"/>
        <v>0</v>
      </c>
      <c r="AA18" s="79">
        <f t="shared" si="15"/>
        <v>5180.5868800000007</v>
      </c>
      <c r="AB18" s="82">
        <f>19.86*22</f>
        <v>436.91999999999996</v>
      </c>
      <c r="AC18" s="70"/>
      <c r="AD18" s="87"/>
    </row>
    <row r="19" spans="1:30" x14ac:dyDescent="0.2">
      <c r="A19" s="1" t="s">
        <v>1165</v>
      </c>
      <c r="B19" s="86">
        <v>32000</v>
      </c>
      <c r="C19" s="86" t="s">
        <v>1158</v>
      </c>
      <c r="D19" s="71">
        <f t="shared" si="13"/>
        <v>15</v>
      </c>
      <c r="E19" s="83" t="s">
        <v>1166</v>
      </c>
      <c r="F19" s="44" t="s">
        <v>1139</v>
      </c>
      <c r="G19" s="84">
        <v>1</v>
      </c>
      <c r="H19" s="76"/>
      <c r="I19" s="76"/>
      <c r="J19" s="46">
        <f t="shared" si="0"/>
        <v>3000</v>
      </c>
      <c r="K19" s="85">
        <v>32960</v>
      </c>
      <c r="L19" s="76"/>
      <c r="M19" s="78">
        <f t="shared" si="10"/>
        <v>988.8</v>
      </c>
      <c r="N19" s="79"/>
      <c r="O19" s="65">
        <f t="shared" si="14"/>
        <v>1414.5333333333335</v>
      </c>
      <c r="P19" s="80">
        <f t="shared" si="12"/>
        <v>33948.800000000003</v>
      </c>
      <c r="Q19" s="78">
        <f t="shared" si="1"/>
        <v>2104.83</v>
      </c>
      <c r="R19" s="78">
        <f t="shared" si="2"/>
        <v>492.26</v>
      </c>
      <c r="S19" s="81">
        <f t="shared" si="3"/>
        <v>1357.95</v>
      </c>
      <c r="T19" s="78">
        <f t="shared" si="4"/>
        <v>525</v>
      </c>
      <c r="U19" s="78">
        <f t="shared" si="5"/>
        <v>1096</v>
      </c>
      <c r="V19" s="79">
        <f t="shared" si="6"/>
        <v>5576.04</v>
      </c>
      <c r="W19" s="68">
        <f t="shared" si="11"/>
        <v>5180.5868800000007</v>
      </c>
      <c r="X19" s="78">
        <f t="shared" si="7"/>
        <v>0</v>
      </c>
      <c r="Y19" s="78">
        <f t="shared" si="8"/>
        <v>0</v>
      </c>
      <c r="Z19" s="78">
        <f t="shared" si="9"/>
        <v>0</v>
      </c>
      <c r="AA19" s="79">
        <f t="shared" si="15"/>
        <v>5180.5868800000007</v>
      </c>
      <c r="AB19" s="82">
        <f>9.32*22</f>
        <v>205.04000000000002</v>
      </c>
      <c r="AC19" s="70"/>
      <c r="AD19" s="87"/>
    </row>
    <row r="20" spans="1:30" x14ac:dyDescent="0.2">
      <c r="B20" s="86">
        <v>32960</v>
      </c>
      <c r="C20" s="86" t="s">
        <v>1150</v>
      </c>
      <c r="D20" s="71">
        <f t="shared" si="13"/>
        <v>16</v>
      </c>
      <c r="E20" s="72" t="s">
        <v>1167</v>
      </c>
      <c r="F20" s="73" t="s">
        <v>1139</v>
      </c>
      <c r="G20" s="74">
        <v>1</v>
      </c>
      <c r="H20" s="75" t="s">
        <v>1142</v>
      </c>
      <c r="I20" s="76"/>
      <c r="J20" s="46">
        <f t="shared" si="0"/>
        <v>0</v>
      </c>
      <c r="K20" s="85">
        <v>32960</v>
      </c>
      <c r="L20" s="76"/>
      <c r="M20" s="78">
        <f t="shared" si="10"/>
        <v>988.8</v>
      </c>
      <c r="N20" s="79"/>
      <c r="O20" s="65"/>
      <c r="P20" s="80">
        <f t="shared" si="12"/>
        <v>33948.800000000003</v>
      </c>
      <c r="Q20" s="78">
        <f t="shared" si="1"/>
        <v>2104.83</v>
      </c>
      <c r="R20" s="78">
        <f t="shared" si="2"/>
        <v>492.26</v>
      </c>
      <c r="S20" s="81">
        <f t="shared" si="3"/>
        <v>1357.95</v>
      </c>
      <c r="T20" s="78">
        <f t="shared" si="4"/>
        <v>1050</v>
      </c>
      <c r="U20" s="78">
        <f t="shared" si="5"/>
        <v>2192</v>
      </c>
      <c r="V20" s="79">
        <f t="shared" si="6"/>
        <v>7197.04</v>
      </c>
      <c r="W20" s="68">
        <f t="shared" si="11"/>
        <v>5180.5868800000007</v>
      </c>
      <c r="X20" s="78">
        <f t="shared" si="7"/>
        <v>0</v>
      </c>
      <c r="Y20" s="78">
        <f t="shared" si="8"/>
        <v>0</v>
      </c>
      <c r="Z20" s="78">
        <f t="shared" si="9"/>
        <v>0</v>
      </c>
      <c r="AA20" s="79">
        <f t="shared" si="15"/>
        <v>5180.5868800000007</v>
      </c>
      <c r="AB20" s="82">
        <f>22.17*22</f>
        <v>487.74</v>
      </c>
      <c r="AC20" s="70"/>
      <c r="AD20" s="87"/>
    </row>
    <row r="21" spans="1:30" x14ac:dyDescent="0.2">
      <c r="A21" s="1" t="s">
        <v>1168</v>
      </c>
      <c r="B21" s="86">
        <v>40000</v>
      </c>
      <c r="C21" s="86" t="s">
        <v>1148</v>
      </c>
      <c r="D21" s="71">
        <f t="shared" si="13"/>
        <v>17</v>
      </c>
      <c r="E21" s="83" t="s">
        <v>1169</v>
      </c>
      <c r="F21" s="44" t="s">
        <v>1139</v>
      </c>
      <c r="G21" s="84">
        <v>1</v>
      </c>
      <c r="H21" s="76"/>
      <c r="I21" s="76"/>
      <c r="J21" s="46">
        <f t="shared" si="0"/>
        <v>3000</v>
      </c>
      <c r="K21" s="85">
        <v>32960</v>
      </c>
      <c r="L21" s="76"/>
      <c r="M21" s="78">
        <f t="shared" si="10"/>
        <v>988.8</v>
      </c>
      <c r="N21" s="79"/>
      <c r="O21" s="65">
        <f>P21/24</f>
        <v>1414.5333333333335</v>
      </c>
      <c r="P21" s="80">
        <f t="shared" si="12"/>
        <v>33948.800000000003</v>
      </c>
      <c r="Q21" s="78">
        <f t="shared" si="1"/>
        <v>2104.83</v>
      </c>
      <c r="R21" s="78">
        <f t="shared" si="2"/>
        <v>492.26</v>
      </c>
      <c r="S21" s="81">
        <f t="shared" si="3"/>
        <v>1357.95</v>
      </c>
      <c r="T21" s="78">
        <f t="shared" si="4"/>
        <v>525</v>
      </c>
      <c r="U21" s="78">
        <f t="shared" si="5"/>
        <v>1096</v>
      </c>
      <c r="V21" s="79">
        <f t="shared" si="6"/>
        <v>5576.04</v>
      </c>
      <c r="W21" s="68">
        <f t="shared" si="11"/>
        <v>5180.5868800000007</v>
      </c>
      <c r="X21" s="78">
        <f t="shared" si="7"/>
        <v>0</v>
      </c>
      <c r="Y21" s="78">
        <f t="shared" si="8"/>
        <v>0</v>
      </c>
      <c r="Z21" s="78">
        <f t="shared" si="9"/>
        <v>0</v>
      </c>
      <c r="AA21" s="79">
        <f t="shared" si="15"/>
        <v>5180.5868800000007</v>
      </c>
      <c r="AB21" s="82">
        <f>16.7*22</f>
        <v>367.4</v>
      </c>
      <c r="AC21" s="70"/>
    </row>
    <row r="22" spans="1:30" x14ac:dyDescent="0.2">
      <c r="A22" s="1" t="s">
        <v>1170</v>
      </c>
      <c r="B22" s="86">
        <v>42500</v>
      </c>
      <c r="C22" s="86" t="s">
        <v>1148</v>
      </c>
      <c r="D22" s="71">
        <f t="shared" si="13"/>
        <v>18</v>
      </c>
      <c r="E22" s="83" t="s">
        <v>1171</v>
      </c>
      <c r="F22" s="44" t="s">
        <v>1139</v>
      </c>
      <c r="G22" s="84">
        <v>1</v>
      </c>
      <c r="H22" s="76"/>
      <c r="I22" s="76"/>
      <c r="J22" s="46">
        <f t="shared" si="0"/>
        <v>3000</v>
      </c>
      <c r="K22" s="85">
        <v>32500</v>
      </c>
      <c r="L22" s="76"/>
      <c r="M22" s="78">
        <f t="shared" si="10"/>
        <v>975</v>
      </c>
      <c r="N22" s="79"/>
      <c r="O22" s="65"/>
      <c r="P22" s="80">
        <f t="shared" si="12"/>
        <v>33475</v>
      </c>
      <c r="Q22" s="78">
        <f t="shared" si="1"/>
        <v>2075.4499999999998</v>
      </c>
      <c r="R22" s="78">
        <f t="shared" si="2"/>
        <v>485.39</v>
      </c>
      <c r="S22" s="81">
        <f t="shared" si="3"/>
        <v>1339</v>
      </c>
      <c r="T22" s="78">
        <f t="shared" si="4"/>
        <v>525</v>
      </c>
      <c r="U22" s="78">
        <f t="shared" si="5"/>
        <v>1096</v>
      </c>
      <c r="V22" s="79">
        <f t="shared" si="6"/>
        <v>5520.84</v>
      </c>
      <c r="W22" s="68">
        <f t="shared" si="11"/>
        <v>5108.2850000000008</v>
      </c>
      <c r="X22" s="78">
        <f t="shared" si="7"/>
        <v>0</v>
      </c>
      <c r="Y22" s="78">
        <f t="shared" si="8"/>
        <v>0</v>
      </c>
      <c r="Z22" s="78">
        <f t="shared" si="9"/>
        <v>0</v>
      </c>
      <c r="AA22" s="79">
        <f>AA21</f>
        <v>5180.5868800000007</v>
      </c>
      <c r="AB22" s="82">
        <f>AB21</f>
        <v>367.4</v>
      </c>
      <c r="AC22" s="70"/>
    </row>
    <row r="23" spans="1:30" x14ac:dyDescent="0.2">
      <c r="B23" s="86">
        <v>40344</v>
      </c>
      <c r="C23" s="86" t="s">
        <v>1145</v>
      </c>
      <c r="D23" s="71">
        <f t="shared" si="13"/>
        <v>19</v>
      </c>
      <c r="E23" s="72" t="s">
        <v>1172</v>
      </c>
      <c r="F23" s="73" t="s">
        <v>1139</v>
      </c>
      <c r="G23" s="74">
        <v>1</v>
      </c>
      <c r="H23" s="75" t="s">
        <v>1142</v>
      </c>
      <c r="I23" s="76"/>
      <c r="J23" s="46">
        <f t="shared" si="0"/>
        <v>0</v>
      </c>
      <c r="K23" s="85">
        <v>37290</v>
      </c>
      <c r="L23" s="76"/>
      <c r="M23" s="78">
        <f t="shared" si="10"/>
        <v>1118.7</v>
      </c>
      <c r="N23" s="79"/>
      <c r="O23" s="65">
        <f>P23/24</f>
        <v>1600.3625</v>
      </c>
      <c r="P23" s="80">
        <f t="shared" si="12"/>
        <v>38408.699999999997</v>
      </c>
      <c r="Q23" s="78">
        <f t="shared" si="1"/>
        <v>2381.34</v>
      </c>
      <c r="R23" s="78">
        <f t="shared" si="2"/>
        <v>556.92999999999995</v>
      </c>
      <c r="S23" s="81">
        <f t="shared" si="3"/>
        <v>1536.35</v>
      </c>
      <c r="T23" s="78">
        <f t="shared" si="4"/>
        <v>1050</v>
      </c>
      <c r="U23" s="78">
        <f t="shared" si="5"/>
        <v>2192</v>
      </c>
      <c r="V23" s="79">
        <f t="shared" si="6"/>
        <v>7716.62</v>
      </c>
      <c r="W23" s="68">
        <f t="shared" si="11"/>
        <v>5861.1676200000002</v>
      </c>
      <c r="X23" s="78">
        <f t="shared" si="7"/>
        <v>0</v>
      </c>
      <c r="Y23" s="78">
        <f t="shared" si="8"/>
        <v>0</v>
      </c>
      <c r="Z23" s="78">
        <f t="shared" si="9"/>
        <v>0</v>
      </c>
      <c r="AA23" s="79">
        <f>SUM(W23:Z23)</f>
        <v>5861.1676200000002</v>
      </c>
      <c r="AB23" s="82">
        <f>20.54*22</f>
        <v>451.88</v>
      </c>
      <c r="AC23" s="70"/>
    </row>
    <row r="24" spans="1:30" s="88" customFormat="1" ht="25.5" x14ac:dyDescent="0.2">
      <c r="B24" s="89">
        <v>42436</v>
      </c>
      <c r="C24" s="89"/>
      <c r="D24" s="90"/>
      <c r="E24" s="91" t="s">
        <v>1173</v>
      </c>
      <c r="F24" s="92" t="s">
        <v>1139</v>
      </c>
      <c r="G24" s="93">
        <v>1</v>
      </c>
      <c r="H24" s="94"/>
      <c r="I24" s="94"/>
      <c r="J24" s="95">
        <v>0</v>
      </c>
      <c r="K24" s="96">
        <v>0</v>
      </c>
      <c r="L24" s="94"/>
      <c r="M24" s="97">
        <f t="shared" si="10"/>
        <v>0</v>
      </c>
      <c r="N24" s="98"/>
      <c r="O24" s="99">
        <f>P24/24</f>
        <v>0</v>
      </c>
      <c r="P24" s="100">
        <f t="shared" si="12"/>
        <v>0</v>
      </c>
      <c r="Q24" s="97">
        <f t="shared" si="1"/>
        <v>0</v>
      </c>
      <c r="R24" s="97">
        <f t="shared" si="2"/>
        <v>0</v>
      </c>
      <c r="S24" s="101">
        <f t="shared" si="3"/>
        <v>0</v>
      </c>
      <c r="T24" s="97">
        <f t="shared" si="4"/>
        <v>0</v>
      </c>
      <c r="U24" s="97">
        <f t="shared" si="5"/>
        <v>0</v>
      </c>
      <c r="V24" s="98">
        <f t="shared" si="6"/>
        <v>0</v>
      </c>
      <c r="W24" s="68">
        <f t="shared" si="11"/>
        <v>0</v>
      </c>
      <c r="X24" s="97">
        <f t="shared" si="7"/>
        <v>0</v>
      </c>
      <c r="Y24" s="97">
        <f t="shared" si="8"/>
        <v>0</v>
      </c>
      <c r="Z24" s="97">
        <f t="shared" si="9"/>
        <v>0</v>
      </c>
      <c r="AA24" s="98">
        <f>SUM(W24:Z24)</f>
        <v>0</v>
      </c>
      <c r="AB24" s="102">
        <v>0</v>
      </c>
      <c r="AC24" s="103" t="s">
        <v>1174</v>
      </c>
      <c r="AD24" s="104"/>
    </row>
    <row r="25" spans="1:30" x14ac:dyDescent="0.2">
      <c r="B25" s="86">
        <v>40421</v>
      </c>
      <c r="C25" s="55" t="s">
        <v>1137</v>
      </c>
      <c r="D25" s="71">
        <v>20</v>
      </c>
      <c r="E25" s="83" t="s">
        <v>1175</v>
      </c>
      <c r="F25" s="44" t="s">
        <v>1139</v>
      </c>
      <c r="G25" s="84">
        <v>1</v>
      </c>
      <c r="H25" s="76"/>
      <c r="I25" s="76"/>
      <c r="J25" s="46">
        <f t="shared" si="0"/>
        <v>3000</v>
      </c>
      <c r="K25" s="85">
        <v>32500</v>
      </c>
      <c r="L25" s="76"/>
      <c r="M25" s="78">
        <f t="shared" si="10"/>
        <v>975</v>
      </c>
      <c r="N25" s="79"/>
      <c r="O25" s="65">
        <f>P25/24</f>
        <v>1394.7916666666667</v>
      </c>
      <c r="P25" s="80">
        <f t="shared" si="12"/>
        <v>33475</v>
      </c>
      <c r="Q25" s="78">
        <f t="shared" si="1"/>
        <v>2075.4499999999998</v>
      </c>
      <c r="R25" s="78">
        <f t="shared" si="2"/>
        <v>485.39</v>
      </c>
      <c r="S25" s="81">
        <f t="shared" si="3"/>
        <v>1339</v>
      </c>
      <c r="T25" s="78">
        <f t="shared" si="4"/>
        <v>525</v>
      </c>
      <c r="U25" s="78">
        <f t="shared" si="5"/>
        <v>1096</v>
      </c>
      <c r="V25" s="79">
        <f t="shared" si="6"/>
        <v>5520.84</v>
      </c>
      <c r="W25" s="68">
        <f t="shared" si="11"/>
        <v>5108.2850000000008</v>
      </c>
      <c r="X25" s="78">
        <f t="shared" si="7"/>
        <v>0</v>
      </c>
      <c r="Y25" s="78">
        <f t="shared" si="8"/>
        <v>0</v>
      </c>
      <c r="Z25" s="78">
        <f t="shared" si="9"/>
        <v>0</v>
      </c>
      <c r="AA25" s="79">
        <f>SUM(W25:Z25)</f>
        <v>5108.2850000000008</v>
      </c>
      <c r="AB25" s="82">
        <f>21.41*22</f>
        <v>471.02</v>
      </c>
      <c r="AC25" s="70"/>
      <c r="AD25" s="87"/>
    </row>
    <row r="26" spans="1:30" x14ac:dyDescent="0.2">
      <c r="B26" s="86">
        <v>35010</v>
      </c>
      <c r="C26" s="86" t="s">
        <v>1160</v>
      </c>
      <c r="D26" s="71">
        <f t="shared" si="13"/>
        <v>21</v>
      </c>
      <c r="E26" s="83" t="s">
        <v>1176</v>
      </c>
      <c r="F26" s="44" t="s">
        <v>1139</v>
      </c>
      <c r="G26" s="84">
        <v>1</v>
      </c>
      <c r="H26" s="76"/>
      <c r="I26" s="76"/>
      <c r="J26" s="46">
        <f t="shared" si="0"/>
        <v>3000</v>
      </c>
      <c r="K26" s="85">
        <v>32500</v>
      </c>
      <c r="L26" s="76"/>
      <c r="M26" s="78">
        <f t="shared" si="10"/>
        <v>975</v>
      </c>
      <c r="N26" s="79"/>
      <c r="O26" s="65">
        <f>P26/24</f>
        <v>1394.7916666666667</v>
      </c>
      <c r="P26" s="80">
        <f t="shared" si="12"/>
        <v>33475</v>
      </c>
      <c r="Q26" s="78">
        <f t="shared" si="1"/>
        <v>2075.4499999999998</v>
      </c>
      <c r="R26" s="78">
        <f t="shared" si="2"/>
        <v>485.39</v>
      </c>
      <c r="S26" s="81">
        <f t="shared" si="3"/>
        <v>1339</v>
      </c>
      <c r="T26" s="78">
        <f t="shared" si="4"/>
        <v>525</v>
      </c>
      <c r="U26" s="78">
        <f t="shared" si="5"/>
        <v>1096</v>
      </c>
      <c r="V26" s="79">
        <f t="shared" si="6"/>
        <v>5520.84</v>
      </c>
      <c r="W26" s="68">
        <f t="shared" si="11"/>
        <v>5108.2850000000008</v>
      </c>
      <c r="X26" s="78">
        <f t="shared" si="7"/>
        <v>0</v>
      </c>
      <c r="Y26" s="78">
        <f t="shared" si="8"/>
        <v>0</v>
      </c>
      <c r="Z26" s="78">
        <f t="shared" si="9"/>
        <v>0</v>
      </c>
      <c r="AA26" s="79">
        <f>SUM(W26:Z26)</f>
        <v>5108.2850000000008</v>
      </c>
      <c r="AB26" s="82">
        <f>23.09*22</f>
        <v>507.98</v>
      </c>
      <c r="AC26" s="70"/>
      <c r="AD26" s="87"/>
    </row>
    <row r="27" spans="1:30" x14ac:dyDescent="0.2">
      <c r="B27" s="86"/>
      <c r="C27" s="86" t="s">
        <v>1160</v>
      </c>
      <c r="D27" s="71">
        <f t="shared" si="13"/>
        <v>22</v>
      </c>
      <c r="E27" s="83" t="s">
        <v>1177</v>
      </c>
      <c r="F27" s="44" t="s">
        <v>1139</v>
      </c>
      <c r="G27" s="84">
        <v>1</v>
      </c>
      <c r="H27" s="76"/>
      <c r="I27" s="76"/>
      <c r="J27" s="46">
        <f t="shared" si="0"/>
        <v>3000</v>
      </c>
      <c r="K27" s="85">
        <v>37080</v>
      </c>
      <c r="L27" s="76"/>
      <c r="M27" s="78">
        <f t="shared" si="10"/>
        <v>1112.3999999999999</v>
      </c>
      <c r="N27" s="79"/>
      <c r="O27" s="65">
        <f>P27/24</f>
        <v>1591.3500000000001</v>
      </c>
      <c r="P27" s="80">
        <f t="shared" si="12"/>
        <v>38192.400000000001</v>
      </c>
      <c r="Q27" s="78">
        <f t="shared" si="1"/>
        <v>2367.9299999999998</v>
      </c>
      <c r="R27" s="78">
        <f t="shared" si="2"/>
        <v>553.79</v>
      </c>
      <c r="S27" s="81">
        <f t="shared" si="3"/>
        <v>1527.7</v>
      </c>
      <c r="T27" s="78">
        <f t="shared" si="4"/>
        <v>525</v>
      </c>
      <c r="U27" s="78">
        <f t="shared" si="5"/>
        <v>1096</v>
      </c>
      <c r="V27" s="79">
        <f t="shared" si="6"/>
        <v>6070.42</v>
      </c>
      <c r="W27" s="68">
        <f t="shared" si="11"/>
        <v>5828.1602400000011</v>
      </c>
      <c r="X27" s="78">
        <f t="shared" si="7"/>
        <v>0</v>
      </c>
      <c r="Y27" s="78">
        <f t="shared" si="8"/>
        <v>0</v>
      </c>
      <c r="Z27" s="78">
        <f t="shared" si="9"/>
        <v>0</v>
      </c>
      <c r="AA27" s="79">
        <f>SUM(W27:Z27)</f>
        <v>5828.1602400000011</v>
      </c>
      <c r="AB27" s="82">
        <f>24.25*22</f>
        <v>533.5</v>
      </c>
      <c r="AC27" s="70"/>
      <c r="AD27" s="87"/>
    </row>
    <row r="28" spans="1:30" x14ac:dyDescent="0.2">
      <c r="B28" s="86"/>
      <c r="C28" s="86" t="s">
        <v>1160</v>
      </c>
      <c r="D28" s="71">
        <f t="shared" si="13"/>
        <v>23</v>
      </c>
      <c r="E28" s="83" t="s">
        <v>1178</v>
      </c>
      <c r="F28" s="44" t="s">
        <v>1139</v>
      </c>
      <c r="G28" s="84">
        <v>1</v>
      </c>
      <c r="H28" s="76"/>
      <c r="I28" s="76"/>
      <c r="J28" s="46">
        <f t="shared" si="0"/>
        <v>3000</v>
      </c>
      <c r="K28" s="105">
        <v>32500</v>
      </c>
      <c r="L28" s="76"/>
      <c r="M28" s="78">
        <f t="shared" si="10"/>
        <v>975</v>
      </c>
      <c r="N28" s="79"/>
      <c r="O28" s="65"/>
      <c r="P28" s="80">
        <f t="shared" si="12"/>
        <v>33475</v>
      </c>
      <c r="Q28" s="78">
        <f t="shared" si="1"/>
        <v>2075.4499999999998</v>
      </c>
      <c r="R28" s="78">
        <f t="shared" si="2"/>
        <v>485.39</v>
      </c>
      <c r="S28" s="81">
        <f t="shared" si="3"/>
        <v>1339</v>
      </c>
      <c r="T28" s="78">
        <f t="shared" si="4"/>
        <v>525</v>
      </c>
      <c r="U28" s="78">
        <f t="shared" si="5"/>
        <v>1096</v>
      </c>
      <c r="V28" s="79">
        <f t="shared" si="6"/>
        <v>5520.84</v>
      </c>
      <c r="W28" s="68">
        <f t="shared" si="11"/>
        <v>5108.2850000000008</v>
      </c>
      <c r="X28" s="78">
        <f t="shared" si="7"/>
        <v>0</v>
      </c>
      <c r="Y28" s="78">
        <f t="shared" si="8"/>
        <v>0</v>
      </c>
      <c r="Z28" s="78">
        <f t="shared" si="9"/>
        <v>0</v>
      </c>
      <c r="AA28" s="79">
        <f>AA27</f>
        <v>5828.1602400000011</v>
      </c>
      <c r="AB28" s="82">
        <f>AB27</f>
        <v>533.5</v>
      </c>
      <c r="AC28" s="70"/>
      <c r="AD28" s="87"/>
    </row>
    <row r="29" spans="1:30" x14ac:dyDescent="0.2">
      <c r="B29" s="86"/>
      <c r="C29" s="86" t="s">
        <v>1158</v>
      </c>
      <c r="D29" s="71">
        <f t="shared" si="13"/>
        <v>24</v>
      </c>
      <c r="E29" s="83" t="s">
        <v>1179</v>
      </c>
      <c r="F29" s="44" t="s">
        <v>1139</v>
      </c>
      <c r="G29" s="84">
        <v>1</v>
      </c>
      <c r="H29" s="76"/>
      <c r="I29" s="76"/>
      <c r="J29" s="46">
        <f t="shared" si="0"/>
        <v>3000</v>
      </c>
      <c r="K29" s="85">
        <v>42385.53</v>
      </c>
      <c r="L29" s="76"/>
      <c r="M29" s="78">
        <f t="shared" si="10"/>
        <v>1271.5658999999998</v>
      </c>
      <c r="N29" s="79"/>
      <c r="O29" s="65">
        <f>P29/24</f>
        <v>1819.0456624999999</v>
      </c>
      <c r="P29" s="80">
        <f t="shared" si="12"/>
        <v>43657.0959</v>
      </c>
      <c r="Q29" s="78">
        <f t="shared" si="1"/>
        <v>2706.74</v>
      </c>
      <c r="R29" s="78">
        <f t="shared" si="2"/>
        <v>633.03</v>
      </c>
      <c r="S29" s="81">
        <f t="shared" si="3"/>
        <v>1746.28</v>
      </c>
      <c r="T29" s="78">
        <f t="shared" si="4"/>
        <v>525</v>
      </c>
      <c r="U29" s="78">
        <f t="shared" si="5"/>
        <v>1096</v>
      </c>
      <c r="V29" s="79">
        <f t="shared" si="6"/>
        <v>6707.0499999999993</v>
      </c>
      <c r="W29" s="68">
        <f t="shared" si="11"/>
        <v>6662.0728343400006</v>
      </c>
      <c r="X29" s="78">
        <f t="shared" si="7"/>
        <v>0</v>
      </c>
      <c r="Y29" s="78">
        <f t="shared" si="8"/>
        <v>0</v>
      </c>
      <c r="Z29" s="78">
        <f t="shared" si="9"/>
        <v>0</v>
      </c>
      <c r="AA29" s="79">
        <f>SUM(W29:Z29)</f>
        <v>6662.0728343400006</v>
      </c>
      <c r="AB29" s="82">
        <f>20.79*22</f>
        <v>457.38</v>
      </c>
      <c r="AC29" s="70"/>
      <c r="AD29" s="87"/>
    </row>
    <row r="30" spans="1:30" x14ac:dyDescent="0.2">
      <c r="B30" s="86"/>
      <c r="C30" s="86" t="s">
        <v>1145</v>
      </c>
      <c r="D30" s="71">
        <f t="shared" si="13"/>
        <v>25</v>
      </c>
      <c r="E30" s="72" t="s">
        <v>1180</v>
      </c>
      <c r="F30" s="106" t="s">
        <v>1139</v>
      </c>
      <c r="G30" s="74">
        <v>0.5</v>
      </c>
      <c r="H30" s="76"/>
      <c r="I30" s="76"/>
      <c r="J30" s="46">
        <f t="shared" si="0"/>
        <v>3000</v>
      </c>
      <c r="K30" s="85">
        <f>2*18585.32</f>
        <v>37170.639999999999</v>
      </c>
      <c r="L30" s="76"/>
      <c r="M30" s="78">
        <f t="shared" si="10"/>
        <v>1115.1191999999999</v>
      </c>
      <c r="N30" s="107"/>
      <c r="O30" s="65">
        <f>P30/24</f>
        <v>797.61998333333338</v>
      </c>
      <c r="P30" s="80">
        <f t="shared" si="12"/>
        <v>19142.8796</v>
      </c>
      <c r="Q30" s="78">
        <f t="shared" si="1"/>
        <v>1186.8599999999999</v>
      </c>
      <c r="R30" s="78">
        <f t="shared" si="2"/>
        <v>277.57</v>
      </c>
      <c r="S30" s="81">
        <f t="shared" si="3"/>
        <v>765.72</v>
      </c>
      <c r="T30" s="78">
        <f t="shared" si="4"/>
        <v>262.5</v>
      </c>
      <c r="U30" s="78">
        <f t="shared" si="5"/>
        <v>548</v>
      </c>
      <c r="V30" s="79">
        <f t="shared" si="6"/>
        <v>3040.6499999999996</v>
      </c>
      <c r="W30" s="68">
        <f t="shared" si="11"/>
        <v>2921.2034269600003</v>
      </c>
      <c r="X30" s="78">
        <f t="shared" si="7"/>
        <v>0</v>
      </c>
      <c r="Y30" s="78">
        <f t="shared" si="8"/>
        <v>0</v>
      </c>
      <c r="Z30" s="78">
        <f t="shared" si="9"/>
        <v>0</v>
      </c>
      <c r="AA30" s="79">
        <f>SUM(W30:Z30)</f>
        <v>2921.2034269600003</v>
      </c>
      <c r="AB30" s="82">
        <f>21.24*22</f>
        <v>467.28</v>
      </c>
      <c r="AC30" s="70"/>
      <c r="AD30" s="87"/>
    </row>
    <row r="31" spans="1:30" x14ac:dyDescent="0.2">
      <c r="B31" s="86"/>
      <c r="C31" s="86" t="s">
        <v>1145</v>
      </c>
      <c r="D31" s="71">
        <f t="shared" si="13"/>
        <v>26</v>
      </c>
      <c r="E31" s="83" t="s">
        <v>1181</v>
      </c>
      <c r="F31" s="44" t="s">
        <v>1139</v>
      </c>
      <c r="G31" s="84">
        <v>1</v>
      </c>
      <c r="H31" s="76"/>
      <c r="I31" s="76"/>
      <c r="J31" s="46">
        <f t="shared" si="0"/>
        <v>3000</v>
      </c>
      <c r="K31" s="85">
        <v>32500</v>
      </c>
      <c r="L31" s="76"/>
      <c r="M31" s="78">
        <f t="shared" si="10"/>
        <v>975</v>
      </c>
      <c r="N31" s="79"/>
      <c r="O31" s="65"/>
      <c r="P31" s="80">
        <f t="shared" si="12"/>
        <v>33475</v>
      </c>
      <c r="Q31" s="78">
        <f t="shared" si="1"/>
        <v>2075.4499999999998</v>
      </c>
      <c r="R31" s="78">
        <f t="shared" si="2"/>
        <v>485.39</v>
      </c>
      <c r="S31" s="81">
        <f t="shared" si="3"/>
        <v>1339</v>
      </c>
      <c r="T31" s="78">
        <f t="shared" si="4"/>
        <v>525</v>
      </c>
      <c r="U31" s="78">
        <f t="shared" si="5"/>
        <v>1096</v>
      </c>
      <c r="V31" s="79">
        <f t="shared" si="6"/>
        <v>5520.84</v>
      </c>
      <c r="W31" s="68">
        <f t="shared" si="11"/>
        <v>5108.2850000000008</v>
      </c>
      <c r="X31" s="78">
        <f t="shared" si="7"/>
        <v>0</v>
      </c>
      <c r="Y31" s="78">
        <f t="shared" si="8"/>
        <v>0</v>
      </c>
      <c r="Z31" s="78">
        <f t="shared" si="9"/>
        <v>0</v>
      </c>
      <c r="AA31" s="79">
        <f>AA30</f>
        <v>2921.2034269600003</v>
      </c>
      <c r="AB31" s="82">
        <f>AB30</f>
        <v>467.28</v>
      </c>
      <c r="AC31" s="70"/>
      <c r="AD31" s="87"/>
    </row>
    <row r="32" spans="1:30" x14ac:dyDescent="0.2">
      <c r="B32" s="86"/>
      <c r="C32" s="86" t="s">
        <v>1150</v>
      </c>
      <c r="D32" s="71">
        <f t="shared" si="13"/>
        <v>27</v>
      </c>
      <c r="E32" s="83" t="s">
        <v>1182</v>
      </c>
      <c r="F32" s="44" t="s">
        <v>1139</v>
      </c>
      <c r="G32" s="84">
        <v>1</v>
      </c>
      <c r="H32" s="76"/>
      <c r="I32" s="76"/>
      <c r="J32" s="46">
        <f t="shared" si="0"/>
        <v>3000</v>
      </c>
      <c r="K32" s="85">
        <v>34000</v>
      </c>
      <c r="L32" s="76"/>
      <c r="M32" s="78">
        <f t="shared" si="10"/>
        <v>1020</v>
      </c>
      <c r="N32" s="79"/>
      <c r="O32" s="65"/>
      <c r="P32" s="80">
        <f t="shared" si="12"/>
        <v>35020</v>
      </c>
      <c r="Q32" s="78">
        <f t="shared" si="1"/>
        <v>2171.2399999999998</v>
      </c>
      <c r="R32" s="78">
        <f t="shared" si="2"/>
        <v>507.79</v>
      </c>
      <c r="S32" s="81">
        <f t="shared" si="3"/>
        <v>1400.8</v>
      </c>
      <c r="T32" s="78">
        <f t="shared" si="4"/>
        <v>525</v>
      </c>
      <c r="U32" s="78">
        <f t="shared" si="5"/>
        <v>1096</v>
      </c>
      <c r="V32" s="79">
        <f t="shared" si="6"/>
        <v>5700.83</v>
      </c>
      <c r="W32" s="68">
        <f t="shared" si="11"/>
        <v>5344.0520000000006</v>
      </c>
      <c r="X32" s="78">
        <f t="shared" si="7"/>
        <v>0</v>
      </c>
      <c r="Y32" s="78">
        <f t="shared" si="8"/>
        <v>0</v>
      </c>
      <c r="Z32" s="78">
        <f t="shared" si="9"/>
        <v>0</v>
      </c>
      <c r="AA32" s="79">
        <f>AA31</f>
        <v>2921.2034269600003</v>
      </c>
      <c r="AB32" s="82">
        <f>AB31</f>
        <v>467.28</v>
      </c>
      <c r="AC32" s="70"/>
      <c r="AD32" s="87"/>
    </row>
    <row r="33" spans="1:30" x14ac:dyDescent="0.2">
      <c r="B33" s="86"/>
      <c r="C33" s="86" t="s">
        <v>1145</v>
      </c>
      <c r="D33" s="71">
        <f t="shared" si="13"/>
        <v>28</v>
      </c>
      <c r="E33" s="83" t="s">
        <v>1183</v>
      </c>
      <c r="F33" s="44" t="s">
        <v>1139</v>
      </c>
      <c r="G33" s="84">
        <v>1</v>
      </c>
      <c r="H33" s="76"/>
      <c r="I33" s="76"/>
      <c r="J33" s="46">
        <f t="shared" si="0"/>
        <v>3000</v>
      </c>
      <c r="K33" s="85">
        <v>32500</v>
      </c>
      <c r="L33" s="76"/>
      <c r="M33" s="78">
        <f t="shared" si="10"/>
        <v>975</v>
      </c>
      <c r="N33" s="79"/>
      <c r="O33" s="65">
        <f>P33/24</f>
        <v>1394.7916666666667</v>
      </c>
      <c r="P33" s="80">
        <f t="shared" si="12"/>
        <v>33475</v>
      </c>
      <c r="Q33" s="78">
        <f t="shared" si="1"/>
        <v>2075.4499999999998</v>
      </c>
      <c r="R33" s="78">
        <f t="shared" si="2"/>
        <v>485.39</v>
      </c>
      <c r="S33" s="81">
        <f t="shared" si="3"/>
        <v>1339</v>
      </c>
      <c r="T33" s="78">
        <f t="shared" si="4"/>
        <v>525</v>
      </c>
      <c r="U33" s="78">
        <f t="shared" si="5"/>
        <v>1096</v>
      </c>
      <c r="V33" s="79">
        <f t="shared" si="6"/>
        <v>5520.84</v>
      </c>
      <c r="W33" s="68">
        <f t="shared" si="11"/>
        <v>5108.2850000000008</v>
      </c>
      <c r="X33" s="78">
        <f t="shared" si="7"/>
        <v>0</v>
      </c>
      <c r="Y33" s="78">
        <f t="shared" si="8"/>
        <v>0</v>
      </c>
      <c r="Z33" s="78">
        <f t="shared" si="9"/>
        <v>0</v>
      </c>
      <c r="AA33" s="79">
        <f>SUM(W33:Z33)</f>
        <v>5108.2850000000008</v>
      </c>
      <c r="AB33" s="82">
        <f>20.96*22</f>
        <v>461.12</v>
      </c>
      <c r="AC33" s="70"/>
      <c r="AD33" s="87"/>
    </row>
    <row r="34" spans="1:30" x14ac:dyDescent="0.2">
      <c r="B34" s="86"/>
      <c r="C34" s="86" t="s">
        <v>1158</v>
      </c>
      <c r="D34" s="71">
        <f t="shared" si="13"/>
        <v>29</v>
      </c>
      <c r="E34" s="83" t="s">
        <v>1184</v>
      </c>
      <c r="F34" s="44" t="s">
        <v>1139</v>
      </c>
      <c r="G34" s="84">
        <v>1</v>
      </c>
      <c r="H34" s="76"/>
      <c r="I34" s="76"/>
      <c r="J34" s="46">
        <f t="shared" si="0"/>
        <v>3000</v>
      </c>
      <c r="K34" s="85">
        <v>32500</v>
      </c>
      <c r="L34" s="76"/>
      <c r="M34" s="78">
        <f t="shared" si="10"/>
        <v>975</v>
      </c>
      <c r="N34" s="79"/>
      <c r="O34" s="65"/>
      <c r="P34" s="80">
        <f t="shared" si="12"/>
        <v>33475</v>
      </c>
      <c r="Q34" s="78">
        <f t="shared" si="1"/>
        <v>2075.4499999999998</v>
      </c>
      <c r="R34" s="78">
        <f t="shared" si="2"/>
        <v>485.39</v>
      </c>
      <c r="S34" s="81">
        <f t="shared" si="3"/>
        <v>1339</v>
      </c>
      <c r="T34" s="78">
        <f t="shared" si="4"/>
        <v>525</v>
      </c>
      <c r="U34" s="78">
        <f t="shared" si="5"/>
        <v>1096</v>
      </c>
      <c r="V34" s="79">
        <f t="shared" si="6"/>
        <v>5520.84</v>
      </c>
      <c r="W34" s="68">
        <f t="shared" si="11"/>
        <v>5108.2850000000008</v>
      </c>
      <c r="X34" s="78">
        <f t="shared" si="7"/>
        <v>0</v>
      </c>
      <c r="Y34" s="78">
        <f t="shared" si="8"/>
        <v>0</v>
      </c>
      <c r="Z34" s="78">
        <f t="shared" si="9"/>
        <v>0</v>
      </c>
      <c r="AA34" s="79">
        <f>AA33</f>
        <v>5108.2850000000008</v>
      </c>
      <c r="AB34" s="82">
        <f>AB33</f>
        <v>461.12</v>
      </c>
      <c r="AC34" s="70"/>
      <c r="AD34" s="87"/>
    </row>
    <row r="35" spans="1:30" x14ac:dyDescent="0.2">
      <c r="B35" s="86"/>
      <c r="C35" s="86" t="s">
        <v>1148</v>
      </c>
      <c r="D35" s="71">
        <f t="shared" si="13"/>
        <v>30</v>
      </c>
      <c r="E35" s="83" t="s">
        <v>1185</v>
      </c>
      <c r="F35" s="44" t="s">
        <v>1139</v>
      </c>
      <c r="G35" s="84">
        <v>1</v>
      </c>
      <c r="H35" s="76"/>
      <c r="I35" s="75"/>
      <c r="J35" s="46">
        <f>IF(H35="NEW",0,3000)</f>
        <v>3000</v>
      </c>
      <c r="K35" s="85">
        <v>38000</v>
      </c>
      <c r="L35" s="75"/>
      <c r="M35" s="78">
        <f t="shared" si="10"/>
        <v>1140</v>
      </c>
      <c r="N35" s="108"/>
      <c r="O35" s="109"/>
      <c r="P35" s="80">
        <f t="shared" si="12"/>
        <v>39140</v>
      </c>
      <c r="Q35" s="78">
        <f t="shared" si="1"/>
        <v>2426.6799999999998</v>
      </c>
      <c r="R35" s="78">
        <f t="shared" si="2"/>
        <v>567.53</v>
      </c>
      <c r="S35" s="81">
        <f t="shared" si="3"/>
        <v>1565.6</v>
      </c>
      <c r="T35" s="78">
        <f t="shared" si="4"/>
        <v>525</v>
      </c>
      <c r="U35" s="78">
        <f t="shared" si="5"/>
        <v>1096</v>
      </c>
      <c r="V35" s="79">
        <f t="shared" si="6"/>
        <v>6180.8099999999995</v>
      </c>
      <c r="W35" s="68">
        <f t="shared" si="11"/>
        <v>5972.7640000000001</v>
      </c>
      <c r="X35" s="78">
        <f t="shared" si="7"/>
        <v>0</v>
      </c>
      <c r="Y35" s="78">
        <f t="shared" si="8"/>
        <v>0</v>
      </c>
      <c r="Z35" s="78">
        <f t="shared" si="9"/>
        <v>0</v>
      </c>
      <c r="AA35" s="79">
        <f>AA34</f>
        <v>5108.2850000000008</v>
      </c>
      <c r="AB35" s="82">
        <f>AB34</f>
        <v>461.12</v>
      </c>
      <c r="AC35" s="70"/>
      <c r="AD35" s="87"/>
    </row>
    <row r="36" spans="1:30" x14ac:dyDescent="0.2">
      <c r="B36" s="86"/>
      <c r="C36" s="86" t="s">
        <v>1160</v>
      </c>
      <c r="D36" s="71">
        <f t="shared" si="13"/>
        <v>31</v>
      </c>
      <c r="E36" s="83" t="s">
        <v>1186</v>
      </c>
      <c r="F36" s="44" t="s">
        <v>1139</v>
      </c>
      <c r="G36" s="84">
        <v>1</v>
      </c>
      <c r="H36" s="76"/>
      <c r="I36" s="76"/>
      <c r="J36" s="46">
        <f>IF(H36="NEW",0,3000)</f>
        <v>3000</v>
      </c>
      <c r="K36" s="85">
        <v>50155</v>
      </c>
      <c r="L36" s="76"/>
      <c r="M36" s="78">
        <f t="shared" si="10"/>
        <v>1504.6499999999999</v>
      </c>
      <c r="N36" s="79"/>
      <c r="O36" s="65">
        <f>P36/24</f>
        <v>2152.4854166666669</v>
      </c>
      <c r="P36" s="80">
        <f t="shared" si="12"/>
        <v>51659.65</v>
      </c>
      <c r="Q36" s="78">
        <f t="shared" si="1"/>
        <v>3202.9</v>
      </c>
      <c r="R36" s="78">
        <f t="shared" si="2"/>
        <v>749.06</v>
      </c>
      <c r="S36" s="81">
        <f t="shared" si="3"/>
        <v>2066.39</v>
      </c>
      <c r="T36" s="78">
        <f t="shared" si="4"/>
        <v>525</v>
      </c>
      <c r="U36" s="78">
        <f t="shared" si="5"/>
        <v>1096</v>
      </c>
      <c r="V36" s="79">
        <f t="shared" si="6"/>
        <v>7639.35</v>
      </c>
      <c r="W36" s="68">
        <f t="shared" si="11"/>
        <v>7883.2625900000012</v>
      </c>
      <c r="X36" s="78">
        <f t="shared" si="7"/>
        <v>0</v>
      </c>
      <c r="Y36" s="78">
        <f t="shared" si="8"/>
        <v>0</v>
      </c>
      <c r="Z36" s="78">
        <f t="shared" si="9"/>
        <v>0</v>
      </c>
      <c r="AA36" s="79">
        <f>SUM(W36:Z36)</f>
        <v>7883.2625900000012</v>
      </c>
      <c r="AB36" s="82">
        <f>19.84*22</f>
        <v>436.48</v>
      </c>
      <c r="AC36" s="70"/>
      <c r="AD36" s="87"/>
    </row>
    <row r="37" spans="1:30" x14ac:dyDescent="0.2">
      <c r="B37" s="86"/>
      <c r="C37" s="86"/>
      <c r="D37" s="71"/>
      <c r="E37" s="110"/>
      <c r="F37" s="44"/>
      <c r="G37" s="84"/>
      <c r="H37" s="76"/>
      <c r="I37" s="76"/>
      <c r="J37" s="46"/>
      <c r="K37" s="76"/>
      <c r="L37" s="76"/>
      <c r="M37" s="79"/>
      <c r="N37" s="79"/>
      <c r="O37" s="65"/>
      <c r="P37" s="111"/>
      <c r="Q37" s="78"/>
      <c r="R37" s="78"/>
      <c r="S37" s="78"/>
      <c r="T37" s="78"/>
      <c r="U37" s="78"/>
      <c r="V37" s="79"/>
      <c r="W37" s="78"/>
      <c r="X37" s="78"/>
      <c r="Y37" s="78"/>
      <c r="Z37" s="78"/>
      <c r="AA37" s="79"/>
      <c r="AB37" s="112"/>
      <c r="AC37" s="70"/>
      <c r="AD37" s="87"/>
    </row>
    <row r="38" spans="1:30" x14ac:dyDescent="0.2">
      <c r="B38" s="113">
        <f t="shared" ref="B38:B43" si="16">COUNTIF($C$5:$C$37,C38)</f>
        <v>5</v>
      </c>
      <c r="C38" s="113" t="s">
        <v>1158</v>
      </c>
      <c r="D38" s="71"/>
      <c r="E38" s="110"/>
      <c r="F38" s="44"/>
      <c r="G38" s="84"/>
      <c r="H38" s="76"/>
      <c r="I38" s="76"/>
      <c r="J38" s="46"/>
      <c r="K38" s="76"/>
      <c r="L38" s="76"/>
      <c r="M38" s="79"/>
      <c r="N38" s="79"/>
      <c r="O38" s="65"/>
      <c r="P38" s="111"/>
      <c r="Q38" s="78"/>
      <c r="R38" s="78"/>
      <c r="S38" s="78"/>
      <c r="T38" s="78"/>
      <c r="U38" s="78"/>
      <c r="V38" s="79"/>
      <c r="W38" s="78"/>
      <c r="X38" s="78"/>
      <c r="Y38" s="78"/>
      <c r="Z38" s="78"/>
      <c r="AA38" s="79"/>
      <c r="AB38" s="112"/>
      <c r="AC38" s="70"/>
      <c r="AD38" s="87"/>
    </row>
    <row r="39" spans="1:30" x14ac:dyDescent="0.2">
      <c r="B39" s="113">
        <f t="shared" si="16"/>
        <v>5</v>
      </c>
      <c r="C39" s="113" t="s">
        <v>1137</v>
      </c>
      <c r="D39" s="71"/>
      <c r="E39" s="110"/>
      <c r="F39" s="44"/>
      <c r="G39" s="84"/>
      <c r="H39" s="76"/>
      <c r="I39" s="76"/>
      <c r="J39" s="46"/>
      <c r="K39" s="76"/>
      <c r="L39" s="76"/>
      <c r="M39" s="79"/>
      <c r="N39" s="79"/>
      <c r="O39" s="65"/>
      <c r="P39" s="111"/>
      <c r="Q39" s="78"/>
      <c r="R39" s="78"/>
      <c r="S39" s="78"/>
      <c r="T39" s="78"/>
      <c r="U39" s="78"/>
      <c r="V39" s="79"/>
      <c r="W39" s="78"/>
      <c r="X39" s="78"/>
      <c r="Y39" s="78"/>
      <c r="Z39" s="78"/>
      <c r="AA39" s="79"/>
      <c r="AB39" s="112"/>
      <c r="AC39" s="70"/>
      <c r="AD39" s="87"/>
    </row>
    <row r="40" spans="1:30" x14ac:dyDescent="0.2">
      <c r="B40" s="113">
        <f t="shared" si="16"/>
        <v>5</v>
      </c>
      <c r="C40" s="113" t="s">
        <v>1148</v>
      </c>
      <c r="D40" s="71"/>
      <c r="E40" s="110"/>
      <c r="F40" s="44"/>
      <c r="G40" s="84"/>
      <c r="H40" s="76"/>
      <c r="I40" s="76"/>
      <c r="J40" s="46"/>
      <c r="K40" s="76"/>
      <c r="L40" s="76"/>
      <c r="M40" s="79"/>
      <c r="N40" s="79"/>
      <c r="O40" s="65"/>
      <c r="P40" s="111"/>
      <c r="Q40" s="78"/>
      <c r="R40" s="78"/>
      <c r="S40" s="78"/>
      <c r="T40" s="78"/>
      <c r="U40" s="78"/>
      <c r="V40" s="79"/>
      <c r="W40" s="78"/>
      <c r="X40" s="78"/>
      <c r="Y40" s="78"/>
      <c r="Z40" s="78"/>
      <c r="AA40" s="79"/>
      <c r="AB40" s="112"/>
      <c r="AC40" s="70"/>
      <c r="AD40" s="87"/>
    </row>
    <row r="41" spans="1:30" x14ac:dyDescent="0.2">
      <c r="B41" s="113">
        <f t="shared" si="16"/>
        <v>5</v>
      </c>
      <c r="C41" s="113" t="s">
        <v>1150</v>
      </c>
      <c r="D41" s="71"/>
      <c r="E41" s="110"/>
      <c r="F41" s="44"/>
      <c r="G41" s="84"/>
      <c r="H41" s="76"/>
      <c r="I41" s="76"/>
      <c r="J41" s="46"/>
      <c r="K41" s="76"/>
      <c r="L41" s="76"/>
      <c r="M41" s="79"/>
      <c r="N41" s="79"/>
      <c r="O41" s="65"/>
      <c r="P41" s="111"/>
      <c r="Q41" s="78"/>
      <c r="R41" s="78"/>
      <c r="S41" s="78"/>
      <c r="T41" s="78"/>
      <c r="U41" s="78"/>
      <c r="V41" s="79"/>
      <c r="W41" s="78"/>
      <c r="X41" s="78"/>
      <c r="Y41" s="78"/>
      <c r="Z41" s="78"/>
      <c r="AA41" s="79"/>
      <c r="AB41" s="112"/>
      <c r="AC41" s="70"/>
      <c r="AD41" s="87"/>
    </row>
    <row r="42" spans="1:30" x14ac:dyDescent="0.2">
      <c r="B42" s="113">
        <f t="shared" si="16"/>
        <v>6</v>
      </c>
      <c r="C42" s="113" t="s">
        <v>1145</v>
      </c>
      <c r="D42" s="71"/>
      <c r="E42" s="110"/>
      <c r="F42" s="44"/>
      <c r="G42" s="84"/>
      <c r="H42" s="76"/>
      <c r="I42" s="76"/>
      <c r="J42" s="46"/>
      <c r="K42" s="76"/>
      <c r="L42" s="76"/>
      <c r="M42" s="79"/>
      <c r="N42" s="79"/>
      <c r="O42" s="65"/>
      <c r="P42" s="111"/>
      <c r="Q42" s="78"/>
      <c r="R42" s="78"/>
      <c r="S42" s="78"/>
      <c r="T42" s="78"/>
      <c r="U42" s="78"/>
      <c r="V42" s="79"/>
      <c r="W42" s="78"/>
      <c r="X42" s="78"/>
      <c r="Y42" s="78"/>
      <c r="Z42" s="78"/>
      <c r="AA42" s="79"/>
      <c r="AB42" s="112"/>
      <c r="AC42" s="70"/>
      <c r="AD42" s="87"/>
    </row>
    <row r="43" spans="1:30" x14ac:dyDescent="0.2">
      <c r="B43" s="113">
        <f t="shared" si="16"/>
        <v>5</v>
      </c>
      <c r="C43" s="113" t="s">
        <v>1160</v>
      </c>
      <c r="D43" s="71"/>
      <c r="E43" s="110"/>
      <c r="F43" s="44"/>
      <c r="G43" s="84"/>
      <c r="H43" s="76"/>
      <c r="I43" s="76"/>
      <c r="J43" s="46"/>
      <c r="K43" s="76"/>
      <c r="L43" s="76"/>
      <c r="M43" s="79"/>
      <c r="N43" s="79"/>
      <c r="O43" s="65"/>
      <c r="P43" s="111"/>
      <c r="Q43" s="78"/>
      <c r="R43" s="78"/>
      <c r="S43" s="78"/>
      <c r="T43" s="78"/>
      <c r="U43" s="78"/>
      <c r="V43" s="79"/>
      <c r="W43" s="78"/>
      <c r="X43" s="78"/>
      <c r="Y43" s="78"/>
      <c r="Z43" s="78"/>
      <c r="AA43" s="79"/>
      <c r="AB43" s="112"/>
      <c r="AC43" s="70"/>
      <c r="AD43" s="87"/>
    </row>
    <row r="44" spans="1:30" ht="13.5" thickBot="1" x14ac:dyDescent="0.25">
      <c r="A44" s="1" t="s">
        <v>1187</v>
      </c>
      <c r="B44" s="86">
        <v>53800</v>
      </c>
      <c r="C44" s="86"/>
      <c r="D44" s="114"/>
      <c r="E44" s="115" t="s">
        <v>1188</v>
      </c>
      <c r="F44" s="116"/>
      <c r="G44" s="117"/>
      <c r="H44" s="118"/>
      <c r="I44" s="118"/>
      <c r="J44" s="119">
        <f>SUM(J5:J43)</f>
        <v>78000</v>
      </c>
      <c r="K44" s="120">
        <f>+J44</f>
        <v>78000</v>
      </c>
      <c r="L44" s="118"/>
      <c r="M44" s="121"/>
      <c r="N44" s="121"/>
      <c r="O44" s="65">
        <f>P44/24</f>
        <v>3250</v>
      </c>
      <c r="P44" s="122">
        <f>J44</f>
        <v>78000</v>
      </c>
      <c r="Q44" s="123">
        <f>ROUND(MIN(P44,Q$4)*Q$3,2)</f>
        <v>4836</v>
      </c>
      <c r="R44" s="123">
        <f>ROUND(P44*$R$3,2)</f>
        <v>1131</v>
      </c>
      <c r="S44" s="123">
        <f>ROUND(P44*0.04,2)</f>
        <v>3120</v>
      </c>
      <c r="T44" s="123">
        <f>IF(H44="new",ROUND(MIN(P44,$T$4)*$T$3*G44*2,2),ROUND(MIN(P44,$T$4)*$T$3*G44,2))</f>
        <v>0</v>
      </c>
      <c r="U44" s="123">
        <f>IF(H44="new",ROUND(MIN(P44,$U$4)*$U$3*G44*2,2),ROUND(MIN(P44,$U$4)*$U$3*G44,2))</f>
        <v>0</v>
      </c>
      <c r="V44" s="124">
        <f>SUM(Q44:U44)</f>
        <v>9087</v>
      </c>
      <c r="W44" s="123">
        <f>210.76*26</f>
        <v>5479.76</v>
      </c>
      <c r="X44" s="123">
        <f>IF(I44="x",0,IF(H44="new",ROUND(X$4*12*0.9*G44,2),ROUND(X$4*12*G44,2)))</f>
        <v>0</v>
      </c>
      <c r="Y44" s="123">
        <f>IF(I44="x",0,IF(H44="new",ROUND(Y$4*12*0.9*G44,2),ROUND(Y$4*12*G44,2)))</f>
        <v>0</v>
      </c>
      <c r="Z44" s="123">
        <f>ROUND((Z$3*(MIN(P44,10000)/1000))+((P44/1000)*(Z$4)),2)</f>
        <v>0</v>
      </c>
      <c r="AA44" s="124">
        <f>SUM(W44:Z44)</f>
        <v>5479.76</v>
      </c>
      <c r="AB44" s="125">
        <f>20.79*22</f>
        <v>457.38</v>
      </c>
      <c r="AC44" s="70" t="s">
        <v>1189</v>
      </c>
      <c r="AD44" s="87"/>
    </row>
    <row r="45" spans="1:30" ht="13.5" thickBot="1" x14ac:dyDescent="0.25">
      <c r="B45" s="126">
        <f>SUM(B5:B44)</f>
        <v>822555</v>
      </c>
      <c r="C45" s="126"/>
      <c r="D45" s="114"/>
      <c r="E45" s="127" t="s">
        <v>1190</v>
      </c>
      <c r="F45" s="128" t="s">
        <v>1191</v>
      </c>
      <c r="G45" s="128"/>
      <c r="H45" s="129"/>
      <c r="I45" s="129"/>
      <c r="J45" s="130"/>
      <c r="K45" s="129"/>
      <c r="L45" s="129">
        <f>SUM(L5:L44)</f>
        <v>0</v>
      </c>
      <c r="M45" s="129"/>
      <c r="N45" s="129"/>
      <c r="O45" s="131"/>
      <c r="P45" s="132">
        <f t="shared" ref="P45:AB45" si="17">SUM(P5:P44)</f>
        <v>1183076.0614</v>
      </c>
      <c r="Q45" s="129">
        <f t="shared" si="17"/>
        <v>73350.739999999976</v>
      </c>
      <c r="R45" s="129">
        <f t="shared" si="17"/>
        <v>17154.64</v>
      </c>
      <c r="S45" s="129">
        <f t="shared" si="17"/>
        <v>47323.05</v>
      </c>
      <c r="T45" s="129">
        <f t="shared" si="17"/>
        <v>18112.5</v>
      </c>
      <c r="U45" s="129">
        <f t="shared" si="17"/>
        <v>37812</v>
      </c>
      <c r="V45" s="129">
        <f t="shared" si="17"/>
        <v>193752.92999999993</v>
      </c>
      <c r="W45" s="129">
        <f t="shared" si="17"/>
        <v>174114.36696964008</v>
      </c>
      <c r="X45" s="133">
        <f t="shared" si="17"/>
        <v>0</v>
      </c>
      <c r="Y45" s="129">
        <f t="shared" si="17"/>
        <v>0</v>
      </c>
      <c r="Z45" s="129">
        <f t="shared" si="17"/>
        <v>0</v>
      </c>
      <c r="AA45" s="129">
        <f t="shared" si="17"/>
        <v>172429.16732484009</v>
      </c>
      <c r="AB45" s="134">
        <f t="shared" si="17"/>
        <v>14209.050000000001</v>
      </c>
      <c r="AC45" s="70"/>
    </row>
    <row r="46" spans="1:30" x14ac:dyDescent="0.2">
      <c r="B46" s="87">
        <f>(P45-B45)</f>
        <v>360521.06140000001</v>
      </c>
      <c r="C46" s="87"/>
      <c r="D46" s="15"/>
      <c r="E46" s="44"/>
      <c r="F46" s="110"/>
      <c r="G46" s="135"/>
      <c r="H46" s="76"/>
      <c r="I46" s="76"/>
      <c r="J46" s="46"/>
      <c r="K46" s="76"/>
      <c r="L46" s="76"/>
      <c r="M46" s="136"/>
      <c r="N46" s="136"/>
      <c r="O46" s="137"/>
      <c r="P46" s="111"/>
      <c r="Q46" s="111"/>
      <c r="R46" s="111">
        <f>Q45+R45</f>
        <v>90505.379999999976</v>
      </c>
      <c r="S46" s="111"/>
      <c r="T46" s="111"/>
      <c r="U46" s="111"/>
      <c r="V46" s="111"/>
      <c r="W46" s="111"/>
      <c r="X46" s="111"/>
      <c r="Y46" s="111"/>
      <c r="Z46" s="111"/>
      <c r="AA46" s="111"/>
      <c r="AB46" s="111"/>
      <c r="AC46" s="70"/>
    </row>
    <row r="47" spans="1:30" ht="13.5" thickBot="1" x14ac:dyDescent="0.25">
      <c r="D47" s="15"/>
      <c r="E47" s="44"/>
      <c r="F47" s="110"/>
      <c r="G47" s="135"/>
      <c r="H47" s="76"/>
      <c r="I47" s="76"/>
      <c r="J47" s="46"/>
      <c r="K47" s="76"/>
      <c r="L47" s="76"/>
      <c r="M47" s="121"/>
      <c r="N47" s="136"/>
      <c r="O47" s="137"/>
      <c r="P47" s="111"/>
      <c r="Q47" s="111"/>
      <c r="R47" s="111"/>
      <c r="S47" s="129"/>
      <c r="T47" s="111"/>
      <c r="U47" s="111"/>
      <c r="V47" s="111"/>
      <c r="W47" s="111"/>
      <c r="X47" s="111"/>
      <c r="Y47" s="111"/>
      <c r="Z47" s="111"/>
      <c r="AA47" s="111"/>
      <c r="AB47" s="111"/>
      <c r="AC47" s="70"/>
    </row>
    <row r="48" spans="1:30" x14ac:dyDescent="0.2">
      <c r="B48" s="1">
        <v>38192</v>
      </c>
      <c r="C48" s="1" t="s">
        <v>1192</v>
      </c>
      <c r="D48" s="56">
        <f>D47+1</f>
        <v>1</v>
      </c>
      <c r="E48" s="57" t="s">
        <v>1193</v>
      </c>
      <c r="F48" s="58" t="s">
        <v>1139</v>
      </c>
      <c r="G48" s="59">
        <v>1</v>
      </c>
      <c r="H48" s="60"/>
      <c r="I48" s="60"/>
      <c r="J48" s="61">
        <f t="shared" ref="J48:J61" si="18">IF(H48="NEW",0,3000)</f>
        <v>3000</v>
      </c>
      <c r="K48" s="138">
        <v>40000</v>
      </c>
      <c r="L48" s="60"/>
      <c r="M48" s="78">
        <f t="shared" ref="M48:M60" si="19">K48*$M$4</f>
        <v>1200</v>
      </c>
      <c r="N48" s="64"/>
      <c r="O48" s="139">
        <f>P48/24</f>
        <v>1716.6666666666667</v>
      </c>
      <c r="P48" s="66">
        <f>G48*(K48+L48+M48)</f>
        <v>41200</v>
      </c>
      <c r="Q48" s="63">
        <f t="shared" ref="Q48:Q67" si="20">ROUND(MIN(P48,Q$4)*Q$3,2)</f>
        <v>2554.4</v>
      </c>
      <c r="R48" s="63">
        <f t="shared" ref="R48:R67" si="21">ROUND(P48*$R$3,2)</f>
        <v>597.4</v>
      </c>
      <c r="S48" s="81">
        <f t="shared" ref="S48:S61" si="22">ROUND(P48*0.04,2)</f>
        <v>1648</v>
      </c>
      <c r="T48" s="63">
        <f t="shared" ref="T48:T67" si="23">IF(H48="new",ROUND(MIN(P48,$T$4)*$T$3*G48*2,2),ROUND(MIN(P48,$T$4)*$T$3*G48,2))</f>
        <v>525</v>
      </c>
      <c r="U48" s="63">
        <f t="shared" ref="U48:U67" si="24">IF(H48="new",ROUND(MIN(P48,$U$4)*$U$3*G48*2,2),ROUND(MIN(P48,$U$4)*$U$3*G48,2))</f>
        <v>1096</v>
      </c>
      <c r="V48" s="64">
        <f t="shared" ref="V48:V67" si="25">SUM(Q48:U48)</f>
        <v>6420.8</v>
      </c>
      <c r="W48" s="140">
        <f t="shared" ref="W48:W61" si="26">P48*$W$3</f>
        <v>6287.1200000000008</v>
      </c>
      <c r="X48" s="63">
        <f t="shared" ref="X48:X67" si="27">IF(I48="x",0,IF(H48="new",ROUND(X$4*12*0.9*G48,2),ROUND(X$4*12*G48,2)))</f>
        <v>0</v>
      </c>
      <c r="Y48" s="63">
        <f t="shared" ref="Y48:Y67" si="28">IF(I48="x",0,IF(H48="new",ROUND(Y$4*12*0.9*G48,2),ROUND(Y$4*12*G48,2)))</f>
        <v>0</v>
      </c>
      <c r="Z48" s="63">
        <f t="shared" ref="Z48:Z67" si="29">ROUND((Z$3*(MIN(P48,10000)/1000))+((P48/1000)*(Z$4)),2)</f>
        <v>0</v>
      </c>
      <c r="AA48" s="64">
        <f t="shared" ref="AA48:AA67" si="30">SUM(W48:Z48)</f>
        <v>6287.1200000000008</v>
      </c>
      <c r="AB48" s="69">
        <f>19.81*22</f>
        <v>435.82</v>
      </c>
      <c r="AC48" s="70"/>
    </row>
    <row r="49" spans="1:29" x14ac:dyDescent="0.2">
      <c r="B49" s="1">
        <v>38617</v>
      </c>
      <c r="C49" s="1" t="s">
        <v>1194</v>
      </c>
      <c r="D49" s="71">
        <f>D48+1</f>
        <v>2</v>
      </c>
      <c r="E49" s="83" t="s">
        <v>1195</v>
      </c>
      <c r="F49" s="110" t="s">
        <v>1139</v>
      </c>
      <c r="G49" s="84">
        <v>1</v>
      </c>
      <c r="H49" s="76"/>
      <c r="I49" s="76"/>
      <c r="J49" s="46">
        <f t="shared" si="18"/>
        <v>3000</v>
      </c>
      <c r="K49" s="85">
        <v>40570.67</v>
      </c>
      <c r="L49" s="76"/>
      <c r="M49" s="78">
        <f t="shared" si="19"/>
        <v>1217.1200999999999</v>
      </c>
      <c r="N49" s="79"/>
      <c r="O49" s="65">
        <f>P49/24</f>
        <v>1741.1579208333333</v>
      </c>
      <c r="P49" s="80">
        <f>G49*(K49+L49+M49)</f>
        <v>41787.790099999998</v>
      </c>
      <c r="Q49" s="78">
        <f t="shared" si="20"/>
        <v>2590.84</v>
      </c>
      <c r="R49" s="78">
        <f t="shared" si="21"/>
        <v>605.91999999999996</v>
      </c>
      <c r="S49" s="81">
        <f t="shared" si="22"/>
        <v>1671.51</v>
      </c>
      <c r="T49" s="78">
        <f t="shared" si="23"/>
        <v>525</v>
      </c>
      <c r="U49" s="78">
        <f t="shared" si="24"/>
        <v>1096</v>
      </c>
      <c r="V49" s="79">
        <f t="shared" si="25"/>
        <v>6489.27</v>
      </c>
      <c r="W49" s="68">
        <f t="shared" si="26"/>
        <v>6376.81676926</v>
      </c>
      <c r="X49" s="78">
        <f t="shared" si="27"/>
        <v>0</v>
      </c>
      <c r="Y49" s="78">
        <f t="shared" si="28"/>
        <v>0</v>
      </c>
      <c r="Z49" s="78">
        <f t="shared" si="29"/>
        <v>0</v>
      </c>
      <c r="AA49" s="79">
        <f t="shared" si="30"/>
        <v>6376.81676926</v>
      </c>
      <c r="AB49" s="82">
        <f>22.45*22</f>
        <v>493.9</v>
      </c>
      <c r="AC49" s="70"/>
    </row>
    <row r="50" spans="1:29" x14ac:dyDescent="0.2">
      <c r="B50" s="1">
        <v>39764</v>
      </c>
      <c r="C50" s="1" t="s">
        <v>1196</v>
      </c>
      <c r="D50" s="71">
        <f>D49+1</f>
        <v>3</v>
      </c>
      <c r="E50" s="83" t="s">
        <v>1197</v>
      </c>
      <c r="F50" s="44" t="s">
        <v>1139</v>
      </c>
      <c r="G50" s="84">
        <v>1</v>
      </c>
      <c r="H50" s="76"/>
      <c r="I50" s="76"/>
      <c r="J50" s="46">
        <f t="shared" si="18"/>
        <v>3000</v>
      </c>
      <c r="K50" s="141">
        <v>40000</v>
      </c>
      <c r="L50" s="76"/>
      <c r="M50" s="78">
        <f t="shared" si="19"/>
        <v>1200</v>
      </c>
      <c r="N50" s="79"/>
      <c r="O50" s="65">
        <f>P50/24</f>
        <v>1716.6666666666667</v>
      </c>
      <c r="P50" s="80">
        <f t="shared" ref="P50:P61" si="31">G50*(K50+L50+M50)</f>
        <v>41200</v>
      </c>
      <c r="Q50" s="78">
        <f t="shared" si="20"/>
        <v>2554.4</v>
      </c>
      <c r="R50" s="78">
        <f t="shared" si="21"/>
        <v>597.4</v>
      </c>
      <c r="S50" s="81">
        <f t="shared" si="22"/>
        <v>1648</v>
      </c>
      <c r="T50" s="78">
        <f t="shared" si="23"/>
        <v>525</v>
      </c>
      <c r="U50" s="78">
        <f t="shared" si="24"/>
        <v>1096</v>
      </c>
      <c r="V50" s="79">
        <f t="shared" si="25"/>
        <v>6420.8</v>
      </c>
      <c r="W50" s="68">
        <f t="shared" si="26"/>
        <v>6287.1200000000008</v>
      </c>
      <c r="X50" s="78">
        <f t="shared" si="27"/>
        <v>0</v>
      </c>
      <c r="Y50" s="78">
        <f t="shared" si="28"/>
        <v>0</v>
      </c>
      <c r="Z50" s="78">
        <f t="shared" si="29"/>
        <v>0</v>
      </c>
      <c r="AA50" s="79">
        <f t="shared" si="30"/>
        <v>6287.1200000000008</v>
      </c>
      <c r="AB50" s="82">
        <f>21.24*22</f>
        <v>467.28</v>
      </c>
      <c r="AC50" s="70"/>
    </row>
    <row r="51" spans="1:29" x14ac:dyDescent="0.2">
      <c r="B51" s="142">
        <v>40059</v>
      </c>
      <c r="C51" s="142"/>
      <c r="D51" s="71">
        <f t="shared" ref="D51:D61" si="32">D50+1</f>
        <v>4</v>
      </c>
      <c r="E51" s="143" t="s">
        <v>1198</v>
      </c>
      <c r="F51" s="73" t="s">
        <v>1139</v>
      </c>
      <c r="G51" s="74">
        <v>0.5</v>
      </c>
      <c r="H51" s="75"/>
      <c r="I51" s="76"/>
      <c r="J51" s="46">
        <v>0</v>
      </c>
      <c r="K51" s="85">
        <v>0</v>
      </c>
      <c r="L51" s="76"/>
      <c r="M51" s="78">
        <f t="shared" si="19"/>
        <v>0</v>
      </c>
      <c r="N51" s="79"/>
      <c r="O51" s="65"/>
      <c r="P51" s="80">
        <f t="shared" si="31"/>
        <v>0</v>
      </c>
      <c r="Q51" s="78">
        <f t="shared" si="20"/>
        <v>0</v>
      </c>
      <c r="R51" s="78">
        <f t="shared" si="21"/>
        <v>0</v>
      </c>
      <c r="S51" s="81">
        <f t="shared" si="22"/>
        <v>0</v>
      </c>
      <c r="T51" s="78">
        <f t="shared" si="23"/>
        <v>0</v>
      </c>
      <c r="U51" s="78">
        <f t="shared" si="24"/>
        <v>0</v>
      </c>
      <c r="V51" s="79">
        <f t="shared" si="25"/>
        <v>0</v>
      </c>
      <c r="W51" s="68">
        <f t="shared" si="26"/>
        <v>0</v>
      </c>
      <c r="X51" s="78">
        <f t="shared" si="27"/>
        <v>0</v>
      </c>
      <c r="Y51" s="78">
        <f t="shared" si="28"/>
        <v>0</v>
      </c>
      <c r="Z51" s="78">
        <f t="shared" si="29"/>
        <v>0</v>
      </c>
      <c r="AA51" s="79">
        <f t="shared" si="30"/>
        <v>0</v>
      </c>
      <c r="AB51" s="82">
        <v>0</v>
      </c>
      <c r="AC51" s="70" t="s">
        <v>1199</v>
      </c>
    </row>
    <row r="52" spans="1:29" x14ac:dyDescent="0.2">
      <c r="A52" s="1" t="s">
        <v>1200</v>
      </c>
      <c r="B52" s="142">
        <v>36000</v>
      </c>
      <c r="C52" s="142" t="s">
        <v>1194</v>
      </c>
      <c r="D52" s="71">
        <f t="shared" si="32"/>
        <v>5</v>
      </c>
      <c r="E52" s="83" t="s">
        <v>1201</v>
      </c>
      <c r="F52" s="110" t="s">
        <v>1139</v>
      </c>
      <c r="G52" s="84">
        <v>1</v>
      </c>
      <c r="H52" s="76"/>
      <c r="I52" s="76" t="s">
        <v>1202</v>
      </c>
      <c r="J52" s="46">
        <f t="shared" si="18"/>
        <v>3000</v>
      </c>
      <c r="K52" s="85">
        <v>35710.1</v>
      </c>
      <c r="L52" s="76"/>
      <c r="M52" s="78">
        <f t="shared" si="19"/>
        <v>1071.3029999999999</v>
      </c>
      <c r="N52" s="79"/>
      <c r="O52" s="65">
        <f>P52/24</f>
        <v>1532.5584583333332</v>
      </c>
      <c r="P52" s="80">
        <f t="shared" si="31"/>
        <v>36781.402999999998</v>
      </c>
      <c r="Q52" s="78">
        <f t="shared" si="20"/>
        <v>2280.4499999999998</v>
      </c>
      <c r="R52" s="78">
        <f t="shared" si="21"/>
        <v>533.33000000000004</v>
      </c>
      <c r="S52" s="81">
        <f t="shared" si="22"/>
        <v>1471.26</v>
      </c>
      <c r="T52" s="78">
        <f t="shared" si="23"/>
        <v>525</v>
      </c>
      <c r="U52" s="78">
        <f t="shared" si="24"/>
        <v>1096</v>
      </c>
      <c r="V52" s="79">
        <f t="shared" si="25"/>
        <v>5906.04</v>
      </c>
      <c r="W52" s="68">
        <f t="shared" si="26"/>
        <v>5612.8420978000004</v>
      </c>
      <c r="X52" s="78">
        <f t="shared" si="27"/>
        <v>0</v>
      </c>
      <c r="Y52" s="78">
        <f t="shared" si="28"/>
        <v>0</v>
      </c>
      <c r="Z52" s="78">
        <f t="shared" si="29"/>
        <v>0</v>
      </c>
      <c r="AA52" s="79">
        <f t="shared" si="30"/>
        <v>5612.8420978000004</v>
      </c>
      <c r="AB52" s="82">
        <f>20.32*22</f>
        <v>447.04</v>
      </c>
      <c r="AC52" s="70"/>
    </row>
    <row r="53" spans="1:29" x14ac:dyDescent="0.2">
      <c r="B53" s="142">
        <v>37124</v>
      </c>
      <c r="C53" s="142" t="s">
        <v>1196</v>
      </c>
      <c r="D53" s="71">
        <f t="shared" si="32"/>
        <v>6</v>
      </c>
      <c r="E53" s="83" t="s">
        <v>1203</v>
      </c>
      <c r="F53" s="44" t="s">
        <v>1139</v>
      </c>
      <c r="G53" s="84">
        <v>1</v>
      </c>
      <c r="H53" s="76"/>
      <c r="I53" s="76"/>
      <c r="J53" s="46">
        <f t="shared" si="18"/>
        <v>3000</v>
      </c>
      <c r="K53" s="85">
        <v>50155.85</v>
      </c>
      <c r="L53" s="76"/>
      <c r="M53" s="78">
        <f t="shared" si="19"/>
        <v>1504.6754999999998</v>
      </c>
      <c r="N53" s="79"/>
      <c r="O53" s="65">
        <f>P53/24</f>
        <v>2152.521895833333</v>
      </c>
      <c r="P53" s="80">
        <f t="shared" si="31"/>
        <v>51660.525499999996</v>
      </c>
      <c r="Q53" s="78">
        <f t="shared" si="20"/>
        <v>3202.95</v>
      </c>
      <c r="R53" s="78">
        <f t="shared" si="21"/>
        <v>749.08</v>
      </c>
      <c r="S53" s="81">
        <f t="shared" si="22"/>
        <v>2066.42</v>
      </c>
      <c r="T53" s="78">
        <f t="shared" si="23"/>
        <v>525</v>
      </c>
      <c r="U53" s="78">
        <f t="shared" si="24"/>
        <v>1096</v>
      </c>
      <c r="V53" s="79">
        <f t="shared" si="25"/>
        <v>7639.45</v>
      </c>
      <c r="W53" s="68">
        <f t="shared" si="26"/>
        <v>7883.3961913000003</v>
      </c>
      <c r="X53" s="78">
        <f t="shared" si="27"/>
        <v>0</v>
      </c>
      <c r="Y53" s="78">
        <f t="shared" si="28"/>
        <v>0</v>
      </c>
      <c r="Z53" s="78">
        <f t="shared" si="29"/>
        <v>0</v>
      </c>
      <c r="AA53" s="79">
        <f t="shared" si="30"/>
        <v>7883.3961913000003</v>
      </c>
      <c r="AB53" s="82">
        <f>26.67*22</f>
        <v>586.74</v>
      </c>
      <c r="AC53" s="70"/>
    </row>
    <row r="54" spans="1:29" x14ac:dyDescent="0.2">
      <c r="B54" s="142">
        <v>45300</v>
      </c>
      <c r="C54" s="142" t="s">
        <v>1194</v>
      </c>
      <c r="D54" s="71">
        <f t="shared" si="32"/>
        <v>7</v>
      </c>
      <c r="E54" s="83" t="s">
        <v>1204</v>
      </c>
      <c r="F54" s="44" t="s">
        <v>1139</v>
      </c>
      <c r="G54" s="84">
        <v>1</v>
      </c>
      <c r="H54" s="76"/>
      <c r="I54" s="76"/>
      <c r="J54" s="46">
        <f t="shared" si="18"/>
        <v>3000</v>
      </c>
      <c r="K54" s="85">
        <v>39003.01</v>
      </c>
      <c r="L54" s="76"/>
      <c r="M54" s="78">
        <f t="shared" si="19"/>
        <v>1170.0903000000001</v>
      </c>
      <c r="N54" s="79"/>
      <c r="O54" s="65">
        <f>P54/24</f>
        <v>1673.879179166667</v>
      </c>
      <c r="P54" s="80">
        <f t="shared" si="31"/>
        <v>40173.100300000006</v>
      </c>
      <c r="Q54" s="78">
        <f t="shared" si="20"/>
        <v>2490.73</v>
      </c>
      <c r="R54" s="78">
        <f t="shared" si="21"/>
        <v>582.51</v>
      </c>
      <c r="S54" s="81">
        <f t="shared" si="22"/>
        <v>1606.92</v>
      </c>
      <c r="T54" s="78">
        <f t="shared" si="23"/>
        <v>525</v>
      </c>
      <c r="U54" s="78">
        <f t="shared" si="24"/>
        <v>1096</v>
      </c>
      <c r="V54" s="79">
        <f t="shared" si="25"/>
        <v>6301.16</v>
      </c>
      <c r="W54" s="68">
        <f t="shared" si="26"/>
        <v>6130.4151057800018</v>
      </c>
      <c r="X54" s="78">
        <f t="shared" si="27"/>
        <v>0</v>
      </c>
      <c r="Y54" s="78">
        <f t="shared" si="28"/>
        <v>0</v>
      </c>
      <c r="Z54" s="78">
        <f t="shared" si="29"/>
        <v>0</v>
      </c>
      <c r="AA54" s="79">
        <f t="shared" si="30"/>
        <v>6130.4151057800018</v>
      </c>
      <c r="AB54" s="82">
        <f>21.76*22</f>
        <v>478.72</v>
      </c>
      <c r="AC54" s="70"/>
    </row>
    <row r="55" spans="1:29" x14ac:dyDescent="0.2">
      <c r="B55" s="142">
        <v>32888</v>
      </c>
      <c r="C55" s="142" t="s">
        <v>1192</v>
      </c>
      <c r="D55" s="71">
        <f t="shared" si="32"/>
        <v>8</v>
      </c>
      <c r="E55" s="83" t="s">
        <v>1205</v>
      </c>
      <c r="F55" s="44" t="s">
        <v>1139</v>
      </c>
      <c r="G55" s="84">
        <v>1</v>
      </c>
      <c r="H55" s="76"/>
      <c r="I55" s="76"/>
      <c r="J55" s="46">
        <f t="shared" si="18"/>
        <v>3000</v>
      </c>
      <c r="K55" s="85">
        <v>42024</v>
      </c>
      <c r="L55" s="76"/>
      <c r="M55" s="78">
        <f t="shared" si="19"/>
        <v>1260.72</v>
      </c>
      <c r="N55" s="79"/>
      <c r="O55" s="65">
        <f>P55/24</f>
        <v>1803.53</v>
      </c>
      <c r="P55" s="80">
        <f t="shared" si="31"/>
        <v>43284.72</v>
      </c>
      <c r="Q55" s="78">
        <f t="shared" si="20"/>
        <v>2683.65</v>
      </c>
      <c r="R55" s="78">
        <f t="shared" si="21"/>
        <v>627.63</v>
      </c>
      <c r="S55" s="81">
        <f t="shared" si="22"/>
        <v>1731.39</v>
      </c>
      <c r="T55" s="78">
        <f t="shared" si="23"/>
        <v>525</v>
      </c>
      <c r="U55" s="78">
        <f t="shared" si="24"/>
        <v>1096</v>
      </c>
      <c r="V55" s="79">
        <f t="shared" si="25"/>
        <v>6663.67</v>
      </c>
      <c r="W55" s="68">
        <f t="shared" si="26"/>
        <v>6605.2482720000007</v>
      </c>
      <c r="X55" s="78">
        <f t="shared" si="27"/>
        <v>0</v>
      </c>
      <c r="Y55" s="78">
        <f t="shared" si="28"/>
        <v>0</v>
      </c>
      <c r="Z55" s="78">
        <f t="shared" si="29"/>
        <v>0</v>
      </c>
      <c r="AA55" s="79">
        <f t="shared" si="30"/>
        <v>6605.2482720000007</v>
      </c>
      <c r="AB55" s="82">
        <f>23.09*22</f>
        <v>507.98</v>
      </c>
      <c r="AC55" s="70"/>
    </row>
    <row r="56" spans="1:29" x14ac:dyDescent="0.2">
      <c r="B56" s="142">
        <v>47741</v>
      </c>
      <c r="C56" s="142" t="s">
        <v>1196</v>
      </c>
      <c r="D56" s="71">
        <f t="shared" si="32"/>
        <v>9</v>
      </c>
      <c r="E56" s="83" t="s">
        <v>1206</v>
      </c>
      <c r="F56" s="110" t="s">
        <v>1139</v>
      </c>
      <c r="G56" s="84">
        <v>1</v>
      </c>
      <c r="H56" s="76"/>
      <c r="I56" s="76"/>
      <c r="J56" s="46">
        <f t="shared" si="18"/>
        <v>3000</v>
      </c>
      <c r="K56" s="85">
        <v>35169.35</v>
      </c>
      <c r="L56" s="76"/>
      <c r="M56" s="78">
        <f t="shared" si="19"/>
        <v>1055.0805</v>
      </c>
      <c r="N56" s="79"/>
      <c r="O56" s="65">
        <f>P56/24</f>
        <v>1509.3512708333335</v>
      </c>
      <c r="P56" s="80">
        <f t="shared" si="31"/>
        <v>36224.430500000002</v>
      </c>
      <c r="Q56" s="78">
        <f t="shared" si="20"/>
        <v>2245.91</v>
      </c>
      <c r="R56" s="78">
        <f t="shared" si="21"/>
        <v>525.25</v>
      </c>
      <c r="S56" s="81">
        <f t="shared" si="22"/>
        <v>1448.98</v>
      </c>
      <c r="T56" s="78">
        <f t="shared" si="23"/>
        <v>525</v>
      </c>
      <c r="U56" s="78">
        <f t="shared" si="24"/>
        <v>1096</v>
      </c>
      <c r="V56" s="79">
        <f t="shared" si="25"/>
        <v>5841.1399999999994</v>
      </c>
      <c r="W56" s="68">
        <f t="shared" si="26"/>
        <v>5527.8480943000004</v>
      </c>
      <c r="X56" s="78">
        <f t="shared" si="27"/>
        <v>0</v>
      </c>
      <c r="Y56" s="78">
        <f t="shared" si="28"/>
        <v>0</v>
      </c>
      <c r="Z56" s="78">
        <f t="shared" si="29"/>
        <v>0</v>
      </c>
      <c r="AA56" s="79">
        <f t="shared" si="30"/>
        <v>5527.8480943000004</v>
      </c>
      <c r="AB56" s="82">
        <f>20.08*22</f>
        <v>441.76</v>
      </c>
      <c r="AC56" s="70"/>
    </row>
    <row r="57" spans="1:29" x14ac:dyDescent="0.2">
      <c r="B57" s="142"/>
      <c r="C57" s="142"/>
      <c r="D57" s="71">
        <f t="shared" si="32"/>
        <v>10</v>
      </c>
      <c r="E57" s="143" t="s">
        <v>1207</v>
      </c>
      <c r="F57" s="110" t="s">
        <v>1139</v>
      </c>
      <c r="G57" s="84">
        <v>1</v>
      </c>
      <c r="H57" s="76"/>
      <c r="I57" s="76"/>
      <c r="J57" s="46">
        <f t="shared" si="18"/>
        <v>3000</v>
      </c>
      <c r="K57" s="85">
        <v>0</v>
      </c>
      <c r="L57" s="76"/>
      <c r="M57" s="78">
        <f t="shared" si="19"/>
        <v>0</v>
      </c>
      <c r="N57" s="79"/>
      <c r="O57" s="65"/>
      <c r="P57" s="80">
        <f t="shared" si="31"/>
        <v>0</v>
      </c>
      <c r="Q57" s="78">
        <f t="shared" si="20"/>
        <v>0</v>
      </c>
      <c r="R57" s="78">
        <f t="shared" si="21"/>
        <v>0</v>
      </c>
      <c r="S57" s="81">
        <f t="shared" si="22"/>
        <v>0</v>
      </c>
      <c r="T57" s="78">
        <f t="shared" si="23"/>
        <v>0</v>
      </c>
      <c r="U57" s="78">
        <f t="shared" si="24"/>
        <v>0</v>
      </c>
      <c r="V57" s="79">
        <f t="shared" si="25"/>
        <v>0</v>
      </c>
      <c r="W57" s="68">
        <f t="shared" si="26"/>
        <v>0</v>
      </c>
      <c r="X57" s="78">
        <f t="shared" si="27"/>
        <v>0</v>
      </c>
      <c r="Y57" s="78">
        <f t="shared" si="28"/>
        <v>0</v>
      </c>
      <c r="Z57" s="78">
        <f t="shared" si="29"/>
        <v>0</v>
      </c>
      <c r="AA57" s="79">
        <f t="shared" si="30"/>
        <v>0</v>
      </c>
      <c r="AB57" s="82">
        <v>0</v>
      </c>
      <c r="AC57" s="70" t="s">
        <v>1208</v>
      </c>
    </row>
    <row r="58" spans="1:29" x14ac:dyDescent="0.2">
      <c r="B58" s="142">
        <v>33475</v>
      </c>
      <c r="C58" s="142" t="s">
        <v>1194</v>
      </c>
      <c r="D58" s="71">
        <f t="shared" si="32"/>
        <v>11</v>
      </c>
      <c r="E58" s="83" t="s">
        <v>1209</v>
      </c>
      <c r="F58" s="44" t="s">
        <v>1139</v>
      </c>
      <c r="G58" s="84">
        <v>1</v>
      </c>
      <c r="H58" s="76"/>
      <c r="I58" s="76"/>
      <c r="J58" s="46">
        <f t="shared" si="18"/>
        <v>3000</v>
      </c>
      <c r="K58" s="85">
        <v>40124.68</v>
      </c>
      <c r="L58" s="76"/>
      <c r="M58" s="78">
        <f t="shared" si="19"/>
        <v>1203.7403999999999</v>
      </c>
      <c r="N58" s="79"/>
      <c r="O58" s="65">
        <f>P58/24</f>
        <v>1722.0175166666668</v>
      </c>
      <c r="P58" s="80">
        <f t="shared" si="31"/>
        <v>41328.420400000003</v>
      </c>
      <c r="Q58" s="78">
        <f t="shared" si="20"/>
        <v>2562.36</v>
      </c>
      <c r="R58" s="78">
        <f t="shared" si="21"/>
        <v>599.26</v>
      </c>
      <c r="S58" s="81">
        <f t="shared" si="22"/>
        <v>1653.14</v>
      </c>
      <c r="T58" s="78">
        <f t="shared" si="23"/>
        <v>525</v>
      </c>
      <c r="U58" s="78">
        <f t="shared" si="24"/>
        <v>1096</v>
      </c>
      <c r="V58" s="79">
        <f t="shared" si="25"/>
        <v>6435.76</v>
      </c>
      <c r="W58" s="68">
        <f t="shared" si="26"/>
        <v>6306.7169530400006</v>
      </c>
      <c r="X58" s="78">
        <f t="shared" si="27"/>
        <v>0</v>
      </c>
      <c r="Y58" s="78">
        <f t="shared" si="28"/>
        <v>0</v>
      </c>
      <c r="Z58" s="78">
        <f t="shared" si="29"/>
        <v>0</v>
      </c>
      <c r="AA58" s="79">
        <f t="shared" si="30"/>
        <v>6306.7169530400006</v>
      </c>
      <c r="AB58" s="82">
        <f>22.26*22</f>
        <v>489.72</v>
      </c>
      <c r="AC58" s="70"/>
    </row>
    <row r="59" spans="1:29" x14ac:dyDescent="0.2">
      <c r="B59" s="142">
        <v>33990</v>
      </c>
      <c r="C59" s="142" t="s">
        <v>1192</v>
      </c>
      <c r="D59" s="71">
        <f t="shared" si="32"/>
        <v>12</v>
      </c>
      <c r="E59" s="83" t="s">
        <v>1210</v>
      </c>
      <c r="F59" s="44" t="s">
        <v>1139</v>
      </c>
      <c r="G59" s="84">
        <v>1</v>
      </c>
      <c r="H59" s="76"/>
      <c r="I59" s="76"/>
      <c r="J59" s="46">
        <f t="shared" si="18"/>
        <v>3000</v>
      </c>
      <c r="K59" s="85">
        <v>32500</v>
      </c>
      <c r="L59" s="76"/>
      <c r="M59" s="78">
        <f t="shared" si="19"/>
        <v>975</v>
      </c>
      <c r="N59" s="79"/>
      <c r="O59" s="65">
        <f>P59/24</f>
        <v>1394.7916666666667</v>
      </c>
      <c r="P59" s="80">
        <f t="shared" si="31"/>
        <v>33475</v>
      </c>
      <c r="Q59" s="78">
        <f t="shared" si="20"/>
        <v>2075.4499999999998</v>
      </c>
      <c r="R59" s="78">
        <f t="shared" si="21"/>
        <v>485.39</v>
      </c>
      <c r="S59" s="81">
        <f t="shared" si="22"/>
        <v>1339</v>
      </c>
      <c r="T59" s="78">
        <f t="shared" si="23"/>
        <v>525</v>
      </c>
      <c r="U59" s="78">
        <f t="shared" si="24"/>
        <v>1096</v>
      </c>
      <c r="V59" s="79">
        <f t="shared" si="25"/>
        <v>5520.84</v>
      </c>
      <c r="W59" s="68">
        <f t="shared" si="26"/>
        <v>5108.2850000000008</v>
      </c>
      <c r="X59" s="78">
        <f t="shared" si="27"/>
        <v>0</v>
      </c>
      <c r="Y59" s="78">
        <f t="shared" si="28"/>
        <v>0</v>
      </c>
      <c r="Z59" s="78">
        <f t="shared" si="29"/>
        <v>0</v>
      </c>
      <c r="AA59" s="79">
        <f t="shared" si="30"/>
        <v>5108.2850000000008</v>
      </c>
      <c r="AB59" s="82">
        <f>37.55*22</f>
        <v>826.09999999999991</v>
      </c>
      <c r="AC59" s="70"/>
    </row>
    <row r="60" spans="1:29" x14ac:dyDescent="0.2">
      <c r="B60" s="142">
        <v>39343</v>
      </c>
      <c r="C60" s="142" t="s">
        <v>1192</v>
      </c>
      <c r="D60" s="71">
        <f t="shared" si="32"/>
        <v>13</v>
      </c>
      <c r="E60" s="83" t="s">
        <v>1211</v>
      </c>
      <c r="F60" s="44" t="s">
        <v>1139</v>
      </c>
      <c r="G60" s="84">
        <v>1</v>
      </c>
      <c r="H60" s="76"/>
      <c r="I60" s="76"/>
      <c r="J60" s="46">
        <f t="shared" si="18"/>
        <v>3000</v>
      </c>
      <c r="K60" s="85">
        <v>36500</v>
      </c>
      <c r="L60" s="76"/>
      <c r="M60" s="78">
        <f t="shared" si="19"/>
        <v>1095</v>
      </c>
      <c r="N60" s="79"/>
      <c r="O60" s="65">
        <f>P60/24</f>
        <v>1566.4583333333333</v>
      </c>
      <c r="P60" s="80">
        <f t="shared" si="31"/>
        <v>37595</v>
      </c>
      <c r="Q60" s="78">
        <f t="shared" si="20"/>
        <v>2330.89</v>
      </c>
      <c r="R60" s="78">
        <f t="shared" si="21"/>
        <v>545.13</v>
      </c>
      <c r="S60" s="81">
        <f t="shared" si="22"/>
        <v>1503.8</v>
      </c>
      <c r="T60" s="78">
        <f t="shared" si="23"/>
        <v>525</v>
      </c>
      <c r="U60" s="78">
        <f t="shared" si="24"/>
        <v>1096</v>
      </c>
      <c r="V60" s="79">
        <f t="shared" si="25"/>
        <v>6000.82</v>
      </c>
      <c r="W60" s="68">
        <f t="shared" si="26"/>
        <v>5736.9970000000003</v>
      </c>
      <c r="X60" s="78">
        <f t="shared" si="27"/>
        <v>0</v>
      </c>
      <c r="Y60" s="78">
        <f t="shared" si="28"/>
        <v>0</v>
      </c>
      <c r="Z60" s="78">
        <f t="shared" si="29"/>
        <v>0</v>
      </c>
      <c r="AA60" s="79">
        <f t="shared" si="30"/>
        <v>5736.9970000000003</v>
      </c>
      <c r="AB60" s="82">
        <f>22.79*22</f>
        <v>501.38</v>
      </c>
      <c r="AC60" s="70"/>
    </row>
    <row r="61" spans="1:29" x14ac:dyDescent="0.2">
      <c r="B61" s="142"/>
      <c r="C61" s="142" t="s">
        <v>1196</v>
      </c>
      <c r="D61" s="71">
        <f t="shared" si="32"/>
        <v>14</v>
      </c>
      <c r="E61" s="83" t="s">
        <v>1212</v>
      </c>
      <c r="F61" s="44" t="s">
        <v>1139</v>
      </c>
      <c r="G61" s="84">
        <v>1</v>
      </c>
      <c r="H61" s="76"/>
      <c r="I61" s="76"/>
      <c r="J61" s="46">
        <f t="shared" si="18"/>
        <v>3000</v>
      </c>
      <c r="K61" s="85">
        <v>37080</v>
      </c>
      <c r="L61" s="76"/>
      <c r="M61" s="78">
        <f>K61*$M$4</f>
        <v>1112.3999999999999</v>
      </c>
      <c r="N61" s="79"/>
      <c r="O61" s="65">
        <f>P61/24</f>
        <v>1591.3500000000001</v>
      </c>
      <c r="P61" s="80">
        <f t="shared" si="31"/>
        <v>38192.400000000001</v>
      </c>
      <c r="Q61" s="78">
        <f t="shared" si="20"/>
        <v>2367.9299999999998</v>
      </c>
      <c r="R61" s="78">
        <f t="shared" si="21"/>
        <v>553.79</v>
      </c>
      <c r="S61" s="81">
        <f t="shared" si="22"/>
        <v>1527.7</v>
      </c>
      <c r="T61" s="78">
        <f t="shared" si="23"/>
        <v>525</v>
      </c>
      <c r="U61" s="78">
        <f t="shared" si="24"/>
        <v>1096</v>
      </c>
      <c r="V61" s="79">
        <f t="shared" si="25"/>
        <v>6070.42</v>
      </c>
      <c r="W61" s="68">
        <f t="shared" si="26"/>
        <v>5828.1602400000011</v>
      </c>
      <c r="X61" s="78">
        <f t="shared" si="27"/>
        <v>0</v>
      </c>
      <c r="Y61" s="78">
        <f t="shared" si="28"/>
        <v>0</v>
      </c>
      <c r="Z61" s="78">
        <f t="shared" si="29"/>
        <v>0</v>
      </c>
      <c r="AA61" s="79">
        <f t="shared" si="30"/>
        <v>5828.1602400000011</v>
      </c>
      <c r="AB61" s="82">
        <f>22.98*22</f>
        <v>505.56</v>
      </c>
      <c r="AC61" s="70"/>
    </row>
    <row r="62" spans="1:29" x14ac:dyDescent="0.2">
      <c r="B62" s="142"/>
      <c r="C62" s="142"/>
      <c r="D62" s="71"/>
      <c r="E62" s="83"/>
      <c r="F62" s="44"/>
      <c r="G62" s="84"/>
      <c r="H62" s="76"/>
      <c r="I62" s="76"/>
      <c r="J62" s="46"/>
      <c r="K62" s="85"/>
      <c r="L62" s="76"/>
      <c r="M62" s="78"/>
      <c r="N62" s="79"/>
      <c r="O62" s="65"/>
      <c r="P62" s="80"/>
      <c r="Q62" s="78"/>
      <c r="R62" s="78"/>
      <c r="S62" s="81"/>
      <c r="T62" s="78"/>
      <c r="U62" s="78"/>
      <c r="V62" s="79"/>
      <c r="W62" s="68"/>
      <c r="X62" s="78"/>
      <c r="Y62" s="78"/>
      <c r="Z62" s="78"/>
      <c r="AA62" s="79"/>
      <c r="AB62" s="82"/>
      <c r="AC62" s="70"/>
    </row>
    <row r="63" spans="1:29" x14ac:dyDescent="0.2">
      <c r="D63" s="71"/>
      <c r="E63" s="143" t="s">
        <v>1213</v>
      </c>
      <c r="F63" s="44"/>
      <c r="G63" s="84"/>
      <c r="H63" s="76"/>
      <c r="I63" s="76"/>
      <c r="J63" s="46"/>
      <c r="K63" s="76">
        <v>30000</v>
      </c>
      <c r="L63" s="76"/>
      <c r="M63" s="79"/>
      <c r="N63" s="79"/>
      <c r="O63" s="65">
        <f>P63/24</f>
        <v>1250</v>
      </c>
      <c r="P63" s="111">
        <f>K63+L63+M63</f>
        <v>30000</v>
      </c>
      <c r="Q63" s="78">
        <f t="shared" si="20"/>
        <v>1860</v>
      </c>
      <c r="R63" s="78">
        <f t="shared" si="21"/>
        <v>435</v>
      </c>
      <c r="S63" s="78">
        <f>ROUND(P63*0.01,2)</f>
        <v>300</v>
      </c>
      <c r="T63" s="78">
        <f t="shared" si="23"/>
        <v>0</v>
      </c>
      <c r="U63" s="78">
        <f t="shared" si="24"/>
        <v>0</v>
      </c>
      <c r="V63" s="79">
        <f t="shared" si="25"/>
        <v>2595</v>
      </c>
      <c r="W63" s="78">
        <f>IF(I63="x",0,IF(H63="new",ROUND(W$4*12*0.9*G63,2),ROUND(W$4*12*G63,2)))</f>
        <v>0</v>
      </c>
      <c r="X63" s="78">
        <f t="shared" si="27"/>
        <v>0</v>
      </c>
      <c r="Y63" s="78">
        <f t="shared" si="28"/>
        <v>0</v>
      </c>
      <c r="Z63" s="78">
        <f t="shared" si="29"/>
        <v>0</v>
      </c>
      <c r="AA63" s="79">
        <f t="shared" si="30"/>
        <v>0</v>
      </c>
      <c r="AB63" s="112">
        <f>ROUND((P63/100)*$AB$3,2)</f>
        <v>210</v>
      </c>
      <c r="AC63" s="70"/>
    </row>
    <row r="64" spans="1:29" x14ac:dyDescent="0.2">
      <c r="B64" s="144">
        <f>COUNTIF($C$48:$C$63,C64)</f>
        <v>4</v>
      </c>
      <c r="C64" s="144" t="s">
        <v>1192</v>
      </c>
      <c r="D64" s="71"/>
      <c r="E64" s="110"/>
      <c r="F64" s="44"/>
      <c r="G64" s="84"/>
      <c r="H64" s="76"/>
      <c r="I64" s="76"/>
      <c r="J64" s="46"/>
      <c r="K64" s="76"/>
      <c r="L64" s="76"/>
      <c r="M64" s="79"/>
      <c r="N64" s="79"/>
      <c r="O64" s="65"/>
      <c r="P64" s="111"/>
      <c r="Q64" s="78"/>
      <c r="R64" s="78"/>
      <c r="S64" s="78"/>
      <c r="T64" s="78"/>
      <c r="U64" s="78"/>
      <c r="V64" s="79"/>
      <c r="W64" s="78"/>
      <c r="X64" s="78"/>
      <c r="Y64" s="78"/>
      <c r="Z64" s="78"/>
      <c r="AA64" s="79"/>
      <c r="AB64" s="112"/>
      <c r="AC64" s="70"/>
    </row>
    <row r="65" spans="1:29" x14ac:dyDescent="0.2">
      <c r="B65" s="144">
        <f>COUNTIF($C$48:$C$63,C65)</f>
        <v>4</v>
      </c>
      <c r="C65" s="144" t="s">
        <v>1194</v>
      </c>
      <c r="D65" s="71"/>
      <c r="E65" s="110"/>
      <c r="F65" s="44"/>
      <c r="G65" s="84"/>
      <c r="H65" s="76"/>
      <c r="I65" s="76"/>
      <c r="J65" s="46"/>
      <c r="K65" s="76"/>
      <c r="L65" s="76"/>
      <c r="M65" s="79"/>
      <c r="N65" s="79"/>
      <c r="O65" s="65"/>
      <c r="P65" s="111"/>
      <c r="Q65" s="78"/>
      <c r="R65" s="78"/>
      <c r="S65" s="78"/>
      <c r="T65" s="78"/>
      <c r="U65" s="78"/>
      <c r="V65" s="79"/>
      <c r="W65" s="78"/>
      <c r="X65" s="78"/>
      <c r="Y65" s="78"/>
      <c r="Z65" s="78"/>
      <c r="AA65" s="79"/>
      <c r="AB65" s="112"/>
      <c r="AC65" s="70"/>
    </row>
    <row r="66" spans="1:29" x14ac:dyDescent="0.2">
      <c r="B66" s="144">
        <f>COUNTIF($C$48:$C$63,C66)</f>
        <v>4</v>
      </c>
      <c r="C66" s="144" t="s">
        <v>1196</v>
      </c>
      <c r="D66" s="71"/>
      <c r="E66" s="110"/>
      <c r="F66" s="44"/>
      <c r="G66" s="84"/>
      <c r="H66" s="76"/>
      <c r="I66" s="76"/>
      <c r="J66" s="46"/>
      <c r="K66" s="76"/>
      <c r="L66" s="76"/>
      <c r="M66" s="79"/>
      <c r="N66" s="79"/>
      <c r="O66" s="65"/>
      <c r="P66" s="111"/>
      <c r="Q66" s="78"/>
      <c r="R66" s="78"/>
      <c r="S66" s="78"/>
      <c r="T66" s="78"/>
      <c r="U66" s="78"/>
      <c r="V66" s="79"/>
      <c r="W66" s="78"/>
      <c r="X66" s="78"/>
      <c r="Y66" s="78"/>
      <c r="Z66" s="78"/>
      <c r="AA66" s="79"/>
      <c r="AB66" s="112"/>
      <c r="AC66" s="70"/>
    </row>
    <row r="67" spans="1:29" ht="13.5" thickBot="1" x14ac:dyDescent="0.25">
      <c r="A67" s="1" t="s">
        <v>1187</v>
      </c>
      <c r="B67" s="142">
        <v>33000</v>
      </c>
      <c r="C67" s="142"/>
      <c r="D67" s="114"/>
      <c r="E67" s="115" t="s">
        <v>1214</v>
      </c>
      <c r="F67" s="115"/>
      <c r="G67" s="117"/>
      <c r="H67" s="118"/>
      <c r="I67" s="118"/>
      <c r="J67" s="119">
        <f>SUM(J48:J65)</f>
        <v>39000</v>
      </c>
      <c r="K67" s="120">
        <f>+J67</f>
        <v>39000</v>
      </c>
      <c r="L67" s="118"/>
      <c r="M67" s="121"/>
      <c r="N67" s="121"/>
      <c r="O67" s="65">
        <f>P67/24</f>
        <v>1625</v>
      </c>
      <c r="P67" s="122">
        <f>J67</f>
        <v>39000</v>
      </c>
      <c r="Q67" s="123">
        <f t="shared" si="20"/>
        <v>2418</v>
      </c>
      <c r="R67" s="123">
        <f t="shared" si="21"/>
        <v>565.5</v>
      </c>
      <c r="S67" s="123">
        <f>ROUND(P67*0.04,2)</f>
        <v>1560</v>
      </c>
      <c r="T67" s="123">
        <f t="shared" si="23"/>
        <v>0</v>
      </c>
      <c r="U67" s="123">
        <f t="shared" si="24"/>
        <v>0</v>
      </c>
      <c r="V67" s="124">
        <f t="shared" si="25"/>
        <v>4543.5</v>
      </c>
      <c r="W67" s="145">
        <f>50*26</f>
        <v>1300</v>
      </c>
      <c r="X67" s="123">
        <f t="shared" si="27"/>
        <v>0</v>
      </c>
      <c r="Y67" s="123">
        <f t="shared" si="28"/>
        <v>0</v>
      </c>
      <c r="Z67" s="123">
        <f t="shared" si="29"/>
        <v>0</v>
      </c>
      <c r="AA67" s="124">
        <f t="shared" si="30"/>
        <v>1300</v>
      </c>
      <c r="AB67" s="146">
        <f>22.79*22</f>
        <v>501.38</v>
      </c>
      <c r="AC67" s="70"/>
    </row>
    <row r="68" spans="1:29" ht="13.5" thickBot="1" x14ac:dyDescent="0.25">
      <c r="B68" s="126">
        <f>SUM(B48:B67)</f>
        <v>495505</v>
      </c>
      <c r="C68" s="126"/>
      <c r="D68" s="114"/>
      <c r="E68" s="127" t="s">
        <v>1215</v>
      </c>
      <c r="F68" s="128"/>
      <c r="G68" s="128"/>
      <c r="H68" s="129"/>
      <c r="I68" s="129"/>
      <c r="J68" s="130"/>
      <c r="K68" s="129"/>
      <c r="L68" s="129">
        <f>SUM(L48:L67)</f>
        <v>0</v>
      </c>
      <c r="M68" s="129"/>
      <c r="N68" s="129"/>
      <c r="O68" s="131"/>
      <c r="P68" s="132">
        <f t="shared" ref="P68:AB68" si="33">SUM(P48:P67)</f>
        <v>551902.78980000014</v>
      </c>
      <c r="Q68" s="129">
        <f t="shared" si="33"/>
        <v>34217.960000000006</v>
      </c>
      <c r="R68" s="129">
        <f t="shared" si="33"/>
        <v>8002.59</v>
      </c>
      <c r="S68" s="129">
        <f t="shared" si="33"/>
        <v>21176.12</v>
      </c>
      <c r="T68" s="129">
        <f t="shared" si="33"/>
        <v>6300</v>
      </c>
      <c r="U68" s="129">
        <f t="shared" si="33"/>
        <v>13152</v>
      </c>
      <c r="V68" s="129">
        <f t="shared" si="33"/>
        <v>82848.67</v>
      </c>
      <c r="W68" s="129">
        <f t="shared" si="33"/>
        <v>74990.965723480011</v>
      </c>
      <c r="X68" s="133">
        <f t="shared" si="33"/>
        <v>0</v>
      </c>
      <c r="Y68" s="129">
        <f t="shared" si="33"/>
        <v>0</v>
      </c>
      <c r="Z68" s="129">
        <f t="shared" si="33"/>
        <v>0</v>
      </c>
      <c r="AA68" s="129">
        <f t="shared" si="33"/>
        <v>74990.965723480011</v>
      </c>
      <c r="AB68" s="134">
        <f t="shared" si="33"/>
        <v>6893.38</v>
      </c>
      <c r="AC68" s="70"/>
    </row>
    <row r="69" spans="1:29" x14ac:dyDescent="0.2">
      <c r="B69" s="87">
        <f>(P68-B68)</f>
        <v>56397.789800000144</v>
      </c>
      <c r="C69" s="87"/>
      <c r="D69" s="15"/>
      <c r="E69" s="147"/>
      <c r="F69" s="148"/>
      <c r="G69" s="148"/>
      <c r="H69" s="111"/>
      <c r="I69" s="111"/>
      <c r="J69" s="61">
        <f t="shared" ref="J69:J78" si="34">IF(H69="NEW",0,3000)</f>
        <v>3000</v>
      </c>
      <c r="K69" s="111"/>
      <c r="L69" s="111"/>
      <c r="M69" s="111"/>
      <c r="N69" s="111"/>
      <c r="O69" s="149"/>
      <c r="P69" s="111"/>
      <c r="Q69" s="111"/>
      <c r="R69" s="111"/>
      <c r="S69" s="111"/>
      <c r="T69" s="111"/>
      <c r="U69" s="111"/>
      <c r="V69" s="111"/>
      <c r="W69" s="111"/>
      <c r="X69" s="111"/>
      <c r="Y69" s="111"/>
      <c r="Z69" s="111"/>
      <c r="AA69" s="111"/>
      <c r="AB69" s="111"/>
      <c r="AC69" s="70"/>
    </row>
    <row r="70" spans="1:29" ht="13.5" thickBot="1" x14ac:dyDescent="0.25">
      <c r="D70" s="15"/>
      <c r="E70" s="44"/>
      <c r="F70" s="110"/>
      <c r="G70" s="135"/>
      <c r="H70" s="76"/>
      <c r="I70" s="76"/>
      <c r="J70" s="46"/>
      <c r="K70" s="76"/>
      <c r="L70" s="76"/>
      <c r="M70" s="121"/>
      <c r="N70" s="136"/>
      <c r="O70" s="137"/>
      <c r="P70" s="111"/>
      <c r="Q70" s="111"/>
      <c r="R70" s="111"/>
      <c r="S70" s="129"/>
      <c r="T70" s="111"/>
      <c r="U70" s="111"/>
      <c r="V70" s="111"/>
      <c r="W70" s="111"/>
      <c r="X70" s="111"/>
      <c r="Y70" s="111"/>
      <c r="Z70" s="111"/>
      <c r="AA70" s="111"/>
      <c r="AB70" s="111"/>
      <c r="AC70" s="70"/>
    </row>
    <row r="71" spans="1:29" x14ac:dyDescent="0.2">
      <c r="C71" s="1" t="s">
        <v>1216</v>
      </c>
      <c r="D71" s="56">
        <f t="shared" ref="D71:D78" si="35">D70+1</f>
        <v>1</v>
      </c>
      <c r="E71" s="57" t="s">
        <v>1217</v>
      </c>
      <c r="F71" s="58" t="s">
        <v>1139</v>
      </c>
      <c r="G71" s="59">
        <v>1</v>
      </c>
      <c r="H71" s="60"/>
      <c r="I71" s="60"/>
      <c r="J71" s="61">
        <f t="shared" si="34"/>
        <v>3000</v>
      </c>
      <c r="K71" s="138">
        <v>32500</v>
      </c>
      <c r="L71" s="60"/>
      <c r="M71" s="78">
        <f>K71*$M$4</f>
        <v>975</v>
      </c>
      <c r="N71" s="64"/>
      <c r="O71" s="139"/>
      <c r="P71" s="66">
        <f>G71*(K71+L71+M71)</f>
        <v>33475</v>
      </c>
      <c r="Q71" s="63">
        <f t="shared" ref="Q71:Q78" si="36">ROUND(MIN(P71,Q$4)*Q$3,2)</f>
        <v>2075.4499999999998</v>
      </c>
      <c r="R71" s="63">
        <f t="shared" ref="R71:R78" si="37">ROUND(P71*$R$3,2)</f>
        <v>485.39</v>
      </c>
      <c r="S71" s="81">
        <f t="shared" ref="S71:S78" si="38">ROUND(P71*0.04,2)</f>
        <v>1339</v>
      </c>
      <c r="T71" s="63">
        <f t="shared" ref="T71:T78" si="39">IF(H71="new",ROUND(MIN(P71,$T$4)*$T$3*G71*2,2),ROUND(MIN(P71,$T$4)*$T$3*G71,2))</f>
        <v>525</v>
      </c>
      <c r="U71" s="63">
        <f t="shared" ref="U71:U78" si="40">IF(H71="new",ROUND(MIN(P71,$U$4)*$U$3*G71*2,2),ROUND(MIN(P71,$U$4)*$U$3*G71,2))</f>
        <v>1096</v>
      </c>
      <c r="V71" s="64">
        <f t="shared" ref="V71:V78" si="41">SUM(Q71:U71)</f>
        <v>5520.84</v>
      </c>
      <c r="W71" s="140">
        <f t="shared" ref="W71:W78" si="42">P71*$W$3</f>
        <v>5108.2850000000008</v>
      </c>
      <c r="X71" s="63">
        <f t="shared" ref="X71:X78" si="43">IF(I71="x",0,IF(H71="new",ROUND(X$4*12*0.9*G71,2),ROUND(X$4*12*G71,2)))</f>
        <v>0</v>
      </c>
      <c r="Y71" s="63">
        <f t="shared" ref="Y71:Y78" si="44">IF(I71="x",0,IF(H71="new",ROUND(Y$4*12*0.9*G71,2),ROUND(Y$4*12*G71,2)))</f>
        <v>0</v>
      </c>
      <c r="Z71" s="63">
        <f t="shared" ref="Z71:Z78" si="45">ROUND((Z$3*(MIN(P71,10000)/1000))+((P71/1000)*(Z$4)),2)</f>
        <v>0</v>
      </c>
      <c r="AA71" s="64">
        <f t="shared" ref="AA71:AA78" si="46">SUM(W71:Z71)</f>
        <v>5108.2850000000008</v>
      </c>
      <c r="AB71" s="69">
        <f t="shared" ref="AB71:AB77" si="47">22.98*22</f>
        <v>505.56</v>
      </c>
      <c r="AC71" s="70"/>
    </row>
    <row r="72" spans="1:29" x14ac:dyDescent="0.2">
      <c r="B72" s="142"/>
      <c r="C72" s="142" t="s">
        <v>1216</v>
      </c>
      <c r="D72" s="71">
        <f t="shared" si="35"/>
        <v>2</v>
      </c>
      <c r="E72" s="72" t="s">
        <v>1218</v>
      </c>
      <c r="F72" s="73" t="s">
        <v>1139</v>
      </c>
      <c r="G72" s="74">
        <v>1</v>
      </c>
      <c r="H72" s="75" t="s">
        <v>1142</v>
      </c>
      <c r="I72" s="76"/>
      <c r="J72" s="46">
        <f t="shared" si="34"/>
        <v>0</v>
      </c>
      <c r="K72" s="85">
        <v>43500</v>
      </c>
      <c r="L72" s="76"/>
      <c r="M72" s="78">
        <f>K72*$M$4</f>
        <v>1305</v>
      </c>
      <c r="N72" s="79"/>
      <c r="O72" s="65"/>
      <c r="P72" s="150">
        <f>G72*(K72+L72+M72)</f>
        <v>44805</v>
      </c>
      <c r="Q72" s="78">
        <f t="shared" si="36"/>
        <v>2777.91</v>
      </c>
      <c r="R72" s="78">
        <f t="shared" si="37"/>
        <v>649.66999999999996</v>
      </c>
      <c r="S72" s="81">
        <f t="shared" si="38"/>
        <v>1792.2</v>
      </c>
      <c r="T72" s="78">
        <f t="shared" si="39"/>
        <v>1050</v>
      </c>
      <c r="U72" s="78">
        <f t="shared" si="40"/>
        <v>2192</v>
      </c>
      <c r="V72" s="79">
        <f t="shared" si="41"/>
        <v>8461.7799999999988</v>
      </c>
      <c r="W72" s="68">
        <f t="shared" si="42"/>
        <v>6837.2430000000004</v>
      </c>
      <c r="X72" s="78">
        <f t="shared" si="43"/>
        <v>0</v>
      </c>
      <c r="Y72" s="78">
        <f t="shared" si="44"/>
        <v>0</v>
      </c>
      <c r="Z72" s="78">
        <f t="shared" si="45"/>
        <v>0</v>
      </c>
      <c r="AA72" s="79">
        <f t="shared" si="46"/>
        <v>6837.2430000000004</v>
      </c>
      <c r="AB72" s="82">
        <f t="shared" si="47"/>
        <v>505.56</v>
      </c>
      <c r="AC72" s="70"/>
    </row>
    <row r="73" spans="1:29" x14ac:dyDescent="0.2">
      <c r="B73" s="142"/>
      <c r="C73" s="142" t="s">
        <v>1216</v>
      </c>
      <c r="D73" s="71">
        <f t="shared" si="35"/>
        <v>3</v>
      </c>
      <c r="E73" s="83" t="s">
        <v>1219</v>
      </c>
      <c r="F73" s="44" t="s">
        <v>1139</v>
      </c>
      <c r="G73" s="84">
        <v>1</v>
      </c>
      <c r="H73" s="76"/>
      <c r="I73" s="76"/>
      <c r="J73" s="46">
        <v>0</v>
      </c>
      <c r="K73" s="85">
        <v>41000</v>
      </c>
      <c r="L73" s="76"/>
      <c r="M73" s="78">
        <f>K73*$M$4</f>
        <v>1230</v>
      </c>
      <c r="N73" s="79"/>
      <c r="O73" s="65"/>
      <c r="P73" s="80">
        <f>G73*(K73+L73+M73)</f>
        <v>42230</v>
      </c>
      <c r="Q73" s="78">
        <f t="shared" si="36"/>
        <v>2618.2600000000002</v>
      </c>
      <c r="R73" s="78">
        <f t="shared" si="37"/>
        <v>612.34</v>
      </c>
      <c r="S73" s="81">
        <f t="shared" si="38"/>
        <v>1689.2</v>
      </c>
      <c r="T73" s="78">
        <f t="shared" si="39"/>
        <v>525</v>
      </c>
      <c r="U73" s="78">
        <f t="shared" si="40"/>
        <v>1096</v>
      </c>
      <c r="V73" s="79">
        <f t="shared" si="41"/>
        <v>6540.8</v>
      </c>
      <c r="W73" s="68">
        <f t="shared" si="42"/>
        <v>6444.2980000000007</v>
      </c>
      <c r="X73" s="78">
        <f t="shared" si="43"/>
        <v>0</v>
      </c>
      <c r="Y73" s="78">
        <f t="shared" si="44"/>
        <v>0</v>
      </c>
      <c r="Z73" s="78">
        <f t="shared" si="45"/>
        <v>0</v>
      </c>
      <c r="AA73" s="79">
        <f t="shared" si="46"/>
        <v>6444.2980000000007</v>
      </c>
      <c r="AB73" s="82">
        <f t="shared" si="47"/>
        <v>505.56</v>
      </c>
      <c r="AC73" s="70"/>
    </row>
    <row r="74" spans="1:29" x14ac:dyDescent="0.2">
      <c r="B74" s="142"/>
      <c r="C74" s="142" t="s">
        <v>1216</v>
      </c>
      <c r="D74" s="71">
        <f t="shared" si="35"/>
        <v>4</v>
      </c>
      <c r="E74" s="83" t="s">
        <v>1220</v>
      </c>
      <c r="F74" s="44" t="s">
        <v>1139</v>
      </c>
      <c r="G74" s="84">
        <v>1</v>
      </c>
      <c r="H74" s="76"/>
      <c r="I74" s="76"/>
      <c r="J74" s="46">
        <f t="shared" si="34"/>
        <v>3000</v>
      </c>
      <c r="K74" s="85">
        <v>34552.379999999997</v>
      </c>
      <c r="L74" s="76"/>
      <c r="M74" s="78">
        <f>K74*$M$4</f>
        <v>1036.5713999999998</v>
      </c>
      <c r="N74" s="79"/>
      <c r="O74" s="65">
        <f>P74/24</f>
        <v>1482.872975</v>
      </c>
      <c r="P74" s="80">
        <f>G74*(K74+L74+M74)</f>
        <v>35588.951399999998</v>
      </c>
      <c r="Q74" s="78">
        <f t="shared" si="36"/>
        <v>2206.5100000000002</v>
      </c>
      <c r="R74" s="78">
        <f t="shared" si="37"/>
        <v>516.04</v>
      </c>
      <c r="S74" s="81">
        <f t="shared" si="38"/>
        <v>1423.56</v>
      </c>
      <c r="T74" s="78">
        <f t="shared" si="39"/>
        <v>525</v>
      </c>
      <c r="U74" s="78">
        <f t="shared" si="40"/>
        <v>1096</v>
      </c>
      <c r="V74" s="79">
        <f t="shared" si="41"/>
        <v>5767.1100000000006</v>
      </c>
      <c r="W74" s="68">
        <f t="shared" si="42"/>
        <v>5430.87398364</v>
      </c>
      <c r="X74" s="78">
        <f t="shared" si="43"/>
        <v>0</v>
      </c>
      <c r="Y74" s="78">
        <f t="shared" si="44"/>
        <v>0</v>
      </c>
      <c r="Z74" s="78">
        <f t="shared" si="45"/>
        <v>0</v>
      </c>
      <c r="AA74" s="79">
        <f t="shared" si="46"/>
        <v>5430.87398364</v>
      </c>
      <c r="AB74" s="82">
        <f>19.81*22</f>
        <v>435.82</v>
      </c>
      <c r="AC74" s="70"/>
    </row>
    <row r="75" spans="1:29" x14ac:dyDescent="0.2">
      <c r="B75" s="142"/>
      <c r="C75" s="142" t="s">
        <v>1221</v>
      </c>
      <c r="D75" s="71">
        <f t="shared" si="35"/>
        <v>5</v>
      </c>
      <c r="E75" s="72" t="s">
        <v>1222</v>
      </c>
      <c r="F75" s="73" t="s">
        <v>1139</v>
      </c>
      <c r="G75" s="74">
        <v>1</v>
      </c>
      <c r="H75" s="75" t="s">
        <v>1142</v>
      </c>
      <c r="I75" s="76"/>
      <c r="J75" s="46">
        <f t="shared" si="34"/>
        <v>0</v>
      </c>
      <c r="K75" s="85"/>
      <c r="L75" s="76"/>
      <c r="M75" s="78"/>
      <c r="N75" s="79"/>
      <c r="O75" s="65"/>
      <c r="P75" s="80">
        <f>AVERAGE($P$71:$P$74)</f>
        <v>39024.737849999998</v>
      </c>
      <c r="Q75" s="78">
        <f t="shared" si="36"/>
        <v>2419.5300000000002</v>
      </c>
      <c r="R75" s="78">
        <f t="shared" si="37"/>
        <v>565.86</v>
      </c>
      <c r="S75" s="81">
        <f t="shared" si="38"/>
        <v>1560.99</v>
      </c>
      <c r="T75" s="78">
        <f t="shared" si="39"/>
        <v>1050</v>
      </c>
      <c r="U75" s="78">
        <f t="shared" si="40"/>
        <v>2192</v>
      </c>
      <c r="V75" s="79">
        <f t="shared" si="41"/>
        <v>7788.38</v>
      </c>
      <c r="W75" s="68">
        <f t="shared" si="42"/>
        <v>5955.1749959099998</v>
      </c>
      <c r="X75" s="78">
        <f t="shared" si="43"/>
        <v>0</v>
      </c>
      <c r="Y75" s="78">
        <f t="shared" si="44"/>
        <v>0</v>
      </c>
      <c r="Z75" s="78">
        <f t="shared" si="45"/>
        <v>0</v>
      </c>
      <c r="AA75" s="79">
        <f t="shared" si="46"/>
        <v>5955.1749959099998</v>
      </c>
      <c r="AB75" s="82">
        <f t="shared" si="47"/>
        <v>505.56</v>
      </c>
      <c r="AC75" s="70"/>
    </row>
    <row r="76" spans="1:29" x14ac:dyDescent="0.2">
      <c r="B76" s="142"/>
      <c r="C76" s="142" t="s">
        <v>1221</v>
      </c>
      <c r="D76" s="71">
        <f t="shared" si="35"/>
        <v>6</v>
      </c>
      <c r="E76" s="72" t="s">
        <v>1223</v>
      </c>
      <c r="F76" s="73" t="s">
        <v>1139</v>
      </c>
      <c r="G76" s="74">
        <v>1</v>
      </c>
      <c r="H76" s="75" t="s">
        <v>1142</v>
      </c>
      <c r="I76" s="76"/>
      <c r="J76" s="46">
        <f t="shared" si="34"/>
        <v>0</v>
      </c>
      <c r="K76" s="85"/>
      <c r="L76" s="76"/>
      <c r="M76" s="78"/>
      <c r="N76" s="79"/>
      <c r="O76" s="65"/>
      <c r="P76" s="80">
        <f>AVERAGE($P$71:$P$74)</f>
        <v>39024.737849999998</v>
      </c>
      <c r="Q76" s="78">
        <f t="shared" si="36"/>
        <v>2419.5300000000002</v>
      </c>
      <c r="R76" s="78">
        <f t="shared" si="37"/>
        <v>565.86</v>
      </c>
      <c r="S76" s="81">
        <f t="shared" si="38"/>
        <v>1560.99</v>
      </c>
      <c r="T76" s="78">
        <f t="shared" si="39"/>
        <v>1050</v>
      </c>
      <c r="U76" s="78">
        <f t="shared" si="40"/>
        <v>2192</v>
      </c>
      <c r="V76" s="79">
        <f t="shared" si="41"/>
        <v>7788.38</v>
      </c>
      <c r="W76" s="68">
        <f t="shared" si="42"/>
        <v>5955.1749959099998</v>
      </c>
      <c r="X76" s="78">
        <f t="shared" si="43"/>
        <v>0</v>
      </c>
      <c r="Y76" s="78">
        <f t="shared" si="44"/>
        <v>0</v>
      </c>
      <c r="Z76" s="78">
        <f t="shared" si="45"/>
        <v>0</v>
      </c>
      <c r="AA76" s="79">
        <f t="shared" si="46"/>
        <v>5955.1749959099998</v>
      </c>
      <c r="AB76" s="82">
        <f t="shared" si="47"/>
        <v>505.56</v>
      </c>
      <c r="AC76" s="70"/>
    </row>
    <row r="77" spans="1:29" x14ac:dyDescent="0.2">
      <c r="B77" s="142"/>
      <c r="C77" s="142" t="s">
        <v>1221</v>
      </c>
      <c r="D77" s="71">
        <f t="shared" si="35"/>
        <v>7</v>
      </c>
      <c r="E77" s="72" t="s">
        <v>1224</v>
      </c>
      <c r="F77" s="73" t="s">
        <v>1139</v>
      </c>
      <c r="G77" s="74">
        <v>1</v>
      </c>
      <c r="H77" s="75" t="s">
        <v>1142</v>
      </c>
      <c r="I77" s="76"/>
      <c r="J77" s="46">
        <f t="shared" si="34"/>
        <v>0</v>
      </c>
      <c r="K77" s="85"/>
      <c r="L77" s="76"/>
      <c r="M77" s="78"/>
      <c r="N77" s="79"/>
      <c r="O77" s="65"/>
      <c r="P77" s="80">
        <f>AVERAGE($P$71:$P$74)</f>
        <v>39024.737849999998</v>
      </c>
      <c r="Q77" s="78">
        <f t="shared" si="36"/>
        <v>2419.5300000000002</v>
      </c>
      <c r="R77" s="78">
        <f t="shared" si="37"/>
        <v>565.86</v>
      </c>
      <c r="S77" s="81">
        <f t="shared" si="38"/>
        <v>1560.99</v>
      </c>
      <c r="T77" s="78">
        <f t="shared" si="39"/>
        <v>1050</v>
      </c>
      <c r="U77" s="78">
        <f t="shared" si="40"/>
        <v>2192</v>
      </c>
      <c r="V77" s="79">
        <f t="shared" si="41"/>
        <v>7788.38</v>
      </c>
      <c r="W77" s="68">
        <f t="shared" si="42"/>
        <v>5955.1749959099998</v>
      </c>
      <c r="X77" s="78">
        <f t="shared" si="43"/>
        <v>0</v>
      </c>
      <c r="Y77" s="78">
        <f t="shared" si="44"/>
        <v>0</v>
      </c>
      <c r="Z77" s="78">
        <f t="shared" si="45"/>
        <v>0</v>
      </c>
      <c r="AA77" s="79">
        <f t="shared" si="46"/>
        <v>5955.1749959099998</v>
      </c>
      <c r="AB77" s="82">
        <f t="shared" si="47"/>
        <v>505.56</v>
      </c>
      <c r="AC77" s="70"/>
    </row>
    <row r="78" spans="1:29" x14ac:dyDescent="0.2">
      <c r="B78" s="142"/>
      <c r="C78" s="142" t="s">
        <v>1221</v>
      </c>
      <c r="D78" s="71">
        <f t="shared" si="35"/>
        <v>8</v>
      </c>
      <c r="E78" s="72" t="s">
        <v>1225</v>
      </c>
      <c r="F78" s="73" t="s">
        <v>1139</v>
      </c>
      <c r="G78" s="74">
        <v>1</v>
      </c>
      <c r="H78" s="75" t="s">
        <v>1142</v>
      </c>
      <c r="I78" s="76"/>
      <c r="J78" s="46">
        <f t="shared" si="34"/>
        <v>0</v>
      </c>
      <c r="K78" s="85"/>
      <c r="L78" s="76"/>
      <c r="M78" s="78"/>
      <c r="N78" s="79"/>
      <c r="O78" s="65"/>
      <c r="P78" s="80">
        <f>AVERAGE($P$71:$P$74)</f>
        <v>39024.737849999998</v>
      </c>
      <c r="Q78" s="78">
        <f t="shared" si="36"/>
        <v>2419.5300000000002</v>
      </c>
      <c r="R78" s="78">
        <f t="shared" si="37"/>
        <v>565.86</v>
      </c>
      <c r="S78" s="81">
        <f t="shared" si="38"/>
        <v>1560.99</v>
      </c>
      <c r="T78" s="78">
        <f t="shared" si="39"/>
        <v>1050</v>
      </c>
      <c r="U78" s="78">
        <f t="shared" si="40"/>
        <v>2192</v>
      </c>
      <c r="V78" s="79">
        <f t="shared" si="41"/>
        <v>7788.38</v>
      </c>
      <c r="W78" s="68">
        <f t="shared" si="42"/>
        <v>5955.1749959099998</v>
      </c>
      <c r="X78" s="78">
        <f t="shared" si="43"/>
        <v>0</v>
      </c>
      <c r="Y78" s="78">
        <f t="shared" si="44"/>
        <v>0</v>
      </c>
      <c r="Z78" s="78">
        <f t="shared" si="45"/>
        <v>0</v>
      </c>
      <c r="AA78" s="79">
        <f t="shared" si="46"/>
        <v>5955.1749959099998</v>
      </c>
      <c r="AB78" s="82">
        <f>19.81*22</f>
        <v>435.82</v>
      </c>
      <c r="AC78" s="70"/>
    </row>
    <row r="79" spans="1:29" x14ac:dyDescent="0.2">
      <c r="B79" s="142"/>
      <c r="C79" s="142"/>
      <c r="D79" s="71"/>
      <c r="E79" s="72"/>
      <c r="F79" s="73"/>
      <c r="G79" s="74"/>
      <c r="H79" s="75"/>
      <c r="I79" s="76"/>
      <c r="J79" s="46"/>
      <c r="K79" s="85"/>
      <c r="L79" s="76"/>
      <c r="M79" s="78"/>
      <c r="N79" s="79"/>
      <c r="O79" s="65"/>
      <c r="P79" s="80"/>
      <c r="Q79" s="78"/>
      <c r="R79" s="78"/>
      <c r="S79" s="81"/>
      <c r="T79" s="78"/>
      <c r="U79" s="78"/>
      <c r="V79" s="79"/>
      <c r="W79" s="68"/>
      <c r="X79" s="78"/>
      <c r="Y79" s="78"/>
      <c r="Z79" s="78"/>
      <c r="AA79" s="79"/>
      <c r="AB79" s="82"/>
      <c r="AC79" s="70"/>
    </row>
    <row r="80" spans="1:29" x14ac:dyDescent="0.2">
      <c r="B80" s="142"/>
      <c r="C80" s="142"/>
      <c r="D80" s="71"/>
      <c r="E80" s="143" t="s">
        <v>1226</v>
      </c>
      <c r="F80" s="44"/>
      <c r="G80" s="84"/>
      <c r="H80" s="76"/>
      <c r="I80" s="76"/>
      <c r="J80" s="46"/>
      <c r="K80" s="76">
        <v>56000</v>
      </c>
      <c r="L80" s="76"/>
      <c r="M80" s="78"/>
      <c r="N80" s="79"/>
      <c r="O80" s="65"/>
      <c r="P80" s="111">
        <f>K80+L80+M80</f>
        <v>56000</v>
      </c>
      <c r="Q80" s="78">
        <f>ROUND(MIN(P80,Q$4)*Q$3,2)</f>
        <v>3472</v>
      </c>
      <c r="R80" s="78">
        <f>ROUND(P80*$R$3,2)</f>
        <v>812</v>
      </c>
      <c r="S80" s="78">
        <f>ROUND(P80*0.01,2)</f>
        <v>560</v>
      </c>
      <c r="T80" s="78">
        <f>IF(H80="new",ROUND(MIN(P80,$T$4)*$T$3*G80*2,2),ROUND(MIN(P80,$T$4)*$T$3*G80,2))</f>
        <v>0</v>
      </c>
      <c r="U80" s="78">
        <f>IF(H80="new",ROUND(MIN(P80,$U$4)*$U$3*G80*2,2),ROUND(MIN(P80,$U$4)*$U$3*G80,2))</f>
        <v>0</v>
      </c>
      <c r="V80" s="79">
        <f>SUM(Q80:U80)</f>
        <v>4844</v>
      </c>
      <c r="W80" s="78">
        <f>IF(I80="x",0,IF(H80="new",ROUND(W$4*12*0.9*G80,2),ROUND(W$4*12*G80,2)))</f>
        <v>0</v>
      </c>
      <c r="X80" s="78">
        <f>IF(I80="x",0,IF(H80="new",ROUND(X$4*12*0.9*G80,2),ROUND(X$4*12*G80,2)))</f>
        <v>0</v>
      </c>
      <c r="Y80" s="78">
        <f>IF(I80="x",0,IF(H80="new",ROUND(Y$4*12*0.9*G80,2),ROUND(Y$4*12*G80,2)))</f>
        <v>0</v>
      </c>
      <c r="Z80" s="78">
        <f>ROUND((Z$3*(MIN(P80,10000)/1000))+((P80/1000)*(Z$4)),2)</f>
        <v>0</v>
      </c>
      <c r="AA80" s="79">
        <f>SUM(W80:Z80)</f>
        <v>0</v>
      </c>
      <c r="AB80" s="112">
        <f>ROUND((P80/100)*$AB$3,2)</f>
        <v>392</v>
      </c>
      <c r="AC80" s="70"/>
    </row>
    <row r="81" spans="2:29" x14ac:dyDescent="0.2">
      <c r="B81" s="144">
        <f>COUNTIF($C$71:$C$80,C81)</f>
        <v>4</v>
      </c>
      <c r="C81" s="144" t="s">
        <v>1216</v>
      </c>
      <c r="D81" s="71"/>
      <c r="E81" s="151"/>
      <c r="F81" s="44"/>
      <c r="G81" s="84"/>
      <c r="H81" s="76"/>
      <c r="I81" s="76"/>
      <c r="J81" s="46"/>
      <c r="K81" s="76"/>
      <c r="L81" s="76"/>
      <c r="M81" s="78"/>
      <c r="N81" s="79"/>
      <c r="O81" s="65"/>
      <c r="P81" s="111"/>
      <c r="Q81" s="78"/>
      <c r="R81" s="78"/>
      <c r="S81" s="81"/>
      <c r="T81" s="78"/>
      <c r="U81" s="78"/>
      <c r="V81" s="79"/>
      <c r="W81" s="68"/>
      <c r="X81" s="78"/>
      <c r="Y81" s="78"/>
      <c r="Z81" s="78"/>
      <c r="AA81" s="79"/>
      <c r="AB81" s="82"/>
      <c r="AC81" s="70"/>
    </row>
    <row r="82" spans="2:29" x14ac:dyDescent="0.2">
      <c r="B82" s="144">
        <f>COUNTIF($C$71:$C$80,C82)</f>
        <v>4</v>
      </c>
      <c r="C82" s="144" t="s">
        <v>1221</v>
      </c>
      <c r="D82" s="71"/>
      <c r="E82" s="151"/>
      <c r="F82" s="44"/>
      <c r="G82" s="84"/>
      <c r="H82" s="76"/>
      <c r="I82" s="76"/>
      <c r="J82" s="46"/>
      <c r="K82" s="76"/>
      <c r="L82" s="76"/>
      <c r="M82" s="78"/>
      <c r="N82" s="79"/>
      <c r="O82" s="65"/>
      <c r="P82" s="111"/>
      <c r="Q82" s="78"/>
      <c r="R82" s="78"/>
      <c r="S82" s="81"/>
      <c r="T82" s="78"/>
      <c r="U82" s="78"/>
      <c r="V82" s="79"/>
      <c r="W82" s="68"/>
      <c r="X82" s="78"/>
      <c r="Y82" s="78"/>
      <c r="Z82" s="78"/>
      <c r="AA82" s="79"/>
      <c r="AB82" s="82"/>
      <c r="AC82" s="70"/>
    </row>
    <row r="83" spans="2:29" x14ac:dyDescent="0.2">
      <c r="B83" s="144">
        <f>COUNTIF($C$71:$C$80,C83)</f>
        <v>0</v>
      </c>
      <c r="C83" s="144" t="s">
        <v>1227</v>
      </c>
      <c r="D83" s="71"/>
      <c r="E83" s="151"/>
      <c r="F83" s="44"/>
      <c r="G83" s="84"/>
      <c r="H83" s="76"/>
      <c r="I83" s="76"/>
      <c r="J83" s="46"/>
      <c r="K83" s="76"/>
      <c r="L83" s="76"/>
      <c r="M83" s="78"/>
      <c r="N83" s="79"/>
      <c r="O83" s="65"/>
      <c r="P83" s="111"/>
      <c r="Q83" s="78"/>
      <c r="R83" s="78"/>
      <c r="S83" s="81"/>
      <c r="T83" s="78"/>
      <c r="U83" s="78"/>
      <c r="V83" s="79"/>
      <c r="W83" s="68"/>
      <c r="X83" s="78"/>
      <c r="Y83" s="78"/>
      <c r="Z83" s="78"/>
      <c r="AA83" s="79"/>
      <c r="AB83" s="82"/>
      <c r="AC83" s="70"/>
    </row>
    <row r="84" spans="2:29" x14ac:dyDescent="0.2">
      <c r="B84" s="144">
        <f>COUNTIF($C$71:$C$80,C84)</f>
        <v>0</v>
      </c>
      <c r="C84" s="144" t="s">
        <v>1228</v>
      </c>
      <c r="D84" s="71"/>
      <c r="E84" s="151"/>
      <c r="F84" s="44"/>
      <c r="G84" s="84"/>
      <c r="H84" s="76"/>
      <c r="I84" s="76"/>
      <c r="J84" s="46"/>
      <c r="K84" s="76"/>
      <c r="L84" s="76"/>
      <c r="M84" s="78"/>
      <c r="N84" s="79"/>
      <c r="O84" s="65"/>
      <c r="P84" s="111"/>
      <c r="Q84" s="78"/>
      <c r="R84" s="78"/>
      <c r="S84" s="81"/>
      <c r="T84" s="78"/>
      <c r="U84" s="78"/>
      <c r="V84" s="79"/>
      <c r="W84" s="68"/>
      <c r="X84" s="78"/>
      <c r="Y84" s="78"/>
      <c r="Z84" s="78"/>
      <c r="AA84" s="79"/>
      <c r="AB84" s="82"/>
      <c r="AC84" s="70"/>
    </row>
    <row r="85" spans="2:29" ht="13.5" thickBot="1" x14ac:dyDescent="0.25">
      <c r="B85" s="1">
        <v>0</v>
      </c>
      <c r="D85" s="114"/>
      <c r="E85" s="115" t="s">
        <v>1214</v>
      </c>
      <c r="F85" s="115"/>
      <c r="G85" s="152"/>
      <c r="H85" s="118"/>
      <c r="I85" s="118"/>
      <c r="J85" s="119">
        <f>SUM(J69:J80)</f>
        <v>9000</v>
      </c>
      <c r="K85" s="120">
        <f>+J85</f>
        <v>9000</v>
      </c>
      <c r="L85" s="118"/>
      <c r="M85" s="121"/>
      <c r="N85" s="121"/>
      <c r="O85" s="65">
        <f>P85/24</f>
        <v>375</v>
      </c>
      <c r="P85" s="122">
        <f>J85</f>
        <v>9000</v>
      </c>
      <c r="Q85" s="123">
        <f>ROUND(MIN(P85,Q$4)*Q$3,2)</f>
        <v>558</v>
      </c>
      <c r="R85" s="123">
        <f>ROUND(P85*$R$3,2)</f>
        <v>130.5</v>
      </c>
      <c r="S85" s="123">
        <v>0</v>
      </c>
      <c r="T85" s="123">
        <v>0</v>
      </c>
      <c r="U85" s="123">
        <f>IF(H85="new",ROUND(MIN(P85,$U$4)*$U$3*G85*2,2),ROUND(MIN(P85,$U$4)*$U$3*G85,2))</f>
        <v>0</v>
      </c>
      <c r="V85" s="124">
        <f>SUM(Q85:U85)</f>
        <v>688.5</v>
      </c>
      <c r="W85" s="123">
        <v>0</v>
      </c>
      <c r="X85" s="123">
        <v>0</v>
      </c>
      <c r="Y85" s="123">
        <v>0</v>
      </c>
      <c r="Z85" s="123">
        <v>0</v>
      </c>
      <c r="AA85" s="124">
        <f>SUM(W85:Z85)</f>
        <v>0</v>
      </c>
      <c r="AB85" s="125">
        <v>0</v>
      </c>
      <c r="AC85" s="70"/>
    </row>
    <row r="86" spans="2:29" ht="13.5" thickBot="1" x14ac:dyDescent="0.25">
      <c r="B86" s="126">
        <f>SUM(B71:B85)</f>
        <v>8</v>
      </c>
      <c r="C86" s="126"/>
      <c r="D86" s="114"/>
      <c r="E86" s="127" t="s">
        <v>1229</v>
      </c>
      <c r="F86" s="128"/>
      <c r="G86" s="128"/>
      <c r="H86" s="129"/>
      <c r="I86" s="129"/>
      <c r="J86" s="130"/>
      <c r="K86" s="129"/>
      <c r="L86" s="129">
        <f>SUM(L71:L85)</f>
        <v>0</v>
      </c>
      <c r="M86" s="129"/>
      <c r="N86" s="129"/>
      <c r="O86" s="153"/>
      <c r="P86" s="132">
        <f t="shared" ref="P86:AB86" si="48">SUM(P71:P85)</f>
        <v>377197.90279999998</v>
      </c>
      <c r="Q86" s="129">
        <f t="shared" si="48"/>
        <v>23386.25</v>
      </c>
      <c r="R86" s="129">
        <f t="shared" si="48"/>
        <v>5469.38</v>
      </c>
      <c r="S86" s="129">
        <f t="shared" si="48"/>
        <v>13047.919999999998</v>
      </c>
      <c r="T86" s="129">
        <f t="shared" si="48"/>
        <v>6825</v>
      </c>
      <c r="U86" s="129">
        <f t="shared" si="48"/>
        <v>14248</v>
      </c>
      <c r="V86" s="129">
        <f t="shared" si="48"/>
        <v>62976.549999999988</v>
      </c>
      <c r="W86" s="129">
        <f t="shared" si="48"/>
        <v>47641.399967279991</v>
      </c>
      <c r="X86" s="133">
        <f t="shared" si="48"/>
        <v>0</v>
      </c>
      <c r="Y86" s="129">
        <f t="shared" si="48"/>
        <v>0</v>
      </c>
      <c r="Z86" s="129">
        <f t="shared" si="48"/>
        <v>0</v>
      </c>
      <c r="AA86" s="129">
        <f t="shared" si="48"/>
        <v>47641.399967279991</v>
      </c>
      <c r="AB86" s="134">
        <f t="shared" si="48"/>
        <v>4297</v>
      </c>
      <c r="AC86" s="70"/>
    </row>
    <row r="87" spans="2:29" x14ac:dyDescent="0.2">
      <c r="B87" s="87"/>
      <c r="C87" s="87"/>
      <c r="D87" s="1"/>
      <c r="E87" s="147"/>
      <c r="F87" s="148"/>
      <c r="G87" s="148"/>
      <c r="H87" s="111"/>
      <c r="I87" s="111"/>
      <c r="J87" s="154"/>
      <c r="K87" s="111"/>
      <c r="L87" s="111"/>
      <c r="M87" s="111"/>
      <c r="N87" s="111"/>
      <c r="O87" s="149"/>
      <c r="P87" s="111"/>
      <c r="Q87" s="111"/>
      <c r="R87" s="111"/>
      <c r="S87" s="111"/>
      <c r="T87" s="111"/>
      <c r="U87" s="111"/>
      <c r="V87" s="111"/>
      <c r="W87" s="111"/>
      <c r="X87" s="111"/>
      <c r="Y87" s="111"/>
      <c r="Z87" s="111"/>
      <c r="AA87" s="111"/>
      <c r="AB87" s="111"/>
      <c r="AC87" s="70"/>
    </row>
    <row r="88" spans="2:29" ht="13.5" thickBot="1" x14ac:dyDescent="0.25">
      <c r="D88" s="1"/>
      <c r="E88" s="147"/>
      <c r="F88" s="148"/>
      <c r="G88" s="148"/>
      <c r="H88" s="111"/>
      <c r="I88" s="111"/>
      <c r="J88" s="154"/>
      <c r="K88" s="111"/>
      <c r="L88" s="111"/>
      <c r="M88" s="121"/>
      <c r="N88" s="111"/>
      <c r="O88" s="149"/>
      <c r="P88" s="111"/>
      <c r="Q88" s="111"/>
      <c r="R88" s="111"/>
      <c r="S88" s="129"/>
      <c r="T88" s="111"/>
      <c r="U88" s="111"/>
      <c r="V88" s="111"/>
      <c r="W88" s="111"/>
      <c r="X88" s="111"/>
      <c r="Y88" s="111"/>
      <c r="Z88" s="111"/>
      <c r="AA88" s="111"/>
      <c r="AB88" s="111"/>
      <c r="AC88" s="70"/>
    </row>
    <row r="89" spans="2:29" x14ac:dyDescent="0.2">
      <c r="B89" s="1">
        <v>33130</v>
      </c>
      <c r="C89" s="1" t="s">
        <v>1230</v>
      </c>
      <c r="D89" s="56">
        <f>D88+1</f>
        <v>1</v>
      </c>
      <c r="E89" s="57" t="s">
        <v>1231</v>
      </c>
      <c r="F89" s="58" t="s">
        <v>1139</v>
      </c>
      <c r="G89" s="59">
        <v>1</v>
      </c>
      <c r="H89" s="60"/>
      <c r="I89" s="60"/>
      <c r="J89" s="61">
        <f t="shared" ref="J89:J97" si="49">IF(H89="NEW",0,3000)</f>
        <v>3000</v>
      </c>
      <c r="K89" s="62">
        <v>39000</v>
      </c>
      <c r="L89" s="60"/>
      <c r="M89" s="78">
        <f t="shared" ref="M89:M96" si="50">K89*$M$4</f>
        <v>1170</v>
      </c>
      <c r="N89" s="64"/>
      <c r="O89" s="139"/>
      <c r="P89" s="66">
        <f>G89*(K89+L89+M89)</f>
        <v>40170</v>
      </c>
      <c r="Q89" s="63">
        <f t="shared" ref="Q89:Q102" si="51">ROUND(MIN(P89,Q$4)*Q$3,2)</f>
        <v>2490.54</v>
      </c>
      <c r="R89" s="63">
        <f t="shared" ref="R89:R102" si="52">ROUND(P89*$R$3,2)</f>
        <v>582.47</v>
      </c>
      <c r="S89" s="81">
        <f t="shared" ref="S89:S97" si="53">ROUND(P89*0.04,2)</f>
        <v>1606.8</v>
      </c>
      <c r="T89" s="63">
        <f t="shared" ref="T89:T96" si="54">IF(H89="new",ROUND(MIN(P89,$T$4)*$T$3*G89*2,2),ROUND(MIN(P89,$T$4)*$T$3*G89,2))</f>
        <v>525</v>
      </c>
      <c r="U89" s="63">
        <f t="shared" ref="U89:U102" si="55">IF(H89="new",ROUND(MIN(P89,$U$4)*$U$3*G89*2,2),ROUND(MIN(P89,$U$4)*$U$3*G89,2))</f>
        <v>1096</v>
      </c>
      <c r="V89" s="64">
        <f t="shared" ref="V89:V102" si="56">SUM(Q89:U89)</f>
        <v>6300.81</v>
      </c>
      <c r="W89" s="140">
        <f t="shared" ref="W89:W97" si="57">P89*$W$3</f>
        <v>6129.9420000000009</v>
      </c>
      <c r="X89" s="63">
        <f t="shared" ref="X89:X96" si="58">IF(I89="x",0,IF(H89="new",ROUND(X$4*12*0.9*G89,2),ROUND(X$4*12*G89,2)))</f>
        <v>0</v>
      </c>
      <c r="Y89" s="63">
        <f t="shared" ref="Y89:Y96" si="59">IF(I89="x",0,IF(H89="new",ROUND(Y$4*12*0.9*G89,2),ROUND(Y$4*12*G89,2)))</f>
        <v>0</v>
      </c>
      <c r="Z89" s="63">
        <f t="shared" ref="Z89:Z96" si="60">ROUND((Z$3*(MIN(P89,10000)/1000))+((P89/1000)*(Z$4)),2)</f>
        <v>0</v>
      </c>
      <c r="AA89" s="64">
        <f>SUM(W89:Z89)</f>
        <v>6129.9420000000009</v>
      </c>
      <c r="AB89" s="69">
        <f>19.92*22</f>
        <v>438.24</v>
      </c>
      <c r="AC89" s="70"/>
    </row>
    <row r="90" spans="2:29" x14ac:dyDescent="0.2">
      <c r="C90" s="1" t="s">
        <v>1232</v>
      </c>
      <c r="D90" s="71">
        <f>D89+1</f>
        <v>2</v>
      </c>
      <c r="E90" s="83" t="s">
        <v>1233</v>
      </c>
      <c r="F90" s="44" t="s">
        <v>1139</v>
      </c>
      <c r="G90" s="84">
        <v>1</v>
      </c>
      <c r="H90" s="76"/>
      <c r="I90" s="76"/>
      <c r="J90" s="46">
        <f t="shared" si="49"/>
        <v>3000</v>
      </c>
      <c r="K90" s="85">
        <v>41200</v>
      </c>
      <c r="L90" s="76"/>
      <c r="M90" s="78">
        <f t="shared" si="50"/>
        <v>1236</v>
      </c>
      <c r="N90" s="79"/>
      <c r="O90" s="65">
        <f>P90/24</f>
        <v>1768.1666666666667</v>
      </c>
      <c r="P90" s="80">
        <f>G90*(K90+L90+M90)</f>
        <v>42436</v>
      </c>
      <c r="Q90" s="78">
        <f t="shared" si="51"/>
        <v>2631.03</v>
      </c>
      <c r="R90" s="78">
        <f t="shared" si="52"/>
        <v>615.32000000000005</v>
      </c>
      <c r="S90" s="81">
        <f t="shared" si="53"/>
        <v>1697.44</v>
      </c>
      <c r="T90" s="78">
        <f t="shared" si="54"/>
        <v>525</v>
      </c>
      <c r="U90" s="78">
        <f t="shared" si="55"/>
        <v>1096</v>
      </c>
      <c r="V90" s="79">
        <f t="shared" si="56"/>
        <v>6564.7900000000009</v>
      </c>
      <c r="W90" s="68">
        <f t="shared" si="57"/>
        <v>6475.7336000000005</v>
      </c>
      <c r="X90" s="78">
        <f t="shared" si="58"/>
        <v>0</v>
      </c>
      <c r="Y90" s="78">
        <f t="shared" si="59"/>
        <v>0</v>
      </c>
      <c r="Z90" s="78">
        <f t="shared" si="60"/>
        <v>0</v>
      </c>
      <c r="AA90" s="79">
        <f>SUM(W90:Z90)</f>
        <v>6475.7336000000005</v>
      </c>
      <c r="AB90" s="82">
        <f>21.92*22</f>
        <v>482.24</v>
      </c>
      <c r="AC90" s="70"/>
    </row>
    <row r="91" spans="2:29" x14ac:dyDescent="0.2">
      <c r="B91" s="1">
        <v>35967</v>
      </c>
      <c r="C91" s="1" t="s">
        <v>1232</v>
      </c>
      <c r="D91" s="71">
        <f>D90+1</f>
        <v>3</v>
      </c>
      <c r="E91" s="83" t="s">
        <v>1234</v>
      </c>
      <c r="F91" s="44" t="s">
        <v>1139</v>
      </c>
      <c r="G91" s="84">
        <v>1</v>
      </c>
      <c r="H91" s="76"/>
      <c r="I91" s="76"/>
      <c r="J91" s="46">
        <f t="shared" si="49"/>
        <v>3000</v>
      </c>
      <c r="K91" s="85">
        <v>42000</v>
      </c>
      <c r="L91" s="76"/>
      <c r="M91" s="78">
        <f t="shared" si="50"/>
        <v>1260</v>
      </c>
      <c r="N91" s="79"/>
      <c r="O91" s="65"/>
      <c r="P91" s="80">
        <f t="shared" ref="P91:P96" si="61">G91*(K91+L91+M91)</f>
        <v>43260</v>
      </c>
      <c r="Q91" s="78">
        <f t="shared" si="51"/>
        <v>2682.12</v>
      </c>
      <c r="R91" s="78">
        <f t="shared" si="52"/>
        <v>627.27</v>
      </c>
      <c r="S91" s="81">
        <f t="shared" si="53"/>
        <v>1730.4</v>
      </c>
      <c r="T91" s="78">
        <f t="shared" si="54"/>
        <v>525</v>
      </c>
      <c r="U91" s="78">
        <f t="shared" si="55"/>
        <v>1096</v>
      </c>
      <c r="V91" s="79">
        <f t="shared" si="56"/>
        <v>6660.79</v>
      </c>
      <c r="W91" s="68">
        <f t="shared" si="57"/>
        <v>6601.4760000000006</v>
      </c>
      <c r="X91" s="78">
        <f t="shared" si="58"/>
        <v>0</v>
      </c>
      <c r="Y91" s="78">
        <f t="shared" si="59"/>
        <v>0</v>
      </c>
      <c r="Z91" s="78">
        <f t="shared" si="60"/>
        <v>0</v>
      </c>
      <c r="AA91" s="79">
        <f>SUM(W91:Z91)</f>
        <v>6601.4760000000006</v>
      </c>
      <c r="AB91" s="82">
        <f t="shared" ref="AB91:AB96" si="62">19.92*22</f>
        <v>438.24</v>
      </c>
      <c r="AC91" s="70"/>
    </row>
    <row r="92" spans="2:29" x14ac:dyDescent="0.2">
      <c r="C92" s="1" t="s">
        <v>1232</v>
      </c>
      <c r="D92" s="71">
        <f t="shared" ref="D92:D97" si="63">D91+1</f>
        <v>4</v>
      </c>
      <c r="E92" s="83" t="s">
        <v>1235</v>
      </c>
      <c r="F92" s="44" t="s">
        <v>1139</v>
      </c>
      <c r="G92" s="84">
        <v>1</v>
      </c>
      <c r="H92" s="76"/>
      <c r="I92" s="76"/>
      <c r="J92" s="46">
        <f t="shared" si="49"/>
        <v>3000</v>
      </c>
      <c r="K92" s="85">
        <v>32500</v>
      </c>
      <c r="L92" s="76"/>
      <c r="M92" s="78">
        <f t="shared" si="50"/>
        <v>975</v>
      </c>
      <c r="N92" s="79"/>
      <c r="O92" s="65"/>
      <c r="P92" s="80">
        <f t="shared" si="61"/>
        <v>33475</v>
      </c>
      <c r="Q92" s="78">
        <f t="shared" si="51"/>
        <v>2075.4499999999998</v>
      </c>
      <c r="R92" s="78">
        <f t="shared" si="52"/>
        <v>485.39</v>
      </c>
      <c r="S92" s="81">
        <f t="shared" si="53"/>
        <v>1339</v>
      </c>
      <c r="T92" s="78">
        <f t="shared" si="54"/>
        <v>525</v>
      </c>
      <c r="U92" s="78">
        <f t="shared" si="55"/>
        <v>1096</v>
      </c>
      <c r="V92" s="79">
        <f t="shared" si="56"/>
        <v>5520.84</v>
      </c>
      <c r="W92" s="68">
        <f t="shared" si="57"/>
        <v>5108.2850000000008</v>
      </c>
      <c r="X92" s="78">
        <f t="shared" si="58"/>
        <v>0</v>
      </c>
      <c r="Y92" s="78">
        <f t="shared" si="59"/>
        <v>0</v>
      </c>
      <c r="Z92" s="78">
        <f t="shared" si="60"/>
        <v>0</v>
      </c>
      <c r="AA92" s="79">
        <v>5038</v>
      </c>
      <c r="AB92" s="82">
        <f t="shared" si="62"/>
        <v>438.24</v>
      </c>
      <c r="AC92" s="70"/>
    </row>
    <row r="93" spans="2:29" x14ac:dyDescent="0.2">
      <c r="C93" s="142" t="s">
        <v>1236</v>
      </c>
      <c r="D93" s="71">
        <f t="shared" si="63"/>
        <v>5</v>
      </c>
      <c r="E93" s="143" t="s">
        <v>1237</v>
      </c>
      <c r="F93" s="73" t="s">
        <v>1139</v>
      </c>
      <c r="G93" s="74">
        <v>1</v>
      </c>
      <c r="H93" s="75" t="s">
        <v>1142</v>
      </c>
      <c r="I93" s="76"/>
      <c r="J93" s="46">
        <f t="shared" si="49"/>
        <v>0</v>
      </c>
      <c r="K93" s="85">
        <v>32500</v>
      </c>
      <c r="L93" s="76"/>
      <c r="M93" s="78">
        <f t="shared" si="50"/>
        <v>975</v>
      </c>
      <c r="N93" s="79"/>
      <c r="O93" s="65"/>
      <c r="P93" s="80">
        <f t="shared" si="61"/>
        <v>33475</v>
      </c>
      <c r="Q93" s="78">
        <f t="shared" si="51"/>
        <v>2075.4499999999998</v>
      </c>
      <c r="R93" s="78">
        <f t="shared" si="52"/>
        <v>485.39</v>
      </c>
      <c r="S93" s="81">
        <f t="shared" si="53"/>
        <v>1339</v>
      </c>
      <c r="T93" s="78">
        <f t="shared" si="54"/>
        <v>1050</v>
      </c>
      <c r="U93" s="78">
        <f t="shared" si="55"/>
        <v>2192</v>
      </c>
      <c r="V93" s="79">
        <f t="shared" si="56"/>
        <v>7141.84</v>
      </c>
      <c r="W93" s="68">
        <f t="shared" si="57"/>
        <v>5108.2850000000008</v>
      </c>
      <c r="X93" s="78">
        <f t="shared" si="58"/>
        <v>0</v>
      </c>
      <c r="Y93" s="78">
        <f t="shared" si="59"/>
        <v>0</v>
      </c>
      <c r="Z93" s="78">
        <f t="shared" si="60"/>
        <v>0</v>
      </c>
      <c r="AA93" s="79">
        <f>SUM(W93:Z93)</f>
        <v>5108.2850000000008</v>
      </c>
      <c r="AB93" s="82">
        <f t="shared" si="62"/>
        <v>438.24</v>
      </c>
      <c r="AC93" s="70" t="s">
        <v>1238</v>
      </c>
    </row>
    <row r="94" spans="2:29" x14ac:dyDescent="0.2">
      <c r="C94" s="142" t="s">
        <v>1236</v>
      </c>
      <c r="D94" s="71">
        <f t="shared" si="63"/>
        <v>6</v>
      </c>
      <c r="E94" s="83" t="s">
        <v>1239</v>
      </c>
      <c r="F94" s="44" t="s">
        <v>1139</v>
      </c>
      <c r="G94" s="84">
        <v>1</v>
      </c>
      <c r="H94" s="76"/>
      <c r="I94" s="76"/>
      <c r="J94" s="46">
        <f t="shared" si="49"/>
        <v>3000</v>
      </c>
      <c r="K94" s="85">
        <v>36000</v>
      </c>
      <c r="L94" s="76"/>
      <c r="M94" s="78">
        <f t="shared" si="50"/>
        <v>1080</v>
      </c>
      <c r="N94" s="79"/>
      <c r="O94" s="65"/>
      <c r="P94" s="80">
        <f t="shared" si="61"/>
        <v>37080</v>
      </c>
      <c r="Q94" s="78">
        <f t="shared" si="51"/>
        <v>2298.96</v>
      </c>
      <c r="R94" s="78">
        <f t="shared" si="52"/>
        <v>537.66</v>
      </c>
      <c r="S94" s="81">
        <f t="shared" si="53"/>
        <v>1483.2</v>
      </c>
      <c r="T94" s="78">
        <f t="shared" si="54"/>
        <v>525</v>
      </c>
      <c r="U94" s="78">
        <f t="shared" si="55"/>
        <v>1096</v>
      </c>
      <c r="V94" s="79">
        <f t="shared" si="56"/>
        <v>5940.82</v>
      </c>
      <c r="W94" s="68">
        <f t="shared" si="57"/>
        <v>5658.4080000000004</v>
      </c>
      <c r="X94" s="78">
        <f t="shared" si="58"/>
        <v>0</v>
      </c>
      <c r="Y94" s="78">
        <f t="shared" si="59"/>
        <v>0</v>
      </c>
      <c r="Z94" s="78">
        <f t="shared" si="60"/>
        <v>0</v>
      </c>
      <c r="AA94" s="79">
        <f>SUM(W94:Z94)</f>
        <v>5658.4080000000004</v>
      </c>
      <c r="AB94" s="82">
        <f t="shared" si="62"/>
        <v>438.24</v>
      </c>
      <c r="AC94" s="70"/>
    </row>
    <row r="95" spans="2:29" x14ac:dyDescent="0.2">
      <c r="C95" s="142" t="s">
        <v>1230</v>
      </c>
      <c r="D95" s="71">
        <f t="shared" si="63"/>
        <v>7</v>
      </c>
      <c r="E95" s="83" t="s">
        <v>1240</v>
      </c>
      <c r="F95" s="44" t="s">
        <v>1139</v>
      </c>
      <c r="G95" s="84">
        <v>1</v>
      </c>
      <c r="H95" s="76"/>
      <c r="I95" s="76"/>
      <c r="J95" s="46">
        <f t="shared" si="49"/>
        <v>3000</v>
      </c>
      <c r="K95" s="85">
        <v>34806.79</v>
      </c>
      <c r="L95" s="76"/>
      <c r="M95" s="78">
        <f t="shared" si="50"/>
        <v>1044.2037</v>
      </c>
      <c r="N95" s="79"/>
      <c r="O95" s="65">
        <f>P95/24</f>
        <v>1493.7914041666666</v>
      </c>
      <c r="P95" s="80">
        <f t="shared" si="61"/>
        <v>35850.993699999999</v>
      </c>
      <c r="Q95" s="78">
        <f t="shared" si="51"/>
        <v>2222.7600000000002</v>
      </c>
      <c r="R95" s="78">
        <f t="shared" si="52"/>
        <v>519.84</v>
      </c>
      <c r="S95" s="81">
        <f t="shared" si="53"/>
        <v>1434.04</v>
      </c>
      <c r="T95" s="78">
        <f t="shared" si="54"/>
        <v>525</v>
      </c>
      <c r="U95" s="78">
        <f t="shared" si="55"/>
        <v>1096</v>
      </c>
      <c r="V95" s="79">
        <f t="shared" si="56"/>
        <v>5797.64</v>
      </c>
      <c r="W95" s="68">
        <f t="shared" si="57"/>
        <v>5470.8616386200001</v>
      </c>
      <c r="X95" s="78">
        <f t="shared" si="58"/>
        <v>0</v>
      </c>
      <c r="Y95" s="78">
        <f t="shared" si="59"/>
        <v>0</v>
      </c>
      <c r="Z95" s="78">
        <f t="shared" si="60"/>
        <v>0</v>
      </c>
      <c r="AA95" s="79">
        <f>SUM(W95:Z95)</f>
        <v>5470.8616386200001</v>
      </c>
      <c r="AB95" s="82">
        <f t="shared" si="62"/>
        <v>438.24</v>
      </c>
      <c r="AC95" s="70"/>
    </row>
    <row r="96" spans="2:29" x14ac:dyDescent="0.2">
      <c r="C96" s="1" t="s">
        <v>1241</v>
      </c>
      <c r="D96" s="71">
        <f t="shared" si="63"/>
        <v>8</v>
      </c>
      <c r="E96" s="83" t="s">
        <v>1242</v>
      </c>
      <c r="F96" s="44" t="s">
        <v>1139</v>
      </c>
      <c r="G96" s="84">
        <v>1</v>
      </c>
      <c r="H96" s="76"/>
      <c r="I96" s="76"/>
      <c r="J96" s="46">
        <f t="shared" si="49"/>
        <v>3000</v>
      </c>
      <c r="K96" s="85">
        <v>32500</v>
      </c>
      <c r="L96" s="76"/>
      <c r="M96" s="78">
        <f t="shared" si="50"/>
        <v>975</v>
      </c>
      <c r="N96" s="79"/>
      <c r="O96" s="65"/>
      <c r="P96" s="80">
        <f t="shared" si="61"/>
        <v>33475</v>
      </c>
      <c r="Q96" s="78">
        <f t="shared" si="51"/>
        <v>2075.4499999999998</v>
      </c>
      <c r="R96" s="78">
        <f t="shared" si="52"/>
        <v>485.39</v>
      </c>
      <c r="S96" s="81">
        <f t="shared" si="53"/>
        <v>1339</v>
      </c>
      <c r="T96" s="78">
        <f t="shared" si="54"/>
        <v>525</v>
      </c>
      <c r="U96" s="78">
        <f t="shared" si="55"/>
        <v>1096</v>
      </c>
      <c r="V96" s="79">
        <f t="shared" si="56"/>
        <v>5520.84</v>
      </c>
      <c r="W96" s="68">
        <f t="shared" si="57"/>
        <v>5108.2850000000008</v>
      </c>
      <c r="X96" s="78">
        <f t="shared" si="58"/>
        <v>0</v>
      </c>
      <c r="Y96" s="78">
        <f t="shared" si="59"/>
        <v>0</v>
      </c>
      <c r="Z96" s="78">
        <f t="shared" si="60"/>
        <v>0</v>
      </c>
      <c r="AA96" s="79">
        <f>SUM(W96:Z96)</f>
        <v>5108.2850000000008</v>
      </c>
      <c r="AB96" s="82">
        <f t="shared" si="62"/>
        <v>438.24</v>
      </c>
      <c r="AC96" s="70"/>
    </row>
    <row r="97" spans="2:29" x14ac:dyDescent="0.2">
      <c r="B97" s="142"/>
      <c r="C97" s="1" t="s">
        <v>1241</v>
      </c>
      <c r="D97" s="71">
        <f t="shared" si="63"/>
        <v>9</v>
      </c>
      <c r="E97" s="72" t="s">
        <v>1243</v>
      </c>
      <c r="F97" s="73" t="s">
        <v>1139</v>
      </c>
      <c r="G97" s="74">
        <v>1</v>
      </c>
      <c r="H97" s="75" t="s">
        <v>1142</v>
      </c>
      <c r="I97" s="76"/>
      <c r="J97" s="46">
        <f t="shared" si="49"/>
        <v>0</v>
      </c>
      <c r="K97" s="85"/>
      <c r="L97" s="76"/>
      <c r="M97" s="78"/>
      <c r="N97" s="79"/>
      <c r="O97" s="65"/>
      <c r="P97" s="80">
        <f>AVERAGE(P89:P96)</f>
        <v>37402.749212499999</v>
      </c>
      <c r="Q97" s="78">
        <f t="shared" si="51"/>
        <v>2318.9699999999998</v>
      </c>
      <c r="R97" s="78">
        <f t="shared" si="52"/>
        <v>542.34</v>
      </c>
      <c r="S97" s="81">
        <f t="shared" si="53"/>
        <v>1496.11</v>
      </c>
      <c r="T97" s="78">
        <f>IF(H97="new",ROUND(MIN(P97,$T$4)*$T$3*G97*2,2),ROUND(MIN(P97,$T$4)*$T$3*G97,2))</f>
        <v>1050</v>
      </c>
      <c r="U97" s="78">
        <f>IF(H97="new",ROUND(MIN(P97,$U$4)*$U$3*G97*2,2),ROUND(MIN(P97,$U$4)*$U$3*G97,2))</f>
        <v>2192</v>
      </c>
      <c r="V97" s="79">
        <f>SUM(Q97:U97)</f>
        <v>7599.42</v>
      </c>
      <c r="W97" s="68">
        <f t="shared" si="57"/>
        <v>5707.6595298275006</v>
      </c>
      <c r="X97" s="78">
        <f>IF(I97="x",0,IF(H97="new",ROUND(X$4*12*0.9*G97,2),ROUND(X$4*12*G97,2)))</f>
        <v>0</v>
      </c>
      <c r="Y97" s="78">
        <f>IF(I97="x",0,IF(H97="new",ROUND(Y$4*12*0.9*G97,2),ROUND(Y$4*12*G97,2)))</f>
        <v>0</v>
      </c>
      <c r="Z97" s="78">
        <f>ROUND((Z$3*(MIN(P97,10000)/1000))+((P97/1000)*(Z$4)),2)</f>
        <v>0</v>
      </c>
      <c r="AA97" s="79">
        <f>SUM(W97:Z97)</f>
        <v>5707.6595298275006</v>
      </c>
      <c r="AB97" s="82">
        <f>19.81*22</f>
        <v>435.82</v>
      </c>
      <c r="AC97" s="70"/>
    </row>
    <row r="98" spans="2:29" x14ac:dyDescent="0.2">
      <c r="B98" s="144">
        <f>COUNTIF($C$89:$C$97,C98)</f>
        <v>2</v>
      </c>
      <c r="C98" s="144" t="s">
        <v>1230</v>
      </c>
      <c r="D98" s="71"/>
      <c r="E98" s="151"/>
      <c r="F98" s="44"/>
      <c r="G98" s="84"/>
      <c r="H98" s="76"/>
      <c r="I98" s="76"/>
      <c r="J98" s="46"/>
      <c r="K98" s="76"/>
      <c r="L98" s="76"/>
      <c r="M98" s="78"/>
      <c r="N98" s="79"/>
      <c r="O98" s="65"/>
      <c r="P98" s="111"/>
      <c r="Q98" s="78"/>
      <c r="R98" s="78"/>
      <c r="S98" s="78"/>
      <c r="T98" s="78"/>
      <c r="U98" s="78"/>
      <c r="V98" s="79"/>
      <c r="W98" s="68"/>
      <c r="X98" s="78"/>
      <c r="Y98" s="78"/>
      <c r="Z98" s="78"/>
      <c r="AA98" s="79"/>
      <c r="AB98" s="82"/>
      <c r="AC98" s="70"/>
    </row>
    <row r="99" spans="2:29" x14ac:dyDescent="0.2">
      <c r="B99" s="144">
        <f>COUNTIF($C$89:$C$97,C99)</f>
        <v>3</v>
      </c>
      <c r="C99" s="144" t="s">
        <v>1232</v>
      </c>
      <c r="D99" s="71"/>
      <c r="E99" s="151"/>
      <c r="F99" s="44"/>
      <c r="G99" s="84"/>
      <c r="H99" s="76"/>
      <c r="I99" s="76"/>
      <c r="J99" s="46"/>
      <c r="K99" s="76"/>
      <c r="L99" s="76"/>
      <c r="M99" s="78"/>
      <c r="N99" s="79"/>
      <c r="O99" s="65"/>
      <c r="P99" s="111"/>
      <c r="Q99" s="78"/>
      <c r="R99" s="78"/>
      <c r="S99" s="78"/>
      <c r="T99" s="78"/>
      <c r="U99" s="78"/>
      <c r="V99" s="79"/>
      <c r="W99" s="68"/>
      <c r="X99" s="78"/>
      <c r="Y99" s="78"/>
      <c r="Z99" s="78"/>
      <c r="AA99" s="79"/>
      <c r="AB99" s="82"/>
      <c r="AC99" s="70"/>
    </row>
    <row r="100" spans="2:29" x14ac:dyDescent="0.2">
      <c r="B100" s="144">
        <f>COUNTIF($C$89:$C$97,C100)</f>
        <v>2</v>
      </c>
      <c r="C100" s="144" t="s">
        <v>1236</v>
      </c>
      <c r="D100" s="71"/>
      <c r="E100" s="151"/>
      <c r="F100" s="44"/>
      <c r="G100" s="84"/>
      <c r="H100" s="76"/>
      <c r="I100" s="76"/>
      <c r="J100" s="46"/>
      <c r="K100" s="76"/>
      <c r="L100" s="76"/>
      <c r="M100" s="78"/>
      <c r="N100" s="79"/>
      <c r="O100" s="65"/>
      <c r="P100" s="111"/>
      <c r="Q100" s="78"/>
      <c r="R100" s="78"/>
      <c r="S100" s="78"/>
      <c r="T100" s="78"/>
      <c r="U100" s="78"/>
      <c r="V100" s="79"/>
      <c r="W100" s="68"/>
      <c r="X100" s="78"/>
      <c r="Y100" s="78"/>
      <c r="Z100" s="78"/>
      <c r="AA100" s="79"/>
      <c r="AB100" s="82"/>
      <c r="AC100" s="70"/>
    </row>
    <row r="101" spans="2:29" x14ac:dyDescent="0.2">
      <c r="B101" s="144">
        <f>COUNTIF($C$89:$C$97,C101)</f>
        <v>2</v>
      </c>
      <c r="C101" s="144" t="s">
        <v>1241</v>
      </c>
      <c r="D101" s="71"/>
      <c r="E101" s="151"/>
      <c r="F101" s="44"/>
      <c r="G101" s="84"/>
      <c r="H101" s="76"/>
      <c r="I101" s="76"/>
      <c r="J101" s="46"/>
      <c r="K101" s="76"/>
      <c r="L101" s="76"/>
      <c r="M101" s="78"/>
      <c r="N101" s="79"/>
      <c r="O101" s="65"/>
      <c r="P101" s="111"/>
      <c r="Q101" s="78"/>
      <c r="R101" s="78"/>
      <c r="S101" s="78"/>
      <c r="T101" s="78"/>
      <c r="U101" s="78"/>
      <c r="V101" s="79"/>
      <c r="W101" s="68"/>
      <c r="X101" s="78"/>
      <c r="Y101" s="78"/>
      <c r="Z101" s="78"/>
      <c r="AA101" s="79"/>
      <c r="AB101" s="82"/>
      <c r="AC101" s="70"/>
    </row>
    <row r="102" spans="2:29" ht="13.5" thickBot="1" x14ac:dyDescent="0.25">
      <c r="B102" s="1">
        <v>6000</v>
      </c>
      <c r="D102" s="155"/>
      <c r="E102" s="115" t="s">
        <v>1214</v>
      </c>
      <c r="F102" s="115"/>
      <c r="G102" s="152"/>
      <c r="H102" s="118"/>
      <c r="I102" s="118"/>
      <c r="J102" s="119">
        <f>3000*2</f>
        <v>6000</v>
      </c>
      <c r="K102" s="120">
        <f>+J102</f>
        <v>6000</v>
      </c>
      <c r="L102" s="118"/>
      <c r="M102" s="121"/>
      <c r="N102" s="121"/>
      <c r="O102" s="156"/>
      <c r="P102" s="122">
        <v>6000</v>
      </c>
      <c r="Q102" s="123">
        <f t="shared" si="51"/>
        <v>372</v>
      </c>
      <c r="R102" s="123">
        <f t="shared" si="52"/>
        <v>87</v>
      </c>
      <c r="S102" s="123">
        <v>0</v>
      </c>
      <c r="T102" s="123">
        <v>0</v>
      </c>
      <c r="U102" s="123">
        <f t="shared" si="55"/>
        <v>0</v>
      </c>
      <c r="V102" s="124">
        <f t="shared" si="56"/>
        <v>459</v>
      </c>
      <c r="W102" s="123">
        <v>0</v>
      </c>
      <c r="X102" s="123">
        <v>0</v>
      </c>
      <c r="Y102" s="123">
        <v>0</v>
      </c>
      <c r="Z102" s="123">
        <v>0</v>
      </c>
      <c r="AA102" s="124">
        <f>SUM(W102:Z102)</f>
        <v>0</v>
      </c>
      <c r="AB102" s="125">
        <v>0</v>
      </c>
      <c r="AC102" s="70"/>
    </row>
    <row r="103" spans="2:29" ht="13.5" thickBot="1" x14ac:dyDescent="0.25">
      <c r="B103" s="126">
        <f>SUM(B89:B102)</f>
        <v>75106</v>
      </c>
      <c r="C103" s="126"/>
      <c r="D103" s="114"/>
      <c r="E103" s="127" t="s">
        <v>1244</v>
      </c>
      <c r="F103" s="128"/>
      <c r="G103" s="128"/>
      <c r="H103" s="129"/>
      <c r="I103" s="129"/>
      <c r="J103" s="130"/>
      <c r="K103" s="129"/>
      <c r="L103" s="129">
        <f>SUM(L89:L102)</f>
        <v>0</v>
      </c>
      <c r="M103" s="129"/>
      <c r="N103" s="129"/>
      <c r="O103" s="153"/>
      <c r="P103" s="132">
        <f t="shared" ref="P103:AB103" si="64">SUM(P89:P102)</f>
        <v>342624.74291249999</v>
      </c>
      <c r="Q103" s="129">
        <f t="shared" si="64"/>
        <v>21242.73</v>
      </c>
      <c r="R103" s="129">
        <f t="shared" si="64"/>
        <v>4968.07</v>
      </c>
      <c r="S103" s="129">
        <f t="shared" si="64"/>
        <v>13464.990000000002</v>
      </c>
      <c r="T103" s="129">
        <f t="shared" si="64"/>
        <v>5775</v>
      </c>
      <c r="U103" s="129">
        <f t="shared" si="64"/>
        <v>12056</v>
      </c>
      <c r="V103" s="129">
        <f t="shared" si="64"/>
        <v>57506.789999999994</v>
      </c>
      <c r="W103" s="129">
        <f t="shared" si="64"/>
        <v>51368.935768447511</v>
      </c>
      <c r="X103" s="133">
        <f t="shared" si="64"/>
        <v>0</v>
      </c>
      <c r="Y103" s="129">
        <f t="shared" si="64"/>
        <v>0</v>
      </c>
      <c r="Z103" s="129">
        <f t="shared" si="64"/>
        <v>0</v>
      </c>
      <c r="AA103" s="129">
        <f t="shared" si="64"/>
        <v>51298.650768447507</v>
      </c>
      <c r="AB103" s="134">
        <f t="shared" si="64"/>
        <v>3985.7399999999993</v>
      </c>
      <c r="AC103" s="70"/>
    </row>
    <row r="104" spans="2:29" x14ac:dyDescent="0.2">
      <c r="B104" s="87">
        <f>(P103-B103)</f>
        <v>267518.74291249999</v>
      </c>
      <c r="C104" s="87"/>
      <c r="E104" s="110"/>
      <c r="F104" s="110"/>
      <c r="G104" s="158"/>
      <c r="H104" s="76"/>
      <c r="I104" s="76"/>
      <c r="J104" s="46"/>
      <c r="K104" s="159"/>
      <c r="L104" s="159"/>
      <c r="M104" s="111"/>
      <c r="N104" s="111"/>
      <c r="O104" s="149"/>
      <c r="P104" s="111"/>
      <c r="Q104" s="160"/>
      <c r="R104" s="160"/>
      <c r="S104" s="160"/>
      <c r="T104" s="160"/>
      <c r="U104" s="160"/>
      <c r="V104" s="161"/>
      <c r="W104" s="160"/>
      <c r="X104" s="160"/>
      <c r="Y104" s="160"/>
      <c r="Z104" s="160"/>
      <c r="AA104" s="161"/>
      <c r="AB104" s="161"/>
      <c r="AC104" s="70"/>
    </row>
    <row r="105" spans="2:29" ht="13.5" thickBot="1" x14ac:dyDescent="0.25">
      <c r="D105" s="1"/>
      <c r="E105" s="147"/>
      <c r="F105" s="148"/>
      <c r="G105" s="148"/>
      <c r="H105" s="111"/>
      <c r="I105" s="111"/>
      <c r="J105" s="154"/>
      <c r="K105" s="111"/>
      <c r="L105" s="111"/>
      <c r="M105" s="121"/>
      <c r="N105" s="111"/>
      <c r="O105" s="149"/>
      <c r="P105" s="111"/>
      <c r="Q105" s="111"/>
      <c r="R105" s="111"/>
      <c r="S105" s="129"/>
      <c r="T105" s="111"/>
      <c r="U105" s="111"/>
      <c r="V105" s="111"/>
      <c r="W105" s="111"/>
      <c r="X105" s="111"/>
      <c r="Y105" s="111"/>
      <c r="Z105" s="111"/>
      <c r="AA105" s="111"/>
      <c r="AB105" s="111"/>
      <c r="AC105" s="70"/>
    </row>
    <row r="106" spans="2:29" x14ac:dyDescent="0.2">
      <c r="B106" s="142">
        <v>42541</v>
      </c>
      <c r="C106" s="142" t="s">
        <v>1245</v>
      </c>
      <c r="D106" s="56">
        <v>1</v>
      </c>
      <c r="E106" s="57" t="s">
        <v>1246</v>
      </c>
      <c r="F106" s="58" t="s">
        <v>1139</v>
      </c>
      <c r="G106" s="59">
        <v>1</v>
      </c>
      <c r="H106" s="60"/>
      <c r="I106" s="60"/>
      <c r="J106" s="61">
        <f>IF(H106="NEW",0,3000)</f>
        <v>3000</v>
      </c>
      <c r="K106" s="62">
        <v>32960</v>
      </c>
      <c r="L106" s="60"/>
      <c r="M106" s="78">
        <f>K106*$M$4</f>
        <v>988.8</v>
      </c>
      <c r="N106" s="64"/>
      <c r="O106" s="139"/>
      <c r="P106" s="66">
        <f>G106*(K106+L106+M106)</f>
        <v>33948.800000000003</v>
      </c>
      <c r="Q106" s="63">
        <f>ROUND(MIN(P106,Q$4)*Q$3,2)</f>
        <v>2104.83</v>
      </c>
      <c r="R106" s="63">
        <f>ROUND(P106*$R$3,2)</f>
        <v>492.26</v>
      </c>
      <c r="S106" s="67">
        <f>ROUND(P106*0.04,2)</f>
        <v>1357.95</v>
      </c>
      <c r="T106" s="63">
        <f>IF(H106="new",ROUND(MIN(P106,$T$4)*$T$3*G106*2,2),ROUND(MIN(P106,$T$4)*$T$3*G106,2))</f>
        <v>525</v>
      </c>
      <c r="U106" s="63">
        <f>IF(H106="new",ROUND(MIN(P106,$U$4)*$U$3*G106*2,2),ROUND(MIN(P106,$U$4)*$U$3*G106,2))</f>
        <v>1096</v>
      </c>
      <c r="V106" s="64">
        <f>SUM(Q106:U106)</f>
        <v>5576.04</v>
      </c>
      <c r="W106" s="140">
        <f>P106*$W$3</f>
        <v>5180.5868800000007</v>
      </c>
      <c r="X106" s="63">
        <f>IF(I106="x",0,IF(H106="new",ROUND(X$4*12*0.9*G106,2),ROUND(X$4*12*G106,2)))</f>
        <v>0</v>
      </c>
      <c r="Y106" s="63">
        <f>IF(I106="x",0,IF(H106="new",ROUND(Y$4*12*0.9*G106,2),ROUND(Y$4*12*G106,2)))</f>
        <v>0</v>
      </c>
      <c r="Z106" s="63">
        <f>ROUND((Z$3*(MIN(P106,10000)/1000))+((P106/1000)*(Z$4)),2)</f>
        <v>0</v>
      </c>
      <c r="AA106" s="64">
        <f>SUM(W106:Z106)</f>
        <v>5180.5868800000007</v>
      </c>
      <c r="AB106" s="69">
        <f>24.26*22</f>
        <v>533.72</v>
      </c>
      <c r="AC106" s="70"/>
    </row>
    <row r="107" spans="2:29" x14ac:dyDescent="0.2">
      <c r="B107" s="142"/>
      <c r="C107" s="142" t="s">
        <v>1245</v>
      </c>
      <c r="D107" s="71">
        <v>2</v>
      </c>
      <c r="E107" s="83" t="s">
        <v>1247</v>
      </c>
      <c r="F107" s="44" t="s">
        <v>1139</v>
      </c>
      <c r="G107" s="84">
        <v>1</v>
      </c>
      <c r="H107" s="76"/>
      <c r="I107" s="76"/>
      <c r="J107" s="46">
        <f>IF(H107="NEW",0,3000)</f>
        <v>3000</v>
      </c>
      <c r="K107" s="85">
        <v>39000</v>
      </c>
      <c r="L107" s="76"/>
      <c r="M107" s="78">
        <f>K107*$M$4</f>
        <v>1170</v>
      </c>
      <c r="N107" s="79"/>
      <c r="O107" s="65">
        <f>P107/24</f>
        <v>1673.75</v>
      </c>
      <c r="P107" s="80">
        <f>G107*(K107+L107+M107)</f>
        <v>40170</v>
      </c>
      <c r="Q107" s="78">
        <f>ROUND(MIN(P107,Q$4)*Q$3,2)</f>
        <v>2490.54</v>
      </c>
      <c r="R107" s="78">
        <f>ROUND(P107*$R$3,2)</f>
        <v>582.47</v>
      </c>
      <c r="S107" s="81">
        <f>ROUND(P107*0.04,2)</f>
        <v>1606.8</v>
      </c>
      <c r="T107" s="78">
        <f>IF(H107="new",ROUND(MIN(P107,$T$4)*$T$3*G107*2,2),ROUND(MIN(P107,$T$4)*$T$3*G107,2))</f>
        <v>525</v>
      </c>
      <c r="U107" s="78">
        <f>IF(H107="new",ROUND(MIN(P107,$U$4)*$U$3*G107*2,2),ROUND(MIN(P107,$U$4)*$U$3*G107,2))</f>
        <v>1096</v>
      </c>
      <c r="V107" s="79">
        <f>SUM(Q107:U107)</f>
        <v>6300.81</v>
      </c>
      <c r="W107" s="68">
        <f>P107*$W$3</f>
        <v>6129.9420000000009</v>
      </c>
      <c r="X107" s="78">
        <f>IF(I107="x",0,IF(H107="new",ROUND(X$4*12*0.9*G107,2),ROUND(X$4*12*G107,2)))</f>
        <v>0</v>
      </c>
      <c r="Y107" s="78">
        <f>IF(I107="x",0,IF(H107="new",ROUND(Y$4*12*0.9*G107,2),ROUND(Y$4*12*G107,2)))</f>
        <v>0</v>
      </c>
      <c r="Z107" s="78">
        <f>ROUND((Z$3*(MIN(P107,10000)/1000))+((P107/1000)*(Z$4)),2)</f>
        <v>0</v>
      </c>
      <c r="AA107" s="79">
        <f>SUM(W107:Z107)</f>
        <v>6129.9420000000009</v>
      </c>
      <c r="AB107" s="162">
        <f>24.26*22</f>
        <v>533.72</v>
      </c>
      <c r="AC107" s="70"/>
    </row>
    <row r="108" spans="2:29" x14ac:dyDescent="0.2">
      <c r="B108" s="142"/>
      <c r="C108" s="142"/>
      <c r="D108" s="71"/>
      <c r="E108" s="110"/>
      <c r="F108" s="44"/>
      <c r="G108" s="84"/>
      <c r="H108" s="76"/>
      <c r="I108" s="76"/>
      <c r="J108" s="46"/>
      <c r="K108" s="76"/>
      <c r="L108" s="76"/>
      <c r="M108" s="79"/>
      <c r="N108" s="79"/>
      <c r="O108" s="65"/>
      <c r="P108" s="111"/>
      <c r="Q108" s="78"/>
      <c r="R108" s="78"/>
      <c r="S108" s="78"/>
      <c r="T108" s="78"/>
      <c r="U108" s="78"/>
      <c r="V108" s="79"/>
      <c r="W108" s="68"/>
      <c r="X108" s="78"/>
      <c r="Y108" s="78"/>
      <c r="Z108" s="78"/>
      <c r="AA108" s="79"/>
      <c r="AB108" s="82"/>
      <c r="AC108" s="70"/>
    </row>
    <row r="109" spans="2:29" ht="13.5" thickBot="1" x14ac:dyDescent="0.25">
      <c r="B109" s="1">
        <v>3000</v>
      </c>
      <c r="D109" s="114"/>
      <c r="E109" s="115" t="s">
        <v>1214</v>
      </c>
      <c r="F109" s="115"/>
      <c r="G109" s="152"/>
      <c r="H109" s="118"/>
      <c r="I109" s="118"/>
      <c r="J109" s="119">
        <f>SUM(J106:J108)</f>
        <v>6000</v>
      </c>
      <c r="K109" s="120">
        <f>+J109</f>
        <v>6000</v>
      </c>
      <c r="L109" s="118"/>
      <c r="M109" s="121"/>
      <c r="N109" s="121"/>
      <c r="O109" s="156"/>
      <c r="P109" s="122">
        <v>3000</v>
      </c>
      <c r="Q109" s="123">
        <f>ROUND(MIN(P109,Q$4)*Q$3,2)</f>
        <v>186</v>
      </c>
      <c r="R109" s="123">
        <f>ROUND(P109*$R$3,2)</f>
        <v>43.5</v>
      </c>
      <c r="S109" s="123">
        <v>0</v>
      </c>
      <c r="T109" s="123">
        <v>0</v>
      </c>
      <c r="U109" s="123">
        <f>IF(H109="new",ROUND(MIN(P109,$U$4)*$U$3*G109*2,2),ROUND(MIN(P109,$U$4)*$U$3*G109,2))</f>
        <v>0</v>
      </c>
      <c r="V109" s="124">
        <f>SUM(Q109:U109)</f>
        <v>229.5</v>
      </c>
      <c r="W109" s="123">
        <v>0</v>
      </c>
      <c r="X109" s="123">
        <v>0</v>
      </c>
      <c r="Y109" s="123">
        <v>0</v>
      </c>
      <c r="Z109" s="123">
        <v>0</v>
      </c>
      <c r="AA109" s="124">
        <f>SUM(W109:Z109)</f>
        <v>0</v>
      </c>
      <c r="AB109" s="125"/>
      <c r="AC109" s="70"/>
    </row>
    <row r="110" spans="2:29" ht="13.5" thickBot="1" x14ac:dyDescent="0.25">
      <c r="B110" s="126">
        <f>SUM(B106:B109)</f>
        <v>45541</v>
      </c>
      <c r="C110" s="126"/>
      <c r="D110" s="114"/>
      <c r="E110" s="127" t="s">
        <v>1248</v>
      </c>
      <c r="F110" s="128"/>
      <c r="G110" s="128"/>
      <c r="H110" s="129"/>
      <c r="I110" s="129"/>
      <c r="J110" s="130"/>
      <c r="K110" s="129"/>
      <c r="L110" s="129">
        <f>SUM(L106:L109)</f>
        <v>0</v>
      </c>
      <c r="M110" s="129"/>
      <c r="N110" s="129"/>
      <c r="O110" s="153"/>
      <c r="P110" s="132">
        <f t="shared" ref="P110:AB110" si="65">SUM(P106:P109)</f>
        <v>77118.8</v>
      </c>
      <c r="Q110" s="129">
        <f t="shared" si="65"/>
        <v>4781.37</v>
      </c>
      <c r="R110" s="129">
        <f t="shared" si="65"/>
        <v>1118.23</v>
      </c>
      <c r="S110" s="129">
        <f t="shared" si="65"/>
        <v>2964.75</v>
      </c>
      <c r="T110" s="129">
        <f t="shared" si="65"/>
        <v>1050</v>
      </c>
      <c r="U110" s="129">
        <f t="shared" si="65"/>
        <v>2192</v>
      </c>
      <c r="V110" s="129">
        <f t="shared" si="65"/>
        <v>12106.35</v>
      </c>
      <c r="W110" s="129">
        <f t="shared" si="65"/>
        <v>11310.528880000002</v>
      </c>
      <c r="X110" s="133">
        <f t="shared" si="65"/>
        <v>0</v>
      </c>
      <c r="Y110" s="129">
        <f t="shared" si="65"/>
        <v>0</v>
      </c>
      <c r="Z110" s="129">
        <f t="shared" si="65"/>
        <v>0</v>
      </c>
      <c r="AA110" s="129">
        <f t="shared" si="65"/>
        <v>11310.528880000002</v>
      </c>
      <c r="AB110" s="134">
        <f t="shared" si="65"/>
        <v>1067.44</v>
      </c>
      <c r="AC110" s="70"/>
    </row>
    <row r="111" spans="2:29" x14ac:dyDescent="0.2">
      <c r="B111" s="87">
        <f>(P110-B110)</f>
        <v>31577.800000000003</v>
      </c>
      <c r="C111" s="87"/>
      <c r="E111" s="110"/>
      <c r="F111" s="110"/>
      <c r="G111" s="158"/>
      <c r="H111" s="76"/>
      <c r="I111" s="76"/>
      <c r="J111" s="46"/>
      <c r="K111" s="159"/>
      <c r="L111" s="159"/>
      <c r="M111" s="111"/>
      <c r="N111" s="111"/>
      <c r="O111" s="149"/>
      <c r="P111" s="111"/>
      <c r="Q111" s="160"/>
      <c r="R111" s="160"/>
      <c r="S111" s="160"/>
      <c r="T111" s="160"/>
      <c r="U111" s="160"/>
      <c r="V111" s="161"/>
      <c r="W111" s="160"/>
      <c r="X111" s="160"/>
      <c r="Y111" s="160"/>
      <c r="Z111" s="160"/>
      <c r="AA111" s="161"/>
      <c r="AB111" s="161"/>
      <c r="AC111" s="70"/>
    </row>
    <row r="112" spans="2:29" ht="13.5" thickBot="1" x14ac:dyDescent="0.25">
      <c r="D112" s="1"/>
      <c r="E112" s="147"/>
      <c r="F112" s="148"/>
      <c r="G112" s="148"/>
      <c r="H112" s="111"/>
      <c r="I112" s="111"/>
      <c r="J112" s="154"/>
      <c r="K112" s="111"/>
      <c r="L112" s="111"/>
      <c r="M112" s="121"/>
      <c r="N112" s="111"/>
      <c r="O112" s="149"/>
      <c r="P112" s="111"/>
      <c r="Q112" s="111"/>
      <c r="R112" s="111"/>
      <c r="S112" s="129"/>
      <c r="T112" s="111"/>
      <c r="U112" s="111"/>
      <c r="V112" s="111"/>
      <c r="W112" s="111"/>
      <c r="X112" s="111"/>
      <c r="Y112" s="111"/>
      <c r="Z112" s="111"/>
      <c r="AA112" s="111"/>
      <c r="AB112" s="111"/>
      <c r="AC112" s="70"/>
    </row>
    <row r="113" spans="2:29" x14ac:dyDescent="0.2">
      <c r="B113" s="142">
        <v>39840</v>
      </c>
      <c r="C113" s="142" t="s">
        <v>1249</v>
      </c>
      <c r="D113" s="56">
        <v>1</v>
      </c>
      <c r="E113" s="57" t="s">
        <v>1250</v>
      </c>
      <c r="F113" s="58" t="s">
        <v>1139</v>
      </c>
      <c r="G113" s="59">
        <v>1</v>
      </c>
      <c r="H113" s="60"/>
      <c r="I113" s="60"/>
      <c r="J113" s="61">
        <f>IF(H113="NEW",0,3000)</f>
        <v>3000</v>
      </c>
      <c r="K113" s="62">
        <v>41855</v>
      </c>
      <c r="L113" s="60"/>
      <c r="M113" s="78">
        <f>K113*$M$4</f>
        <v>1255.6499999999999</v>
      </c>
      <c r="N113" s="64"/>
      <c r="O113" s="139"/>
      <c r="P113" s="66">
        <f>G113*(K113+L113+M113)</f>
        <v>43110.65</v>
      </c>
      <c r="Q113" s="63">
        <f>ROUND(MIN(P113,Q$4)*Q$3,2)</f>
        <v>2672.86</v>
      </c>
      <c r="R113" s="63">
        <f>ROUND(P113*$R$3,2)</f>
        <v>625.1</v>
      </c>
      <c r="S113" s="67">
        <f>ROUND(P113*0.04,2)</f>
        <v>1724.43</v>
      </c>
      <c r="T113" s="63">
        <f>IF(H113="new",ROUND(MIN(P113,$T$4)*$T$3*G113*2,2),ROUND(MIN(P113,$T$4)*$T$3*G113,2))</f>
        <v>525</v>
      </c>
      <c r="U113" s="63">
        <f>IF(H113="new",ROUND(MIN(P113,$U$4)*$U$3*G113*2,2),ROUND(MIN(P113,$U$4)*$U$3*G113,2))</f>
        <v>1096</v>
      </c>
      <c r="V113" s="64">
        <f>SUM(Q113:U113)</f>
        <v>6643.39</v>
      </c>
      <c r="W113" s="140">
        <f>P113*$W$3</f>
        <v>6578.6851900000011</v>
      </c>
      <c r="X113" s="63">
        <f>IF(I113="x",0,IF(H113="new",ROUND(X$4*12*0.9*G113,2),ROUND(X$4*12*G113,2)))</f>
        <v>0</v>
      </c>
      <c r="Y113" s="63">
        <f>IF(I113="x",0,IF(H113="new",ROUND(Y$4*12*0.9*G113,2),ROUND(Y$4*12*G113,2)))</f>
        <v>0</v>
      </c>
      <c r="Z113" s="63">
        <f>ROUND((Z$3*(MIN(P113,10000)/1000))+((P113/1000)*(Z$4)),2)</f>
        <v>0</v>
      </c>
      <c r="AA113" s="64">
        <f>SUM(W113:Z113)</f>
        <v>6578.6851900000011</v>
      </c>
      <c r="AB113" s="69">
        <f>23.02*22</f>
        <v>506.44</v>
      </c>
      <c r="AC113" s="70"/>
    </row>
    <row r="114" spans="2:29" x14ac:dyDescent="0.2">
      <c r="B114" s="142"/>
      <c r="C114" s="142" t="s">
        <v>1249</v>
      </c>
      <c r="D114" s="71">
        <f>+D113+1</f>
        <v>2</v>
      </c>
      <c r="E114" s="72" t="s">
        <v>1251</v>
      </c>
      <c r="F114" s="73" t="s">
        <v>1139</v>
      </c>
      <c r="G114" s="74">
        <v>1</v>
      </c>
      <c r="H114" s="75" t="s">
        <v>1142</v>
      </c>
      <c r="I114" s="76"/>
      <c r="J114" s="46">
        <f>IF(H114="NEW",0,3000)</f>
        <v>0</v>
      </c>
      <c r="K114" s="85">
        <v>42000</v>
      </c>
      <c r="L114" s="76"/>
      <c r="M114" s="78">
        <f>K114*$M$4</f>
        <v>1260</v>
      </c>
      <c r="N114" s="79"/>
      <c r="O114" s="65">
        <f>P114/24</f>
        <v>1802.5</v>
      </c>
      <c r="P114" s="80">
        <f>G114*(K114+L114+M114)</f>
        <v>43260</v>
      </c>
      <c r="Q114" s="78">
        <f>ROUND(MIN(P114,Q$4)*Q$3,2)</f>
        <v>2682.12</v>
      </c>
      <c r="R114" s="78">
        <f>ROUND(P114*$R$3,2)</f>
        <v>627.27</v>
      </c>
      <c r="S114" s="81">
        <f>ROUND(P114*0.04,2)</f>
        <v>1730.4</v>
      </c>
      <c r="T114" s="78">
        <f>IF(H114="new",ROUND(MIN(P114,$T$4)*$T$3*G114*2,2),ROUND(MIN(P114,$T$4)*$T$3*G114,2))</f>
        <v>1050</v>
      </c>
      <c r="U114" s="78">
        <f>IF(H114="new",ROUND(MIN(P114,$U$4)*$U$3*G114*2,2),ROUND(MIN(P114,$U$4)*$U$3*G114,2))</f>
        <v>2192</v>
      </c>
      <c r="V114" s="79">
        <f>SUM(Q114:U114)</f>
        <v>8281.7900000000009</v>
      </c>
      <c r="W114" s="68">
        <f>P114*$W$3</f>
        <v>6601.4760000000006</v>
      </c>
      <c r="X114" s="78">
        <f>IF(I114="x",0,IF(H114="new",ROUND(X$4*12*0.9*G114,2),ROUND(X$4*12*G114,2)))</f>
        <v>0</v>
      </c>
      <c r="Y114" s="78">
        <f>IF(I114="x",0,IF(H114="new",ROUND(Y$4*12*0.9*G114,2),ROUND(Y$4*12*G114,2)))</f>
        <v>0</v>
      </c>
      <c r="Z114" s="78">
        <f>ROUND((Z$3*(MIN(P114,10000)/1000))+((P114/1000)*(Z$4)),2)</f>
        <v>0</v>
      </c>
      <c r="AA114" s="79">
        <f>SUM(W114:Z114)</f>
        <v>6601.4760000000006</v>
      </c>
      <c r="AB114" s="162">
        <f>23.02*22</f>
        <v>506.44</v>
      </c>
      <c r="AC114" s="70"/>
    </row>
    <row r="115" spans="2:29" x14ac:dyDescent="0.2">
      <c r="B115" s="142"/>
      <c r="C115" s="142" t="s">
        <v>1249</v>
      </c>
      <c r="D115" s="71">
        <f>+D114+1</f>
        <v>3</v>
      </c>
      <c r="E115" s="83" t="s">
        <v>1252</v>
      </c>
      <c r="F115" s="44" t="s">
        <v>1139</v>
      </c>
      <c r="G115" s="84">
        <v>1</v>
      </c>
      <c r="H115" s="76"/>
      <c r="I115" s="76"/>
      <c r="J115" s="46">
        <f>IF(H115="NEW",0,3000)</f>
        <v>3000</v>
      </c>
      <c r="K115" s="85">
        <v>32500</v>
      </c>
      <c r="L115" s="76"/>
      <c r="M115" s="78">
        <f>K115*$M$4</f>
        <v>975</v>
      </c>
      <c r="N115" s="79"/>
      <c r="O115" s="65"/>
      <c r="P115" s="80">
        <f>G115*(K115+L115+M115)</f>
        <v>33475</v>
      </c>
      <c r="Q115" s="78">
        <f>ROUND(MIN(P115,Q$4)*Q$3,2)</f>
        <v>2075.4499999999998</v>
      </c>
      <c r="R115" s="78">
        <f>ROUND(P115*$R$3,2)</f>
        <v>485.39</v>
      </c>
      <c r="S115" s="81">
        <f>ROUND(P115*0.04,2)</f>
        <v>1339</v>
      </c>
      <c r="T115" s="78">
        <f>IF(H115="new",ROUND(MIN(P115,$T$4)*$T$3*G115*2,2),ROUND(MIN(P115,$T$4)*$T$3*G115,2))</f>
        <v>525</v>
      </c>
      <c r="U115" s="78">
        <f>IF(H115="new",ROUND(MIN(P115,$U$4)*$U$3*G115*2,2),ROUND(MIN(P115,$U$4)*$U$3*G115,2))</f>
        <v>1096</v>
      </c>
      <c r="V115" s="79">
        <f>SUM(Q115:U115)</f>
        <v>5520.84</v>
      </c>
      <c r="W115" s="68">
        <f>P115*$W$3</f>
        <v>5108.2850000000008</v>
      </c>
      <c r="X115" s="78">
        <f>IF(I115="x",0,IF(H115="new",ROUND(X$4*12*0.9*G115,2),ROUND(X$4*12*G115,2)))</f>
        <v>0</v>
      </c>
      <c r="Y115" s="78">
        <f>IF(I115="x",0,IF(H115="new",ROUND(Y$4*12*0.9*G115,2),ROUND(Y$4*12*G115,2)))</f>
        <v>0</v>
      </c>
      <c r="Z115" s="78">
        <f>ROUND((Z$3*(MIN(P115,10000)/1000))+((P115/1000)*(Z$4)),2)</f>
        <v>0</v>
      </c>
      <c r="AA115" s="79">
        <f>SUM(W115:Z115)</f>
        <v>5108.2850000000008</v>
      </c>
      <c r="AB115" s="82">
        <f>23.02*22</f>
        <v>506.44</v>
      </c>
      <c r="AC115" s="70"/>
    </row>
    <row r="116" spans="2:29" x14ac:dyDescent="0.2">
      <c r="B116" s="142"/>
      <c r="C116" s="142"/>
      <c r="D116" s="71"/>
      <c r="E116" s="110"/>
      <c r="F116" s="44"/>
      <c r="G116" s="84"/>
      <c r="H116" s="76"/>
      <c r="I116" s="76"/>
      <c r="J116" s="46"/>
      <c r="K116" s="76"/>
      <c r="L116" s="76"/>
      <c r="M116" s="79"/>
      <c r="N116" s="79"/>
      <c r="O116" s="65"/>
      <c r="P116" s="111"/>
      <c r="Q116" s="78"/>
      <c r="R116" s="78"/>
      <c r="S116" s="78"/>
      <c r="T116" s="78"/>
      <c r="U116" s="78"/>
      <c r="V116" s="79"/>
      <c r="W116" s="68"/>
      <c r="X116" s="78"/>
      <c r="Y116" s="78"/>
      <c r="Z116" s="78"/>
      <c r="AA116" s="79"/>
      <c r="AB116" s="82"/>
      <c r="AC116" s="70"/>
    </row>
    <row r="117" spans="2:29" ht="13.5" thickBot="1" x14ac:dyDescent="0.25">
      <c r="B117" s="1">
        <v>3000</v>
      </c>
      <c r="D117" s="114"/>
      <c r="E117" s="115" t="s">
        <v>1214</v>
      </c>
      <c r="F117" s="115"/>
      <c r="G117" s="152"/>
      <c r="H117" s="118"/>
      <c r="I117" s="118"/>
      <c r="J117" s="119">
        <f>SUM(J113:J116)</f>
        <v>6000</v>
      </c>
      <c r="K117" s="120">
        <f>+J117</f>
        <v>6000</v>
      </c>
      <c r="L117" s="118"/>
      <c r="M117" s="121"/>
      <c r="N117" s="121"/>
      <c r="O117" s="156"/>
      <c r="P117" s="122">
        <v>3000</v>
      </c>
      <c r="Q117" s="123">
        <f>ROUND(MIN(P117,Q$4)*Q$3,2)</f>
        <v>186</v>
      </c>
      <c r="R117" s="123">
        <f>ROUND(P117*$R$3,2)</f>
        <v>43.5</v>
      </c>
      <c r="S117" s="123">
        <v>0</v>
      </c>
      <c r="T117" s="123">
        <v>0</v>
      </c>
      <c r="U117" s="123">
        <f>IF(H117="new",ROUND(MIN(P117,$U$4)*$U$3*G117*2,2),ROUND(MIN(P117,$U$4)*$U$3*G117,2))</f>
        <v>0</v>
      </c>
      <c r="V117" s="124">
        <f>SUM(Q117:U117)</f>
        <v>229.5</v>
      </c>
      <c r="W117" s="123">
        <v>0</v>
      </c>
      <c r="X117" s="123">
        <v>0</v>
      </c>
      <c r="Y117" s="123">
        <v>0</v>
      </c>
      <c r="Z117" s="123">
        <v>0</v>
      </c>
      <c r="AA117" s="124">
        <f>SUM(W117:Z117)</f>
        <v>0</v>
      </c>
      <c r="AB117" s="125">
        <v>0</v>
      </c>
      <c r="AC117" s="70"/>
    </row>
    <row r="118" spans="2:29" ht="13.5" thickBot="1" x14ac:dyDescent="0.25">
      <c r="B118" s="126">
        <f>SUM(B113:B117)</f>
        <v>42840</v>
      </c>
      <c r="C118" s="126"/>
      <c r="D118" s="114"/>
      <c r="E118" s="127" t="s">
        <v>1253</v>
      </c>
      <c r="F118" s="128"/>
      <c r="G118" s="128"/>
      <c r="H118" s="129"/>
      <c r="I118" s="129"/>
      <c r="J118" s="130"/>
      <c r="K118" s="129"/>
      <c r="L118" s="129">
        <f>SUM(L113:L117)</f>
        <v>0</v>
      </c>
      <c r="M118" s="129"/>
      <c r="N118" s="129"/>
      <c r="O118" s="153"/>
      <c r="P118" s="132">
        <f t="shared" ref="P118:AB118" si="66">SUM(P113:P117)</f>
        <v>122845.65</v>
      </c>
      <c r="Q118" s="129">
        <f t="shared" si="66"/>
        <v>7616.4299999999994</v>
      </c>
      <c r="R118" s="129">
        <f t="shared" si="66"/>
        <v>1781.2599999999998</v>
      </c>
      <c r="S118" s="129">
        <f t="shared" si="66"/>
        <v>4793.83</v>
      </c>
      <c r="T118" s="163">
        <f t="shared" si="66"/>
        <v>2100</v>
      </c>
      <c r="U118" s="129">
        <f t="shared" si="66"/>
        <v>4384</v>
      </c>
      <c r="V118" s="129">
        <f t="shared" si="66"/>
        <v>20675.52</v>
      </c>
      <c r="W118" s="129">
        <f t="shared" si="66"/>
        <v>18288.446190000002</v>
      </c>
      <c r="X118" s="133">
        <f t="shared" si="66"/>
        <v>0</v>
      </c>
      <c r="Y118" s="129">
        <f t="shared" si="66"/>
        <v>0</v>
      </c>
      <c r="Z118" s="129">
        <f t="shared" si="66"/>
        <v>0</v>
      </c>
      <c r="AA118" s="129">
        <f t="shared" si="66"/>
        <v>18288.446190000002</v>
      </c>
      <c r="AB118" s="134">
        <f t="shared" si="66"/>
        <v>1519.32</v>
      </c>
      <c r="AC118" s="70"/>
    </row>
    <row r="119" spans="2:29" x14ac:dyDescent="0.2">
      <c r="B119" s="87">
        <f>(P118-B118)</f>
        <v>80005.649999999994</v>
      </c>
      <c r="C119" s="87"/>
      <c r="E119" s="110"/>
      <c r="F119" s="110"/>
      <c r="G119" s="158"/>
      <c r="H119" s="76"/>
      <c r="I119" s="76"/>
      <c r="J119" s="46"/>
      <c r="K119" s="159"/>
      <c r="L119" s="159"/>
      <c r="M119" s="111"/>
      <c r="N119" s="111"/>
      <c r="O119" s="149"/>
      <c r="P119" s="111"/>
      <c r="Q119" s="160"/>
      <c r="R119" s="160"/>
      <c r="S119" s="160"/>
      <c r="T119" s="160"/>
      <c r="U119" s="160"/>
      <c r="V119" s="161"/>
      <c r="W119" s="160"/>
      <c r="X119" s="160"/>
      <c r="Y119" s="160"/>
      <c r="Z119" s="160"/>
      <c r="AA119" s="161"/>
      <c r="AB119" s="161"/>
      <c r="AC119" s="70"/>
    </row>
    <row r="120" spans="2:29" ht="13.5" thickBot="1" x14ac:dyDescent="0.25">
      <c r="D120" s="1"/>
      <c r="E120" s="147"/>
      <c r="F120" s="148"/>
      <c r="G120" s="148"/>
      <c r="H120" s="111"/>
      <c r="I120" s="111"/>
      <c r="J120" s="154"/>
      <c r="K120" s="111"/>
      <c r="L120" s="111"/>
      <c r="M120" s="121"/>
      <c r="N120" s="111"/>
      <c r="O120" s="149"/>
      <c r="P120" s="111"/>
      <c r="Q120" s="111"/>
      <c r="R120" s="111"/>
      <c r="S120" s="129"/>
      <c r="T120" s="111"/>
      <c r="U120" s="111"/>
      <c r="V120" s="111"/>
      <c r="W120" s="111"/>
      <c r="X120" s="111"/>
      <c r="Y120" s="111"/>
      <c r="Z120" s="111"/>
      <c r="AA120" s="111"/>
      <c r="AB120" s="111"/>
      <c r="AC120" s="70"/>
    </row>
    <row r="121" spans="2:29" x14ac:dyDescent="0.2">
      <c r="B121" s="1">
        <v>34727</v>
      </c>
      <c r="C121" s="1" t="s">
        <v>1254</v>
      </c>
      <c r="D121" s="56">
        <v>1</v>
      </c>
      <c r="E121" s="57" t="s">
        <v>1255</v>
      </c>
      <c r="F121" s="58" t="s">
        <v>1139</v>
      </c>
      <c r="G121" s="59">
        <v>1</v>
      </c>
      <c r="H121" s="60"/>
      <c r="I121" s="60"/>
      <c r="J121" s="61">
        <f>IF(H121="NEW",0,3000)</f>
        <v>3000</v>
      </c>
      <c r="K121" s="62">
        <v>36280.720000000001</v>
      </c>
      <c r="L121" s="60"/>
      <c r="M121" s="78">
        <f>K121*$M$4</f>
        <v>1088.4215999999999</v>
      </c>
      <c r="N121" s="64"/>
      <c r="O121" s="139"/>
      <c r="P121" s="66">
        <f>G121*(K121+L121+M121)</f>
        <v>37369.141600000003</v>
      </c>
      <c r="Q121" s="63">
        <f>ROUND(MIN(P121,Q$4)*Q$3,2)</f>
        <v>2316.89</v>
      </c>
      <c r="R121" s="63">
        <f>ROUND(P121*$R$3,2)</f>
        <v>541.85</v>
      </c>
      <c r="S121" s="67">
        <f>ROUND(P121*0.04,2)</f>
        <v>1494.77</v>
      </c>
      <c r="T121" s="63">
        <f>IF(H121="new",ROUND(MIN(P121,$T$4)*$T$3*G121*2,2),ROUND(MIN(P121,$T$4)*$T$3*G121,2))</f>
        <v>525</v>
      </c>
      <c r="U121" s="63">
        <f>IF(H121="new",ROUND(MIN(P121,$U$4)*$U$3*G121*2,2),ROUND(MIN(P121,$U$4)*$U$3*G121,2))</f>
        <v>1096</v>
      </c>
      <c r="V121" s="64">
        <f>SUM(Q121:U121)</f>
        <v>5974.51</v>
      </c>
      <c r="W121" s="140">
        <f>P121*$W$3</f>
        <v>5702.531008160001</v>
      </c>
      <c r="X121" s="63">
        <f>IF(I121="x",0,IF(H121="new",ROUND(X$4*12*0.9*G121,2),ROUND(X$4*12*G121,2)))</f>
        <v>0</v>
      </c>
      <c r="Y121" s="63">
        <f>IF(I121="x",0,IF(H121="new",ROUND(Y$4*12*0.9*G121,2),ROUND(Y$4*12*G121,2)))</f>
        <v>0</v>
      </c>
      <c r="Z121" s="63">
        <f>ROUND((Z$3*(MIN(P121,10000)/1000))+((P121/1000)*(Z$4)),2)</f>
        <v>0</v>
      </c>
      <c r="AA121" s="64">
        <f>SUM(W121:Z121)</f>
        <v>5702.531008160001</v>
      </c>
      <c r="AB121" s="69">
        <f>20.66*22</f>
        <v>454.52</v>
      </c>
      <c r="AC121" s="70"/>
    </row>
    <row r="122" spans="2:29" x14ac:dyDescent="0.2">
      <c r="C122" s="1" t="s">
        <v>1254</v>
      </c>
      <c r="D122" s="71">
        <v>2</v>
      </c>
      <c r="E122" s="83" t="s">
        <v>1256</v>
      </c>
      <c r="F122" s="44" t="s">
        <v>1139</v>
      </c>
      <c r="G122" s="84">
        <v>1</v>
      </c>
      <c r="H122" s="76"/>
      <c r="I122" s="76"/>
      <c r="J122" s="46">
        <f>IF(H122="NEW",0,3000)</f>
        <v>3000</v>
      </c>
      <c r="K122" s="85">
        <v>32500</v>
      </c>
      <c r="L122" s="76"/>
      <c r="M122" s="78">
        <f>K122*$M$4</f>
        <v>975</v>
      </c>
      <c r="N122" s="79"/>
      <c r="O122" s="65">
        <f>P122/24</f>
        <v>1394.7916666666667</v>
      </c>
      <c r="P122" s="80">
        <f>G122*(K122+L122+M122)</f>
        <v>33475</v>
      </c>
      <c r="Q122" s="78">
        <f>ROUND(MIN(P122,Q$4)*Q$3,2)</f>
        <v>2075.4499999999998</v>
      </c>
      <c r="R122" s="78">
        <f>ROUND(P122*$R$3,2)</f>
        <v>485.39</v>
      </c>
      <c r="S122" s="81">
        <f>ROUND(P122*0.04,2)</f>
        <v>1339</v>
      </c>
      <c r="T122" s="78">
        <f>IF(H122="new",ROUND(MIN(P122,$T$4)*$T$3*G122*2,2),ROUND(MIN(P122,$T$4)*$T$3*G122,2))</f>
        <v>525</v>
      </c>
      <c r="U122" s="78">
        <f>IF(H122="new",ROUND(MIN(P122,$U$4)*$U$3*G122*2,2),ROUND(MIN(P122,$U$4)*$U$3*G122,2))</f>
        <v>1096</v>
      </c>
      <c r="V122" s="79">
        <f>SUM(Q122:U122)</f>
        <v>5520.84</v>
      </c>
      <c r="W122" s="68">
        <f>P122*$W$3</f>
        <v>5108.2850000000008</v>
      </c>
      <c r="X122" s="78">
        <f>IF(I122="x",0,IF(H122="new",ROUND(X$4*12*0.9*G122,2),ROUND(X$4*12*G122,2)))</f>
        <v>0</v>
      </c>
      <c r="Y122" s="78">
        <f>IF(I122="x",0,IF(H122="new",ROUND(Y$4*12*0.9*G122,2),ROUND(Y$4*12*G122,2)))</f>
        <v>0</v>
      </c>
      <c r="Z122" s="78">
        <f>ROUND((Z$3*(MIN(P122,10000)/1000))+((P122/1000)*(Z$4)),2)</f>
        <v>0</v>
      </c>
      <c r="AA122" s="79">
        <f>SUM(W122:Z122)</f>
        <v>5108.2850000000008</v>
      </c>
      <c r="AB122" s="82">
        <f>20.66*22</f>
        <v>454.52</v>
      </c>
      <c r="AC122" s="70"/>
    </row>
    <row r="123" spans="2:29" x14ac:dyDescent="0.2">
      <c r="B123" s="142"/>
      <c r="C123" s="142"/>
      <c r="D123" s="71"/>
      <c r="E123" s="110"/>
      <c r="F123" s="44"/>
      <c r="G123" s="84"/>
      <c r="H123" s="76"/>
      <c r="I123" s="76"/>
      <c r="J123" s="46"/>
      <c r="K123" s="76"/>
      <c r="L123" s="76"/>
      <c r="M123" s="79"/>
      <c r="N123" s="79"/>
      <c r="O123" s="65"/>
      <c r="P123" s="111"/>
      <c r="Q123" s="78"/>
      <c r="R123" s="78"/>
      <c r="S123" s="78"/>
      <c r="T123" s="78"/>
      <c r="U123" s="78"/>
      <c r="V123" s="79"/>
      <c r="W123" s="68"/>
      <c r="X123" s="78"/>
      <c r="Y123" s="78"/>
      <c r="Z123" s="78"/>
      <c r="AA123" s="79"/>
      <c r="AB123" s="82"/>
      <c r="AC123" s="70"/>
    </row>
    <row r="124" spans="2:29" ht="13.5" thickBot="1" x14ac:dyDescent="0.25">
      <c r="B124" s="1">
        <v>3000</v>
      </c>
      <c r="D124" s="155"/>
      <c r="E124" s="115" t="s">
        <v>1214</v>
      </c>
      <c r="F124" s="115"/>
      <c r="G124" s="152"/>
      <c r="H124" s="118"/>
      <c r="I124" s="118"/>
      <c r="J124" s="119">
        <f>SUM(J121:J123)</f>
        <v>6000</v>
      </c>
      <c r="K124" s="120">
        <f>+J124</f>
        <v>6000</v>
      </c>
      <c r="L124" s="118"/>
      <c r="M124" s="121"/>
      <c r="N124" s="121"/>
      <c r="O124" s="156"/>
      <c r="P124" s="122">
        <v>3000</v>
      </c>
      <c r="Q124" s="123">
        <f>ROUND(MIN(P124,Q$4)*Q$3,2)</f>
        <v>186</v>
      </c>
      <c r="R124" s="123">
        <f>ROUND(P124*$R$3,2)</f>
        <v>43.5</v>
      </c>
      <c r="S124" s="123">
        <v>0</v>
      </c>
      <c r="T124" s="123">
        <v>0</v>
      </c>
      <c r="U124" s="123">
        <f>IF(H124="new",ROUND(MIN(P124,$U$4)*$U$3*G124*2,2),ROUND(MIN(P124,$U$4)*$U$3*G124,2))</f>
        <v>0</v>
      </c>
      <c r="V124" s="124">
        <f>SUM(Q124:U124)</f>
        <v>229.5</v>
      </c>
      <c r="W124" s="123">
        <v>0</v>
      </c>
      <c r="X124" s="123">
        <v>0</v>
      </c>
      <c r="Y124" s="123">
        <v>0</v>
      </c>
      <c r="Z124" s="123">
        <v>0</v>
      </c>
      <c r="AA124" s="124">
        <f>SUM(W124:Z124)</f>
        <v>0</v>
      </c>
      <c r="AB124" s="125"/>
      <c r="AC124" s="70"/>
    </row>
    <row r="125" spans="2:29" ht="13.5" thickBot="1" x14ac:dyDescent="0.25">
      <c r="B125" s="126">
        <f>SUM(B121:B124)</f>
        <v>37727</v>
      </c>
      <c r="C125" s="126"/>
      <c r="D125" s="114"/>
      <c r="E125" s="127" t="s">
        <v>1257</v>
      </c>
      <c r="F125" s="128"/>
      <c r="G125" s="128"/>
      <c r="H125" s="129"/>
      <c r="I125" s="129"/>
      <c r="J125" s="130"/>
      <c r="K125" s="129"/>
      <c r="L125" s="129">
        <f>SUM(L121:L124)</f>
        <v>0</v>
      </c>
      <c r="M125" s="129"/>
      <c r="N125" s="129"/>
      <c r="O125" s="153"/>
      <c r="P125" s="132">
        <f t="shared" ref="P125:AB125" si="67">SUM(P121:P124)</f>
        <v>73844.141600000003</v>
      </c>
      <c r="Q125" s="129">
        <f t="shared" si="67"/>
        <v>4578.34</v>
      </c>
      <c r="R125" s="129">
        <f t="shared" si="67"/>
        <v>1070.74</v>
      </c>
      <c r="S125" s="129">
        <f t="shared" si="67"/>
        <v>2833.77</v>
      </c>
      <c r="T125" s="129">
        <f t="shared" si="67"/>
        <v>1050</v>
      </c>
      <c r="U125" s="129">
        <f t="shared" si="67"/>
        <v>2192</v>
      </c>
      <c r="V125" s="129">
        <f t="shared" si="67"/>
        <v>11724.85</v>
      </c>
      <c r="W125" s="129">
        <f t="shared" si="67"/>
        <v>10810.816008160002</v>
      </c>
      <c r="X125" s="133">
        <f t="shared" si="67"/>
        <v>0</v>
      </c>
      <c r="Y125" s="129">
        <f t="shared" si="67"/>
        <v>0</v>
      </c>
      <c r="Z125" s="129">
        <f t="shared" si="67"/>
        <v>0</v>
      </c>
      <c r="AA125" s="129">
        <f t="shared" si="67"/>
        <v>10810.816008160002</v>
      </c>
      <c r="AB125" s="134">
        <f t="shared" si="67"/>
        <v>909.04</v>
      </c>
      <c r="AC125" s="70"/>
    </row>
    <row r="126" spans="2:29" x14ac:dyDescent="0.2">
      <c r="B126" s="87">
        <f>(P125-B125)</f>
        <v>36117.141600000003</v>
      </c>
      <c r="C126" s="87"/>
      <c r="E126" s="110"/>
      <c r="F126" s="110"/>
      <c r="G126" s="158"/>
      <c r="H126" s="76"/>
      <c r="I126" s="76"/>
      <c r="J126" s="46"/>
      <c r="K126" s="159"/>
      <c r="L126" s="159"/>
      <c r="M126" s="164"/>
      <c r="N126" s="164"/>
      <c r="O126" s="165"/>
      <c r="P126" s="166"/>
      <c r="Q126" s="160"/>
      <c r="R126" s="160"/>
      <c r="S126" s="160"/>
      <c r="T126" s="160"/>
      <c r="U126" s="160"/>
      <c r="V126" s="161"/>
      <c r="W126" s="160"/>
      <c r="X126" s="160"/>
      <c r="Y126" s="160"/>
      <c r="Z126" s="160"/>
      <c r="AA126" s="161"/>
      <c r="AB126" s="161"/>
      <c r="AC126" s="70"/>
    </row>
    <row r="127" spans="2:29" x14ac:dyDescent="0.2">
      <c r="B127" s="87"/>
      <c r="C127" s="87"/>
      <c r="E127" s="110"/>
      <c r="F127" s="110"/>
      <c r="G127" s="158"/>
      <c r="H127" s="76"/>
      <c r="I127" s="76"/>
      <c r="J127" s="46"/>
      <c r="K127" s="159"/>
      <c r="L127" s="159"/>
      <c r="M127" s="164"/>
      <c r="N127" s="164"/>
      <c r="O127" s="165"/>
      <c r="P127" s="166"/>
      <c r="Q127" s="160"/>
      <c r="R127" s="160"/>
      <c r="S127" s="160"/>
      <c r="T127" s="160"/>
      <c r="U127" s="160"/>
      <c r="V127" s="161"/>
      <c r="W127" s="160"/>
      <c r="X127" s="160"/>
      <c r="Y127" s="160"/>
      <c r="Z127" s="160"/>
      <c r="AA127" s="161"/>
      <c r="AB127" s="161"/>
      <c r="AC127" s="70"/>
    </row>
    <row r="128" spans="2:29" x14ac:dyDescent="0.2">
      <c r="B128" s="87"/>
      <c r="C128" s="87"/>
      <c r="E128" s="110"/>
      <c r="F128" s="110"/>
      <c r="G128" s="158"/>
      <c r="H128" s="76"/>
      <c r="I128" s="76"/>
      <c r="J128" s="46"/>
      <c r="K128" s="159"/>
      <c r="L128" s="159"/>
      <c r="M128" s="164"/>
      <c r="N128" s="164"/>
      <c r="O128" s="165"/>
      <c r="P128" s="166"/>
      <c r="Q128" s="160"/>
      <c r="R128" s="160"/>
      <c r="S128" s="160"/>
      <c r="T128" s="160"/>
      <c r="U128" s="160"/>
      <c r="V128" s="161"/>
      <c r="W128" s="160"/>
      <c r="X128" s="160"/>
      <c r="Y128" s="160"/>
      <c r="Z128" s="160"/>
      <c r="AA128" s="161"/>
      <c r="AB128" s="161"/>
      <c r="AC128" s="70"/>
    </row>
    <row r="129" spans="1:29" x14ac:dyDescent="0.2">
      <c r="B129" s="87"/>
      <c r="C129" s="87"/>
      <c r="E129" s="110"/>
      <c r="F129" s="110"/>
      <c r="G129" s="158"/>
      <c r="H129" s="76"/>
      <c r="I129" s="76"/>
      <c r="J129" s="46"/>
      <c r="K129" s="159"/>
      <c r="L129" s="159"/>
      <c r="M129" s="164"/>
      <c r="N129" s="164"/>
      <c r="O129" s="165"/>
      <c r="P129" s="166"/>
      <c r="Q129" s="160"/>
      <c r="R129" s="160"/>
      <c r="S129" s="160"/>
      <c r="T129" s="160"/>
      <c r="U129" s="160"/>
      <c r="V129" s="161"/>
      <c r="W129" s="160"/>
      <c r="X129" s="160"/>
      <c r="Y129" s="160"/>
      <c r="Z129" s="160"/>
      <c r="AA129" s="161"/>
      <c r="AB129" s="161"/>
      <c r="AC129" s="70"/>
    </row>
    <row r="130" spans="1:29" x14ac:dyDescent="0.2">
      <c r="B130" s="87"/>
      <c r="C130" s="87"/>
      <c r="E130" s="110"/>
      <c r="F130" s="110"/>
      <c r="G130" s="158"/>
      <c r="H130" s="76"/>
      <c r="I130" s="76"/>
      <c r="J130" s="46"/>
      <c r="K130" s="159"/>
      <c r="L130" s="159"/>
      <c r="M130" s="164"/>
      <c r="N130" s="164"/>
      <c r="O130" s="165"/>
      <c r="P130" s="166"/>
      <c r="Q130" s="160"/>
      <c r="R130" s="160"/>
      <c r="S130" s="160"/>
      <c r="T130" s="160"/>
      <c r="U130" s="160"/>
      <c r="V130" s="161"/>
      <c r="W130" s="160"/>
      <c r="X130" s="160"/>
      <c r="Y130" s="160"/>
      <c r="Z130" s="160"/>
      <c r="AA130" s="161"/>
      <c r="AB130" s="161"/>
      <c r="AC130" s="70"/>
    </row>
    <row r="131" spans="1:29" x14ac:dyDescent="0.2">
      <c r="B131" s="87"/>
      <c r="C131" s="87"/>
      <c r="E131" s="110"/>
      <c r="F131" s="110"/>
      <c r="G131" s="158"/>
      <c r="H131" s="76"/>
      <c r="I131" s="76"/>
      <c r="J131" s="46"/>
      <c r="K131" s="159"/>
      <c r="L131" s="159"/>
      <c r="M131" s="164"/>
      <c r="N131" s="164"/>
      <c r="O131" s="165"/>
      <c r="P131" s="166"/>
      <c r="Q131" s="160"/>
      <c r="R131" s="160"/>
      <c r="S131" s="160"/>
      <c r="T131" s="160"/>
      <c r="U131" s="160"/>
      <c r="V131" s="161"/>
      <c r="W131" s="160"/>
      <c r="X131" s="160"/>
      <c r="Y131" s="160"/>
      <c r="Z131" s="160"/>
      <c r="AA131" s="161"/>
      <c r="AB131" s="161"/>
      <c r="AC131" s="70"/>
    </row>
    <row r="132" spans="1:29" x14ac:dyDescent="0.2">
      <c r="B132" s="87"/>
      <c r="C132" s="87"/>
      <c r="E132" s="110"/>
      <c r="F132" s="110"/>
      <c r="G132" s="158"/>
      <c r="H132" s="76"/>
      <c r="I132" s="76"/>
      <c r="J132" s="46"/>
      <c r="K132" s="159"/>
      <c r="L132" s="159"/>
      <c r="M132" s="164"/>
      <c r="N132" s="164"/>
      <c r="O132" s="165"/>
      <c r="P132" s="166"/>
      <c r="Q132" s="160"/>
      <c r="R132" s="160"/>
      <c r="S132" s="160"/>
      <c r="T132" s="160"/>
      <c r="U132" s="160"/>
      <c r="V132" s="161"/>
      <c r="W132" s="160"/>
      <c r="X132" s="160"/>
      <c r="Y132" s="160"/>
      <c r="Z132" s="160"/>
      <c r="AA132" s="161"/>
      <c r="AB132" s="161"/>
      <c r="AC132" s="70"/>
    </row>
    <row r="133" spans="1:29" x14ac:dyDescent="0.2">
      <c r="B133" s="87"/>
      <c r="C133" s="87"/>
      <c r="E133" s="110"/>
      <c r="F133" s="110"/>
      <c r="G133" s="158"/>
      <c r="H133" s="76"/>
      <c r="I133" s="76"/>
      <c r="J133" s="46"/>
      <c r="K133" s="159"/>
      <c r="L133" s="159"/>
      <c r="M133" s="164"/>
      <c r="N133" s="164"/>
      <c r="O133" s="165"/>
      <c r="P133" s="166"/>
      <c r="Q133" s="160"/>
      <c r="R133" s="160"/>
      <c r="S133" s="160"/>
      <c r="T133" s="160"/>
      <c r="U133" s="160"/>
      <c r="V133" s="161"/>
      <c r="W133" s="160"/>
      <c r="X133" s="160"/>
      <c r="Y133" s="160"/>
      <c r="Z133" s="160"/>
      <c r="AA133" s="161"/>
      <c r="AB133" s="161"/>
      <c r="AC133" s="70"/>
    </row>
    <row r="134" spans="1:29" x14ac:dyDescent="0.2">
      <c r="B134" s="87"/>
      <c r="C134" s="87"/>
      <c r="E134" s="110"/>
      <c r="F134" s="110"/>
      <c r="G134" s="158"/>
      <c r="H134" s="76"/>
      <c r="I134" s="76"/>
      <c r="J134" s="46"/>
      <c r="K134" s="159"/>
      <c r="L134" s="159"/>
      <c r="M134" s="164"/>
      <c r="N134" s="164"/>
      <c r="O134" s="165"/>
      <c r="P134" s="166"/>
      <c r="Q134" s="160"/>
      <c r="R134" s="160"/>
      <c r="S134" s="160"/>
      <c r="T134" s="160"/>
      <c r="U134" s="160"/>
      <c r="V134" s="161"/>
      <c r="W134" s="160"/>
      <c r="X134" s="160"/>
      <c r="Y134" s="160"/>
      <c r="Z134" s="160"/>
      <c r="AA134" s="161"/>
      <c r="AB134" s="161"/>
      <c r="AC134" s="70"/>
    </row>
    <row r="135" spans="1:29" ht="13.5" thickBot="1" x14ac:dyDescent="0.25">
      <c r="D135" s="1"/>
      <c r="E135" s="147"/>
      <c r="F135" s="148"/>
      <c r="G135" s="148"/>
      <c r="H135" s="111"/>
      <c r="I135" s="111"/>
      <c r="J135" s="154"/>
      <c r="K135" s="111"/>
      <c r="L135" s="111"/>
      <c r="M135" s="121"/>
      <c r="N135" s="111"/>
      <c r="O135" s="149"/>
      <c r="P135" s="111"/>
      <c r="Q135" s="111"/>
      <c r="R135" s="111"/>
      <c r="S135" s="129"/>
      <c r="T135" s="111"/>
      <c r="U135" s="111"/>
      <c r="V135" s="111"/>
      <c r="W135" s="111"/>
      <c r="X135" s="111"/>
      <c r="Y135" s="111"/>
      <c r="Z135" s="111"/>
      <c r="AA135" s="111"/>
      <c r="AB135" s="111"/>
      <c r="AC135" s="70"/>
    </row>
    <row r="136" spans="1:29" s="167" customFormat="1" x14ac:dyDescent="0.2">
      <c r="D136" s="168"/>
      <c r="E136" s="169"/>
      <c r="F136" s="169"/>
      <c r="G136" s="170"/>
      <c r="H136" s="171"/>
      <c r="I136" s="171"/>
      <c r="J136" s="172"/>
      <c r="K136" s="173"/>
      <c r="L136" s="173"/>
      <c r="M136" s="174"/>
      <c r="N136" s="174"/>
      <c r="O136" s="174"/>
      <c r="P136" s="175"/>
      <c r="Q136" s="176"/>
      <c r="R136" s="176"/>
      <c r="S136" s="176"/>
      <c r="T136" s="176"/>
      <c r="U136" s="176"/>
      <c r="V136" s="177"/>
      <c r="W136" s="176"/>
      <c r="X136" s="176"/>
      <c r="Y136" s="176"/>
      <c r="Z136" s="176"/>
      <c r="AA136" s="177"/>
      <c r="AB136" s="177"/>
      <c r="AC136" s="178"/>
    </row>
    <row r="137" spans="1:29" s="167" customFormat="1" ht="13.5" thickBot="1" x14ac:dyDescent="0.25">
      <c r="D137" s="168"/>
      <c r="E137" s="169"/>
      <c r="F137" s="169"/>
      <c r="G137" s="170"/>
      <c r="H137" s="171"/>
      <c r="I137" s="171"/>
      <c r="J137" s="179"/>
      <c r="K137" s="180"/>
      <c r="L137" s="173"/>
      <c r="M137" s="181"/>
      <c r="N137" s="182"/>
      <c r="O137" s="182"/>
      <c r="P137" s="175"/>
      <c r="Q137" s="176"/>
      <c r="R137" s="176"/>
      <c r="S137" s="176"/>
      <c r="T137" s="176"/>
      <c r="U137" s="176"/>
      <c r="V137" s="177"/>
      <c r="W137" s="183"/>
      <c r="X137" s="176"/>
      <c r="Y137" s="176"/>
      <c r="Z137" s="176"/>
      <c r="AA137" s="177"/>
      <c r="AB137" s="177"/>
      <c r="AC137" s="178"/>
    </row>
    <row r="138" spans="1:29" s="184" customFormat="1" x14ac:dyDescent="0.2">
      <c r="A138" s="184" t="s">
        <v>1258</v>
      </c>
      <c r="B138" s="184">
        <v>52000</v>
      </c>
      <c r="C138" s="184" t="s">
        <v>1259</v>
      </c>
      <c r="D138" s="185"/>
      <c r="E138" s="186" t="s">
        <v>1260</v>
      </c>
      <c r="F138" s="186" t="s">
        <v>1261</v>
      </c>
      <c r="G138" s="187">
        <v>0</v>
      </c>
      <c r="H138" s="188"/>
      <c r="I138" s="188"/>
      <c r="J138" s="189"/>
      <c r="K138" s="190">
        <v>0</v>
      </c>
      <c r="L138" s="188"/>
      <c r="M138" s="191">
        <f>K138*$M$4</f>
        <v>0</v>
      </c>
      <c r="N138" s="191"/>
      <c r="O138" s="191"/>
      <c r="P138" s="192">
        <f>+K138+L138+M138</f>
        <v>0</v>
      </c>
      <c r="Q138" s="193">
        <f>ROUND(MIN(P138,Q$4)*Q$3,2)</f>
        <v>0</v>
      </c>
      <c r="R138" s="193">
        <f>ROUND(P138*$R$3,2)</f>
        <v>0</v>
      </c>
      <c r="S138" s="193">
        <f>ROUND(P138*0.08,2)</f>
        <v>0</v>
      </c>
      <c r="T138" s="193">
        <f>IF(H138="new",ROUND(MIN(P138,$T$4)*$T$3*G138*2,2),ROUND(MIN(P138,$T$4)*$T$3*G138,2))</f>
        <v>0</v>
      </c>
      <c r="U138" s="193">
        <f>IF(H138="new",ROUND(MIN(P138,$U$4)*$U$3*G138*2,2),ROUND(MIN(P138,$U$4)*$U$3*G138,2))</f>
        <v>0</v>
      </c>
      <c r="V138" s="191">
        <f>SUM(Q138:U138)</f>
        <v>0</v>
      </c>
      <c r="W138" s="193">
        <v>0</v>
      </c>
      <c r="X138" s="193">
        <f>IF(I138="x",0,IF(H138="new",ROUND(X$4*12*G138,2),ROUND(X$4*12*G138,2)))</f>
        <v>0</v>
      </c>
      <c r="Y138" s="193">
        <f>IF(I138="x",0,IF(H138="new",ROUND(Y$4*12*G138,2),ROUND(Y$4*12*G138,2)))</f>
        <v>0</v>
      </c>
      <c r="Z138" s="193">
        <f>ROUND((Z$3*(MIN(P138,10000)/1000))+((P138/1000)*(Z$4)),2)</f>
        <v>0</v>
      </c>
      <c r="AA138" s="191">
        <f>SUM(W138:Z138)</f>
        <v>0</v>
      </c>
      <c r="AB138" s="194">
        <v>0</v>
      </c>
      <c r="AC138" s="178" t="s">
        <v>1262</v>
      </c>
    </row>
    <row r="139" spans="1:29" s="184" customFormat="1" x14ac:dyDescent="0.2">
      <c r="C139" s="184" t="s">
        <v>1263</v>
      </c>
      <c r="D139" s="195"/>
      <c r="E139" s="196"/>
      <c r="F139" s="196"/>
      <c r="G139" s="197">
        <v>0</v>
      </c>
      <c r="H139" s="190"/>
      <c r="I139" s="190"/>
      <c r="J139" s="198"/>
      <c r="K139" s="190"/>
      <c r="L139" s="190"/>
      <c r="M139" s="199"/>
      <c r="N139" s="199"/>
      <c r="O139" s="199"/>
      <c r="P139" s="200">
        <f>+K139+L139+M139</f>
        <v>0</v>
      </c>
      <c r="Q139" s="201">
        <f>ROUND(MIN(P139,Q$4)*Q$3,2)</f>
        <v>0</v>
      </c>
      <c r="R139" s="201">
        <f>ROUND(P139*$R$3,2)</f>
        <v>0</v>
      </c>
      <c r="S139" s="201">
        <f>ROUND(P139*0.08,2)</f>
        <v>0</v>
      </c>
      <c r="T139" s="201">
        <f>IF(H139="new",ROUND(MIN(P139,$T$4)*$T$3*G139*2,2),ROUND(MIN(P139,$T$4)*$T$3*G139,2))</f>
        <v>0</v>
      </c>
      <c r="U139" s="201">
        <f>IF(H139="new",ROUND(MIN(P139,$U$4)*$U$3*G139*2,2),ROUND(MIN(P139,$U$4)*$U$3*G139,2))</f>
        <v>0</v>
      </c>
      <c r="V139" s="199">
        <f>SUM(Q139:U139)</f>
        <v>0</v>
      </c>
      <c r="W139" s="201">
        <f>IF(I139="x",0,IF(H139="new",ROUND(W$4*12*0.9*G139,2),ROUND(W$4*12*G139,2)))</f>
        <v>0</v>
      </c>
      <c r="X139" s="201">
        <f>IF(H139="new",ROUND(X$4*12*0.9*G139,2),ROUND(X$4*12*G139,2))</f>
        <v>0</v>
      </c>
      <c r="Y139" s="201">
        <f>IF(H139="new",ROUND(Y$4*12*0.9*G139,2),ROUND(Y$4*12*G139,2))</f>
        <v>0</v>
      </c>
      <c r="Z139" s="201">
        <f>ROUND((Z$3*(MIN(P139,10000)/1000))+((P139/1000)*(Z$4)),2)</f>
        <v>0</v>
      </c>
      <c r="AA139" s="199">
        <f>SUM(W139:Z139)</f>
        <v>0</v>
      </c>
      <c r="AB139" s="202">
        <f>ROUND((P139/100)*$AB$3,2)</f>
        <v>0</v>
      </c>
      <c r="AC139" s="178"/>
    </row>
    <row r="140" spans="1:29" s="184" customFormat="1" ht="13.5" thickBot="1" x14ac:dyDescent="0.25">
      <c r="B140" s="184">
        <v>0</v>
      </c>
      <c r="D140" s="203"/>
      <c r="E140" s="204" t="s">
        <v>1214</v>
      </c>
      <c r="F140" s="204"/>
      <c r="G140" s="205"/>
      <c r="H140" s="206"/>
      <c r="I140" s="206"/>
      <c r="J140" s="207"/>
      <c r="K140" s="206"/>
      <c r="L140" s="206"/>
      <c r="M140" s="208"/>
      <c r="N140" s="208"/>
      <c r="O140" s="208"/>
      <c r="P140" s="209">
        <f>+K140+L140+M140</f>
        <v>0</v>
      </c>
      <c r="Q140" s="210">
        <f>ROUND(MIN(P140,Q$4)*Q$3,2)</f>
        <v>0</v>
      </c>
      <c r="R140" s="210">
        <f>ROUND(P140*$R$3,2)</f>
        <v>0</v>
      </c>
      <c r="S140" s="210">
        <f>ROUND(P140*0.08,2)</f>
        <v>0</v>
      </c>
      <c r="T140" s="210">
        <v>0</v>
      </c>
      <c r="U140" s="210">
        <f>IF(H140="new",ROUND(MIN(P140,$U$4)*$U$3*G140*2,2),ROUND(MIN(P140,$U$4)*$U$3*G140,2))</f>
        <v>0</v>
      </c>
      <c r="V140" s="211">
        <f>SUM(Q140:U140)</f>
        <v>0</v>
      </c>
      <c r="W140" s="210">
        <v>0</v>
      </c>
      <c r="X140" s="210">
        <v>0</v>
      </c>
      <c r="Y140" s="210">
        <v>0</v>
      </c>
      <c r="Z140" s="210">
        <v>0</v>
      </c>
      <c r="AA140" s="211">
        <f>SUM(W140:Z140)</f>
        <v>0</v>
      </c>
      <c r="AB140" s="212">
        <f>ROUND((P140/100)*$AB$3,2)</f>
        <v>0</v>
      </c>
      <c r="AC140" s="178"/>
    </row>
    <row r="141" spans="1:29" s="184" customFormat="1" ht="13.5" thickBot="1" x14ac:dyDescent="0.25">
      <c r="B141" s="213">
        <f>SUM(B138:B140)</f>
        <v>52000</v>
      </c>
      <c r="C141" s="213"/>
      <c r="D141" s="203"/>
      <c r="E141" s="214" t="s">
        <v>1264</v>
      </c>
      <c r="F141" s="215"/>
      <c r="G141" s="215"/>
      <c r="H141" s="209"/>
      <c r="I141" s="209"/>
      <c r="J141" s="216"/>
      <c r="K141" s="209"/>
      <c r="L141" s="209"/>
      <c r="M141" s="209"/>
      <c r="N141" s="209"/>
      <c r="O141" s="209"/>
      <c r="P141" s="209">
        <f>SUM(P138:P140)</f>
        <v>0</v>
      </c>
      <c r="Q141" s="209">
        <f t="shared" ref="Q141:AB141" si="68">SUM(Q138:Q140)</f>
        <v>0</v>
      </c>
      <c r="R141" s="209">
        <f t="shared" si="68"/>
        <v>0</v>
      </c>
      <c r="S141" s="209">
        <f t="shared" si="68"/>
        <v>0</v>
      </c>
      <c r="T141" s="209">
        <f t="shared" si="68"/>
        <v>0</v>
      </c>
      <c r="U141" s="209">
        <f t="shared" si="68"/>
        <v>0</v>
      </c>
      <c r="V141" s="209">
        <f t="shared" si="68"/>
        <v>0</v>
      </c>
      <c r="W141" s="209">
        <f t="shared" si="68"/>
        <v>0</v>
      </c>
      <c r="X141" s="209">
        <f t="shared" si="68"/>
        <v>0</v>
      </c>
      <c r="Y141" s="209">
        <f t="shared" si="68"/>
        <v>0</v>
      </c>
      <c r="Z141" s="209">
        <f t="shared" si="68"/>
        <v>0</v>
      </c>
      <c r="AA141" s="209">
        <f t="shared" si="68"/>
        <v>0</v>
      </c>
      <c r="AB141" s="209">
        <f t="shared" si="68"/>
        <v>0</v>
      </c>
      <c r="AC141" s="178"/>
    </row>
    <row r="142" spans="1:29" s="167" customFormat="1" x14ac:dyDescent="0.2">
      <c r="B142" s="217">
        <f>(P141-B141)</f>
        <v>-52000</v>
      </c>
      <c r="C142" s="217"/>
      <c r="E142" s="218"/>
      <c r="F142" s="219"/>
      <c r="G142" s="219"/>
      <c r="H142" s="220"/>
      <c r="I142" s="220"/>
      <c r="J142" s="221"/>
      <c r="K142" s="220"/>
      <c r="L142" s="220"/>
      <c r="M142" s="220"/>
      <c r="N142" s="220"/>
      <c r="O142" s="220"/>
      <c r="P142" s="220"/>
      <c r="Q142" s="220"/>
      <c r="R142" s="220"/>
      <c r="S142" s="220"/>
      <c r="T142" s="220"/>
      <c r="U142" s="220"/>
      <c r="V142" s="220"/>
      <c r="W142" s="220"/>
      <c r="X142" s="220"/>
      <c r="Y142" s="220"/>
      <c r="Z142" s="220"/>
      <c r="AA142" s="220"/>
      <c r="AB142" s="220"/>
      <c r="AC142" s="178"/>
    </row>
    <row r="143" spans="1:29" s="167" customFormat="1" ht="13.5" thickBot="1" x14ac:dyDescent="0.25">
      <c r="E143" s="218"/>
      <c r="F143" s="219"/>
      <c r="G143" s="219"/>
      <c r="H143" s="220"/>
      <c r="I143" s="220"/>
      <c r="J143" s="221"/>
      <c r="K143" s="220"/>
      <c r="L143" s="220"/>
      <c r="M143" s="220"/>
      <c r="N143" s="220"/>
      <c r="O143" s="220"/>
      <c r="P143" s="220"/>
      <c r="Q143" s="220"/>
      <c r="R143" s="220"/>
      <c r="S143" s="222"/>
      <c r="T143" s="220"/>
      <c r="U143" s="220"/>
      <c r="V143" s="220"/>
      <c r="W143" s="220"/>
      <c r="X143" s="220"/>
      <c r="Y143" s="220"/>
      <c r="Z143" s="220"/>
      <c r="AA143" s="220"/>
      <c r="AB143" s="220"/>
      <c r="AC143" s="178"/>
    </row>
    <row r="144" spans="1:29" s="142" customFormat="1" ht="25.5" x14ac:dyDescent="0.2">
      <c r="B144" s="142">
        <v>47850</v>
      </c>
      <c r="D144" s="2"/>
      <c r="E144" s="57" t="s">
        <v>1265</v>
      </c>
      <c r="F144" s="223" t="s">
        <v>1266</v>
      </c>
      <c r="G144" s="59">
        <v>1</v>
      </c>
      <c r="H144" s="60" t="s">
        <v>1267</v>
      </c>
      <c r="I144" s="60"/>
      <c r="J144" s="61"/>
      <c r="K144" s="62">
        <v>71775</v>
      </c>
      <c r="L144" s="60"/>
      <c r="M144" s="224"/>
      <c r="N144" s="224"/>
      <c r="O144" s="225"/>
      <c r="P144" s="576">
        <f>(115*90*('PL - School COA'!BI5/'PL - School COA'!H5))+(5*69*240*('PL - School COA'!BI5/'PL - School COA'!H5))+(5*12*180*('PL - School COA'!BI5/'PL - School COA'!H5))+(5*8*300*('PL - School COA'!BI5/'PL - School COA'!H5))</f>
        <v>127498.43373493977</v>
      </c>
      <c r="Q144" s="63">
        <f>ROUND(MIN(P144,Q$4)*Q$3,2)</f>
        <v>6621.6</v>
      </c>
      <c r="R144" s="63">
        <f>ROUND(P144*$R$3,2)</f>
        <v>1848.73</v>
      </c>
      <c r="S144" s="81"/>
      <c r="T144" s="63">
        <f>IF(H144="new",ROUND(MIN(P144,$T$4)*$T$3*G144*2,2),ROUND(MIN(P144,$T$4)*$T$3*G144,2))</f>
        <v>1050</v>
      </c>
      <c r="U144" s="63">
        <f>IF(H144="new",ROUND(MIN(P144,$U$4)*$U$3*G144*2,2),ROUND(MIN(P144,$U$4)*$U$3*G144,2))</f>
        <v>2192</v>
      </c>
      <c r="V144" s="64">
        <f>SUM(Q144:U144)</f>
        <v>11712.33</v>
      </c>
      <c r="W144" s="140"/>
      <c r="X144" s="63">
        <v>0</v>
      </c>
      <c r="Y144" s="63">
        <v>0</v>
      </c>
      <c r="Z144" s="63"/>
      <c r="AA144" s="64">
        <f>SUM(W144:Z144)</f>
        <v>0</v>
      </c>
      <c r="AB144" s="69">
        <f>21*22</f>
        <v>462</v>
      </c>
      <c r="AC144" s="70" t="s">
        <v>1268</v>
      </c>
    </row>
    <row r="145" spans="1:31" ht="13.5" thickBot="1" x14ac:dyDescent="0.25">
      <c r="D145" s="114"/>
      <c r="E145" s="116"/>
      <c r="F145" s="226" t="s">
        <v>1269</v>
      </c>
      <c r="G145" s="117"/>
      <c r="H145" s="118"/>
      <c r="I145" s="118"/>
      <c r="J145" s="119"/>
      <c r="K145" s="118"/>
      <c r="L145" s="118"/>
      <c r="M145" s="121"/>
      <c r="N145" s="121"/>
      <c r="O145" s="156"/>
      <c r="P145" s="129"/>
      <c r="Q145" s="123"/>
      <c r="R145" s="123"/>
      <c r="S145" s="123"/>
      <c r="T145" s="123"/>
      <c r="U145" s="123"/>
      <c r="V145" s="124"/>
      <c r="W145" s="123"/>
      <c r="X145" s="123">
        <f>IF(I145="x",0,IF(H145="new",ROUND(X$4*12*0.9*G145,2),ROUND(X$4*12*G145,2)))</f>
        <v>0</v>
      </c>
      <c r="Y145" s="123">
        <f>IF(I145="x",0,IF(H145="new",ROUND(Y$4*12*0.9*G145,2),ROUND(Y$4*12*G145,2)))</f>
        <v>0</v>
      </c>
      <c r="Z145" s="123"/>
      <c r="AA145" s="124">
        <f>SUM(W145:Z145)</f>
        <v>0</v>
      </c>
      <c r="AB145" s="125">
        <f>ROUND((P145/100)*$AB$3,2)</f>
        <v>0</v>
      </c>
      <c r="AC145" s="70"/>
    </row>
    <row r="146" spans="1:31" s="142" customFormat="1" ht="13.5" thickBot="1" x14ac:dyDescent="0.25">
      <c r="B146" s="126">
        <f>SUM(B144:B145)</f>
        <v>47850</v>
      </c>
      <c r="C146" s="126"/>
      <c r="D146" s="114"/>
      <c r="E146" s="127" t="s">
        <v>1270</v>
      </c>
      <c r="F146" s="128"/>
      <c r="G146" s="128"/>
      <c r="H146" s="129"/>
      <c r="I146" s="129"/>
      <c r="J146" s="130"/>
      <c r="K146" s="129"/>
      <c r="L146" s="129"/>
      <c r="M146" s="129"/>
      <c r="N146" s="129"/>
      <c r="O146" s="153"/>
      <c r="P146" s="132">
        <f>+P144</f>
        <v>127498.43373493977</v>
      </c>
      <c r="Q146" s="129">
        <f t="shared" ref="Q146:AB146" si="69">+Q144</f>
        <v>6621.6</v>
      </c>
      <c r="R146" s="129">
        <f t="shared" si="69"/>
        <v>1848.73</v>
      </c>
      <c r="S146" s="129">
        <f t="shared" si="69"/>
        <v>0</v>
      </c>
      <c r="T146" s="129">
        <f t="shared" si="69"/>
        <v>1050</v>
      </c>
      <c r="U146" s="129">
        <f t="shared" si="69"/>
        <v>2192</v>
      </c>
      <c r="V146" s="129">
        <f t="shared" si="69"/>
        <v>11712.33</v>
      </c>
      <c r="W146" s="129">
        <f t="shared" si="69"/>
        <v>0</v>
      </c>
      <c r="X146" s="129">
        <f t="shared" si="69"/>
        <v>0</v>
      </c>
      <c r="Y146" s="129">
        <f t="shared" si="69"/>
        <v>0</v>
      </c>
      <c r="Z146" s="129">
        <f t="shared" si="69"/>
        <v>0</v>
      </c>
      <c r="AA146" s="129">
        <f t="shared" si="69"/>
        <v>0</v>
      </c>
      <c r="AB146" s="134">
        <f t="shared" si="69"/>
        <v>462</v>
      </c>
      <c r="AC146" s="70"/>
    </row>
    <row r="147" spans="1:31" s="142" customFormat="1" x14ac:dyDescent="0.2">
      <c r="B147" s="87">
        <f>(P146-B146)</f>
        <v>79648.433734939768</v>
      </c>
      <c r="C147" s="87"/>
      <c r="D147" s="227"/>
      <c r="E147" s="228"/>
      <c r="F147" s="228"/>
      <c r="G147" s="228"/>
      <c r="H147" s="228"/>
      <c r="I147" s="228"/>
      <c r="J147" s="229"/>
      <c r="K147" s="159"/>
      <c r="L147" s="159"/>
      <c r="M147" s="159"/>
      <c r="N147" s="159"/>
      <c r="O147" s="230"/>
      <c r="P147" s="159"/>
      <c r="Q147" s="159"/>
      <c r="R147" s="159"/>
      <c r="S147" s="159"/>
      <c r="T147" s="159"/>
      <c r="U147" s="159"/>
      <c r="V147" s="159"/>
      <c r="W147" s="159"/>
      <c r="X147" s="159"/>
      <c r="Y147" s="159"/>
      <c r="Z147" s="159"/>
      <c r="AA147" s="159"/>
      <c r="AB147" s="159"/>
      <c r="AC147" s="70"/>
    </row>
    <row r="148" spans="1:31" s="231" customFormat="1" ht="13.5" thickBot="1" x14ac:dyDescent="0.25">
      <c r="D148" s="232"/>
      <c r="E148" s="233"/>
      <c r="F148" s="233"/>
      <c r="G148" s="233"/>
      <c r="H148" s="233"/>
      <c r="I148" s="233"/>
      <c r="J148" s="234"/>
      <c r="K148" s="235"/>
      <c r="L148" s="235"/>
      <c r="M148" s="236"/>
      <c r="N148" s="237"/>
      <c r="O148" s="237"/>
      <c r="P148" s="235"/>
      <c r="Q148" s="235"/>
      <c r="R148" s="235"/>
      <c r="S148" s="235"/>
      <c r="T148" s="235"/>
      <c r="U148" s="235"/>
      <c r="V148" s="235"/>
      <c r="W148" s="235"/>
      <c r="X148" s="235"/>
      <c r="Y148" s="235"/>
      <c r="Z148" s="235"/>
      <c r="AA148" s="235"/>
      <c r="AB148" s="235"/>
      <c r="AC148" s="238"/>
    </row>
    <row r="149" spans="1:31" s="231" customFormat="1" x14ac:dyDescent="0.2">
      <c r="D149" s="239"/>
      <c r="E149" s="240"/>
      <c r="F149" s="240"/>
      <c r="G149" s="241">
        <v>0</v>
      </c>
      <c r="H149" s="242"/>
      <c r="I149" s="242"/>
      <c r="J149" s="243"/>
      <c r="K149" s="242"/>
      <c r="L149" s="242"/>
      <c r="M149" s="244"/>
      <c r="N149" s="244"/>
      <c r="O149" s="244"/>
      <c r="P149" s="245">
        <f>+K149+L149+M149</f>
        <v>0</v>
      </c>
      <c r="Q149" s="246">
        <f>ROUND(MIN(P149,Q$4)*Q$3,2)</f>
        <v>0</v>
      </c>
      <c r="R149" s="246">
        <f>ROUND(P149*$R$3,2)</f>
        <v>0</v>
      </c>
      <c r="S149" s="246">
        <f>ROUND(P149*0.005,2)</f>
        <v>0</v>
      </c>
      <c r="T149" s="246">
        <f>ROUND(MIN(P149,$T$4)*$T$3,2)</f>
        <v>0</v>
      </c>
      <c r="U149" s="246">
        <f>ROUND(MIN(P149,$U$4)*$U$3,2)</f>
        <v>0</v>
      </c>
      <c r="V149" s="244">
        <f>SUM(Q149:U149)</f>
        <v>0</v>
      </c>
      <c r="W149" s="246">
        <v>0</v>
      </c>
      <c r="X149" s="246">
        <v>0</v>
      </c>
      <c r="Y149" s="246">
        <v>0</v>
      </c>
      <c r="Z149" s="246">
        <f>ROUND((Z$3*(MIN(P149,10000)/1000))+((P149/1000)*(Z$4)),2)</f>
        <v>0</v>
      </c>
      <c r="AA149" s="244">
        <f>SUM(W149:Z149)</f>
        <v>0</v>
      </c>
      <c r="AB149" s="247">
        <f>(P149/100)*$AB$3</f>
        <v>0</v>
      </c>
      <c r="AC149" s="238" t="s">
        <v>1271</v>
      </c>
    </row>
    <row r="150" spans="1:31" s="231" customFormat="1" ht="13.5" thickBot="1" x14ac:dyDescent="0.25">
      <c r="D150" s="248"/>
      <c r="E150" s="249"/>
      <c r="F150" s="249"/>
      <c r="G150" s="250"/>
      <c r="H150" s="251"/>
      <c r="I150" s="251"/>
      <c r="J150" s="252"/>
      <c r="K150" s="251"/>
      <c r="L150" s="251"/>
      <c r="M150" s="236"/>
      <c r="N150" s="236"/>
      <c r="O150" s="236"/>
      <c r="P150" s="253"/>
      <c r="Q150" s="254"/>
      <c r="R150" s="254"/>
      <c r="S150" s="254"/>
      <c r="T150" s="254"/>
      <c r="U150" s="254"/>
      <c r="V150" s="255"/>
      <c r="W150" s="254"/>
      <c r="X150" s="254"/>
      <c r="Y150" s="254"/>
      <c r="Z150" s="254"/>
      <c r="AA150" s="255"/>
      <c r="AB150" s="256"/>
      <c r="AC150" s="238"/>
    </row>
    <row r="151" spans="1:31" s="231" customFormat="1" ht="13.5" thickBot="1" x14ac:dyDescent="0.25">
      <c r="D151" s="248"/>
      <c r="E151" s="257" t="s">
        <v>1272</v>
      </c>
      <c r="F151" s="258"/>
      <c r="G151" s="258"/>
      <c r="H151" s="253"/>
      <c r="I151" s="253"/>
      <c r="J151" s="259"/>
      <c r="K151" s="253"/>
      <c r="L151" s="253"/>
      <c r="M151" s="253"/>
      <c r="N151" s="253"/>
      <c r="O151" s="253"/>
      <c r="P151" s="253">
        <f>SUM(P149:P150)</f>
        <v>0</v>
      </c>
      <c r="Q151" s="253">
        <f t="shared" ref="Q151:AB151" si="70">SUM(Q149:Q150)</f>
        <v>0</v>
      </c>
      <c r="R151" s="253">
        <f t="shared" si="70"/>
        <v>0</v>
      </c>
      <c r="S151" s="253">
        <f t="shared" si="70"/>
        <v>0</v>
      </c>
      <c r="T151" s="253">
        <f t="shared" si="70"/>
        <v>0</v>
      </c>
      <c r="U151" s="253">
        <f t="shared" si="70"/>
        <v>0</v>
      </c>
      <c r="V151" s="253">
        <f t="shared" si="70"/>
        <v>0</v>
      </c>
      <c r="W151" s="253">
        <f t="shared" si="70"/>
        <v>0</v>
      </c>
      <c r="X151" s="253">
        <f t="shared" si="70"/>
        <v>0</v>
      </c>
      <c r="Y151" s="253">
        <f t="shared" si="70"/>
        <v>0</v>
      </c>
      <c r="Z151" s="253">
        <f t="shared" si="70"/>
        <v>0</v>
      </c>
      <c r="AA151" s="253">
        <f t="shared" si="70"/>
        <v>0</v>
      </c>
      <c r="AB151" s="260">
        <f t="shared" si="70"/>
        <v>0</v>
      </c>
      <c r="AC151" s="238"/>
    </row>
    <row r="152" spans="1:31" s="231" customFormat="1" x14ac:dyDescent="0.2">
      <c r="D152" s="232"/>
      <c r="E152" s="261"/>
      <c r="F152" s="261"/>
      <c r="G152" s="262"/>
      <c r="H152" s="263"/>
      <c r="I152" s="263"/>
      <c r="J152" s="264"/>
      <c r="K152" s="235"/>
      <c r="L152" s="235"/>
      <c r="M152" s="265"/>
      <c r="N152" s="265"/>
      <c r="O152" s="265"/>
      <c r="P152" s="266"/>
      <c r="Q152" s="267"/>
      <c r="R152" s="267"/>
      <c r="S152" s="267"/>
      <c r="T152" s="267"/>
      <c r="U152" s="267"/>
      <c r="V152" s="268"/>
      <c r="W152" s="267"/>
      <c r="X152" s="267"/>
      <c r="Y152" s="267"/>
      <c r="Z152" s="267"/>
      <c r="AA152" s="268"/>
      <c r="AB152" s="268"/>
      <c r="AC152" s="238"/>
    </row>
    <row r="153" spans="1:31" ht="13.5" thickBot="1" x14ac:dyDescent="0.25">
      <c r="D153" s="227"/>
      <c r="E153" s="110"/>
      <c r="F153" s="110"/>
      <c r="G153" s="135"/>
      <c r="H153" s="76"/>
      <c r="I153" s="118"/>
      <c r="J153" s="46"/>
      <c r="K153" s="111"/>
      <c r="L153" s="159"/>
      <c r="M153" s="121"/>
      <c r="N153" s="136"/>
      <c r="O153" s="137"/>
      <c r="P153" s="166"/>
      <c r="Q153" s="160"/>
      <c r="R153" s="160"/>
      <c r="S153" s="160"/>
      <c r="T153" s="160"/>
      <c r="U153" s="160"/>
      <c r="V153" s="161"/>
      <c r="W153" s="123"/>
      <c r="X153" s="123"/>
      <c r="Y153" s="123"/>
      <c r="Z153" s="123"/>
      <c r="AA153" s="161"/>
      <c r="AB153" s="161"/>
      <c r="AC153" s="70"/>
    </row>
    <row r="154" spans="1:31" x14ac:dyDescent="0.2">
      <c r="A154" s="269">
        <v>10.199999999999999</v>
      </c>
      <c r="B154" s="1">
        <v>11500</v>
      </c>
      <c r="C154" s="1" t="s">
        <v>1273</v>
      </c>
      <c r="D154" s="56"/>
      <c r="E154" s="270" t="s">
        <v>1274</v>
      </c>
      <c r="F154" s="271" t="s">
        <v>1275</v>
      </c>
      <c r="G154" s="272">
        <v>1</v>
      </c>
      <c r="H154" s="273"/>
      <c r="I154" s="94"/>
      <c r="J154" s="274">
        <v>0</v>
      </c>
      <c r="K154" s="275">
        <f>J154*8*188</f>
        <v>0</v>
      </c>
      <c r="L154" s="273"/>
      <c r="M154" s="97">
        <f>K154*$M$4</f>
        <v>0</v>
      </c>
      <c r="N154" s="276"/>
      <c r="O154" s="99">
        <f>P154/24</f>
        <v>0</v>
      </c>
      <c r="P154" s="277">
        <f>G154*(K154+L154+M154)</f>
        <v>0</v>
      </c>
      <c r="Q154" s="278">
        <f>MIN(P154,$Q$4)*$Q$3</f>
        <v>0</v>
      </c>
      <c r="R154" s="278">
        <f>P154*$R$3</f>
        <v>0</v>
      </c>
      <c r="S154" s="279">
        <f>ROUND(P154*0.04,2)</f>
        <v>0</v>
      </c>
      <c r="T154" s="278">
        <f>IF(H154="new",ROUND(MIN(P154,$T$4)*$T$3*G154*2,2),ROUND(MIN(P154,$T$4)*$T$3*G154,2))</f>
        <v>0</v>
      </c>
      <c r="U154" s="278">
        <f>IF(H154="new",ROUND(MIN(P154,$U$4)*$U$3*G154*2,2),ROUND(MIN(P154,$U$4)*$U$3*G154,2))</f>
        <v>0</v>
      </c>
      <c r="V154" s="276">
        <f>SUM(Q154:U154)</f>
        <v>0</v>
      </c>
      <c r="W154" s="280">
        <v>0</v>
      </c>
      <c r="X154" s="278">
        <v>0</v>
      </c>
      <c r="Y154" s="278">
        <v>0</v>
      </c>
      <c r="Z154" s="97">
        <v>0</v>
      </c>
      <c r="AA154" s="276">
        <f>SUM(W154:Z154)</f>
        <v>0</v>
      </c>
      <c r="AB154" s="281">
        <v>0</v>
      </c>
      <c r="AC154" s="70" t="s">
        <v>1276</v>
      </c>
      <c r="AD154" s="87">
        <f>P154+V154+AA154+AB154</f>
        <v>0</v>
      </c>
      <c r="AE154" s="87">
        <f>AD154</f>
        <v>0</v>
      </c>
    </row>
    <row r="155" spans="1:31" x14ac:dyDescent="0.2">
      <c r="A155" s="269">
        <v>9.7200000000000006</v>
      </c>
      <c r="B155" s="1">
        <v>9146</v>
      </c>
      <c r="C155" s="1" t="s">
        <v>1277</v>
      </c>
      <c r="D155" s="71"/>
      <c r="E155" s="91" t="s">
        <v>1278</v>
      </c>
      <c r="F155" s="282" t="s">
        <v>1279</v>
      </c>
      <c r="G155" s="93">
        <v>1</v>
      </c>
      <c r="H155" s="94"/>
      <c r="I155" s="94"/>
      <c r="J155" s="283">
        <v>0</v>
      </c>
      <c r="K155" s="96">
        <f>J155*5*186</f>
        <v>0</v>
      </c>
      <c r="L155" s="94"/>
      <c r="M155" s="97">
        <f>K155*$M$4</f>
        <v>0</v>
      </c>
      <c r="N155" s="98"/>
      <c r="O155" s="99">
        <f>P155/24</f>
        <v>0</v>
      </c>
      <c r="P155" s="100">
        <f>G155*(K155+L155+M155)</f>
        <v>0</v>
      </c>
      <c r="Q155" s="97">
        <f>MIN(P155,$Q$4)*$Q$3</f>
        <v>0</v>
      </c>
      <c r="R155" s="97">
        <f>P155*$R$3</f>
        <v>0</v>
      </c>
      <c r="S155" s="101">
        <f>ROUND(P155*0.04,2)</f>
        <v>0</v>
      </c>
      <c r="T155" s="97">
        <f>IF(H155="new",ROUND(MIN(P155,$T$4)*$T$3*G155*2,2),ROUND(MIN(P155,$T$4)*$T$3*G155,2))</f>
        <v>0</v>
      </c>
      <c r="U155" s="97">
        <f>IF(H155="new",ROUND(MIN(P155,$U$4)*$U$3*G155*2,2),ROUND(MIN(P155,$U$4)*$U$3*G155,2))</f>
        <v>0</v>
      </c>
      <c r="V155" s="98">
        <f>SUM(Q155:U155)</f>
        <v>0</v>
      </c>
      <c r="W155" s="280">
        <v>0</v>
      </c>
      <c r="X155" s="97">
        <v>0</v>
      </c>
      <c r="Y155" s="97">
        <v>0</v>
      </c>
      <c r="Z155" s="97">
        <f>ROUND((Z$3*(MIN(P155,10000)/1000))+((P155/1000)*(Z$4)),2)</f>
        <v>0</v>
      </c>
      <c r="AA155" s="98">
        <f>SUM(W155:Z155)</f>
        <v>0</v>
      </c>
      <c r="AB155" s="102">
        <v>0</v>
      </c>
      <c r="AC155" s="70" t="s">
        <v>1276</v>
      </c>
      <c r="AD155" s="87">
        <f>P155+V155+AA155+AB155</f>
        <v>0</v>
      </c>
      <c r="AE155" s="87">
        <f>AD155</f>
        <v>0</v>
      </c>
    </row>
    <row r="156" spans="1:31" x14ac:dyDescent="0.2">
      <c r="A156" s="269">
        <v>10</v>
      </c>
      <c r="B156" s="1">
        <v>15000</v>
      </c>
      <c r="C156" s="1" t="s">
        <v>1280</v>
      </c>
      <c r="D156" s="71"/>
      <c r="E156" s="91" t="s">
        <v>1281</v>
      </c>
      <c r="F156" s="282" t="s">
        <v>1282</v>
      </c>
      <c r="G156" s="93">
        <v>1</v>
      </c>
      <c r="H156" s="94"/>
      <c r="I156" s="94" t="s">
        <v>1202</v>
      </c>
      <c r="J156" s="283">
        <v>0</v>
      </c>
      <c r="K156" s="96">
        <f>J156*8*188</f>
        <v>0</v>
      </c>
      <c r="L156" s="94"/>
      <c r="M156" s="97">
        <f>K156*$M$4</f>
        <v>0</v>
      </c>
      <c r="N156" s="98"/>
      <c r="O156" s="99">
        <f>P156/24</f>
        <v>0</v>
      </c>
      <c r="P156" s="100">
        <f>G156*(K156+L156+M156)</f>
        <v>0</v>
      </c>
      <c r="Q156" s="97">
        <f>MIN(P156,$Q$4)*$Q$3</f>
        <v>0</v>
      </c>
      <c r="R156" s="97">
        <f>P156*$R$3</f>
        <v>0</v>
      </c>
      <c r="S156" s="101">
        <f>ROUND(P156*0.04,2)</f>
        <v>0</v>
      </c>
      <c r="T156" s="97">
        <f>IF(H156="new",ROUND(MIN(P156,$T$4)*$T$3*G156*2,2),ROUND(MIN(P156,$T$4)*$T$3*G156,2))</f>
        <v>0</v>
      </c>
      <c r="U156" s="97">
        <f>IF(H156="new",ROUND(MIN(P156,$U$4)*$U$3*G156*2,2),ROUND(MIN(P156,$U$4)*$U$3*G156,2))</f>
        <v>0</v>
      </c>
      <c r="V156" s="98">
        <f>SUM(Q156:U156)</f>
        <v>0</v>
      </c>
      <c r="W156" s="280">
        <v>0</v>
      </c>
      <c r="X156" s="97">
        <v>0</v>
      </c>
      <c r="Y156" s="97">
        <v>0</v>
      </c>
      <c r="Z156" s="97">
        <f>ROUND((Z$3*(MIN(P156,10000)/1000))+((P156/1000)*(Z$4)),2)</f>
        <v>0</v>
      </c>
      <c r="AA156" s="98">
        <f>SUM(W156:Z156)</f>
        <v>0</v>
      </c>
      <c r="AB156" s="102">
        <v>0</v>
      </c>
      <c r="AC156" s="70" t="s">
        <v>1276</v>
      </c>
      <c r="AD156" s="87">
        <f>P156+V156+AA156+AB156</f>
        <v>0</v>
      </c>
      <c r="AE156" s="87">
        <f>AD156</f>
        <v>0</v>
      </c>
    </row>
    <row r="157" spans="1:31" s="44" customFormat="1" ht="13.5" customHeight="1" x14ac:dyDescent="0.2">
      <c r="A157" s="284"/>
      <c r="D157" s="285"/>
      <c r="E157" s="91" t="s">
        <v>1283</v>
      </c>
      <c r="F157" s="282" t="s">
        <v>1284</v>
      </c>
      <c r="G157" s="93">
        <v>1</v>
      </c>
      <c r="H157" s="94"/>
      <c r="I157" s="94"/>
      <c r="J157" s="283">
        <v>0</v>
      </c>
      <c r="K157" s="96">
        <f>J157*8*186</f>
        <v>0</v>
      </c>
      <c r="L157" s="94"/>
      <c r="M157" s="97">
        <f>K157*$M$4</f>
        <v>0</v>
      </c>
      <c r="N157" s="98"/>
      <c r="O157" s="99"/>
      <c r="P157" s="100">
        <f>G157*(K157+L157+M157)</f>
        <v>0</v>
      </c>
      <c r="Q157" s="97">
        <f>MIN(P157,$Q$4)*$Q$3</f>
        <v>0</v>
      </c>
      <c r="R157" s="97">
        <f>P157*$R$3</f>
        <v>0</v>
      </c>
      <c r="S157" s="101">
        <f>ROUND(P157*0.04,2)</f>
        <v>0</v>
      </c>
      <c r="T157" s="97">
        <f>IF(H157="new",ROUND(MIN(P157,$T$4)*$T$3*G157*2,2),ROUND(MIN(P157,$T$4)*$T$3*G157,2))</f>
        <v>0</v>
      </c>
      <c r="U157" s="97">
        <f>IF(H157="new",ROUND(MIN(P157,$U$4)*$U$3*G157*2,2),ROUND(MIN(P157,$U$4)*$U$3*G157,2))</f>
        <v>0</v>
      </c>
      <c r="V157" s="98">
        <f>SUM(Q157:U157)</f>
        <v>0</v>
      </c>
      <c r="W157" s="280">
        <v>0</v>
      </c>
      <c r="X157" s="97">
        <v>0</v>
      </c>
      <c r="Y157" s="97">
        <v>0</v>
      </c>
      <c r="Z157" s="97">
        <f>ROUND((Z$3*(MIN(P157,10000)/1000))+((P157/1000)*(Z$4)),2)</f>
        <v>0</v>
      </c>
      <c r="AA157" s="98">
        <f>SUM(W157:Z157)</f>
        <v>0</v>
      </c>
      <c r="AB157" s="102">
        <v>0</v>
      </c>
      <c r="AC157" s="70" t="s">
        <v>1276</v>
      </c>
      <c r="AD157" s="286"/>
      <c r="AE157" s="286"/>
    </row>
    <row r="158" spans="1:31" s="142" customFormat="1" x14ac:dyDescent="0.2">
      <c r="A158" s="287">
        <v>10.199999999999999</v>
      </c>
      <c r="B158" s="142">
        <v>9500</v>
      </c>
      <c r="C158" s="142" t="s">
        <v>1285</v>
      </c>
      <c r="D158" s="71"/>
      <c r="E158" s="91" t="s">
        <v>1286</v>
      </c>
      <c r="F158" s="288" t="s">
        <v>1287</v>
      </c>
      <c r="G158" s="93">
        <v>1</v>
      </c>
      <c r="H158" s="94"/>
      <c r="I158" s="94"/>
      <c r="J158" s="283">
        <v>0</v>
      </c>
      <c r="K158" s="96">
        <f>J158*5*186</f>
        <v>0</v>
      </c>
      <c r="L158" s="94"/>
      <c r="M158" s="97">
        <f>K158*$M$4</f>
        <v>0</v>
      </c>
      <c r="N158" s="98"/>
      <c r="O158" s="99"/>
      <c r="P158" s="100">
        <f>G158*(K158+L158+M158)</f>
        <v>0</v>
      </c>
      <c r="Q158" s="97">
        <f>MIN(P158,$Q$4)*$Q$3</f>
        <v>0</v>
      </c>
      <c r="R158" s="97">
        <f>P158*$R$3</f>
        <v>0</v>
      </c>
      <c r="S158" s="101">
        <f>ROUND(P158*0.04,2)</f>
        <v>0</v>
      </c>
      <c r="T158" s="97">
        <f>IF(H158="new",ROUND(MIN(P158,$T$4)*$T$3*G158*2,2),ROUND(MIN(P158,$T$4)*$T$3*G158,2))</f>
        <v>0</v>
      </c>
      <c r="U158" s="97">
        <f>IF(H158="new",ROUND(MIN(P158,$U$4)*$U$3*G158*2,2),ROUND(MIN(P158,$U$4)*$U$3*G158,2))</f>
        <v>0</v>
      </c>
      <c r="V158" s="98">
        <f>SUM(Q158:U158)</f>
        <v>0</v>
      </c>
      <c r="W158" s="280">
        <v>0</v>
      </c>
      <c r="X158" s="97">
        <v>0</v>
      </c>
      <c r="Y158" s="97">
        <v>0</v>
      </c>
      <c r="Z158" s="97">
        <f>ROUND((Z$3*(MIN(P158,10000)/1000))+((P158/1000)*(Z$4)),2)</f>
        <v>0</v>
      </c>
      <c r="AA158" s="98">
        <f>SUM(W158:Z158)</f>
        <v>0</v>
      </c>
      <c r="AB158" s="102">
        <v>0</v>
      </c>
      <c r="AC158" s="70" t="s">
        <v>1276</v>
      </c>
      <c r="AD158" s="87">
        <f>P158+V158+AA158+AB158</f>
        <v>0</v>
      </c>
      <c r="AE158" s="87">
        <f>AD158</f>
        <v>0</v>
      </c>
    </row>
    <row r="159" spans="1:31" ht="13.5" thickBot="1" x14ac:dyDescent="0.25">
      <c r="B159" s="142"/>
      <c r="C159" s="142"/>
      <c r="D159" s="71"/>
      <c r="E159" s="110"/>
      <c r="F159" s="44"/>
      <c r="G159" s="84"/>
      <c r="H159" s="76"/>
      <c r="I159" s="76"/>
      <c r="J159" s="46"/>
      <c r="K159" s="76"/>
      <c r="L159" s="76"/>
      <c r="M159" s="79"/>
      <c r="N159" s="79"/>
      <c r="O159" s="65"/>
      <c r="P159" s="111"/>
      <c r="Q159" s="78"/>
      <c r="R159" s="78"/>
      <c r="S159" s="78"/>
      <c r="T159" s="78"/>
      <c r="U159" s="78"/>
      <c r="V159" s="79"/>
      <c r="W159" s="68"/>
      <c r="X159" s="78"/>
      <c r="Y159" s="78"/>
      <c r="Z159" s="78"/>
      <c r="AA159" s="79"/>
      <c r="AB159" s="82"/>
      <c r="AC159" s="70"/>
    </row>
    <row r="160" spans="1:31" s="142" customFormat="1" ht="13.5" thickBot="1" x14ac:dyDescent="0.25">
      <c r="B160" s="126">
        <f>SUM(B154:B158)</f>
        <v>45146</v>
      </c>
      <c r="C160" s="126"/>
      <c r="D160" s="289"/>
      <c r="E160" s="290" t="s">
        <v>1288</v>
      </c>
      <c r="F160" s="290" t="s">
        <v>1289</v>
      </c>
      <c r="G160" s="291" t="s">
        <v>1290</v>
      </c>
      <c r="H160" s="292"/>
      <c r="I160" s="292"/>
      <c r="J160" s="293"/>
      <c r="K160" s="292"/>
      <c r="L160" s="292">
        <f>SUM(L154:L158)</f>
        <v>0</v>
      </c>
      <c r="M160" s="292"/>
      <c r="N160" s="292"/>
      <c r="O160" s="131"/>
      <c r="P160" s="294">
        <f t="shared" ref="P160:AB160" si="71">SUM(P154:P158)</f>
        <v>0</v>
      </c>
      <c r="Q160" s="292">
        <f t="shared" si="71"/>
        <v>0</v>
      </c>
      <c r="R160" s="292">
        <f t="shared" si="71"/>
        <v>0</v>
      </c>
      <c r="S160" s="292">
        <f t="shared" si="71"/>
        <v>0</v>
      </c>
      <c r="T160" s="292">
        <f t="shared" si="71"/>
        <v>0</v>
      </c>
      <c r="U160" s="292">
        <f t="shared" si="71"/>
        <v>0</v>
      </c>
      <c r="V160" s="292">
        <f t="shared" si="71"/>
        <v>0</v>
      </c>
      <c r="W160" s="292">
        <f t="shared" si="71"/>
        <v>0</v>
      </c>
      <c r="X160" s="295">
        <f t="shared" si="71"/>
        <v>0</v>
      </c>
      <c r="Y160" s="292">
        <f t="shared" si="71"/>
        <v>0</v>
      </c>
      <c r="Z160" s="292">
        <f t="shared" si="71"/>
        <v>0</v>
      </c>
      <c r="AA160" s="292">
        <f t="shared" si="71"/>
        <v>0</v>
      </c>
      <c r="AB160" s="296">
        <f t="shared" si="71"/>
        <v>0</v>
      </c>
      <c r="AC160" s="70"/>
      <c r="AD160" s="87"/>
      <c r="AE160" s="87">
        <f t="shared" ref="AE160:AE165" si="72">AD160</f>
        <v>0</v>
      </c>
    </row>
    <row r="161" spans="1:31" s="142" customFormat="1" ht="13.5" thickBot="1" x14ac:dyDescent="0.25">
      <c r="B161" s="87">
        <f>(P160-B160)</f>
        <v>-45146</v>
      </c>
      <c r="C161" s="87"/>
      <c r="E161" s="110"/>
      <c r="F161" s="147"/>
      <c r="G161" s="297"/>
      <c r="H161" s="111"/>
      <c r="I161" s="111"/>
      <c r="J161" s="298"/>
      <c r="K161" s="292"/>
      <c r="L161" s="111"/>
      <c r="M161" s="111"/>
      <c r="N161" s="111"/>
      <c r="O161" s="149"/>
      <c r="P161" s="111"/>
      <c r="Q161" s="111"/>
      <c r="R161" s="111"/>
      <c r="S161" s="111"/>
      <c r="T161" s="111"/>
      <c r="U161" s="111"/>
      <c r="V161" s="111"/>
      <c r="W161" s="111"/>
      <c r="X161" s="111"/>
      <c r="Y161" s="111"/>
      <c r="Z161" s="111"/>
      <c r="AA161" s="111"/>
      <c r="AB161" s="111"/>
      <c r="AC161" s="70"/>
      <c r="AD161" s="87">
        <f>P161+V161+AA161+AB161</f>
        <v>0</v>
      </c>
      <c r="AE161" s="87">
        <f t="shared" si="72"/>
        <v>0</v>
      </c>
    </row>
    <row r="162" spans="1:31" s="142" customFormat="1" x14ac:dyDescent="0.2">
      <c r="A162" s="142">
        <v>10.25</v>
      </c>
      <c r="B162" s="142">
        <v>11500</v>
      </c>
      <c r="C162" s="142" t="s">
        <v>1291</v>
      </c>
      <c r="D162" s="56"/>
      <c r="E162" s="299" t="s">
        <v>1292</v>
      </c>
      <c r="F162" s="223" t="s">
        <v>1293</v>
      </c>
      <c r="G162" s="59">
        <v>1</v>
      </c>
      <c r="H162" s="60"/>
      <c r="I162" s="60"/>
      <c r="J162" s="46">
        <v>0</v>
      </c>
      <c r="K162" s="85">
        <v>0</v>
      </c>
      <c r="L162" s="60"/>
      <c r="M162" s="63">
        <f>K162*$M$4</f>
        <v>0</v>
      </c>
      <c r="N162" s="64"/>
      <c r="O162" s="139">
        <f>P162/24</f>
        <v>0</v>
      </c>
      <c r="P162" s="300">
        <f>+K162+L162+M162+N162</f>
        <v>0</v>
      </c>
      <c r="Q162" s="63">
        <f>MIN(P162,$Q$4)*$Q$3</f>
        <v>0</v>
      </c>
      <c r="R162" s="63">
        <f>P162*$R$3</f>
        <v>0</v>
      </c>
      <c r="S162" s="67">
        <f>ROUND(P162*0.04,2)</f>
        <v>0</v>
      </c>
      <c r="T162" s="63">
        <f>IF(H162="new",ROUND(MIN(P162,$T$4)*$T$3*G162*2,2),ROUND(MIN(P162,$T$4)*$T$3*G162,2))</f>
        <v>0</v>
      </c>
      <c r="U162" s="63">
        <f>IF(H162="new",ROUND(MIN(P162,$U$4)*$U$3*G162*2,2),ROUND(MIN(P162,$U$4)*$U$3*G162,2))</f>
        <v>0</v>
      </c>
      <c r="V162" s="64">
        <f>SUM(Q162:U162)</f>
        <v>0</v>
      </c>
      <c r="W162" s="140">
        <v>0</v>
      </c>
      <c r="X162" s="63">
        <v>0</v>
      </c>
      <c r="Y162" s="63">
        <v>0</v>
      </c>
      <c r="Z162" s="63">
        <f>ROUND((Z$3*(MIN(P162,10000)/1000))+((P162/1000)*(Z$4)),2)</f>
        <v>0</v>
      </c>
      <c r="AA162" s="64">
        <f>SUM(W162:Z162)</f>
        <v>0</v>
      </c>
      <c r="AB162" s="69">
        <v>0</v>
      </c>
      <c r="AC162" s="70"/>
      <c r="AD162" s="87">
        <f>P162+V162+AA162+AB162</f>
        <v>0</v>
      </c>
      <c r="AE162" s="87"/>
    </row>
    <row r="163" spans="1:31" s="142" customFormat="1" x14ac:dyDescent="0.2">
      <c r="A163" s="287">
        <v>10.25</v>
      </c>
      <c r="B163" s="142">
        <v>16068</v>
      </c>
      <c r="C163" s="142" t="s">
        <v>1291</v>
      </c>
      <c r="D163" s="71"/>
      <c r="E163" s="143" t="s">
        <v>1292</v>
      </c>
      <c r="F163" s="110" t="s">
        <v>1293</v>
      </c>
      <c r="G163" s="84">
        <v>1</v>
      </c>
      <c r="H163" s="76"/>
      <c r="I163" s="76" t="s">
        <v>1202</v>
      </c>
      <c r="J163" s="46">
        <v>0</v>
      </c>
      <c r="K163" s="85">
        <v>0</v>
      </c>
      <c r="L163" s="76"/>
      <c r="M163" s="78">
        <f>K163*$M$4</f>
        <v>0</v>
      </c>
      <c r="N163" s="79"/>
      <c r="O163" s="65">
        <f>P163/24</f>
        <v>0</v>
      </c>
      <c r="P163" s="301">
        <f>+K163+L163+M163+N163</f>
        <v>0</v>
      </c>
      <c r="Q163" s="78">
        <f>MIN(P163,$Q$4)*$Q$3</f>
        <v>0</v>
      </c>
      <c r="R163" s="78">
        <f>P163*$R$3</f>
        <v>0</v>
      </c>
      <c r="S163" s="81">
        <f>ROUND(P163*0.04,2)</f>
        <v>0</v>
      </c>
      <c r="T163" s="78">
        <f>IF(H163="new",ROUND(MIN(P163,$T$4)*$T$3*G163*2,2),ROUND(MIN(P163,$T$4)*$T$3*G163,2))</f>
        <v>0</v>
      </c>
      <c r="U163" s="78">
        <f>IF(H163="new",ROUND(MIN(P163,$U$4)*$U$3*G163*2,2),ROUND(MIN(P163,$U$4)*$U$3*G163,2))</f>
        <v>0</v>
      </c>
      <c r="V163" s="79">
        <f>SUM(Q163:U163)</f>
        <v>0</v>
      </c>
      <c r="W163" s="68">
        <v>0</v>
      </c>
      <c r="X163" s="78">
        <f>IF(I163="x",0,IF(H163="new",ROUND(X$4*12*0.9*G163,2),ROUND(X$4*12*G163,2)))</f>
        <v>0</v>
      </c>
      <c r="Y163" s="78">
        <f>IF(I163="x",0,IF(H163="new",ROUND(Y$4*12*0.9*G163,2),ROUND(Y$4*12*G163,2)))</f>
        <v>0</v>
      </c>
      <c r="Z163" s="78">
        <f>ROUND((Z$3*(MIN(P163,10000)/1000))+((P163/1000)*(Z$4)),2)</f>
        <v>0</v>
      </c>
      <c r="AA163" s="79">
        <f>SUM(W163:Z163)</f>
        <v>0</v>
      </c>
      <c r="AB163" s="82">
        <v>0</v>
      </c>
      <c r="AC163" s="70"/>
      <c r="AD163" s="87">
        <f>P163+V163+AA163+AB163</f>
        <v>0</v>
      </c>
      <c r="AE163" s="87"/>
    </row>
    <row r="164" spans="1:31" s="142" customFormat="1" x14ac:dyDescent="0.2">
      <c r="A164" s="287">
        <v>10.3</v>
      </c>
      <c r="B164" s="142">
        <v>6036.42</v>
      </c>
      <c r="C164" s="302" t="s">
        <v>1294</v>
      </c>
      <c r="D164" s="71"/>
      <c r="E164" s="143" t="s">
        <v>1292</v>
      </c>
      <c r="F164" s="110" t="s">
        <v>1295</v>
      </c>
      <c r="G164" s="84">
        <v>0</v>
      </c>
      <c r="H164" s="76"/>
      <c r="I164" s="76" t="s">
        <v>1202</v>
      </c>
      <c r="J164" s="46">
        <v>0</v>
      </c>
      <c r="K164" s="85"/>
      <c r="L164" s="76"/>
      <c r="M164" s="78">
        <f>K164*$M$4</f>
        <v>0</v>
      </c>
      <c r="N164" s="79"/>
      <c r="O164" s="65">
        <f>P164/24</f>
        <v>0</v>
      </c>
      <c r="P164" s="301">
        <f>+K164+L164+M164</f>
        <v>0</v>
      </c>
      <c r="Q164" s="78">
        <f>MIN(P164,$Q$4)*$Q$3</f>
        <v>0</v>
      </c>
      <c r="R164" s="78">
        <f>P164*$R$3</f>
        <v>0</v>
      </c>
      <c r="S164" s="81">
        <f>ROUND(P164*0.04,2)</f>
        <v>0</v>
      </c>
      <c r="T164" s="78">
        <f>IF(H164="new",ROUND(MIN(P164,$T$4)*$T$3*G164*2,2),ROUND(MIN(P164,$T$4)*$T$3*G164,2))</f>
        <v>0</v>
      </c>
      <c r="U164" s="78">
        <f>IF(H164="new",ROUND(MIN(P164,$U$4)*$U$3*G164*2,2),ROUND(MIN(P164,$U$4)*$U$3*G164,2))</f>
        <v>0</v>
      </c>
      <c r="V164" s="79">
        <f>SUM(Q164:U164)</f>
        <v>0</v>
      </c>
      <c r="W164" s="68">
        <v>0</v>
      </c>
      <c r="X164" s="78">
        <f>IF(I164="x",0,IF(H164="new",ROUND(X$4*12*0.9*G164,2),ROUND(X$4*12*G164,2)))</f>
        <v>0</v>
      </c>
      <c r="Y164" s="78">
        <f>IF(I164="x",0,IF(H164="new",ROUND(Y$4*12*0.9*G164,2),ROUND(Y$4*12*G164,2)))</f>
        <v>0</v>
      </c>
      <c r="Z164" s="78">
        <f>ROUND((Z$3*(MIN(P164,10000)/1000))+((P164/1000)*(Z$4)),2)</f>
        <v>0</v>
      </c>
      <c r="AA164" s="79">
        <f>SUM(W164:Z164)</f>
        <v>0</v>
      </c>
      <c r="AB164" s="82">
        <v>0</v>
      </c>
      <c r="AC164" s="70"/>
      <c r="AD164" s="87">
        <f>P164+V164+AA164+AB164</f>
        <v>0</v>
      </c>
      <c r="AE164" s="87"/>
    </row>
    <row r="165" spans="1:31" s="142" customFormat="1" ht="12.75" customHeight="1" x14ac:dyDescent="0.2">
      <c r="A165" s="287">
        <v>15</v>
      </c>
      <c r="B165" s="142">
        <v>23228</v>
      </c>
      <c r="C165" s="142" t="s">
        <v>1291</v>
      </c>
      <c r="D165" s="71"/>
      <c r="E165" s="143" t="s">
        <v>1292</v>
      </c>
      <c r="F165" s="110" t="s">
        <v>1296</v>
      </c>
      <c r="G165" s="84">
        <v>1</v>
      </c>
      <c r="H165" s="76"/>
      <c r="I165" s="76"/>
      <c r="J165" s="303">
        <v>0</v>
      </c>
      <c r="K165" s="85">
        <v>0</v>
      </c>
      <c r="L165" s="76"/>
      <c r="M165" s="78">
        <f>K165*$M$4</f>
        <v>0</v>
      </c>
      <c r="N165" s="79"/>
      <c r="O165" s="65">
        <f>P165/24</f>
        <v>0</v>
      </c>
      <c r="P165" s="80">
        <f>G165*(K165+L165+M165)</f>
        <v>0</v>
      </c>
      <c r="Q165" s="78">
        <f>MIN(P165,$Q$4)*$Q$3</f>
        <v>0</v>
      </c>
      <c r="R165" s="78">
        <f>P165*$R$3</f>
        <v>0</v>
      </c>
      <c r="S165" s="81">
        <f>ROUND(P165*0.04,2)</f>
        <v>0</v>
      </c>
      <c r="T165" s="78">
        <f>IF(H165="new",ROUND(MIN(P165,$T$4)*$T$3*G165*2,2),ROUND(MIN(P165,$T$4)*$T$3*G165,2))</f>
        <v>0</v>
      </c>
      <c r="U165" s="78">
        <f>IF(H165="new",ROUND(MIN(P165,$U$4)*$U$3*G165*2,2),ROUND(MIN(P165,$U$4)*$U$3*G165,2))</f>
        <v>0</v>
      </c>
      <c r="V165" s="79">
        <f>SUM(Q165:U165)</f>
        <v>0</v>
      </c>
      <c r="W165" s="68">
        <v>0</v>
      </c>
      <c r="X165" s="78">
        <f>IF(I165="x",0,IF(H165="new",ROUND(X$4*12*0.9*G165,2),ROUND(X$4*12*G165,2)))</f>
        <v>0</v>
      </c>
      <c r="Y165" s="78">
        <f>IF(I165="x",0,IF(H165="new",ROUND(Y$4*12*0.9*G165,2),ROUND(Y$4*12*G165,2)))</f>
        <v>0</v>
      </c>
      <c r="Z165" s="78">
        <f>ROUND((Z$3*(MIN(P165,10000)/1000))+((P165/1000)*(Z$4)),2)</f>
        <v>0</v>
      </c>
      <c r="AA165" s="79">
        <f>SUM(W165:Z165)</f>
        <v>0</v>
      </c>
      <c r="AB165" s="82">
        <v>0</v>
      </c>
      <c r="AC165" s="70"/>
      <c r="AD165" s="87">
        <f>P165+V165+AA165+AB165</f>
        <v>0</v>
      </c>
      <c r="AE165" s="87">
        <f t="shared" si="72"/>
        <v>0</v>
      </c>
    </row>
    <row r="166" spans="1:31" s="142" customFormat="1" ht="13.5" thickBot="1" x14ac:dyDescent="0.25">
      <c r="A166" s="287"/>
      <c r="D166" s="71"/>
      <c r="E166" s="110"/>
      <c r="F166" s="110"/>
      <c r="G166" s="84"/>
      <c r="H166" s="76"/>
      <c r="I166" s="76"/>
      <c r="J166" s="46">
        <v>0</v>
      </c>
      <c r="K166" s="85"/>
      <c r="L166" s="76"/>
      <c r="M166" s="78"/>
      <c r="N166" s="79"/>
      <c r="O166" s="65"/>
      <c r="P166" s="301"/>
      <c r="Q166" s="78"/>
      <c r="R166" s="78"/>
      <c r="S166" s="81"/>
      <c r="T166" s="78"/>
      <c r="U166" s="78"/>
      <c r="V166" s="79"/>
      <c r="W166" s="68"/>
      <c r="X166" s="78"/>
      <c r="Y166" s="78"/>
      <c r="Z166" s="78"/>
      <c r="AA166" s="79"/>
      <c r="AB166" s="112"/>
      <c r="AC166" s="70"/>
      <c r="AD166" s="87"/>
      <c r="AE166" s="87"/>
    </row>
    <row r="167" spans="1:31" s="142" customFormat="1" ht="13.5" thickBot="1" x14ac:dyDescent="0.25">
      <c r="B167" s="126">
        <f>SUM(B162:B166)</f>
        <v>56832.42</v>
      </c>
      <c r="C167" s="126"/>
      <c r="D167" s="289"/>
      <c r="E167" s="290" t="s">
        <v>1297</v>
      </c>
      <c r="F167" s="290"/>
      <c r="G167" s="291"/>
      <c r="H167" s="292"/>
      <c r="I167" s="292"/>
      <c r="J167" s="293"/>
      <c r="K167" s="292"/>
      <c r="L167" s="292">
        <f>SUM(L162:L166)</f>
        <v>0</v>
      </c>
      <c r="M167" s="292"/>
      <c r="N167" s="292"/>
      <c r="O167" s="131"/>
      <c r="P167" s="294">
        <f t="shared" ref="P167:AB167" si="73">SUM(P162:P166)</f>
        <v>0</v>
      </c>
      <c r="Q167" s="292">
        <f t="shared" si="73"/>
        <v>0</v>
      </c>
      <c r="R167" s="292">
        <f t="shared" si="73"/>
        <v>0</v>
      </c>
      <c r="S167" s="292">
        <f t="shared" si="73"/>
        <v>0</v>
      </c>
      <c r="T167" s="292">
        <f t="shared" si="73"/>
        <v>0</v>
      </c>
      <c r="U167" s="292">
        <f t="shared" si="73"/>
        <v>0</v>
      </c>
      <c r="V167" s="292">
        <f t="shared" si="73"/>
        <v>0</v>
      </c>
      <c r="W167" s="292">
        <f t="shared" si="73"/>
        <v>0</v>
      </c>
      <c r="X167" s="292">
        <f t="shared" si="73"/>
        <v>0</v>
      </c>
      <c r="Y167" s="292">
        <f t="shared" si="73"/>
        <v>0</v>
      </c>
      <c r="Z167" s="292">
        <f t="shared" si="73"/>
        <v>0</v>
      </c>
      <c r="AA167" s="292">
        <f t="shared" si="73"/>
        <v>0</v>
      </c>
      <c r="AB167" s="296">
        <f t="shared" si="73"/>
        <v>0</v>
      </c>
      <c r="AC167" s="70" t="s">
        <v>1298</v>
      </c>
      <c r="AD167" s="304">
        <f>SUM(AD154:AD166)</f>
        <v>0</v>
      </c>
      <c r="AE167" s="304">
        <f>SUM(AE154:AE166)</f>
        <v>0</v>
      </c>
    </row>
    <row r="168" spans="1:31" s="142" customFormat="1" x14ac:dyDescent="0.2">
      <c r="B168" s="87">
        <f>(P167-B167)</f>
        <v>-56832.42</v>
      </c>
      <c r="C168" s="87"/>
      <c r="E168" s="147"/>
      <c r="F168" s="147"/>
      <c r="G168" s="297"/>
      <c r="H168" s="111"/>
      <c r="I168" s="111"/>
      <c r="J168" s="305"/>
      <c r="K168" s="111"/>
      <c r="L168" s="111"/>
      <c r="M168" s="111"/>
      <c r="N168" s="111"/>
      <c r="O168" s="149"/>
      <c r="P168" s="111"/>
      <c r="Q168" s="111"/>
      <c r="R168" s="111"/>
      <c r="S168" s="111"/>
      <c r="T168" s="111"/>
      <c r="U168" s="111"/>
      <c r="V168" s="111"/>
      <c r="W168" s="111"/>
      <c r="X168" s="111"/>
      <c r="Y168" s="111"/>
      <c r="Z168" s="111"/>
      <c r="AA168" s="111"/>
      <c r="AB168" s="111"/>
      <c r="AC168" s="70"/>
    </row>
    <row r="169" spans="1:31" s="142" customFormat="1" ht="13.5" thickBot="1" x14ac:dyDescent="0.25">
      <c r="D169" s="227"/>
      <c r="E169" s="110"/>
      <c r="F169" s="110"/>
      <c r="G169" s="135"/>
      <c r="H169" s="76"/>
      <c r="I169" s="76"/>
      <c r="J169" s="46"/>
      <c r="K169" s="159"/>
      <c r="L169" s="159"/>
      <c r="M169" s="136"/>
      <c r="N169" s="136"/>
      <c r="O169" s="137"/>
      <c r="P169" s="166"/>
      <c r="Q169" s="160"/>
      <c r="R169" s="160"/>
      <c r="S169" s="160"/>
      <c r="T169" s="160"/>
      <c r="U169" s="160"/>
      <c r="V169" s="161"/>
      <c r="W169" s="78"/>
      <c r="X169" s="78"/>
      <c r="Y169" s="78"/>
      <c r="Z169" s="78"/>
      <c r="AA169" s="161"/>
      <c r="AB169" s="161"/>
      <c r="AC169" s="70"/>
    </row>
    <row r="170" spans="1:31" s="306" customFormat="1" x14ac:dyDescent="0.2">
      <c r="B170" s="306">
        <v>0</v>
      </c>
      <c r="D170" s="307"/>
      <c r="E170" s="270" t="s">
        <v>1299</v>
      </c>
      <c r="F170" s="308" t="s">
        <v>1300</v>
      </c>
      <c r="G170" s="272">
        <v>0.5</v>
      </c>
      <c r="H170" s="273"/>
      <c r="I170" s="273"/>
      <c r="J170" s="309"/>
      <c r="K170" s="310">
        <v>0</v>
      </c>
      <c r="L170" s="273"/>
      <c r="M170" s="278">
        <f t="shared" ref="M170:M176" si="74">K170*$M$4</f>
        <v>0</v>
      </c>
      <c r="N170" s="276"/>
      <c r="O170" s="311">
        <f>P170/24</f>
        <v>0</v>
      </c>
      <c r="P170" s="277">
        <f>+(+K170+M170)*G170</f>
        <v>0</v>
      </c>
      <c r="Q170" s="278">
        <f>ROUND(MIN(P170,Q$4)*Q$3,2)</f>
        <v>0</v>
      </c>
      <c r="R170" s="278">
        <f>ROUND(P170*$R$3,2)</f>
        <v>0</v>
      </c>
      <c r="S170" s="279">
        <f t="shared" ref="S170:S176" si="75">ROUND(P170*0.04,2)</f>
        <v>0</v>
      </c>
      <c r="T170" s="278">
        <f t="shared" ref="T170:T176" si="76">IF(H170="new",ROUND(MIN(P170,$T$4)*$T$3*G170*2,2),ROUND(MIN(P170,$T$4)*$T$3*G170,2))</f>
        <v>0</v>
      </c>
      <c r="U170" s="278">
        <f t="shared" ref="U170:U176" si="77">IF(H170="new",ROUND(MIN(P170,$U$4)*$U$3*G170*2,2),ROUND(MIN(P170,$U$4)*$U$3*G170,2))</f>
        <v>0</v>
      </c>
      <c r="V170" s="276">
        <f t="shared" ref="V170:V176" si="78">SUM(Q170:U170)</f>
        <v>0</v>
      </c>
      <c r="W170" s="312">
        <v>0</v>
      </c>
      <c r="X170" s="278">
        <f>IF(I170="x",0,IF(H170="new",ROUND(X$4*12*0.9*G170,2),ROUND(X$4*12*G170,2)))</f>
        <v>0</v>
      </c>
      <c r="Y170" s="278">
        <f>IF(I170="x",0,IF(H170="new",ROUND(Y$4*12*0.9*G170,2),ROUND(Y$4*12*G170,2)))</f>
        <v>0</v>
      </c>
      <c r="Z170" s="278">
        <f>ROUND((Z$3*(MIN(P170,10000)/1000))+((P170/1000)*(Z$4)),2)</f>
        <v>0</v>
      </c>
      <c r="AA170" s="276">
        <f t="shared" ref="AA170:AA176" si="79">SUM(W170:Z170)</f>
        <v>0</v>
      </c>
      <c r="AB170" s="281">
        <v>0</v>
      </c>
      <c r="AC170" s="70" t="s">
        <v>1301</v>
      </c>
    </row>
    <row r="171" spans="1:31" x14ac:dyDescent="0.2">
      <c r="A171" s="269">
        <v>9.7200000000000006</v>
      </c>
      <c r="B171" s="1">
        <v>9146</v>
      </c>
      <c r="C171" s="1" t="s">
        <v>1302</v>
      </c>
      <c r="D171" s="71"/>
      <c r="E171" s="83" t="s">
        <v>1303</v>
      </c>
      <c r="F171" s="110" t="s">
        <v>1304</v>
      </c>
      <c r="G171" s="84">
        <v>1</v>
      </c>
      <c r="H171" s="76"/>
      <c r="I171" s="76"/>
      <c r="J171" s="313">
        <v>10.01</v>
      </c>
      <c r="K171" s="314">
        <f>J171*5*186</f>
        <v>9309.2999999999993</v>
      </c>
      <c r="L171" s="76"/>
      <c r="M171" s="78">
        <f t="shared" si="74"/>
        <v>279.27899999999994</v>
      </c>
      <c r="N171" s="79"/>
      <c r="O171" s="65">
        <f>P171/24</f>
        <v>399.52412499999997</v>
      </c>
      <c r="P171" s="80">
        <f t="shared" ref="P171:P176" si="80">G171*(K171+L171+M171)</f>
        <v>9588.5789999999997</v>
      </c>
      <c r="Q171" s="78">
        <f t="shared" ref="Q171:Q176" si="81">MIN(P171,$Q$4)*$Q$3</f>
        <v>594.49189799999999</v>
      </c>
      <c r="R171" s="78">
        <f t="shared" ref="R171:R176" si="82">P171*$R$3</f>
        <v>139.03439550000002</v>
      </c>
      <c r="S171" s="81">
        <f t="shared" si="75"/>
        <v>383.54</v>
      </c>
      <c r="T171" s="78">
        <f t="shared" si="76"/>
        <v>525</v>
      </c>
      <c r="U171" s="78">
        <f t="shared" si="77"/>
        <v>767.09</v>
      </c>
      <c r="V171" s="79">
        <f t="shared" si="78"/>
        <v>2409.1562935000002</v>
      </c>
      <c r="W171" s="68">
        <f>P171*$W$3</f>
        <v>1463.2171554000001</v>
      </c>
      <c r="X171" s="78">
        <v>0</v>
      </c>
      <c r="Y171" s="78">
        <v>0</v>
      </c>
      <c r="Z171" s="78">
        <f>ROUND((Z$3*(MIN(P171,10000)/1000))+((P171/1000)*(Z$4)),2)</f>
        <v>0</v>
      </c>
      <c r="AA171" s="79">
        <f t="shared" si="79"/>
        <v>1463.2171554000001</v>
      </c>
      <c r="AB171" s="82">
        <f>6.97*22</f>
        <v>153.34</v>
      </c>
      <c r="AC171" s="70"/>
      <c r="AD171" s="87">
        <f>P171+V171+AA171+AB171</f>
        <v>13614.2924489</v>
      </c>
      <c r="AE171" s="87">
        <f>AD171</f>
        <v>13614.2924489</v>
      </c>
    </row>
    <row r="172" spans="1:31" x14ac:dyDescent="0.2">
      <c r="A172" s="269">
        <v>10</v>
      </c>
      <c r="B172" s="1">
        <v>15000</v>
      </c>
      <c r="C172" s="1" t="s">
        <v>1302</v>
      </c>
      <c r="D172" s="71"/>
      <c r="E172" s="83" t="s">
        <v>1305</v>
      </c>
      <c r="F172" s="110" t="s">
        <v>1306</v>
      </c>
      <c r="G172" s="84">
        <v>1</v>
      </c>
      <c r="H172" s="76"/>
      <c r="I172" s="76" t="s">
        <v>1202</v>
      </c>
      <c r="J172" s="313">
        <v>10.82</v>
      </c>
      <c r="K172" s="314">
        <f>J172*8*188</f>
        <v>16273.28</v>
      </c>
      <c r="L172" s="76"/>
      <c r="M172" s="78">
        <f t="shared" si="74"/>
        <v>488.19839999999999</v>
      </c>
      <c r="N172" s="79"/>
      <c r="O172" s="65">
        <f>P172/24</f>
        <v>698.39493333333337</v>
      </c>
      <c r="P172" s="80">
        <f t="shared" si="80"/>
        <v>16761.4784</v>
      </c>
      <c r="Q172" s="78">
        <f t="shared" si="81"/>
        <v>1039.2116607999999</v>
      </c>
      <c r="R172" s="78">
        <f t="shared" si="82"/>
        <v>243.04143680000001</v>
      </c>
      <c r="S172" s="81">
        <f t="shared" si="75"/>
        <v>670.46</v>
      </c>
      <c r="T172" s="78">
        <f t="shared" si="76"/>
        <v>525</v>
      </c>
      <c r="U172" s="78">
        <f t="shared" si="77"/>
        <v>1096</v>
      </c>
      <c r="V172" s="79">
        <f t="shared" si="78"/>
        <v>3573.7130975999999</v>
      </c>
      <c r="W172" s="68">
        <f>P172*$W$3</f>
        <v>2557.8016038400001</v>
      </c>
      <c r="X172" s="78">
        <v>0</v>
      </c>
      <c r="Y172" s="78">
        <v>0</v>
      </c>
      <c r="Z172" s="78">
        <f>ROUND((Z$3*(MIN(P172,10000)/1000))+((P172/1000)*(Z$4)),2)</f>
        <v>0</v>
      </c>
      <c r="AA172" s="79">
        <f t="shared" si="79"/>
        <v>2557.8016038400001</v>
      </c>
      <c r="AB172" s="82">
        <f>9.21*22</f>
        <v>202.62</v>
      </c>
      <c r="AC172" s="70"/>
      <c r="AD172" s="87">
        <f>P172+V172+AA172+AB172</f>
        <v>23095.613101439998</v>
      </c>
      <c r="AE172" s="87">
        <f>AD172</f>
        <v>23095.613101439998</v>
      </c>
    </row>
    <row r="173" spans="1:31" x14ac:dyDescent="0.2">
      <c r="A173" s="269"/>
      <c r="C173" s="1" t="s">
        <v>1302</v>
      </c>
      <c r="D173" s="71"/>
      <c r="E173" s="83" t="s">
        <v>1307</v>
      </c>
      <c r="F173" s="110" t="s">
        <v>1287</v>
      </c>
      <c r="G173" s="84">
        <v>1</v>
      </c>
      <c r="H173" s="76"/>
      <c r="I173" s="76"/>
      <c r="J173" s="313">
        <v>12.39</v>
      </c>
      <c r="K173" s="314">
        <f>J173*8*186</f>
        <v>18436.32</v>
      </c>
      <c r="L173" s="76"/>
      <c r="M173" s="78">
        <f t="shared" si="74"/>
        <v>553.08960000000002</v>
      </c>
      <c r="N173" s="79"/>
      <c r="O173" s="65"/>
      <c r="P173" s="80">
        <f t="shared" si="80"/>
        <v>18989.409599999999</v>
      </c>
      <c r="Q173" s="78">
        <f t="shared" si="81"/>
        <v>1177.3433952</v>
      </c>
      <c r="R173" s="78">
        <f t="shared" si="82"/>
        <v>275.34643920000002</v>
      </c>
      <c r="S173" s="81">
        <f t="shared" si="75"/>
        <v>759.58</v>
      </c>
      <c r="T173" s="78">
        <f t="shared" si="76"/>
        <v>525</v>
      </c>
      <c r="U173" s="78">
        <f t="shared" si="77"/>
        <v>1096</v>
      </c>
      <c r="V173" s="79">
        <f t="shared" si="78"/>
        <v>3833.2698344</v>
      </c>
      <c r="W173" s="68">
        <v>0</v>
      </c>
      <c r="X173" s="78">
        <v>0</v>
      </c>
      <c r="Y173" s="78">
        <v>0</v>
      </c>
      <c r="Z173" s="78">
        <f>ROUND((Z$3*(MIN(P173,10000)/1000))+((P173/1000)*(Z$4)),2)</f>
        <v>0</v>
      </c>
      <c r="AA173" s="79">
        <f t="shared" si="79"/>
        <v>0</v>
      </c>
      <c r="AB173" s="82">
        <v>0</v>
      </c>
      <c r="AC173" s="70"/>
      <c r="AD173" s="87"/>
      <c r="AE173" s="87"/>
    </row>
    <row r="174" spans="1:31" x14ac:dyDescent="0.2">
      <c r="A174" s="269">
        <v>9.5500000000000007</v>
      </c>
      <c r="B174" s="1">
        <v>5500</v>
      </c>
      <c r="C174" s="1" t="s">
        <v>1302</v>
      </c>
      <c r="D174" s="71"/>
      <c r="E174" s="83" t="s">
        <v>1308</v>
      </c>
      <c r="F174" s="110" t="s">
        <v>1309</v>
      </c>
      <c r="G174" s="84">
        <v>1</v>
      </c>
      <c r="H174" s="76"/>
      <c r="I174" s="76"/>
      <c r="J174" s="313">
        <v>10.3</v>
      </c>
      <c r="K174" s="314">
        <f>J174*5*186</f>
        <v>9579</v>
      </c>
      <c r="L174" s="76"/>
      <c r="M174" s="78">
        <f t="shared" si="74"/>
        <v>287.37</v>
      </c>
      <c r="N174" s="79"/>
      <c r="O174" s="65">
        <f>P174/24</f>
        <v>411.09875000000005</v>
      </c>
      <c r="P174" s="80">
        <f t="shared" si="80"/>
        <v>9866.3700000000008</v>
      </c>
      <c r="Q174" s="78">
        <f t="shared" si="81"/>
        <v>611.71494000000007</v>
      </c>
      <c r="R174" s="78">
        <f t="shared" si="82"/>
        <v>143.06236500000003</v>
      </c>
      <c r="S174" s="81">
        <f t="shared" si="75"/>
        <v>394.65</v>
      </c>
      <c r="T174" s="78">
        <f t="shared" si="76"/>
        <v>525</v>
      </c>
      <c r="U174" s="78">
        <f t="shared" si="77"/>
        <v>789.31</v>
      </c>
      <c r="V174" s="79">
        <f t="shared" si="78"/>
        <v>2463.7373050000001</v>
      </c>
      <c r="W174" s="68">
        <f>P174*$W$3</f>
        <v>1505.6080620000002</v>
      </c>
      <c r="X174" s="78">
        <v>0</v>
      </c>
      <c r="Y174" s="78">
        <v>0</v>
      </c>
      <c r="Z174" s="78">
        <f>ROUND((Z$3*(MIN(P174,10000)/1000))+((P174/1000)*(Z$4)),2)</f>
        <v>0</v>
      </c>
      <c r="AA174" s="79">
        <f t="shared" si="79"/>
        <v>1505.6080620000002</v>
      </c>
      <c r="AB174" s="82">
        <f>19.21*20</f>
        <v>384.20000000000005</v>
      </c>
      <c r="AC174" s="70"/>
      <c r="AD174" s="87"/>
      <c r="AE174" s="87"/>
    </row>
    <row r="175" spans="1:31" x14ac:dyDescent="0.2">
      <c r="A175" s="269">
        <v>10.199999999999999</v>
      </c>
      <c r="B175" s="1">
        <v>11500</v>
      </c>
      <c r="C175" s="1" t="s">
        <v>1310</v>
      </c>
      <c r="D175" s="71"/>
      <c r="E175" s="83" t="s">
        <v>1311</v>
      </c>
      <c r="F175" s="110" t="s">
        <v>1275</v>
      </c>
      <c r="G175" s="84">
        <v>1</v>
      </c>
      <c r="H175" s="76"/>
      <c r="I175" s="76"/>
      <c r="J175" s="315">
        <v>14</v>
      </c>
      <c r="K175" s="314">
        <f>J175*8*188</f>
        <v>21056</v>
      </c>
      <c r="L175" s="76"/>
      <c r="M175" s="78">
        <f t="shared" si="74"/>
        <v>631.67999999999995</v>
      </c>
      <c r="N175" s="79"/>
      <c r="O175" s="65">
        <f>P175/24</f>
        <v>903.65333333333331</v>
      </c>
      <c r="P175" s="80">
        <f t="shared" si="80"/>
        <v>21687.68</v>
      </c>
      <c r="Q175" s="78">
        <f t="shared" si="81"/>
        <v>1344.63616</v>
      </c>
      <c r="R175" s="78">
        <f t="shared" si="82"/>
        <v>314.47136</v>
      </c>
      <c r="S175" s="81">
        <f t="shared" si="75"/>
        <v>867.51</v>
      </c>
      <c r="T175" s="78">
        <f t="shared" si="76"/>
        <v>525</v>
      </c>
      <c r="U175" s="78">
        <f t="shared" si="77"/>
        <v>1096</v>
      </c>
      <c r="V175" s="79">
        <f t="shared" si="78"/>
        <v>4147.6175199999998</v>
      </c>
      <c r="W175" s="68">
        <f>P175*$W$3</f>
        <v>3309.5399680000005</v>
      </c>
      <c r="X175" s="78">
        <v>0</v>
      </c>
      <c r="Y175" s="78">
        <v>0</v>
      </c>
      <c r="Z175" s="78">
        <v>0</v>
      </c>
      <c r="AA175" s="79">
        <f t="shared" si="79"/>
        <v>3309.5399680000005</v>
      </c>
      <c r="AB175" s="82">
        <f>7.38*22</f>
        <v>162.35999999999999</v>
      </c>
      <c r="AC175" s="70"/>
      <c r="AD175" s="87">
        <f>P175+V175+AA175+AB175</f>
        <v>29307.197488000002</v>
      </c>
      <c r="AE175" s="87">
        <f>AD175</f>
        <v>29307.197488000002</v>
      </c>
    </row>
    <row r="176" spans="1:31" s="142" customFormat="1" x14ac:dyDescent="0.2">
      <c r="A176" s="287">
        <v>10.199999999999999</v>
      </c>
      <c r="B176" s="142">
        <v>9500</v>
      </c>
      <c r="C176" s="142" t="s">
        <v>1302</v>
      </c>
      <c r="D176" s="71"/>
      <c r="E176" s="83" t="s">
        <v>1312</v>
      </c>
      <c r="F176" s="110" t="s">
        <v>1304</v>
      </c>
      <c r="G176" s="84">
        <v>1</v>
      </c>
      <c r="H176" s="76"/>
      <c r="I176" s="76"/>
      <c r="J176" s="313">
        <v>10.3</v>
      </c>
      <c r="K176" s="314">
        <f>J176*5*186</f>
        <v>9579</v>
      </c>
      <c r="L176" s="76"/>
      <c r="M176" s="78">
        <f t="shared" si="74"/>
        <v>287.37</v>
      </c>
      <c r="N176" s="79"/>
      <c r="O176" s="65"/>
      <c r="P176" s="80">
        <f t="shared" si="80"/>
        <v>9866.3700000000008</v>
      </c>
      <c r="Q176" s="78">
        <f t="shared" si="81"/>
        <v>611.71494000000007</v>
      </c>
      <c r="R176" s="78">
        <f t="shared" si="82"/>
        <v>143.06236500000003</v>
      </c>
      <c r="S176" s="81">
        <f t="shared" si="75"/>
        <v>394.65</v>
      </c>
      <c r="T176" s="78">
        <f t="shared" si="76"/>
        <v>525</v>
      </c>
      <c r="U176" s="78">
        <f t="shared" si="77"/>
        <v>789.31</v>
      </c>
      <c r="V176" s="79">
        <f t="shared" si="78"/>
        <v>2463.7373050000001</v>
      </c>
      <c r="W176" s="68">
        <f>P176*$W$3</f>
        <v>1505.6080620000002</v>
      </c>
      <c r="X176" s="78">
        <v>0</v>
      </c>
      <c r="Y176" s="78">
        <v>0</v>
      </c>
      <c r="Z176" s="78">
        <f>ROUND((Z$3*(MIN(P176,10000)/1000))+((P176/1000)*(Z$4)),2)</f>
        <v>0</v>
      </c>
      <c r="AA176" s="79">
        <f t="shared" si="79"/>
        <v>1505.6080620000002</v>
      </c>
      <c r="AB176" s="82">
        <f>6.97*22</f>
        <v>153.34</v>
      </c>
      <c r="AC176" s="70"/>
      <c r="AD176" s="87">
        <f>P176+V176+AA176+AB176</f>
        <v>13989.055367000001</v>
      </c>
      <c r="AE176" s="87">
        <f>AD176</f>
        <v>13989.055367000001</v>
      </c>
    </row>
    <row r="177" spans="1:29" x14ac:dyDescent="0.2">
      <c r="D177" s="15"/>
      <c r="E177" s="110"/>
      <c r="F177" s="110"/>
      <c r="G177" s="84"/>
      <c r="H177" s="76"/>
      <c r="I177" s="76"/>
      <c r="J177" s="46"/>
      <c r="K177" s="316"/>
      <c r="L177" s="76"/>
      <c r="M177" s="79"/>
      <c r="N177" s="79"/>
      <c r="O177" s="65"/>
      <c r="P177" s="111"/>
      <c r="Q177" s="78"/>
      <c r="R177" s="78"/>
      <c r="S177" s="78"/>
      <c r="T177" s="78"/>
      <c r="U177" s="78"/>
      <c r="V177" s="79"/>
      <c r="W177" s="78"/>
      <c r="X177" s="78"/>
      <c r="Y177" s="78"/>
      <c r="Z177" s="78"/>
      <c r="AA177" s="79"/>
      <c r="AB177" s="112"/>
    </row>
    <row r="178" spans="1:29" ht="13.5" thickBot="1" x14ac:dyDescent="0.25">
      <c r="D178" s="15"/>
      <c r="E178" s="110"/>
      <c r="F178" s="110"/>
      <c r="G178" s="84"/>
      <c r="H178" s="76"/>
      <c r="I178" s="76"/>
      <c r="J178" s="46"/>
      <c r="K178" s="316"/>
      <c r="L178" s="76"/>
      <c r="M178" s="79"/>
      <c r="N178" s="79"/>
      <c r="O178" s="65"/>
      <c r="P178" s="111"/>
      <c r="Q178" s="78"/>
      <c r="R178" s="78"/>
      <c r="S178" s="78"/>
      <c r="T178" s="78"/>
      <c r="U178" s="78"/>
      <c r="V178" s="79"/>
      <c r="W178" s="78"/>
      <c r="X178" s="78"/>
      <c r="Y178" s="78"/>
      <c r="Z178" s="78"/>
      <c r="AA178" s="79"/>
      <c r="AB178" s="112"/>
    </row>
    <row r="179" spans="1:29" ht="13.5" thickBot="1" x14ac:dyDescent="0.25">
      <c r="B179" s="126">
        <f>SUM(B169:B178)</f>
        <v>50646</v>
      </c>
      <c r="C179" s="126"/>
      <c r="D179" s="289"/>
      <c r="E179" s="290" t="s">
        <v>1313</v>
      </c>
      <c r="F179" s="318" t="s">
        <v>1314</v>
      </c>
      <c r="G179" s="318"/>
      <c r="H179" s="292"/>
      <c r="I179" s="292"/>
      <c r="J179" s="293"/>
      <c r="K179" s="319"/>
      <c r="L179" s="292">
        <f>SUM(L170:L178)</f>
        <v>0</v>
      </c>
      <c r="M179" s="292"/>
      <c r="N179" s="292"/>
      <c r="O179" s="131"/>
      <c r="P179" s="294">
        <f t="shared" ref="P179:V179" si="83">SUM(P170:P178)</f>
        <v>86759.886999999988</v>
      </c>
      <c r="Q179" s="292">
        <f t="shared" si="83"/>
        <v>5379.1129940000001</v>
      </c>
      <c r="R179" s="292">
        <f t="shared" si="83"/>
        <v>1258.0183615000001</v>
      </c>
      <c r="S179" s="292">
        <f t="shared" si="83"/>
        <v>3470.39</v>
      </c>
      <c r="T179" s="292">
        <f t="shared" si="83"/>
        <v>3150</v>
      </c>
      <c r="U179" s="292">
        <f t="shared" si="83"/>
        <v>5633.7099999999991</v>
      </c>
      <c r="V179" s="292">
        <f t="shared" si="83"/>
        <v>18891.231355499996</v>
      </c>
      <c r="W179" s="292">
        <f>SUM(W170:W178)</f>
        <v>10341.774851240003</v>
      </c>
      <c r="X179" s="295">
        <f>SUM(X170:X172)</f>
        <v>0</v>
      </c>
      <c r="Y179" s="292">
        <f>SUM(Y170:Y172)</f>
        <v>0</v>
      </c>
      <c r="Z179" s="292">
        <f>SUM(Z170:Z172)</f>
        <v>0</v>
      </c>
      <c r="AA179" s="292">
        <f>SUM(AA170:AA178)</f>
        <v>10341.774851240003</v>
      </c>
      <c r="AB179" s="296">
        <f>SUM(AB170:AB178)</f>
        <v>1055.8600000000001</v>
      </c>
    </row>
    <row r="180" spans="1:29" x14ac:dyDescent="0.2">
      <c r="B180" s="87">
        <f>(P179-B179)</f>
        <v>36113.886999999988</v>
      </c>
      <c r="C180" s="87"/>
      <c r="D180" s="227"/>
      <c r="E180" s="110"/>
      <c r="F180" s="110"/>
      <c r="G180" s="135"/>
      <c r="H180" s="76"/>
      <c r="I180" s="76"/>
      <c r="J180" s="46"/>
      <c r="K180" s="320"/>
      <c r="L180" s="159"/>
      <c r="M180" s="164"/>
      <c r="N180" s="164"/>
      <c r="O180" s="165"/>
      <c r="P180" s="166"/>
      <c r="Q180" s="160"/>
      <c r="R180" s="160"/>
      <c r="S180" s="160"/>
      <c r="T180" s="160"/>
      <c r="U180" s="160"/>
      <c r="V180" s="161"/>
      <c r="W180" s="160"/>
      <c r="X180" s="160"/>
      <c r="Y180" s="160"/>
      <c r="Z180" s="160"/>
      <c r="AA180" s="161"/>
      <c r="AB180" s="161"/>
    </row>
    <row r="181" spans="1:29" ht="13.5" thickBot="1" x14ac:dyDescent="0.25">
      <c r="D181" s="227"/>
      <c r="E181" s="110"/>
      <c r="F181" s="110"/>
      <c r="G181" s="135"/>
      <c r="H181" s="76"/>
      <c r="I181" s="76"/>
      <c r="J181" s="46"/>
      <c r="K181" s="320"/>
      <c r="L181" s="159"/>
      <c r="M181" s="164"/>
      <c r="N181" s="164"/>
      <c r="O181" s="165"/>
      <c r="P181" s="166"/>
      <c r="Q181" s="160"/>
      <c r="R181" s="160"/>
      <c r="S181" s="160"/>
      <c r="T181" s="160"/>
      <c r="U181" s="160"/>
      <c r="V181" s="161"/>
      <c r="W181" s="160"/>
      <c r="X181" s="160"/>
      <c r="Y181" s="160"/>
      <c r="Z181" s="160"/>
      <c r="AA181" s="161"/>
      <c r="AB181" s="161"/>
    </row>
    <row r="182" spans="1:29" s="44" customFormat="1" x14ac:dyDescent="0.2">
      <c r="A182" s="284">
        <v>9.5500000000000007</v>
      </c>
      <c r="B182" s="44">
        <v>10887</v>
      </c>
      <c r="C182" s="44" t="s">
        <v>1315</v>
      </c>
      <c r="D182" s="321"/>
      <c r="E182" s="57" t="s">
        <v>1316</v>
      </c>
      <c r="F182" s="223" t="s">
        <v>1317</v>
      </c>
      <c r="G182" s="59">
        <v>1</v>
      </c>
      <c r="H182" s="60"/>
      <c r="I182" s="60"/>
      <c r="J182" s="322">
        <v>9.5500000000000007</v>
      </c>
      <c r="K182" s="323">
        <f>J182*2*186</f>
        <v>3552.6000000000004</v>
      </c>
      <c r="L182" s="60"/>
      <c r="M182" s="63">
        <f>K182*$M$4</f>
        <v>106.578</v>
      </c>
      <c r="N182" s="324"/>
      <c r="O182" s="139">
        <f>P182/24</f>
        <v>152.46575000000001</v>
      </c>
      <c r="P182" s="66">
        <f>G182*(K182+L182+M182)</f>
        <v>3659.1780000000003</v>
      </c>
      <c r="Q182" s="63">
        <f>MIN(P182,$Q$4)*$Q$3</f>
        <v>226.86903600000002</v>
      </c>
      <c r="R182" s="63">
        <f>P182*$R$3</f>
        <v>53.058081000000008</v>
      </c>
      <c r="S182" s="67">
        <f>ROUND(P182*0.04,2)</f>
        <v>146.37</v>
      </c>
      <c r="T182" s="63">
        <f>IF(H182="new",ROUND(MIN(P182,$T$4)*$T$3*G182*2,2),ROUND(MIN(P182,$T$4)*$T$3*G182,2))</f>
        <v>219.55</v>
      </c>
      <c r="U182" s="63">
        <f>IF(H182="new",ROUND(MIN(P182,$U$4)*$U$3*G182*2,2),ROUND(MIN(P182,$U$4)*$U$3*G182,2))</f>
        <v>292.73</v>
      </c>
      <c r="V182" s="64">
        <f>SUM(Q182:U182)</f>
        <v>938.57711700000004</v>
      </c>
      <c r="W182" s="140">
        <f>P182*$W$3</f>
        <v>558.39056280000011</v>
      </c>
      <c r="X182" s="63"/>
      <c r="Y182" s="63"/>
      <c r="Z182" s="63">
        <f>ROUND((Z$3*(MIN(P182,10000)/1000))+((P182/1000)*(Z$4)),2)</f>
        <v>0</v>
      </c>
      <c r="AA182" s="64">
        <f>SUM(W182:Z182)</f>
        <v>558.39056280000011</v>
      </c>
      <c r="AB182" s="69">
        <f>8.44*20+7.62*20</f>
        <v>321.2</v>
      </c>
      <c r="AC182" s="70"/>
    </row>
    <row r="183" spans="1:29" s="44" customFormat="1" x14ac:dyDescent="0.25">
      <c r="A183" s="284"/>
      <c r="D183" s="325"/>
      <c r="E183" s="83" t="s">
        <v>1318</v>
      </c>
      <c r="F183" s="110" t="s">
        <v>1317</v>
      </c>
      <c r="G183" s="84">
        <v>1</v>
      </c>
      <c r="H183" s="76"/>
      <c r="I183" s="76"/>
      <c r="J183" s="313">
        <v>9.5500000000000007</v>
      </c>
      <c r="K183" s="314">
        <f>J183*2*186</f>
        <v>3552.6000000000004</v>
      </c>
      <c r="L183" s="76"/>
      <c r="M183" s="78">
        <f>K183*$M$4</f>
        <v>106.578</v>
      </c>
      <c r="N183" s="136"/>
      <c r="O183" s="65"/>
      <c r="P183" s="80">
        <f>G183*(K183+L183+M183)</f>
        <v>3659.1780000000003</v>
      </c>
      <c r="Q183" s="78"/>
      <c r="R183" s="78"/>
      <c r="S183" s="81"/>
      <c r="T183" s="78"/>
      <c r="U183" s="78"/>
      <c r="V183" s="79"/>
      <c r="W183" s="68"/>
      <c r="X183" s="78"/>
      <c r="Y183" s="78"/>
      <c r="Z183" s="78"/>
      <c r="AA183" s="79"/>
      <c r="AB183" s="82"/>
      <c r="AC183" s="326"/>
    </row>
    <row r="184" spans="1:29" s="44" customFormat="1" x14ac:dyDescent="0.25">
      <c r="A184" s="284"/>
      <c r="D184" s="325"/>
      <c r="E184" s="83" t="s">
        <v>1319</v>
      </c>
      <c r="F184" s="110" t="s">
        <v>1317</v>
      </c>
      <c r="G184" s="84">
        <v>1</v>
      </c>
      <c r="H184" s="76"/>
      <c r="I184" s="76"/>
      <c r="J184" s="313">
        <v>9.5500000000000007</v>
      </c>
      <c r="K184" s="314">
        <f>J184*2*186</f>
        <v>3552.6000000000004</v>
      </c>
      <c r="L184" s="76"/>
      <c r="M184" s="78">
        <f>K184*$M$4</f>
        <v>106.578</v>
      </c>
      <c r="N184" s="136"/>
      <c r="O184" s="65"/>
      <c r="P184" s="80">
        <f>G184*(K184+L184+M184)</f>
        <v>3659.1780000000003</v>
      </c>
      <c r="Q184" s="78"/>
      <c r="R184" s="78"/>
      <c r="S184" s="81"/>
      <c r="T184" s="78"/>
      <c r="U184" s="78"/>
      <c r="V184" s="79"/>
      <c r="W184" s="68"/>
      <c r="X184" s="78"/>
      <c r="Y184" s="78"/>
      <c r="Z184" s="78"/>
      <c r="AA184" s="79"/>
      <c r="AB184" s="82"/>
      <c r="AC184" s="326"/>
    </row>
    <row r="185" spans="1:29" x14ac:dyDescent="0.2">
      <c r="D185" s="15"/>
      <c r="E185" s="72" t="s">
        <v>1320</v>
      </c>
      <c r="F185" s="110" t="s">
        <v>1317</v>
      </c>
      <c r="G185" s="84">
        <v>1</v>
      </c>
      <c r="H185" s="76"/>
      <c r="I185" s="76"/>
      <c r="J185" s="313">
        <v>9.5500000000000007</v>
      </c>
      <c r="K185" s="314">
        <f>J185*2*186</f>
        <v>3552.6000000000004</v>
      </c>
      <c r="L185" s="76"/>
      <c r="M185" s="78">
        <f>K185*$M$4</f>
        <v>106.578</v>
      </c>
      <c r="N185" s="79"/>
      <c r="O185" s="65"/>
      <c r="P185" s="80">
        <f>G185*(K185+L185+M185)</f>
        <v>3659.1780000000003</v>
      </c>
      <c r="Q185" s="78"/>
      <c r="R185" s="78"/>
      <c r="S185" s="81">
        <f>ROUND(P185*0.08,2)</f>
        <v>292.73</v>
      </c>
      <c r="T185" s="78"/>
      <c r="U185" s="78"/>
      <c r="V185" s="79"/>
      <c r="W185" s="78"/>
      <c r="X185" s="78"/>
      <c r="Y185" s="78"/>
      <c r="Z185" s="78"/>
      <c r="AA185" s="79"/>
      <c r="AB185" s="112"/>
    </row>
    <row r="186" spans="1:29" x14ac:dyDescent="0.2">
      <c r="D186" s="15"/>
      <c r="E186" s="110"/>
      <c r="F186" s="110"/>
      <c r="G186" s="84"/>
      <c r="H186" s="76"/>
      <c r="I186" s="76"/>
      <c r="J186" s="46"/>
      <c r="K186" s="316"/>
      <c r="L186" s="76"/>
      <c r="M186" s="79"/>
      <c r="N186" s="79"/>
      <c r="O186" s="65"/>
      <c r="P186" s="111"/>
      <c r="Q186" s="78"/>
      <c r="R186" s="78"/>
      <c r="S186" s="78"/>
      <c r="T186" s="78"/>
      <c r="U186" s="78"/>
      <c r="V186" s="79"/>
      <c r="W186" s="78"/>
      <c r="X186" s="78"/>
      <c r="Y186" s="78"/>
      <c r="Z186" s="78"/>
      <c r="AA186" s="79"/>
      <c r="AB186" s="112"/>
    </row>
    <row r="187" spans="1:29" ht="13.5" thickBot="1" x14ac:dyDescent="0.25">
      <c r="D187" s="15"/>
      <c r="E187" s="110"/>
      <c r="F187" s="110"/>
      <c r="G187" s="84"/>
      <c r="H187" s="76"/>
      <c r="I187" s="76"/>
      <c r="J187" s="46"/>
      <c r="K187" s="316"/>
      <c r="L187" s="76"/>
      <c r="M187" s="79"/>
      <c r="N187" s="79"/>
      <c r="O187" s="65"/>
      <c r="P187" s="111"/>
      <c r="Q187" s="78"/>
      <c r="R187" s="78"/>
      <c r="S187" s="78"/>
      <c r="T187" s="78"/>
      <c r="U187" s="78"/>
      <c r="V187" s="79"/>
      <c r="W187" s="78"/>
      <c r="X187" s="78"/>
      <c r="Y187" s="78"/>
      <c r="Z187" s="78"/>
      <c r="AA187" s="79"/>
      <c r="AB187" s="112"/>
    </row>
    <row r="188" spans="1:29" ht="13.5" thickBot="1" x14ac:dyDescent="0.25">
      <c r="B188" s="126">
        <f>SUM(B182:B185)</f>
        <v>10887</v>
      </c>
      <c r="C188" s="126"/>
      <c r="D188" s="289"/>
      <c r="E188" s="290" t="s">
        <v>1321</v>
      </c>
      <c r="F188" s="318"/>
      <c r="G188" s="318"/>
      <c r="H188" s="292"/>
      <c r="I188" s="292"/>
      <c r="J188" s="293"/>
      <c r="K188" s="319"/>
      <c r="L188" s="292">
        <f>SUM(L182:L185)</f>
        <v>0</v>
      </c>
      <c r="M188" s="292"/>
      <c r="N188" s="292"/>
      <c r="O188" s="131"/>
      <c r="P188" s="294">
        <f t="shared" ref="P188:AB188" si="84">SUM(P182:P185)</f>
        <v>14636.712000000001</v>
      </c>
      <c r="Q188" s="292">
        <f t="shared" si="84"/>
        <v>226.86903600000002</v>
      </c>
      <c r="R188" s="292">
        <f t="shared" si="84"/>
        <v>53.058081000000008</v>
      </c>
      <c r="S188" s="292">
        <f t="shared" si="84"/>
        <v>439.1</v>
      </c>
      <c r="T188" s="292">
        <f t="shared" si="84"/>
        <v>219.55</v>
      </c>
      <c r="U188" s="292">
        <f t="shared" si="84"/>
        <v>292.73</v>
      </c>
      <c r="V188" s="292">
        <f t="shared" si="84"/>
        <v>938.57711700000004</v>
      </c>
      <c r="W188" s="292">
        <f t="shared" si="84"/>
        <v>558.39056280000011</v>
      </c>
      <c r="X188" s="295">
        <f t="shared" si="84"/>
        <v>0</v>
      </c>
      <c r="Y188" s="292">
        <f t="shared" si="84"/>
        <v>0</v>
      </c>
      <c r="Z188" s="292">
        <f t="shared" si="84"/>
        <v>0</v>
      </c>
      <c r="AA188" s="292">
        <f t="shared" si="84"/>
        <v>558.39056280000011</v>
      </c>
      <c r="AB188" s="296">
        <f t="shared" si="84"/>
        <v>321.2</v>
      </c>
    </row>
    <row r="189" spans="1:29" x14ac:dyDescent="0.2">
      <c r="B189" s="87">
        <f>(P188-B188)</f>
        <v>3749.7120000000014</v>
      </c>
      <c r="C189" s="87"/>
      <c r="D189" s="1"/>
      <c r="E189" s="147"/>
      <c r="F189" s="148"/>
      <c r="G189" s="148"/>
      <c r="H189" s="111"/>
      <c r="I189" s="111"/>
      <c r="J189" s="154"/>
      <c r="K189" s="327"/>
      <c r="L189" s="111"/>
      <c r="M189" s="111"/>
      <c r="N189" s="111"/>
      <c r="O189" s="149"/>
      <c r="P189" s="111"/>
      <c r="Q189" s="111"/>
      <c r="R189" s="111"/>
      <c r="S189" s="111"/>
      <c r="T189" s="111"/>
      <c r="U189" s="111"/>
      <c r="V189" s="111"/>
      <c r="W189" s="111"/>
      <c r="X189" s="111"/>
      <c r="Y189" s="111"/>
      <c r="Z189" s="111"/>
      <c r="AA189" s="111"/>
      <c r="AB189" s="111"/>
    </row>
    <row r="190" spans="1:29" s="231" customFormat="1" ht="13.5" thickBot="1" x14ac:dyDescent="0.25">
      <c r="D190" s="232"/>
      <c r="E190" s="261"/>
      <c r="F190" s="261"/>
      <c r="G190" s="262"/>
      <c r="H190" s="263"/>
      <c r="I190" s="263"/>
      <c r="J190" s="264"/>
      <c r="K190" s="328"/>
      <c r="L190" s="235"/>
      <c r="M190" s="265"/>
      <c r="N190" s="265"/>
      <c r="O190" s="265"/>
      <c r="P190" s="266"/>
      <c r="Q190" s="267"/>
      <c r="R190" s="267"/>
      <c r="S190" s="267"/>
      <c r="T190" s="267"/>
      <c r="U190" s="267"/>
      <c r="V190" s="268"/>
      <c r="W190" s="267"/>
      <c r="X190" s="267"/>
      <c r="Y190" s="267"/>
      <c r="Z190" s="267"/>
      <c r="AA190" s="268"/>
      <c r="AB190" s="268"/>
      <c r="AC190" s="238"/>
    </row>
    <row r="191" spans="1:29" s="231" customFormat="1" x14ac:dyDescent="0.2">
      <c r="A191" s="329">
        <v>12.42</v>
      </c>
      <c r="B191" s="231">
        <v>19375</v>
      </c>
      <c r="C191" s="231" t="s">
        <v>1322</v>
      </c>
      <c r="D191" s="239"/>
      <c r="E191" s="330"/>
      <c r="F191" s="240" t="s">
        <v>1323</v>
      </c>
      <c r="G191" s="241"/>
      <c r="H191" s="242"/>
      <c r="I191" s="242"/>
      <c r="J191" s="243"/>
      <c r="K191" s="331"/>
      <c r="L191" s="242"/>
      <c r="M191" s="244"/>
      <c r="N191" s="244"/>
      <c r="O191" s="244"/>
      <c r="P191" s="245"/>
      <c r="Q191" s="246"/>
      <c r="R191" s="246"/>
      <c r="S191" s="246"/>
      <c r="T191" s="246"/>
      <c r="U191" s="246"/>
      <c r="V191" s="244"/>
      <c r="W191" s="246"/>
      <c r="X191" s="246"/>
      <c r="Y191" s="246"/>
      <c r="Z191" s="246"/>
      <c r="AA191" s="244"/>
      <c r="AB191" s="247"/>
      <c r="AC191" s="238" t="s">
        <v>1324</v>
      </c>
    </row>
    <row r="192" spans="1:29" s="231" customFormat="1" x14ac:dyDescent="0.2">
      <c r="D192" s="332"/>
      <c r="E192" s="261"/>
      <c r="F192" s="261" t="s">
        <v>96</v>
      </c>
      <c r="G192" s="333"/>
      <c r="H192" s="263"/>
      <c r="I192" s="263"/>
      <c r="J192" s="264"/>
      <c r="K192" s="334"/>
      <c r="L192" s="263"/>
      <c r="M192" s="335"/>
      <c r="N192" s="335"/>
      <c r="O192" s="335"/>
      <c r="P192" s="336"/>
      <c r="Q192" s="337"/>
      <c r="R192" s="337"/>
      <c r="S192" s="337"/>
      <c r="T192" s="337"/>
      <c r="U192" s="337"/>
      <c r="V192" s="335"/>
      <c r="W192" s="337"/>
      <c r="X192" s="337"/>
      <c r="Y192" s="337"/>
      <c r="Z192" s="337"/>
      <c r="AA192" s="335"/>
      <c r="AB192" s="338"/>
      <c r="AC192" s="238"/>
    </row>
    <row r="193" spans="1:29" s="231" customFormat="1" ht="13.5" thickBot="1" x14ac:dyDescent="0.25">
      <c r="B193" s="339">
        <f>SUM(B191:B192)</f>
        <v>19375</v>
      </c>
      <c r="C193" s="339"/>
      <c r="D193" s="248"/>
      <c r="E193" s="257" t="s">
        <v>1325</v>
      </c>
      <c r="F193" s="258"/>
      <c r="G193" s="258"/>
      <c r="H193" s="253"/>
      <c r="I193" s="253"/>
      <c r="J193" s="259"/>
      <c r="K193" s="340"/>
      <c r="L193" s="253">
        <f>SUM(L191:L192)</f>
        <v>0</v>
      </c>
      <c r="M193" s="253"/>
      <c r="N193" s="253"/>
      <c r="O193" s="253"/>
      <c r="P193" s="253">
        <f t="shared" ref="P193:AB193" si="85">SUM(P191:P192)</f>
        <v>0</v>
      </c>
      <c r="Q193" s="253">
        <f t="shared" si="85"/>
        <v>0</v>
      </c>
      <c r="R193" s="253">
        <f t="shared" si="85"/>
        <v>0</v>
      </c>
      <c r="S193" s="253">
        <f t="shared" si="85"/>
        <v>0</v>
      </c>
      <c r="T193" s="253">
        <f t="shared" si="85"/>
        <v>0</v>
      </c>
      <c r="U193" s="253">
        <f t="shared" si="85"/>
        <v>0</v>
      </c>
      <c r="V193" s="253">
        <f t="shared" si="85"/>
        <v>0</v>
      </c>
      <c r="W193" s="253">
        <f t="shared" si="85"/>
        <v>0</v>
      </c>
      <c r="X193" s="253">
        <f t="shared" si="85"/>
        <v>0</v>
      </c>
      <c r="Y193" s="253">
        <f t="shared" si="85"/>
        <v>0</v>
      </c>
      <c r="Z193" s="253">
        <f t="shared" si="85"/>
        <v>0</v>
      </c>
      <c r="AA193" s="253">
        <f t="shared" si="85"/>
        <v>0</v>
      </c>
      <c r="AB193" s="260">
        <f t="shared" si="85"/>
        <v>0</v>
      </c>
      <c r="AC193" s="238"/>
    </row>
    <row r="194" spans="1:29" s="231" customFormat="1" x14ac:dyDescent="0.2">
      <c r="B194" s="341">
        <f>(P193-B193)</f>
        <v>-19375</v>
      </c>
      <c r="C194" s="341"/>
      <c r="E194" s="342"/>
      <c r="F194" s="343"/>
      <c r="G194" s="343"/>
      <c r="H194" s="336"/>
      <c r="I194" s="336"/>
      <c r="J194" s="344"/>
      <c r="K194" s="345"/>
      <c r="L194" s="336"/>
      <c r="M194" s="336"/>
      <c r="N194" s="336"/>
      <c r="O194" s="336"/>
      <c r="P194" s="336"/>
      <c r="Q194" s="336"/>
      <c r="R194" s="336"/>
      <c r="S194" s="336"/>
      <c r="T194" s="336"/>
      <c r="U194" s="336"/>
      <c r="V194" s="336"/>
      <c r="W194" s="336"/>
      <c r="X194" s="336"/>
      <c r="Y194" s="336"/>
      <c r="Z194" s="336"/>
      <c r="AA194" s="336"/>
      <c r="AB194" s="336"/>
      <c r="AC194" s="238"/>
    </row>
    <row r="195" spans="1:29" s="142" customFormat="1" ht="13.5" thickBot="1" x14ac:dyDescent="0.25">
      <c r="D195" s="227"/>
      <c r="E195" s="110"/>
      <c r="F195" s="110"/>
      <c r="G195" s="135"/>
      <c r="H195" s="76"/>
      <c r="I195" s="76"/>
      <c r="J195" s="46"/>
      <c r="K195" s="320"/>
      <c r="L195" s="159"/>
      <c r="M195" s="164"/>
      <c r="N195" s="164"/>
      <c r="O195" s="165"/>
      <c r="P195" s="166"/>
      <c r="Q195" s="160"/>
      <c r="R195" s="160"/>
      <c r="S195" s="160"/>
      <c r="T195" s="160"/>
      <c r="U195" s="160"/>
      <c r="V195" s="161"/>
      <c r="W195" s="78"/>
      <c r="X195" s="78"/>
      <c r="Y195" s="78"/>
      <c r="Z195" s="78"/>
      <c r="AA195" s="161"/>
      <c r="AB195" s="161"/>
      <c r="AC195" s="70"/>
    </row>
    <row r="196" spans="1:29" x14ac:dyDescent="0.2">
      <c r="A196" s="269">
        <v>9.5500000000000007</v>
      </c>
      <c r="B196" s="1">
        <v>5500</v>
      </c>
      <c r="C196" s="1" t="s">
        <v>1326</v>
      </c>
      <c r="D196" s="56"/>
      <c r="E196" s="299" t="s">
        <v>1327</v>
      </c>
      <c r="F196" s="223" t="s">
        <v>1309</v>
      </c>
      <c r="G196" s="59">
        <v>1</v>
      </c>
      <c r="H196" s="60"/>
      <c r="I196" s="60"/>
      <c r="J196" s="322">
        <v>0</v>
      </c>
      <c r="K196" s="323">
        <f>J196*5*186</f>
        <v>0</v>
      </c>
      <c r="L196" s="60"/>
      <c r="M196" s="63">
        <f t="shared" ref="M196:M201" si="86">K196*$M$4</f>
        <v>0</v>
      </c>
      <c r="N196" s="64"/>
      <c r="O196" s="139">
        <f t="shared" ref="O196:O201" si="87">P196/24</f>
        <v>0</v>
      </c>
      <c r="P196" s="66">
        <f t="shared" ref="P196:P201" si="88">G196*(K196+L196+M196)</f>
        <v>0</v>
      </c>
      <c r="Q196" s="63">
        <f t="shared" ref="Q196:Q201" si="89">MIN(P196,$Q$4)*$Q$3</f>
        <v>0</v>
      </c>
      <c r="R196" s="63">
        <f t="shared" ref="R196:R201" si="90">P196*$R$3</f>
        <v>0</v>
      </c>
      <c r="S196" s="67">
        <f t="shared" ref="S196:S201" si="91">ROUND(P196*0.04,2)</f>
        <v>0</v>
      </c>
      <c r="T196" s="63">
        <f>IF(H196="new",ROUND(MIN(P196,$T$4)*$T$3*G196*2,2),ROUND(MIN(P196,$T$4)*$T$3*G196,2))</f>
        <v>0</v>
      </c>
      <c r="U196" s="63">
        <f>IF(H196="new",ROUND(MIN(P196,$U$4)*$U$3*G196*2,2),ROUND(MIN(P196,$U$4)*$U$3*G196,2))</f>
        <v>0</v>
      </c>
      <c r="V196" s="64">
        <f t="shared" ref="V196:V201" si="92">SUM(Q196:U196)</f>
        <v>0</v>
      </c>
      <c r="W196" s="140">
        <f t="shared" ref="W196:W201" si="93">P196*$W$3</f>
        <v>0</v>
      </c>
      <c r="X196" s="63">
        <v>0</v>
      </c>
      <c r="Y196" s="63">
        <v>0</v>
      </c>
      <c r="Z196" s="63">
        <f t="shared" ref="Z196:Z201" si="94">ROUND((Z$3*(MIN(P196,10000)/1000))+((P196/1000)*(Z$4)),2)</f>
        <v>0</v>
      </c>
      <c r="AA196" s="64">
        <f t="shared" ref="AA196:AA201" si="95">SUM(W196:Z196)</f>
        <v>0</v>
      </c>
      <c r="AB196" s="69">
        <v>0</v>
      </c>
    </row>
    <row r="197" spans="1:29" x14ac:dyDescent="0.2">
      <c r="A197" s="269">
        <v>9.74</v>
      </c>
      <c r="B197" s="1">
        <v>6000</v>
      </c>
      <c r="C197" s="1" t="s">
        <v>1326</v>
      </c>
      <c r="D197" s="71"/>
      <c r="E197" s="83" t="s">
        <v>1328</v>
      </c>
      <c r="F197" s="110" t="s">
        <v>1329</v>
      </c>
      <c r="G197" s="84">
        <v>1</v>
      </c>
      <c r="H197" s="76"/>
      <c r="I197" s="76"/>
      <c r="J197" s="578">
        <v>11</v>
      </c>
      <c r="K197" s="579">
        <f>J197*3*186</f>
        <v>6138</v>
      </c>
      <c r="L197" s="76"/>
      <c r="M197" s="78">
        <f t="shared" si="86"/>
        <v>184.14</v>
      </c>
      <c r="N197" s="79"/>
      <c r="O197" s="65">
        <f t="shared" si="87"/>
        <v>263.42250000000001</v>
      </c>
      <c r="P197" s="577">
        <f t="shared" si="88"/>
        <v>6322.14</v>
      </c>
      <c r="Q197" s="78">
        <f t="shared" si="89"/>
        <v>391.97268000000003</v>
      </c>
      <c r="R197" s="78">
        <f t="shared" si="90"/>
        <v>91.671030000000016</v>
      </c>
      <c r="S197" s="81">
        <f t="shared" si="91"/>
        <v>252.89</v>
      </c>
      <c r="T197" s="78">
        <f>IF(H197="new",ROUND(MIN(P197,$T$4)*$T$3*G197*2,2),ROUND(MIN(P197,$T$4)*$T$3*G197,2))</f>
        <v>379.33</v>
      </c>
      <c r="U197" s="78">
        <f>IF(H197="new",ROUND(MIN(P197,$U$4)*$U$3*G197*2,2),ROUND(MIN(P197,$U$4)*$U$3*G197,2))</f>
        <v>505.77</v>
      </c>
      <c r="V197" s="79">
        <f t="shared" si="92"/>
        <v>1621.6337100000001</v>
      </c>
      <c r="W197" s="580">
        <f t="shared" si="93"/>
        <v>964.75856400000009</v>
      </c>
      <c r="X197" s="580">
        <v>0</v>
      </c>
      <c r="Y197" s="580">
        <v>0</v>
      </c>
      <c r="Z197" s="580">
        <f t="shared" si="94"/>
        <v>0</v>
      </c>
      <c r="AA197" s="580">
        <f t="shared" si="95"/>
        <v>964.75856400000009</v>
      </c>
      <c r="AB197" s="82">
        <f>19.21*20</f>
        <v>384.20000000000005</v>
      </c>
    </row>
    <row r="198" spans="1:29" x14ac:dyDescent="0.2">
      <c r="A198" s="269"/>
      <c r="D198" s="71"/>
      <c r="E198" s="83" t="s">
        <v>1330</v>
      </c>
      <c r="F198" s="110" t="s">
        <v>1329</v>
      </c>
      <c r="G198" s="84">
        <v>1</v>
      </c>
      <c r="H198" s="76"/>
      <c r="I198" s="76"/>
      <c r="J198" s="578">
        <v>11</v>
      </c>
      <c r="K198" s="579">
        <f>J198*3*186</f>
        <v>6138</v>
      </c>
      <c r="L198" s="76"/>
      <c r="M198" s="78">
        <f t="shared" si="86"/>
        <v>184.14</v>
      </c>
      <c r="N198" s="79"/>
      <c r="O198" s="65"/>
      <c r="P198" s="577">
        <f t="shared" si="88"/>
        <v>6322.14</v>
      </c>
      <c r="Q198" s="78">
        <f t="shared" si="89"/>
        <v>391.97268000000003</v>
      </c>
      <c r="R198" s="78">
        <f t="shared" si="90"/>
        <v>91.671030000000016</v>
      </c>
      <c r="S198" s="81">
        <f t="shared" si="91"/>
        <v>252.89</v>
      </c>
      <c r="T198" s="78">
        <f>IF(H198="new",ROUND(MIN(P198,$T$4)*$T$3*G198*2,2),ROUND(MIN(P198,$T$4)*$T$3*G198,2))</f>
        <v>379.33</v>
      </c>
      <c r="U198" s="78">
        <f>IF(H198="new",ROUND(MIN(P198,$U$4)*$U$3*G198*2,2),ROUND(MIN(P198,$U$4)*$U$3*G198,2))</f>
        <v>505.77</v>
      </c>
      <c r="V198" s="79">
        <f t="shared" si="92"/>
        <v>1621.6337100000001</v>
      </c>
      <c r="W198" s="580">
        <f t="shared" si="93"/>
        <v>964.75856400000009</v>
      </c>
      <c r="X198" s="580">
        <v>0</v>
      </c>
      <c r="Y198" s="580">
        <v>0</v>
      </c>
      <c r="Z198" s="580">
        <f t="shared" si="94"/>
        <v>0</v>
      </c>
      <c r="AA198" s="580">
        <f t="shared" si="95"/>
        <v>964.75856400000009</v>
      </c>
      <c r="AB198" s="82">
        <f>19.21*20</f>
        <v>384.20000000000005</v>
      </c>
    </row>
    <row r="199" spans="1:29" x14ac:dyDescent="0.2">
      <c r="A199" s="269">
        <v>9.74</v>
      </c>
      <c r="B199" s="1">
        <v>6000</v>
      </c>
      <c r="C199" s="1" t="s">
        <v>1326</v>
      </c>
      <c r="D199" s="71"/>
      <c r="E199" s="83" t="s">
        <v>1319</v>
      </c>
      <c r="F199" s="110" t="s">
        <v>1329</v>
      </c>
      <c r="G199" s="84">
        <v>1</v>
      </c>
      <c r="H199" s="76"/>
      <c r="I199" s="76"/>
      <c r="J199" s="578">
        <v>11</v>
      </c>
      <c r="K199" s="579">
        <f>J199*3*186</f>
        <v>6138</v>
      </c>
      <c r="L199" s="76"/>
      <c r="M199" s="78">
        <f t="shared" si="86"/>
        <v>184.14</v>
      </c>
      <c r="N199" s="79"/>
      <c r="O199" s="65">
        <f>P199/24</f>
        <v>263.42250000000001</v>
      </c>
      <c r="P199" s="577">
        <f t="shared" si="88"/>
        <v>6322.14</v>
      </c>
      <c r="Q199" s="78">
        <f t="shared" si="89"/>
        <v>391.97268000000003</v>
      </c>
      <c r="R199" s="78">
        <f t="shared" si="90"/>
        <v>91.671030000000016</v>
      </c>
      <c r="S199" s="81">
        <f t="shared" si="91"/>
        <v>252.89</v>
      </c>
      <c r="T199" s="78">
        <f>IF(H199="new",ROUND(MIN(P199,$T$4)*$T$3*G199*2,2),ROUND(MIN(P199,$T$4)*$T$3*G199,2))</f>
        <v>379.33</v>
      </c>
      <c r="U199" s="78">
        <f>IF(H199="new",ROUND(MIN(P199,$U$4)*$U$3*G199*2,2),ROUND(MIN(P199,$U$4)*$U$3*G199,2))</f>
        <v>505.77</v>
      </c>
      <c r="V199" s="79">
        <f t="shared" si="92"/>
        <v>1621.6337100000001</v>
      </c>
      <c r="W199" s="580">
        <f t="shared" si="93"/>
        <v>964.75856400000009</v>
      </c>
      <c r="X199" s="580">
        <v>0</v>
      </c>
      <c r="Y199" s="580">
        <v>0</v>
      </c>
      <c r="Z199" s="580">
        <f t="shared" si="94"/>
        <v>0</v>
      </c>
      <c r="AA199" s="580">
        <f t="shared" si="95"/>
        <v>964.75856400000009</v>
      </c>
      <c r="AB199" s="82">
        <f>19.21*20</f>
        <v>384.20000000000005</v>
      </c>
    </row>
    <row r="200" spans="1:29" x14ac:dyDescent="0.2">
      <c r="A200" s="269"/>
      <c r="D200" s="71"/>
      <c r="E200" s="83" t="s">
        <v>1331</v>
      </c>
      <c r="F200" s="110" t="s">
        <v>1329</v>
      </c>
      <c r="G200" s="84">
        <v>1</v>
      </c>
      <c r="H200" s="76"/>
      <c r="I200" s="76"/>
      <c r="J200" s="578">
        <v>11</v>
      </c>
      <c r="K200" s="579">
        <f>J200*3*186</f>
        <v>6138</v>
      </c>
      <c r="L200" s="76"/>
      <c r="M200" s="78">
        <f t="shared" si="86"/>
        <v>184.14</v>
      </c>
      <c r="N200" s="79"/>
      <c r="O200" s="65"/>
      <c r="P200" s="577">
        <f t="shared" si="88"/>
        <v>6322.14</v>
      </c>
      <c r="Q200" s="78">
        <f t="shared" si="89"/>
        <v>391.97268000000003</v>
      </c>
      <c r="R200" s="78">
        <f t="shared" si="90"/>
        <v>91.671030000000016</v>
      </c>
      <c r="S200" s="81">
        <f t="shared" si="91"/>
        <v>252.89</v>
      </c>
      <c r="T200" s="78">
        <f>IF(H200="new",ROUND(MIN(P200,$T$4)*$T$3*G200*2,2),ROUND(MIN(P200,$T$4)*$T$3*G200,2))</f>
        <v>379.33</v>
      </c>
      <c r="U200" s="78">
        <f>IF(H200="new",ROUND(MIN(P200,$U$4)*$U$3*G200*2,2),ROUND(MIN(P200,$U$4)*$U$3*G200,2))</f>
        <v>505.77</v>
      </c>
      <c r="V200" s="79">
        <f t="shared" si="92"/>
        <v>1621.6337100000001</v>
      </c>
      <c r="W200" s="580">
        <f t="shared" si="93"/>
        <v>964.75856400000009</v>
      </c>
      <c r="X200" s="580">
        <v>0</v>
      </c>
      <c r="Y200" s="580">
        <v>0</v>
      </c>
      <c r="Z200" s="580">
        <f t="shared" si="94"/>
        <v>0</v>
      </c>
      <c r="AA200" s="580">
        <f t="shared" si="95"/>
        <v>964.75856400000009</v>
      </c>
      <c r="AB200" s="82">
        <f>19.21*20</f>
        <v>384.20000000000005</v>
      </c>
    </row>
    <row r="201" spans="1:29" x14ac:dyDescent="0.2">
      <c r="A201" s="269">
        <v>9.5500000000000007</v>
      </c>
      <c r="B201" s="1">
        <v>5500</v>
      </c>
      <c r="C201" s="1" t="s">
        <v>1326</v>
      </c>
      <c r="D201" s="71"/>
      <c r="E201" s="83" t="s">
        <v>1332</v>
      </c>
      <c r="F201" s="110" t="s">
        <v>1329</v>
      </c>
      <c r="G201" s="84">
        <v>1</v>
      </c>
      <c r="H201" s="76"/>
      <c r="I201" s="76"/>
      <c r="J201" s="578">
        <v>11</v>
      </c>
      <c r="K201" s="579">
        <f>J201*3*186</f>
        <v>6138</v>
      </c>
      <c r="L201" s="76"/>
      <c r="M201" s="78">
        <f t="shared" si="86"/>
        <v>184.14</v>
      </c>
      <c r="N201" s="79"/>
      <c r="O201" s="65">
        <f t="shared" si="87"/>
        <v>263.42250000000001</v>
      </c>
      <c r="P201" s="577">
        <f t="shared" si="88"/>
        <v>6322.14</v>
      </c>
      <c r="Q201" s="78">
        <f t="shared" si="89"/>
        <v>391.97268000000003</v>
      </c>
      <c r="R201" s="78">
        <f t="shared" si="90"/>
        <v>91.671030000000016</v>
      </c>
      <c r="S201" s="81">
        <f t="shared" si="91"/>
        <v>252.89</v>
      </c>
      <c r="T201" s="78">
        <v>330</v>
      </c>
      <c r="U201" s="78">
        <v>108</v>
      </c>
      <c r="V201" s="79">
        <f t="shared" si="92"/>
        <v>1174.5337100000002</v>
      </c>
      <c r="W201" s="580">
        <f t="shared" si="93"/>
        <v>964.75856400000009</v>
      </c>
      <c r="X201" s="580">
        <v>0</v>
      </c>
      <c r="Y201" s="580">
        <v>0</v>
      </c>
      <c r="Z201" s="580">
        <f t="shared" si="94"/>
        <v>0</v>
      </c>
      <c r="AA201" s="580">
        <f t="shared" si="95"/>
        <v>964.75856400000009</v>
      </c>
      <c r="AB201" s="82">
        <f>21.14*20</f>
        <v>422.8</v>
      </c>
    </row>
    <row r="202" spans="1:29" s="142" customFormat="1" x14ac:dyDescent="0.2">
      <c r="D202" s="71"/>
      <c r="E202" s="151"/>
      <c r="F202" s="110"/>
      <c r="G202" s="84"/>
      <c r="H202" s="76"/>
      <c r="I202" s="76"/>
      <c r="J202" s="46"/>
      <c r="K202" s="76"/>
      <c r="L202" s="76"/>
      <c r="M202" s="79"/>
      <c r="N202" s="79"/>
      <c r="O202" s="65"/>
      <c r="P202" s="111"/>
      <c r="Q202" s="78"/>
      <c r="R202" s="78"/>
      <c r="S202" s="78"/>
      <c r="T202" s="78"/>
      <c r="U202" s="78"/>
      <c r="V202" s="79"/>
      <c r="W202" s="68"/>
      <c r="X202" s="78"/>
      <c r="Y202" s="78"/>
      <c r="Z202" s="78"/>
      <c r="AA202" s="79"/>
      <c r="AB202" s="82"/>
      <c r="AC202" s="70"/>
    </row>
    <row r="203" spans="1:29" s="142" customFormat="1" ht="13.5" thickBot="1" x14ac:dyDescent="0.25">
      <c r="D203" s="155"/>
      <c r="E203" s="115"/>
      <c r="F203" s="115"/>
      <c r="G203" s="115"/>
      <c r="H203" s="118"/>
      <c r="I203" s="118"/>
      <c r="J203" s="119"/>
      <c r="K203" s="346"/>
      <c r="L203" s="346"/>
      <c r="M203" s="347"/>
      <c r="N203" s="347"/>
      <c r="O203" s="348"/>
      <c r="P203" s="129"/>
      <c r="Q203" s="123"/>
      <c r="R203" s="123"/>
      <c r="S203" s="118"/>
      <c r="T203" s="118"/>
      <c r="U203" s="118"/>
      <c r="V203" s="124"/>
      <c r="W203" s="118"/>
      <c r="X203" s="118"/>
      <c r="Y203" s="118"/>
      <c r="Z203" s="118"/>
      <c r="AA203" s="129"/>
      <c r="AB203" s="125"/>
      <c r="AC203" s="70"/>
    </row>
    <row r="204" spans="1:29" s="142" customFormat="1" ht="13.5" thickBot="1" x14ac:dyDescent="0.25">
      <c r="B204" s="126">
        <f>SUM(B196:B201)</f>
        <v>23000</v>
      </c>
      <c r="C204" s="126"/>
      <c r="D204" s="155"/>
      <c r="E204" s="127" t="s">
        <v>1333</v>
      </c>
      <c r="F204" s="128"/>
      <c r="G204" s="128"/>
      <c r="H204" s="129"/>
      <c r="I204" s="129"/>
      <c r="J204" s="130"/>
      <c r="K204" s="129"/>
      <c r="L204" s="129">
        <f>SUM(L196:L201)</f>
        <v>0</v>
      </c>
      <c r="M204" s="129"/>
      <c r="N204" s="129"/>
      <c r="O204" s="153"/>
      <c r="P204" s="132">
        <f>SUM(P196:P203)</f>
        <v>31610.7</v>
      </c>
      <c r="Q204" s="129">
        <f t="shared" ref="Q204:AB204" si="96">SUM(Q196:Q201)</f>
        <v>1959.8634000000002</v>
      </c>
      <c r="R204" s="129">
        <f t="shared" si="96"/>
        <v>458.35515000000009</v>
      </c>
      <c r="S204" s="129">
        <f t="shared" si="96"/>
        <v>1264.4499999999998</v>
      </c>
      <c r="T204" s="129">
        <f t="shared" si="96"/>
        <v>1847.32</v>
      </c>
      <c r="U204" s="129">
        <f t="shared" si="96"/>
        <v>2131.08</v>
      </c>
      <c r="V204" s="129">
        <f t="shared" si="96"/>
        <v>7661.06855</v>
      </c>
      <c r="W204" s="129">
        <f t="shared" si="96"/>
        <v>4823.7928200000006</v>
      </c>
      <c r="X204" s="133">
        <f t="shared" si="96"/>
        <v>0</v>
      </c>
      <c r="Y204" s="129">
        <f t="shared" si="96"/>
        <v>0</v>
      </c>
      <c r="Z204" s="129">
        <f t="shared" si="96"/>
        <v>0</v>
      </c>
      <c r="AA204" s="129">
        <f t="shared" si="96"/>
        <v>4823.7928200000006</v>
      </c>
      <c r="AB204" s="134">
        <f t="shared" si="96"/>
        <v>1959.6000000000001</v>
      </c>
      <c r="AC204" s="70"/>
    </row>
    <row r="205" spans="1:29" ht="12.75" customHeight="1" x14ac:dyDescent="0.2">
      <c r="B205" s="87">
        <f>(P204-B204)</f>
        <v>8610.7000000000007</v>
      </c>
      <c r="C205" s="87"/>
      <c r="E205" s="349"/>
      <c r="F205" s="349"/>
      <c r="G205" s="228"/>
      <c r="H205" s="159"/>
      <c r="I205" s="159"/>
      <c r="J205" s="229"/>
      <c r="K205" s="350"/>
      <c r="L205" s="350"/>
      <c r="M205" s="351"/>
      <c r="N205" s="351"/>
      <c r="O205" s="352"/>
      <c r="P205" s="166"/>
      <c r="Q205" s="159"/>
      <c r="R205" s="159"/>
      <c r="S205" s="159"/>
      <c r="T205" s="159"/>
      <c r="U205" s="159"/>
      <c r="V205" s="159"/>
      <c r="W205" s="159"/>
      <c r="X205" s="159"/>
      <c r="Y205" s="159"/>
      <c r="Z205" s="159"/>
      <c r="AA205" s="159"/>
      <c r="AB205" s="159"/>
    </row>
    <row r="206" spans="1:29" s="142" customFormat="1" ht="13.5" customHeight="1" thickBot="1" x14ac:dyDescent="0.25">
      <c r="D206" s="157"/>
      <c r="E206" s="349"/>
      <c r="F206" s="349"/>
      <c r="G206" s="228"/>
      <c r="H206" s="159"/>
      <c r="I206" s="159"/>
      <c r="J206" s="154"/>
      <c r="K206" s="350"/>
      <c r="L206" s="350"/>
      <c r="M206" s="351"/>
      <c r="N206" s="351"/>
      <c r="O206" s="352"/>
      <c r="P206" s="166"/>
      <c r="Q206" s="159"/>
      <c r="R206" s="159"/>
      <c r="S206" s="159"/>
      <c r="T206" s="159"/>
      <c r="U206" s="159"/>
      <c r="V206" s="159"/>
      <c r="W206" s="118"/>
      <c r="X206" s="159"/>
      <c r="Y206" s="159"/>
      <c r="Z206" s="159"/>
      <c r="AA206" s="159"/>
      <c r="AB206" s="159"/>
      <c r="AC206" s="70"/>
    </row>
    <row r="207" spans="1:29" ht="12.75" customHeight="1" x14ac:dyDescent="0.2">
      <c r="A207" s="1" t="s">
        <v>1334</v>
      </c>
      <c r="B207" s="1">
        <v>88000</v>
      </c>
      <c r="C207" s="1" t="s">
        <v>1335</v>
      </c>
      <c r="D207" s="56"/>
      <c r="E207" s="57" t="s">
        <v>1336</v>
      </c>
      <c r="F207" s="223" t="s">
        <v>1337</v>
      </c>
      <c r="G207" s="59">
        <v>1</v>
      </c>
      <c r="H207" s="60"/>
      <c r="I207" s="60" t="s">
        <v>1202</v>
      </c>
      <c r="J207" s="61">
        <f>IF(H207="NEW",0,3000)</f>
        <v>3000</v>
      </c>
      <c r="K207" s="323">
        <v>98500</v>
      </c>
      <c r="L207" s="60"/>
      <c r="M207" s="63">
        <v>0</v>
      </c>
      <c r="N207" s="64"/>
      <c r="O207" s="139">
        <f>P207/24</f>
        <v>4104.166666666667</v>
      </c>
      <c r="P207" s="66">
        <f>+K207+L207+M207+N207</f>
        <v>98500</v>
      </c>
      <c r="Q207" s="63">
        <f>ROUND(MIN(P207,Q$4)*Q$3,2)</f>
        <v>6107</v>
      </c>
      <c r="R207" s="63">
        <f>ROUND(P207*$R$3,2)</f>
        <v>1428.25</v>
      </c>
      <c r="S207" s="67">
        <f>ROUND(P207*0.04,2)</f>
        <v>3940</v>
      </c>
      <c r="T207" s="63">
        <f>IF(H207="new",ROUND(MIN(P207,$T$4)*$T$3*G207*2,2),ROUND(MIN(P207,$T$4)*$T$3*G207,2))</f>
        <v>525</v>
      </c>
      <c r="U207" s="63">
        <f>IF(H207="new",ROUND(MIN(P207,$U$4)*$U$3*G207*2,2),ROUND(MIN(P207,$U$4)*$U$3*G207,2))</f>
        <v>1096</v>
      </c>
      <c r="V207" s="64">
        <f>SUM(Q207:U207)</f>
        <v>13096.25</v>
      </c>
      <c r="W207" s="140">
        <f>P207*$W$3</f>
        <v>15031.100000000002</v>
      </c>
      <c r="X207" s="63">
        <f>IF(I207="x",0,IF(H207="new",ROUND(X$4*12*1*G207,2),ROUND(X$4*12*G207,2)))</f>
        <v>0</v>
      </c>
      <c r="Y207" s="63">
        <f>IF(I207="x",0,IF(H207="new",ROUND(Y$4*12*1*G207,2),ROUND(Y$4*12*G207,2)))</f>
        <v>0</v>
      </c>
      <c r="Z207" s="63">
        <f>ROUND((Z$3*(MIN(P207,10000)/1000))+((P207/1000)*(Z$4)),2)</f>
        <v>0</v>
      </c>
      <c r="AA207" s="64">
        <f>SUM(W207:Z207)</f>
        <v>15031.100000000002</v>
      </c>
      <c r="AB207" s="69">
        <v>900</v>
      </c>
    </row>
    <row r="208" spans="1:29" ht="12.75" customHeight="1" x14ac:dyDescent="0.2">
      <c r="D208" s="71"/>
      <c r="E208" s="83"/>
      <c r="F208" s="110"/>
      <c r="G208" s="84"/>
      <c r="H208" s="76"/>
      <c r="I208" s="76"/>
      <c r="J208" s="46"/>
      <c r="K208" s="314"/>
      <c r="L208" s="76"/>
      <c r="M208" s="78"/>
      <c r="N208" s="79"/>
      <c r="O208" s="65"/>
      <c r="P208" s="80"/>
      <c r="Q208" s="78"/>
      <c r="R208" s="78"/>
      <c r="S208" s="81"/>
      <c r="T208" s="78"/>
      <c r="U208" s="78"/>
      <c r="V208" s="79"/>
      <c r="W208" s="68"/>
      <c r="X208" s="78"/>
      <c r="Y208" s="78"/>
      <c r="Z208" s="78"/>
      <c r="AA208" s="79"/>
      <c r="AB208" s="82"/>
    </row>
    <row r="209" spans="1:29" ht="12.75" customHeight="1" x14ac:dyDescent="0.2">
      <c r="D209" s="71"/>
      <c r="E209" s="151"/>
      <c r="F209" s="110"/>
      <c r="G209" s="84"/>
      <c r="H209" s="76"/>
      <c r="I209" s="76"/>
      <c r="J209" s="46"/>
      <c r="K209" s="76"/>
      <c r="L209" s="76"/>
      <c r="M209" s="78"/>
      <c r="N209" s="79"/>
      <c r="O209" s="65"/>
      <c r="P209" s="111"/>
      <c r="Q209" s="78"/>
      <c r="R209" s="78"/>
      <c r="S209" s="78"/>
      <c r="T209" s="78"/>
      <c r="U209" s="78"/>
      <c r="V209" s="79"/>
      <c r="W209" s="68"/>
      <c r="X209" s="78"/>
      <c r="Y209" s="78"/>
      <c r="Z209" s="78"/>
      <c r="AA209" s="79"/>
      <c r="AB209" s="82"/>
    </row>
    <row r="210" spans="1:29" s="142" customFormat="1" ht="12.75" customHeight="1" x14ac:dyDescent="0.2">
      <c r="D210" s="71"/>
      <c r="E210" s="151"/>
      <c r="F210" s="110"/>
      <c r="G210" s="84"/>
      <c r="H210" s="76"/>
      <c r="I210" s="76"/>
      <c r="J210" s="46"/>
      <c r="K210" s="76"/>
      <c r="L210" s="76"/>
      <c r="M210" s="79"/>
      <c r="N210" s="79"/>
      <c r="O210" s="65"/>
      <c r="P210" s="111"/>
      <c r="Q210" s="78"/>
      <c r="R210" s="78"/>
      <c r="S210" s="78"/>
      <c r="T210" s="78"/>
      <c r="U210" s="78"/>
      <c r="V210" s="79"/>
      <c r="W210" s="68"/>
      <c r="X210" s="78"/>
      <c r="Y210" s="78"/>
      <c r="Z210" s="78"/>
      <c r="AA210" s="79"/>
      <c r="AB210" s="82"/>
      <c r="AC210" s="70"/>
    </row>
    <row r="211" spans="1:29" s="142" customFormat="1" ht="13.5" customHeight="1" thickBot="1" x14ac:dyDescent="0.25">
      <c r="D211" s="155"/>
      <c r="E211" s="115" t="s">
        <v>1338</v>
      </c>
      <c r="F211" s="115"/>
      <c r="G211" s="115"/>
      <c r="H211" s="118"/>
      <c r="I211" s="118"/>
      <c r="J211" s="119">
        <f>SUM(J207:J210)</f>
        <v>3000</v>
      </c>
      <c r="K211" s="120">
        <f>+J211</f>
        <v>3000</v>
      </c>
      <c r="L211" s="118"/>
      <c r="M211" s="121"/>
      <c r="N211" s="121"/>
      <c r="O211" s="156"/>
      <c r="P211" s="122">
        <f>K211</f>
        <v>3000</v>
      </c>
      <c r="Q211" s="123">
        <f>ROUND(MIN(P211,Q$4)*Q$3,2)</f>
        <v>186</v>
      </c>
      <c r="R211" s="123">
        <f>ROUND(P211*$R$3,2)</f>
        <v>43.5</v>
      </c>
      <c r="S211" s="123">
        <v>0</v>
      </c>
      <c r="T211" s="123">
        <v>0</v>
      </c>
      <c r="U211" s="123">
        <f>IF(H211="new",ROUND(MIN(P211,$U$4)*$U$3*G211*2,2),ROUND(MIN(P211,$U$4)*$U$3*G211,2))</f>
        <v>0</v>
      </c>
      <c r="V211" s="124">
        <f>SUM(Q211:U211)</f>
        <v>229.5</v>
      </c>
      <c r="W211" s="123">
        <v>0</v>
      </c>
      <c r="X211" s="123">
        <v>0</v>
      </c>
      <c r="Y211" s="123">
        <v>0</v>
      </c>
      <c r="Z211" s="123">
        <v>0</v>
      </c>
      <c r="AA211" s="124">
        <f>SUM(W211:Z211)</f>
        <v>0</v>
      </c>
      <c r="AB211" s="125">
        <v>0</v>
      </c>
      <c r="AC211" s="70"/>
    </row>
    <row r="212" spans="1:29" s="142" customFormat="1" ht="13.5" customHeight="1" thickBot="1" x14ac:dyDescent="0.25">
      <c r="B212" s="126">
        <f>SUM(B207:B211)</f>
        <v>88000</v>
      </c>
      <c r="C212" s="126"/>
      <c r="D212" s="155"/>
      <c r="E212" s="127" t="s">
        <v>1339</v>
      </c>
      <c r="F212" s="128"/>
      <c r="G212" s="128"/>
      <c r="H212" s="129"/>
      <c r="I212" s="129"/>
      <c r="J212" s="130"/>
      <c r="K212" s="129"/>
      <c r="L212" s="129"/>
      <c r="M212" s="129"/>
      <c r="N212" s="129"/>
      <c r="O212" s="153"/>
      <c r="P212" s="132">
        <f t="shared" ref="P212:AB212" si="97">SUM(P207:P211)</f>
        <v>101500</v>
      </c>
      <c r="Q212" s="129">
        <f t="shared" si="97"/>
        <v>6293</v>
      </c>
      <c r="R212" s="129">
        <f t="shared" si="97"/>
        <v>1471.75</v>
      </c>
      <c r="S212" s="129">
        <f t="shared" si="97"/>
        <v>3940</v>
      </c>
      <c r="T212" s="129">
        <f t="shared" si="97"/>
        <v>525</v>
      </c>
      <c r="U212" s="129">
        <f t="shared" si="97"/>
        <v>1096</v>
      </c>
      <c r="V212" s="129">
        <f t="shared" si="97"/>
        <v>13325.75</v>
      </c>
      <c r="W212" s="129">
        <f t="shared" si="97"/>
        <v>15031.100000000002</v>
      </c>
      <c r="X212" s="133">
        <f t="shared" si="97"/>
        <v>0</v>
      </c>
      <c r="Y212" s="129">
        <f t="shared" si="97"/>
        <v>0</v>
      </c>
      <c r="Z212" s="129">
        <f t="shared" si="97"/>
        <v>0</v>
      </c>
      <c r="AA212" s="129">
        <f t="shared" si="97"/>
        <v>15031.100000000002</v>
      </c>
      <c r="AB212" s="134">
        <f t="shared" si="97"/>
        <v>900</v>
      </c>
      <c r="AC212" s="70"/>
    </row>
    <row r="213" spans="1:29" ht="12.75" customHeight="1" x14ac:dyDescent="0.2">
      <c r="B213" s="87">
        <f>(P212-B212)</f>
        <v>13500</v>
      </c>
      <c r="C213" s="87"/>
      <c r="D213" s="142"/>
      <c r="E213" s="147"/>
      <c r="F213" s="148"/>
      <c r="G213" s="148"/>
      <c r="H213" s="111"/>
      <c r="I213" s="111"/>
      <c r="J213" s="154"/>
      <c r="K213" s="111"/>
      <c r="L213" s="111"/>
      <c r="M213" s="111"/>
      <c r="N213" s="111"/>
      <c r="O213" s="149"/>
      <c r="P213" s="111"/>
      <c r="Q213" s="111"/>
      <c r="R213" s="111"/>
      <c r="S213" s="111"/>
      <c r="T213" s="111"/>
      <c r="U213" s="111"/>
      <c r="V213" s="111"/>
      <c r="W213" s="111"/>
      <c r="X213" s="111"/>
      <c r="Y213" s="111"/>
      <c r="Z213" s="111"/>
      <c r="AA213" s="111"/>
      <c r="AB213" s="111"/>
    </row>
    <row r="214" spans="1:29" ht="13.5" thickBot="1" x14ac:dyDescent="0.25">
      <c r="D214" s="142"/>
      <c r="E214" s="147"/>
      <c r="F214" s="148"/>
      <c r="G214" s="148"/>
      <c r="H214" s="111"/>
      <c r="I214" s="111"/>
      <c r="J214" s="154"/>
      <c r="K214" s="111"/>
      <c r="L214" s="111"/>
      <c r="M214" s="111"/>
      <c r="N214" s="111"/>
      <c r="O214" s="149"/>
      <c r="P214" s="111"/>
      <c r="Q214" s="111"/>
      <c r="R214" s="111"/>
      <c r="S214" s="111"/>
      <c r="T214" s="111"/>
      <c r="U214" s="111"/>
      <c r="V214" s="111"/>
      <c r="W214" s="111"/>
      <c r="X214" s="111"/>
      <c r="Y214" s="111"/>
      <c r="Z214" s="111"/>
      <c r="AA214" s="111"/>
      <c r="AB214" s="111"/>
    </row>
    <row r="215" spans="1:29" x14ac:dyDescent="0.2">
      <c r="A215" s="1" t="s">
        <v>1340</v>
      </c>
      <c r="B215" s="1">
        <v>80000</v>
      </c>
      <c r="C215" s="1" t="s">
        <v>1341</v>
      </c>
      <c r="D215" s="56"/>
      <c r="E215" s="57" t="s">
        <v>1342</v>
      </c>
      <c r="F215" s="223" t="s">
        <v>1343</v>
      </c>
      <c r="G215" s="59">
        <v>1</v>
      </c>
      <c r="H215" s="60"/>
      <c r="I215" s="60"/>
      <c r="J215" s="61">
        <f>IF(H215="NEW",0,3000)</f>
        <v>3000</v>
      </c>
      <c r="K215" s="323">
        <v>85000</v>
      </c>
      <c r="L215" s="60"/>
      <c r="M215" s="63">
        <f>K215*($M$4+0.01)</f>
        <v>3400</v>
      </c>
      <c r="N215" s="64"/>
      <c r="O215" s="139">
        <f>P215/24</f>
        <v>3683.3333333333335</v>
      </c>
      <c r="P215" s="66">
        <f>G215*(K215+L215+M215)</f>
        <v>88400</v>
      </c>
      <c r="Q215" s="63">
        <f>ROUND(MIN(P215,Q$4)*Q$3,2)</f>
        <v>5480.8</v>
      </c>
      <c r="R215" s="63">
        <f>ROUND(P215*$R$3,2)</f>
        <v>1281.8</v>
      </c>
      <c r="S215" s="67">
        <f>ROUND(P215*0.04,2)</f>
        <v>3536</v>
      </c>
      <c r="T215" s="63">
        <f>IF(H215="new",ROUND(MIN(P215,$T$4)*$T$3*G215*2,2),ROUND(MIN(P215,$T$4)*$T$3*G215,2))</f>
        <v>525</v>
      </c>
      <c r="U215" s="63">
        <f>IF(H215="new",ROUND(MIN(P215,$U$4)*$U$3*G215*2,2),ROUND(MIN(P215,$U$4)*$U$3*G215,2))</f>
        <v>1096</v>
      </c>
      <c r="V215" s="64">
        <f>SUM(Q215:U215)</f>
        <v>11919.6</v>
      </c>
      <c r="W215" s="140">
        <f>P215*$W$3</f>
        <v>13489.840000000002</v>
      </c>
      <c r="X215" s="63">
        <f>IF(I215="x",0,IF(H215="new",ROUND(X$4*12*0.9*G215,2),ROUND(X$4*12*G215,2)))</f>
        <v>0</v>
      </c>
      <c r="Y215" s="63">
        <f>IF(I215="x",0,IF(H215="new",ROUND(Y$4*12*0.9*G215,2),ROUND(Y$4*12*G215,2)))</f>
        <v>0</v>
      </c>
      <c r="Z215" s="63">
        <f>ROUND((Z$3*(MIN(P215,10000)/1000))+((P215/1000)*(Z$4)),2)</f>
        <v>0</v>
      </c>
      <c r="AA215" s="64">
        <f>SUM(W215:Z215)</f>
        <v>13489.840000000002</v>
      </c>
      <c r="AB215" s="69">
        <f>41.56*20</f>
        <v>831.2</v>
      </c>
    </row>
    <row r="216" spans="1:29" x14ac:dyDescent="0.2">
      <c r="A216" s="1" t="s">
        <v>1344</v>
      </c>
      <c r="B216" s="1">
        <v>80000</v>
      </c>
      <c r="C216" s="1" t="s">
        <v>1345</v>
      </c>
      <c r="D216" s="71"/>
      <c r="E216" s="83" t="s">
        <v>1346</v>
      </c>
      <c r="F216" s="110" t="s">
        <v>1347</v>
      </c>
      <c r="G216" s="84">
        <v>1</v>
      </c>
      <c r="H216" s="76"/>
      <c r="I216" s="76"/>
      <c r="J216" s="46">
        <f>IF(H216="NEW",0,3000)</f>
        <v>3000</v>
      </c>
      <c r="K216" s="314">
        <v>87000</v>
      </c>
      <c r="L216" s="76"/>
      <c r="M216" s="78">
        <f>K216*($M$4+0.01)</f>
        <v>3480</v>
      </c>
      <c r="N216" s="79"/>
      <c r="O216" s="65">
        <f>P216/24</f>
        <v>3770</v>
      </c>
      <c r="P216" s="80">
        <f>G216*(K216+L216+M216)</f>
        <v>90480</v>
      </c>
      <c r="Q216" s="78">
        <f>ROUND(MIN(P216,Q$4)*Q$3,2)</f>
        <v>5609.76</v>
      </c>
      <c r="R216" s="78">
        <f>ROUND(P216*$R$3,2)</f>
        <v>1311.96</v>
      </c>
      <c r="S216" s="81">
        <f>ROUND(P216*0.04,2)</f>
        <v>3619.2</v>
      </c>
      <c r="T216" s="78">
        <f>IF(H216="new",ROUND(MIN(P216,$T$4)*$T$3*G216*2,2),ROUND(MIN(P216,$T$4)*$T$3*G216,2))</f>
        <v>525</v>
      </c>
      <c r="U216" s="78">
        <f>IF(H216="new",ROUND(MIN(P216,$U$4)*$U$3*G216*2,2),ROUND(MIN(P216,$U$4)*$U$3*G216,2))</f>
        <v>1096</v>
      </c>
      <c r="V216" s="79">
        <f>SUM(Q216:U216)</f>
        <v>12161.92</v>
      </c>
      <c r="W216" s="68">
        <f>P216*$W$3</f>
        <v>13807.248000000001</v>
      </c>
      <c r="X216" s="78">
        <f>IF(I216="x",0,IF(H216="new",ROUND(X$4*12*0.9*G216,2),ROUND(X$4*12*G216,2)))</f>
        <v>0</v>
      </c>
      <c r="Y216" s="78">
        <f>IF(I216="x",0,IF(H216="new",ROUND(Y$4*12*0.9*G216,2),ROUND(Y$4*12*G216,2)))</f>
        <v>0</v>
      </c>
      <c r="Z216" s="78">
        <f>ROUND((Z$3*(MIN(P216,10000)/1000))+((P216/1000)*(Z$4)),2)</f>
        <v>0</v>
      </c>
      <c r="AA216" s="79">
        <f>SUM(W216:Z216)</f>
        <v>13807.248000000001</v>
      </c>
      <c r="AB216" s="82">
        <f>41.56*20</f>
        <v>831.2</v>
      </c>
    </row>
    <row r="217" spans="1:29" s="142" customFormat="1" x14ac:dyDescent="0.2">
      <c r="B217" s="142">
        <v>59515</v>
      </c>
      <c r="C217" s="142" t="s">
        <v>1348</v>
      </c>
      <c r="D217" s="71"/>
      <c r="E217" s="83" t="s">
        <v>1349</v>
      </c>
      <c r="F217" s="110" t="s">
        <v>1350</v>
      </c>
      <c r="G217" s="84">
        <v>1</v>
      </c>
      <c r="H217" s="76"/>
      <c r="I217" s="76"/>
      <c r="J217" s="46">
        <f>IF(H217="NEW",0,3000)</f>
        <v>3000</v>
      </c>
      <c r="K217" s="314">
        <v>62000</v>
      </c>
      <c r="L217" s="47"/>
      <c r="M217" s="78">
        <f>K217*$M$4</f>
        <v>1860</v>
      </c>
      <c r="N217" s="79"/>
      <c r="O217" s="65">
        <f>P217/24</f>
        <v>2660.8333333333335</v>
      </c>
      <c r="P217" s="80">
        <f>G217*(K217+L217+M217)</f>
        <v>63860</v>
      </c>
      <c r="Q217" s="78">
        <f>ROUND(MIN(P217,Q$4)*Q$3,2)</f>
        <v>3959.32</v>
      </c>
      <c r="R217" s="78">
        <f>ROUND(P217*$R$3,2)</f>
        <v>925.97</v>
      </c>
      <c r="S217" s="81">
        <f>ROUND(P217*0.04,2)</f>
        <v>2554.4</v>
      </c>
      <c r="T217" s="78">
        <f>IF(H217="new",ROUND(MIN(P217,$T$4)*$T$3*G217*2,2),ROUND(MIN(P217,$T$4)*$T$3*G217,2))</f>
        <v>525</v>
      </c>
      <c r="U217" s="78">
        <f>IF(H217="new",ROUND(MIN(P217,$U$4)*$U$3*G217*2,2),ROUND(MIN(P217,$U$4)*$U$3*G217,2))</f>
        <v>1096</v>
      </c>
      <c r="V217" s="79">
        <f>SUM(Q217:U217)</f>
        <v>9060.69</v>
      </c>
      <c r="W217" s="68">
        <f>P217*$W$3</f>
        <v>9745.0360000000001</v>
      </c>
      <c r="X217" s="78">
        <f>IF(I217="x",0,IF(H217="new",ROUND(X$4*12*0.9*G217,2),ROUND(X$4*12*G217,2)))</f>
        <v>0</v>
      </c>
      <c r="Y217" s="78">
        <f>IF(I217="x",0,IF(H217="new",ROUND(Y$4*12*0.9*G217,2),ROUND(Y$4*12*G217,2)))</f>
        <v>0</v>
      </c>
      <c r="Z217" s="78">
        <f>ROUND((Z$3*(MIN(P217,10000)/1000))+((P217/1000)*(Z$4)),2)</f>
        <v>0</v>
      </c>
      <c r="AA217" s="79">
        <f>SUM(W217:Z217)</f>
        <v>9745.0360000000001</v>
      </c>
      <c r="AB217" s="82">
        <f>32.1*20</f>
        <v>642</v>
      </c>
      <c r="AC217" s="70"/>
    </row>
    <row r="218" spans="1:29" s="142" customFormat="1" x14ac:dyDescent="0.2">
      <c r="B218" s="142">
        <v>59515</v>
      </c>
      <c r="C218" s="142" t="s">
        <v>1348</v>
      </c>
      <c r="D218" s="71"/>
      <c r="E218" s="83" t="s">
        <v>1351</v>
      </c>
      <c r="F218" s="110" t="s">
        <v>1352</v>
      </c>
      <c r="G218" s="84">
        <v>1</v>
      </c>
      <c r="H218" s="76"/>
      <c r="I218" s="76"/>
      <c r="J218" s="46">
        <f>IF(H218="NEW",0,3000)</f>
        <v>3000</v>
      </c>
      <c r="K218" s="314">
        <v>69000</v>
      </c>
      <c r="L218" s="47"/>
      <c r="M218" s="78">
        <f>K218*$M$4</f>
        <v>2070</v>
      </c>
      <c r="N218" s="79"/>
      <c r="O218" s="65">
        <f>P218/24</f>
        <v>2961.25</v>
      </c>
      <c r="P218" s="80">
        <f>G218*(K218+L218+M218)</f>
        <v>71070</v>
      </c>
      <c r="Q218" s="78">
        <f>ROUND(MIN(P218,Q$4)*Q$3,2)</f>
        <v>4406.34</v>
      </c>
      <c r="R218" s="78">
        <f>ROUND(P218*$R$3,2)</f>
        <v>1030.52</v>
      </c>
      <c r="S218" s="81">
        <f>ROUND(P218*0.04,2)</f>
        <v>2842.8</v>
      </c>
      <c r="T218" s="78">
        <f>IF(H218="new",ROUND(MIN(P218,$T$4)*$T$3*G218*2,2),ROUND(MIN(P218,$T$4)*$T$3*G218,2))</f>
        <v>525</v>
      </c>
      <c r="U218" s="78">
        <f>IF(H218="new",ROUND(MIN(P218,$U$4)*$U$3*G218*2,2),ROUND(MIN(P218,$U$4)*$U$3*G218,2))</f>
        <v>1096</v>
      </c>
      <c r="V218" s="79">
        <f>SUM(Q218:U218)</f>
        <v>9900.66</v>
      </c>
      <c r="W218" s="68">
        <f>P218*$W$3</f>
        <v>10845.282000000001</v>
      </c>
      <c r="X218" s="78">
        <f>IF(I218="x",0,IF(H218="new",ROUND(X$4*12*0.9*G218,2),ROUND(X$4*12*G218,2)))</f>
        <v>0</v>
      </c>
      <c r="Y218" s="78">
        <f>IF(I218="x",0,IF(H218="new",ROUND(Y$4*12*0.9*G218,2),ROUND(Y$4*12*G218,2)))</f>
        <v>0</v>
      </c>
      <c r="Z218" s="78">
        <f>ROUND((Z$3*(MIN(P218,10000)/1000))+((P218/1000)*(Z$4)),2)</f>
        <v>0</v>
      </c>
      <c r="AA218" s="79">
        <f>SUM(W218:Z218)</f>
        <v>10845.282000000001</v>
      </c>
      <c r="AB218" s="82">
        <f>32.1*20</f>
        <v>642</v>
      </c>
      <c r="AC218" s="70"/>
    </row>
    <row r="219" spans="1:29" x14ac:dyDescent="0.2">
      <c r="B219" s="142">
        <v>59515</v>
      </c>
      <c r="C219" s="142" t="s">
        <v>1348</v>
      </c>
      <c r="D219" s="71"/>
      <c r="E219" s="72" t="s">
        <v>1353</v>
      </c>
      <c r="F219" s="73" t="s">
        <v>1352</v>
      </c>
      <c r="G219" s="74">
        <v>1</v>
      </c>
      <c r="H219" s="75" t="s">
        <v>1142</v>
      </c>
      <c r="I219" s="76"/>
      <c r="J219" s="46">
        <f>IF(H219="NEW",0,3000)</f>
        <v>0</v>
      </c>
      <c r="K219" s="314"/>
      <c r="L219" s="76"/>
      <c r="M219" s="78"/>
      <c r="N219" s="79"/>
      <c r="O219" s="65"/>
      <c r="P219" s="80">
        <v>70000</v>
      </c>
      <c r="Q219" s="78">
        <f>ROUND(MIN(P219,Q$4)*Q$3,2)</f>
        <v>4340</v>
      </c>
      <c r="R219" s="78">
        <f>ROUND(P219*$R$3,2)</f>
        <v>1015</v>
      </c>
      <c r="S219" s="81">
        <f>ROUND(P219*0.04,2)</f>
        <v>2800</v>
      </c>
      <c r="T219" s="78">
        <f>IF(H219="new",ROUND(MIN(P219,$T$4)*$T$3*G219*2,2),ROUND(MIN(P219,$T$4)*$T$3*G219,2))</f>
        <v>1050</v>
      </c>
      <c r="U219" s="78">
        <f>IF(H219="new",ROUND(MIN(P219,$U$4)*$U$3*G219*2,2),ROUND(MIN(P219,$U$4)*$U$3*G219,2))</f>
        <v>2192</v>
      </c>
      <c r="V219" s="79">
        <f>SUM(Q219:U219)</f>
        <v>11397</v>
      </c>
      <c r="W219" s="68">
        <f>P219*$W$3</f>
        <v>10682.000000000002</v>
      </c>
      <c r="X219" s="78">
        <f>IF(I219="x",0,IF(H219="new",ROUND(X$4*12*0.9*G219,2),ROUND(X$4*12*G219,2)))</f>
        <v>0</v>
      </c>
      <c r="Y219" s="78">
        <f>IF(I219="x",0,IF(H219="new",ROUND(Y$4*12*0.9*G219,2),ROUND(Y$4*12*G219,2)))</f>
        <v>0</v>
      </c>
      <c r="Z219" s="78">
        <f>ROUND((Z$3*(MIN(P219,10000)/1000))+((P219/1000)*(Z$4)),2)</f>
        <v>0</v>
      </c>
      <c r="AA219" s="79">
        <f>SUM(W219:Z219)</f>
        <v>10682.000000000002</v>
      </c>
      <c r="AB219" s="82">
        <f>32.1*20</f>
        <v>642</v>
      </c>
    </row>
    <row r="220" spans="1:29" x14ac:dyDescent="0.2">
      <c r="D220" s="71"/>
      <c r="E220" s="110"/>
      <c r="F220" s="110"/>
      <c r="G220" s="84"/>
      <c r="H220" s="76"/>
      <c r="I220" s="76"/>
      <c r="J220" s="46"/>
      <c r="K220" s="76"/>
      <c r="L220" s="76"/>
      <c r="M220" s="79"/>
      <c r="N220" s="79"/>
      <c r="O220" s="65"/>
      <c r="P220" s="111"/>
      <c r="Q220" s="78"/>
      <c r="R220" s="78"/>
      <c r="S220" s="78"/>
      <c r="T220" s="78"/>
      <c r="U220" s="78"/>
      <c r="V220" s="79"/>
      <c r="W220" s="68"/>
      <c r="X220" s="78"/>
      <c r="Y220" s="78"/>
      <c r="Z220" s="78"/>
      <c r="AA220" s="79"/>
      <c r="AB220" s="82"/>
    </row>
    <row r="221" spans="1:29" s="142" customFormat="1" x14ac:dyDescent="0.2">
      <c r="D221" s="71"/>
      <c r="E221" s="151"/>
      <c r="F221" s="110"/>
      <c r="G221" s="84"/>
      <c r="H221" s="76"/>
      <c r="I221" s="76"/>
      <c r="J221" s="46"/>
      <c r="K221" s="76"/>
      <c r="L221" s="76"/>
      <c r="M221" s="79"/>
      <c r="N221" s="79"/>
      <c r="O221" s="65"/>
      <c r="P221" s="111"/>
      <c r="Q221" s="78"/>
      <c r="R221" s="78"/>
      <c r="S221" s="78"/>
      <c r="T221" s="78"/>
      <c r="U221" s="78"/>
      <c r="V221" s="79"/>
      <c r="W221" s="68"/>
      <c r="X221" s="78"/>
      <c r="Y221" s="78"/>
      <c r="Z221" s="78"/>
      <c r="AA221" s="79"/>
      <c r="AB221" s="82"/>
      <c r="AC221" s="70"/>
    </row>
    <row r="222" spans="1:29" ht="13.5" thickBot="1" x14ac:dyDescent="0.25">
      <c r="B222" s="1">
        <v>0</v>
      </c>
      <c r="D222" s="155"/>
      <c r="E222" s="115" t="s">
        <v>1338</v>
      </c>
      <c r="F222" s="115"/>
      <c r="G222" s="152"/>
      <c r="H222" s="118"/>
      <c r="I222" s="118"/>
      <c r="J222" s="119">
        <f>SUM(J215:J221)</f>
        <v>12000</v>
      </c>
      <c r="K222" s="120">
        <f>+J222</f>
        <v>12000</v>
      </c>
      <c r="L222" s="346"/>
      <c r="M222" s="121"/>
      <c r="N222" s="121"/>
      <c r="O222" s="156"/>
      <c r="P222" s="122">
        <f>K222</f>
        <v>12000</v>
      </c>
      <c r="Q222" s="123">
        <f>ROUND(MIN(P222,Q$4)*Q$3,2)</f>
        <v>744</v>
      </c>
      <c r="R222" s="123">
        <f>ROUND(P222*$R$3,2)</f>
        <v>174</v>
      </c>
      <c r="S222" s="123">
        <v>0</v>
      </c>
      <c r="T222" s="123">
        <v>0</v>
      </c>
      <c r="U222" s="123">
        <f>IF(H222="new",ROUND(MIN(P222,$U$4)*$U$3*G222*2,2),ROUND(MIN(P222,$U$4)*$U$3*G222,2))</f>
        <v>0</v>
      </c>
      <c r="V222" s="124">
        <f>SUM(Q222:U222)</f>
        <v>918</v>
      </c>
      <c r="W222" s="123">
        <v>0</v>
      </c>
      <c r="X222" s="123">
        <v>0</v>
      </c>
      <c r="Y222" s="123">
        <v>0</v>
      </c>
      <c r="Z222" s="123">
        <v>0</v>
      </c>
      <c r="AA222" s="124">
        <f>SUM(W222:Z222)</f>
        <v>0</v>
      </c>
      <c r="AB222" s="125">
        <v>0</v>
      </c>
    </row>
    <row r="223" spans="1:29" ht="13.5" thickBot="1" x14ac:dyDescent="0.25">
      <c r="B223" s="126">
        <f>SUM(B215:B222)</f>
        <v>338545</v>
      </c>
      <c r="C223" s="126"/>
      <c r="D223" s="155"/>
      <c r="E223" s="127" t="s">
        <v>1354</v>
      </c>
      <c r="F223" s="128"/>
      <c r="G223" s="128"/>
      <c r="H223" s="129"/>
      <c r="I223" s="353"/>
      <c r="J223" s="354"/>
      <c r="K223" s="129"/>
      <c r="L223" s="129">
        <f>SUM(L215:L222)</f>
        <v>0</v>
      </c>
      <c r="M223" s="129"/>
      <c r="N223" s="129"/>
      <c r="O223" s="153"/>
      <c r="P223" s="132">
        <f>SUM(P215:P222)</f>
        <v>395810</v>
      </c>
      <c r="Q223" s="129">
        <f t="shared" ref="Q223:AB223" si="98">SUM(Q215:Q222)</f>
        <v>24540.22</v>
      </c>
      <c r="R223" s="129">
        <f t="shared" si="98"/>
        <v>5739.25</v>
      </c>
      <c r="S223" s="129">
        <f t="shared" si="98"/>
        <v>15352.400000000001</v>
      </c>
      <c r="T223" s="129">
        <f t="shared" si="98"/>
        <v>3150</v>
      </c>
      <c r="U223" s="129">
        <f t="shared" si="98"/>
        <v>6576</v>
      </c>
      <c r="V223" s="129">
        <f t="shared" si="98"/>
        <v>55357.869999999995</v>
      </c>
      <c r="W223" s="129">
        <f t="shared" si="98"/>
        <v>58569.406000000003</v>
      </c>
      <c r="X223" s="133">
        <f t="shared" si="98"/>
        <v>0</v>
      </c>
      <c r="Y223" s="129">
        <f t="shared" si="98"/>
        <v>0</v>
      </c>
      <c r="Z223" s="129">
        <f t="shared" si="98"/>
        <v>0</v>
      </c>
      <c r="AA223" s="129">
        <f t="shared" si="98"/>
        <v>58569.406000000003</v>
      </c>
      <c r="AB223" s="134">
        <f t="shared" si="98"/>
        <v>3588.4</v>
      </c>
    </row>
    <row r="224" spans="1:29" x14ac:dyDescent="0.2">
      <c r="B224" s="87">
        <f>(P223-B223)</f>
        <v>57265</v>
      </c>
      <c r="C224" s="87"/>
      <c r="D224" s="142"/>
      <c r="E224" s="147"/>
      <c r="F224" s="148"/>
      <c r="G224" s="148"/>
      <c r="H224" s="111"/>
      <c r="I224" s="111"/>
      <c r="J224" s="154"/>
      <c r="K224" s="111"/>
      <c r="L224" s="111"/>
      <c r="M224" s="111"/>
      <c r="N224" s="111"/>
      <c r="O224" s="149"/>
      <c r="P224" s="111"/>
      <c r="Q224" s="111"/>
      <c r="R224" s="111"/>
      <c r="S224" s="111"/>
      <c r="T224" s="111"/>
      <c r="U224" s="111"/>
      <c r="V224" s="111"/>
      <c r="W224" s="111"/>
      <c r="X224" s="111"/>
      <c r="Y224" s="111"/>
      <c r="Z224" s="111"/>
      <c r="AA224" s="111"/>
      <c r="AB224" s="111"/>
    </row>
    <row r="225" spans="1:29" s="142" customFormat="1" ht="13.5" thickBot="1" x14ac:dyDescent="0.25">
      <c r="E225" s="147"/>
      <c r="F225" s="148"/>
      <c r="G225" s="148"/>
      <c r="H225" s="111"/>
      <c r="I225" s="111"/>
      <c r="J225" s="154"/>
      <c r="K225" s="111"/>
      <c r="L225" s="111"/>
      <c r="M225" s="111"/>
      <c r="N225" s="111"/>
      <c r="O225" s="149"/>
      <c r="P225" s="111"/>
      <c r="Q225" s="111"/>
      <c r="R225" s="111"/>
      <c r="S225" s="111"/>
      <c r="T225" s="111"/>
      <c r="U225" s="111"/>
      <c r="V225" s="111"/>
      <c r="W225" s="111"/>
      <c r="X225" s="111"/>
      <c r="Y225" s="111"/>
      <c r="Z225" s="111"/>
      <c r="AA225" s="111"/>
      <c r="AB225" s="111"/>
      <c r="AC225" s="70"/>
    </row>
    <row r="226" spans="1:29" x14ac:dyDescent="0.2">
      <c r="B226" s="1">
        <v>18908</v>
      </c>
      <c r="C226" s="1" t="s">
        <v>1355</v>
      </c>
      <c r="D226" s="56"/>
      <c r="E226" s="57" t="s">
        <v>1356</v>
      </c>
      <c r="F226" s="223" t="s">
        <v>1357</v>
      </c>
      <c r="G226" s="59">
        <v>1</v>
      </c>
      <c r="H226" s="60"/>
      <c r="I226" s="60"/>
      <c r="J226" s="61">
        <f>IF(H226="NEW",0,3000)</f>
        <v>3000</v>
      </c>
      <c r="K226" s="323">
        <v>39922</v>
      </c>
      <c r="L226" s="60"/>
      <c r="M226" s="63">
        <f>K226*$M$4</f>
        <v>1197.6599999999999</v>
      </c>
      <c r="N226" s="64"/>
      <c r="O226" s="139">
        <f>P226/24</f>
        <v>1713.3191666666669</v>
      </c>
      <c r="P226" s="66">
        <f>G226*(K226+L226+M226)</f>
        <v>41119.660000000003</v>
      </c>
      <c r="Q226" s="63">
        <f>ROUND(MIN(P226,Q$4)*Q$3,2)</f>
        <v>2549.42</v>
      </c>
      <c r="R226" s="63">
        <f>ROUND(P226*$R$3,2)</f>
        <v>596.24</v>
      </c>
      <c r="S226" s="67">
        <f>ROUND(P226*0.04,2)</f>
        <v>1644.79</v>
      </c>
      <c r="T226" s="63">
        <f>IF(H226="new",ROUND(MIN(P226,$T$4)*$T$3*G226*2,2),ROUND(MIN(P226,$T$4)*$T$3*G226,2))</f>
        <v>525</v>
      </c>
      <c r="U226" s="63">
        <f>IF(H226="new",ROUND(MIN(P226,$U$4)*$U$3*G226*2,2),ROUND(MIN(P226,$U$4)*$U$3*G226,2))</f>
        <v>1096</v>
      </c>
      <c r="V226" s="64">
        <f>SUM(Q226:U226)</f>
        <v>6411.45</v>
      </c>
      <c r="W226" s="140">
        <f>P226*$W$3</f>
        <v>6274.8601160000007</v>
      </c>
      <c r="X226" s="63">
        <f>IF(I226="x",0,IF(H226="new",ROUND(X$4*12*0.9*G226,2),ROUND(X$4*12*G226,2)))</f>
        <v>0</v>
      </c>
      <c r="Y226" s="63">
        <f>IF(I226="x",0,IF(H226="new",ROUND(Y$4*12*0.9*G226,2),ROUND(Y$4*12*G226,2)))</f>
        <v>0</v>
      </c>
      <c r="Z226" s="63">
        <f>ROUND((Z$3*(MIN(P226,10000)/1000))+((P226/1000)*(Z$4)),2)</f>
        <v>0</v>
      </c>
      <c r="AA226" s="64">
        <f>SUM(W226:Z226)</f>
        <v>6274.8601160000007</v>
      </c>
      <c r="AB226" s="69">
        <f>15.82*20</f>
        <v>316.39999999999998</v>
      </c>
    </row>
    <row r="227" spans="1:29" s="142" customFormat="1" x14ac:dyDescent="0.2">
      <c r="B227" s="142">
        <v>24264</v>
      </c>
      <c r="C227" s="142" t="s">
        <v>1358</v>
      </c>
      <c r="D227" s="71"/>
      <c r="E227" s="355" t="s">
        <v>1359</v>
      </c>
      <c r="F227" s="110" t="s">
        <v>1360</v>
      </c>
      <c r="G227" s="84">
        <v>1</v>
      </c>
      <c r="H227" s="76"/>
      <c r="I227" s="76"/>
      <c r="J227" s="46">
        <f>IF(H227="NEW",0,3000)</f>
        <v>3000</v>
      </c>
      <c r="K227" s="356">
        <v>48000</v>
      </c>
      <c r="L227" s="47"/>
      <c r="M227" s="78">
        <f>K227*$M$4</f>
        <v>1440</v>
      </c>
      <c r="N227" s="79"/>
      <c r="O227" s="65">
        <f>P227/24</f>
        <v>2060</v>
      </c>
      <c r="P227" s="80">
        <f>G227*(K227+L227+M227)</f>
        <v>49440</v>
      </c>
      <c r="Q227" s="78">
        <f>ROUND(MIN(P227,Q$4)*Q$3,2)</f>
        <v>3065.28</v>
      </c>
      <c r="R227" s="78">
        <f>ROUND(P227*$R$3,2)</f>
        <v>716.88</v>
      </c>
      <c r="S227" s="81">
        <f>ROUND(P227*0.04,2)</f>
        <v>1977.6</v>
      </c>
      <c r="T227" s="78">
        <f>IF(H227="new",ROUND(MIN(P227,$T$4)*$T$3*G227*2,2),ROUND(MIN(P227,$T$4)*$T$3*G227,2))</f>
        <v>525</v>
      </c>
      <c r="U227" s="78">
        <f>IF(H227="new",ROUND(MIN(P227,$U$4)*$U$3*G227*2,2),ROUND(MIN(P227,$U$4)*$U$3*G227,2))</f>
        <v>1096</v>
      </c>
      <c r="V227" s="79">
        <f>SUM(Q227:U227)</f>
        <v>7380.76</v>
      </c>
      <c r="W227" s="68">
        <f>P227*$W$3</f>
        <v>7544.5440000000008</v>
      </c>
      <c r="X227" s="78">
        <f>IF(I227="x",0,IF(H227="new",ROUND(X$4*12*0.9*G227,2),ROUND(X$4*12*G227,2)))</f>
        <v>0</v>
      </c>
      <c r="Y227" s="78">
        <f>IF(I227="x",0,IF(H227="new",ROUND(Y$4*12*0.9*G227,2),ROUND(Y$4*12*G227,2)))</f>
        <v>0</v>
      </c>
      <c r="Z227" s="78">
        <f>ROUND((Z$3*(MIN(P227,10000)/1000))+((P227/1000)*(Z$4)),2)</f>
        <v>0</v>
      </c>
      <c r="AA227" s="79">
        <f>SUM(W227:Z227)</f>
        <v>7544.5440000000008</v>
      </c>
      <c r="AB227" s="82">
        <f>15.82*20</f>
        <v>316.39999999999998</v>
      </c>
      <c r="AC227" s="70"/>
    </row>
    <row r="228" spans="1:29" s="142" customFormat="1" x14ac:dyDescent="0.2">
      <c r="C228" s="142" t="s">
        <v>1358</v>
      </c>
      <c r="D228" s="71"/>
      <c r="E228" s="355" t="s">
        <v>1361</v>
      </c>
      <c r="F228" s="110" t="s">
        <v>1360</v>
      </c>
      <c r="G228" s="84">
        <v>1</v>
      </c>
      <c r="H228" s="76"/>
      <c r="I228" s="76"/>
      <c r="J228" s="46">
        <f>IF(H228="NEW",0,3000)</f>
        <v>3000</v>
      </c>
      <c r="K228" s="356">
        <v>47500</v>
      </c>
      <c r="L228" s="47"/>
      <c r="M228" s="78">
        <f>K228*$M$4</f>
        <v>1425</v>
      </c>
      <c r="N228" s="79"/>
      <c r="O228" s="65"/>
      <c r="P228" s="80">
        <f>G228*(K228+L228+M228)</f>
        <v>48925</v>
      </c>
      <c r="Q228" s="78">
        <f>ROUND(MIN(P228,Q$4)*Q$3,2)</f>
        <v>3033.35</v>
      </c>
      <c r="R228" s="78">
        <f>ROUND(P228*$R$3,2)</f>
        <v>709.41</v>
      </c>
      <c r="S228" s="81">
        <f>ROUND(P228*0.04,2)</f>
        <v>1957</v>
      </c>
      <c r="T228" s="78">
        <f>IF(H228="new",ROUND(MIN(P228,$T$4)*$T$3*G228*2,2),ROUND(MIN(P228,$T$4)*$T$3*G228,2))</f>
        <v>525</v>
      </c>
      <c r="U228" s="78">
        <f>IF(H228="new",ROUND(MIN(P228,$U$4)*$U$3*G228*2,2),ROUND(MIN(P228,$U$4)*$U$3*G228,2))</f>
        <v>1096</v>
      </c>
      <c r="V228" s="79">
        <f>SUM(Q228:U228)</f>
        <v>7320.76</v>
      </c>
      <c r="W228" s="68">
        <f>P228*$W$3</f>
        <v>7465.9550000000008</v>
      </c>
      <c r="X228" s="78">
        <f>IF(I228="x",0,IF(H228="new",ROUND(X$4*12*0.9*G228,2),ROUND(X$4*12*G228,2)))</f>
        <v>0</v>
      </c>
      <c r="Y228" s="78">
        <f>IF(I228="x",0,IF(H228="new",ROUND(Y$4*12*0.9*G228,2),ROUND(Y$4*12*G228,2)))</f>
        <v>0</v>
      </c>
      <c r="Z228" s="78">
        <f>ROUND((Z$3*(MIN(P228,10000)/1000))+((P228/1000)*(Z$4)),2)</f>
        <v>0</v>
      </c>
      <c r="AA228" s="79">
        <f>SUM(W228:Z228)</f>
        <v>7465.9550000000008</v>
      </c>
      <c r="AB228" s="82">
        <f>15.82*20</f>
        <v>316.39999999999998</v>
      </c>
      <c r="AC228" s="70"/>
    </row>
    <row r="229" spans="1:29" x14ac:dyDescent="0.2">
      <c r="C229" s="142" t="s">
        <v>1358</v>
      </c>
      <c r="D229" s="71"/>
      <c r="E229" s="72" t="s">
        <v>1362</v>
      </c>
      <c r="F229" s="110" t="s">
        <v>1360</v>
      </c>
      <c r="G229" s="74">
        <v>1</v>
      </c>
      <c r="H229" s="75" t="s">
        <v>1142</v>
      </c>
      <c r="I229" s="76"/>
      <c r="J229" s="46">
        <f>IF(H229="NEW",0,3000)</f>
        <v>0</v>
      </c>
      <c r="K229" s="356">
        <f>AVERAGE(K226:K228)</f>
        <v>45140.666666666664</v>
      </c>
      <c r="L229" s="76"/>
      <c r="M229" s="78">
        <f>K229*$M$4</f>
        <v>1354.2199999999998</v>
      </c>
      <c r="N229" s="79"/>
      <c r="O229" s="65"/>
      <c r="P229" s="80">
        <f>G229*(K229+L229+M229)</f>
        <v>46494.886666666665</v>
      </c>
      <c r="Q229" s="78">
        <f>ROUND(MIN(P229,Q$4)*Q$3,2)</f>
        <v>2882.68</v>
      </c>
      <c r="R229" s="78">
        <f>ROUND(P229*$R$3,2)</f>
        <v>674.18</v>
      </c>
      <c r="S229" s="81">
        <f>ROUND(P229*0.04,2)</f>
        <v>1859.8</v>
      </c>
      <c r="T229" s="78">
        <f>IF(H229="new",ROUND(MIN(P229,$T$4)*$T$3*G229*2,2),ROUND(MIN(P229,$T$4)*$T$3*G229,2))</f>
        <v>1050</v>
      </c>
      <c r="U229" s="78">
        <f>IF(H229="new",ROUND(MIN(P229,$U$4)*$U$3*G229*2,2),ROUND(MIN(P229,$U$4)*$U$3*G229,2))</f>
        <v>2192</v>
      </c>
      <c r="V229" s="79">
        <f>SUM(Q229:U229)</f>
        <v>8658.66</v>
      </c>
      <c r="W229" s="68">
        <f>P229*$W$3</f>
        <v>7095.1197053333335</v>
      </c>
      <c r="X229" s="78">
        <f>IF(I229="x",0,IF(H229="new",ROUND(X$4*12*0.9*G229,2),ROUND(X$4*12*G229,2)))</f>
        <v>0</v>
      </c>
      <c r="Y229" s="78">
        <f>IF(I229="x",0,IF(H229="new",ROUND(Y$4*12*0.9*G229,2),ROUND(Y$4*12*G229,2)))</f>
        <v>0</v>
      </c>
      <c r="Z229" s="78">
        <f>ROUND((Z$3*(MIN(P229,10000)/1000))+((P229/1000)*(Z$4)),2)</f>
        <v>0</v>
      </c>
      <c r="AA229" s="79">
        <f>SUM(W229:Z229)</f>
        <v>7095.1197053333335</v>
      </c>
      <c r="AB229" s="82">
        <f>15.82*20</f>
        <v>316.39999999999998</v>
      </c>
    </row>
    <row r="230" spans="1:29" s="142" customFormat="1" x14ac:dyDescent="0.2">
      <c r="D230" s="71"/>
      <c r="E230" s="151"/>
      <c r="F230" s="110"/>
      <c r="G230" s="84"/>
      <c r="H230" s="76"/>
      <c r="I230" s="76"/>
      <c r="J230" s="46"/>
      <c r="K230" s="76"/>
      <c r="L230" s="76"/>
      <c r="M230" s="79"/>
      <c r="N230" s="79"/>
      <c r="O230" s="65"/>
      <c r="P230" s="111"/>
      <c r="Q230" s="78"/>
      <c r="R230" s="78"/>
      <c r="S230" s="78"/>
      <c r="T230" s="78"/>
      <c r="U230" s="78"/>
      <c r="V230" s="79"/>
      <c r="W230" s="68"/>
      <c r="X230" s="78"/>
      <c r="Y230" s="78"/>
      <c r="Z230" s="78"/>
      <c r="AA230" s="79"/>
      <c r="AB230" s="82"/>
      <c r="AC230" s="70"/>
    </row>
    <row r="231" spans="1:29" s="142" customFormat="1" x14ac:dyDescent="0.2">
      <c r="D231" s="71"/>
      <c r="E231" s="151"/>
      <c r="F231" s="110"/>
      <c r="G231" s="84"/>
      <c r="H231" s="76"/>
      <c r="I231" s="76"/>
      <c r="J231" s="46"/>
      <c r="K231" s="76"/>
      <c r="L231" s="76"/>
      <c r="M231" s="79"/>
      <c r="N231" s="79"/>
      <c r="O231" s="65"/>
      <c r="P231" s="111"/>
      <c r="Q231" s="78"/>
      <c r="R231" s="78"/>
      <c r="S231" s="78"/>
      <c r="T231" s="78"/>
      <c r="U231" s="78"/>
      <c r="V231" s="79"/>
      <c r="W231" s="68"/>
      <c r="X231" s="78"/>
      <c r="Y231" s="78"/>
      <c r="Z231" s="78"/>
      <c r="AA231" s="79"/>
      <c r="AB231" s="82"/>
      <c r="AC231" s="70"/>
    </row>
    <row r="232" spans="1:29" s="142" customFormat="1" ht="13.5" thickBot="1" x14ac:dyDescent="0.25">
      <c r="A232" s="142" t="s">
        <v>1187</v>
      </c>
      <c r="B232" s="142">
        <v>4500</v>
      </c>
      <c r="D232" s="155"/>
      <c r="E232" s="116" t="s">
        <v>1338</v>
      </c>
      <c r="F232" s="115"/>
      <c r="G232" s="152"/>
      <c r="H232" s="118"/>
      <c r="I232" s="118"/>
      <c r="J232" s="119">
        <f>SUM(J226:J231)</f>
        <v>9000</v>
      </c>
      <c r="K232" s="120">
        <f>J232</f>
        <v>9000</v>
      </c>
      <c r="L232" s="346"/>
      <c r="M232" s="121"/>
      <c r="N232" s="121"/>
      <c r="O232" s="156"/>
      <c r="P232" s="122">
        <f>K232</f>
        <v>9000</v>
      </c>
      <c r="Q232" s="123">
        <f>ROUND(MIN(P232,Q$4)*Q$3,2)</f>
        <v>558</v>
      </c>
      <c r="R232" s="123">
        <f>ROUND(P232*$R$3,2)</f>
        <v>130.5</v>
      </c>
      <c r="S232" s="123">
        <v>0</v>
      </c>
      <c r="T232" s="123">
        <v>0</v>
      </c>
      <c r="U232" s="123">
        <f>IF(H232="new",ROUND(MIN(P232,$U$4)*$U$3*G232*2,2),ROUND(MIN(P232,$U$4)*$U$3*G232,2))</f>
        <v>0</v>
      </c>
      <c r="V232" s="124">
        <f>SUM(Q232:U232)</f>
        <v>688.5</v>
      </c>
      <c r="W232" s="123">
        <v>0</v>
      </c>
      <c r="X232" s="123">
        <v>0</v>
      </c>
      <c r="Y232" s="123">
        <v>0</v>
      </c>
      <c r="Z232" s="123">
        <v>0</v>
      </c>
      <c r="AA232" s="124">
        <f>SUM(W232:Z232)</f>
        <v>0</v>
      </c>
      <c r="AB232" s="125">
        <v>0</v>
      </c>
      <c r="AC232" s="70"/>
    </row>
    <row r="233" spans="1:29" ht="13.5" thickBot="1" x14ac:dyDescent="0.25">
      <c r="B233" s="126">
        <f>SUM(B226:B232)</f>
        <v>47672</v>
      </c>
      <c r="C233" s="126"/>
      <c r="D233" s="155"/>
      <c r="E233" s="127" t="s">
        <v>1363</v>
      </c>
      <c r="F233" s="128"/>
      <c r="G233" s="128"/>
      <c r="H233" s="129"/>
      <c r="I233" s="353"/>
      <c r="J233" s="354"/>
      <c r="K233" s="129"/>
      <c r="L233" s="129">
        <f>SUM(L226:L232)</f>
        <v>0</v>
      </c>
      <c r="M233" s="129"/>
      <c r="N233" s="129"/>
      <c r="O233" s="153"/>
      <c r="P233" s="129">
        <f t="shared" ref="P233:AB233" si="99">SUM(P226:P232)</f>
        <v>194979.54666666666</v>
      </c>
      <c r="Q233" s="129">
        <f t="shared" si="99"/>
        <v>12088.730000000001</v>
      </c>
      <c r="R233" s="129">
        <f t="shared" si="99"/>
        <v>2827.2099999999996</v>
      </c>
      <c r="S233" s="129">
        <f t="shared" si="99"/>
        <v>7439.19</v>
      </c>
      <c r="T233" s="129">
        <f t="shared" si="99"/>
        <v>2625</v>
      </c>
      <c r="U233" s="129">
        <f t="shared" si="99"/>
        <v>5480</v>
      </c>
      <c r="V233" s="129">
        <f t="shared" si="99"/>
        <v>30460.13</v>
      </c>
      <c r="W233" s="129">
        <f t="shared" si="99"/>
        <v>28380.478821333338</v>
      </c>
      <c r="X233" s="129">
        <f t="shared" si="99"/>
        <v>0</v>
      </c>
      <c r="Y233" s="129">
        <f t="shared" si="99"/>
        <v>0</v>
      </c>
      <c r="Z233" s="129">
        <f t="shared" si="99"/>
        <v>0</v>
      </c>
      <c r="AA233" s="129">
        <f t="shared" si="99"/>
        <v>28380.478821333338</v>
      </c>
      <c r="AB233" s="134">
        <f t="shared" si="99"/>
        <v>1265.5999999999999</v>
      </c>
    </row>
    <row r="234" spans="1:29" x14ac:dyDescent="0.2">
      <c r="B234" s="87">
        <f>(P233-B233)</f>
        <v>147307.54666666666</v>
      </c>
      <c r="C234" s="87"/>
      <c r="D234" s="1"/>
      <c r="E234" s="147"/>
      <c r="F234" s="148"/>
      <c r="G234" s="148"/>
      <c r="H234" s="111"/>
      <c r="I234" s="111"/>
      <c r="J234" s="46"/>
      <c r="K234" s="111"/>
      <c r="L234" s="111"/>
      <c r="M234" s="111"/>
      <c r="N234" s="111"/>
      <c r="O234" s="149"/>
      <c r="P234" s="111"/>
      <c r="Q234" s="111"/>
      <c r="R234" s="111"/>
      <c r="S234" s="111"/>
      <c r="T234" s="111"/>
      <c r="U234" s="111"/>
      <c r="V234" s="111"/>
      <c r="W234" s="111"/>
      <c r="X234" s="111"/>
      <c r="Y234" s="111"/>
      <c r="Z234" s="111"/>
      <c r="AA234" s="111"/>
      <c r="AB234" s="111"/>
    </row>
    <row r="235" spans="1:29" s="142" customFormat="1" ht="13.5" thickBot="1" x14ac:dyDescent="0.25">
      <c r="E235" s="147"/>
      <c r="F235" s="148"/>
      <c r="G235" s="148"/>
      <c r="H235" s="111"/>
      <c r="I235" s="111"/>
      <c r="J235" s="154"/>
      <c r="K235" s="111"/>
      <c r="L235" s="111"/>
      <c r="M235" s="111"/>
      <c r="N235" s="111"/>
      <c r="O235" s="149"/>
      <c r="P235" s="111"/>
      <c r="Q235" s="111"/>
      <c r="R235" s="111"/>
      <c r="S235" s="111"/>
      <c r="T235" s="111"/>
      <c r="U235" s="111"/>
      <c r="V235" s="111"/>
      <c r="W235" s="111"/>
      <c r="X235" s="111"/>
      <c r="Y235" s="111"/>
      <c r="Z235" s="111"/>
      <c r="AA235" s="111"/>
      <c r="AB235" s="111"/>
      <c r="AC235" s="70"/>
    </row>
    <row r="236" spans="1:29" s="142" customFormat="1" x14ac:dyDescent="0.2">
      <c r="A236" s="142" t="s">
        <v>1364</v>
      </c>
      <c r="B236" s="142">
        <v>49000</v>
      </c>
      <c r="C236" s="142" t="s">
        <v>1365</v>
      </c>
      <c r="D236" s="56"/>
      <c r="E236" s="299" t="s">
        <v>1292</v>
      </c>
      <c r="F236" s="223" t="s">
        <v>1366</v>
      </c>
      <c r="G236" s="59"/>
      <c r="H236" s="60"/>
      <c r="I236" s="60"/>
      <c r="J236" s="61"/>
      <c r="K236" s="62">
        <v>0</v>
      </c>
      <c r="L236" s="357"/>
      <c r="M236" s="63">
        <f>K236*$M$4</f>
        <v>0</v>
      </c>
      <c r="N236" s="64"/>
      <c r="O236" s="139">
        <f>P236/24</f>
        <v>0</v>
      </c>
      <c r="P236" s="300">
        <f>G236*(K236+L236+M236)</f>
        <v>0</v>
      </c>
      <c r="Q236" s="63">
        <f t="shared" ref="Q236:Q242" si="100">ROUND(MIN(P236,Q$4)*Q$3,2)</f>
        <v>0</v>
      </c>
      <c r="R236" s="63">
        <f t="shared" ref="R236:R242" si="101">ROUND(P236*$R$3,2)</f>
        <v>0</v>
      </c>
      <c r="S236" s="67">
        <f>ROUND(P236*0.04,2)</f>
        <v>0</v>
      </c>
      <c r="T236" s="63">
        <f>IF(H236="new",ROUND(MIN(P236,$T$4)*$T$3*G236*2,2),ROUND(MIN(P236,$T$4)*$T$3*G236,2))</f>
        <v>0</v>
      </c>
      <c r="U236" s="63">
        <f>IF(H236="new",ROUND(MIN(P236,$U$4)*$U$3*G236*2,2),ROUND(MIN(P236,$U$4)*$U$3*G236,2))</f>
        <v>0</v>
      </c>
      <c r="V236" s="64">
        <f t="shared" ref="V236:V242" si="102">SUM(Q236:U236)</f>
        <v>0</v>
      </c>
      <c r="W236" s="140">
        <v>0</v>
      </c>
      <c r="X236" s="63"/>
      <c r="Y236" s="63"/>
      <c r="Z236" s="63"/>
      <c r="AA236" s="64">
        <v>0</v>
      </c>
      <c r="AB236" s="69">
        <v>0</v>
      </c>
      <c r="AC236" s="317"/>
    </row>
    <row r="237" spans="1:29" s="142" customFormat="1" x14ac:dyDescent="0.2">
      <c r="B237" s="142">
        <v>49000</v>
      </c>
      <c r="C237" s="142" t="s">
        <v>1365</v>
      </c>
      <c r="D237" s="71"/>
      <c r="E237" s="143" t="s">
        <v>1292</v>
      </c>
      <c r="F237" s="110" t="s">
        <v>1367</v>
      </c>
      <c r="G237" s="84"/>
      <c r="H237" s="76"/>
      <c r="I237" s="76"/>
      <c r="J237" s="46"/>
      <c r="K237" s="85">
        <v>0</v>
      </c>
      <c r="L237" s="47"/>
      <c r="M237" s="78">
        <f>K237*$M$4</f>
        <v>0</v>
      </c>
      <c r="N237" s="79"/>
      <c r="O237" s="65"/>
      <c r="P237" s="301">
        <f>G237*(K237+L237+M237)</f>
        <v>0</v>
      </c>
      <c r="Q237" s="78">
        <f t="shared" si="100"/>
        <v>0</v>
      </c>
      <c r="R237" s="78">
        <f t="shared" si="101"/>
        <v>0</v>
      </c>
      <c r="S237" s="81">
        <f>ROUND(P237*0.04,2)</f>
        <v>0</v>
      </c>
      <c r="T237" s="78">
        <f>IF(H237="new",ROUND(MIN(P237,$T$4)*$T$3*G237*2,2),ROUND(MIN(P237,$T$4)*$T$3*G237,2))</f>
        <v>0</v>
      </c>
      <c r="U237" s="78">
        <f>IF(H237="new",ROUND(MIN(P237,$U$4)*$U$3*G237*2,2),ROUND(MIN(P237,$U$4)*$U$3*G237,2))</f>
        <v>0</v>
      </c>
      <c r="V237" s="79">
        <f t="shared" si="102"/>
        <v>0</v>
      </c>
      <c r="W237" s="68">
        <v>0</v>
      </c>
      <c r="X237" s="78">
        <f>IF(I237="x",0,IF(H237="new",ROUND(X$4*12*0.9*G237,2),ROUND(X$4*12*G237,2)))</f>
        <v>0</v>
      </c>
      <c r="Y237" s="78">
        <f>IF(I237="x",0,IF(H237="new",ROUND(Y$4*12*0.9*G237,2),ROUND(Y$4*12*G237,2)))</f>
        <v>0</v>
      </c>
      <c r="Z237" s="78">
        <f>ROUND((Z$3*(MIN(P237,10000)/1000))+((P237/1000)*(Z$4)),2)</f>
        <v>0</v>
      </c>
      <c r="AA237" s="79">
        <f>SUM(W237:Z237)</f>
        <v>0</v>
      </c>
      <c r="AB237" s="82">
        <v>0</v>
      </c>
      <c r="AC237" s="317"/>
    </row>
    <row r="238" spans="1:29" s="142" customFormat="1" x14ac:dyDescent="0.2">
      <c r="B238" s="142">
        <v>59515</v>
      </c>
      <c r="C238" s="142" t="s">
        <v>1348</v>
      </c>
      <c r="D238" s="71"/>
      <c r="E238" s="143" t="s">
        <v>1368</v>
      </c>
      <c r="F238" s="110" t="s">
        <v>1369</v>
      </c>
      <c r="G238" s="84">
        <v>1</v>
      </c>
      <c r="H238" s="76"/>
      <c r="I238" s="76"/>
      <c r="J238" s="46"/>
      <c r="K238" s="356">
        <v>62000</v>
      </c>
      <c r="L238" s="47"/>
      <c r="M238" s="78">
        <f>K238*$M$4</f>
        <v>1860</v>
      </c>
      <c r="N238" s="79"/>
      <c r="O238" s="65">
        <f>P238/24</f>
        <v>0</v>
      </c>
      <c r="P238" s="80">
        <v>0</v>
      </c>
      <c r="Q238" s="78">
        <f t="shared" si="100"/>
        <v>0</v>
      </c>
      <c r="R238" s="78">
        <f t="shared" si="101"/>
        <v>0</v>
      </c>
      <c r="S238" s="81">
        <f>ROUND(P238*0.04,2)</f>
        <v>0</v>
      </c>
      <c r="T238" s="78">
        <f>IF(H238="new",ROUND(MIN(P238,$T$4)*$T$3*G238*2,2),ROUND(MIN(P238,$T$4)*$T$3*G238,2))</f>
        <v>0</v>
      </c>
      <c r="U238" s="78">
        <f>IF(H238="new",ROUND(MIN(P238,$U$4)*$U$3*G238*2,2),ROUND(MIN(P238,$U$4)*$U$3*G238,2))</f>
        <v>0</v>
      </c>
      <c r="V238" s="79">
        <f t="shared" si="102"/>
        <v>0</v>
      </c>
      <c r="W238" s="68">
        <v>0</v>
      </c>
      <c r="X238" s="78">
        <f>IF(I238="x",0,IF(H238="new",ROUND(X$4*12*0.9*G238,2),ROUND(X$4*12*G238,2)))</f>
        <v>0</v>
      </c>
      <c r="Y238" s="78">
        <f>IF(I238="x",0,IF(H238="new",ROUND(Y$4*12*0.9*G238,2),ROUND(Y$4*12*G238,2)))</f>
        <v>0</v>
      </c>
      <c r="Z238" s="78">
        <f>ROUND((Z$3*(MIN(P238,10000)/1000))+((P238/1000)*(Z$4)),2)</f>
        <v>0</v>
      </c>
      <c r="AA238" s="79">
        <f>SUM(W238:Z238)</f>
        <v>0</v>
      </c>
      <c r="AB238" s="82">
        <v>0</v>
      </c>
      <c r="AC238" s="70"/>
    </row>
    <row r="239" spans="1:29" s="142" customFormat="1" x14ac:dyDescent="0.2">
      <c r="B239" s="142">
        <v>59515</v>
      </c>
      <c r="C239" s="142" t="s">
        <v>1348</v>
      </c>
      <c r="D239" s="71"/>
      <c r="E239" s="143" t="s">
        <v>1370</v>
      </c>
      <c r="F239" s="110" t="s">
        <v>1371</v>
      </c>
      <c r="G239" s="84">
        <v>1</v>
      </c>
      <c r="H239" s="76"/>
      <c r="I239" s="76"/>
      <c r="J239" s="46"/>
      <c r="K239" s="356">
        <v>69000</v>
      </c>
      <c r="L239" s="47"/>
      <c r="M239" s="78">
        <f>K239*$M$4</f>
        <v>2070</v>
      </c>
      <c r="N239" s="79"/>
      <c r="O239" s="65">
        <f>P239/24</f>
        <v>0</v>
      </c>
      <c r="P239" s="80">
        <v>0</v>
      </c>
      <c r="Q239" s="78">
        <f t="shared" si="100"/>
        <v>0</v>
      </c>
      <c r="R239" s="78">
        <f t="shared" si="101"/>
        <v>0</v>
      </c>
      <c r="S239" s="81">
        <f>ROUND(P239*0.04,2)</f>
        <v>0</v>
      </c>
      <c r="T239" s="78">
        <f>IF(H239="new",ROUND(MIN(P239,$T$4)*$T$3*G239*2,2),ROUND(MIN(P239,$T$4)*$T$3*G239,2))</f>
        <v>0</v>
      </c>
      <c r="U239" s="78">
        <f>IF(H239="new",ROUND(MIN(P239,$U$4)*$U$3*G239*2,2),ROUND(MIN(P239,$U$4)*$U$3*G239,2))</f>
        <v>0</v>
      </c>
      <c r="V239" s="79">
        <f t="shared" si="102"/>
        <v>0</v>
      </c>
      <c r="W239" s="68">
        <v>0</v>
      </c>
      <c r="X239" s="78">
        <f>IF(I239="x",0,IF(H239="new",ROUND(X$4*12*0.9*G239,2),ROUND(X$4*12*G239,2)))</f>
        <v>0</v>
      </c>
      <c r="Y239" s="78">
        <f>IF(I239="x",0,IF(H239="new",ROUND(Y$4*12*0.9*G239,2),ROUND(Y$4*12*G239,2)))</f>
        <v>0</v>
      </c>
      <c r="Z239" s="78">
        <f>ROUND((Z$3*(MIN(P239,10000)/1000))+((P239/1000)*(Z$4)),2)</f>
        <v>0</v>
      </c>
      <c r="AA239" s="79">
        <f>SUM(W239:Z239)</f>
        <v>0</v>
      </c>
      <c r="AB239" s="82">
        <v>0</v>
      </c>
      <c r="AC239" s="70"/>
    </row>
    <row r="240" spans="1:29" x14ac:dyDescent="0.2">
      <c r="D240" s="71"/>
      <c r="E240" s="110"/>
      <c r="F240" s="110"/>
      <c r="G240" s="84"/>
      <c r="H240" s="76"/>
      <c r="I240" s="76"/>
      <c r="J240" s="46"/>
      <c r="K240" s="76"/>
      <c r="L240" s="76"/>
      <c r="M240" s="79"/>
      <c r="N240" s="79"/>
      <c r="O240" s="65"/>
      <c r="P240" s="111"/>
      <c r="Q240" s="78"/>
      <c r="R240" s="78"/>
      <c r="S240" s="78"/>
      <c r="T240" s="78"/>
      <c r="U240" s="78"/>
      <c r="V240" s="79"/>
      <c r="W240" s="78"/>
      <c r="X240" s="78"/>
      <c r="Y240" s="78"/>
      <c r="Z240" s="78"/>
      <c r="AA240" s="79"/>
      <c r="AB240" s="112"/>
    </row>
    <row r="241" spans="1:29" s="142" customFormat="1" x14ac:dyDescent="0.2">
      <c r="D241" s="71"/>
      <c r="E241" s="151"/>
      <c r="F241" s="110"/>
      <c r="G241" s="84"/>
      <c r="H241" s="76"/>
      <c r="I241" s="76"/>
      <c r="J241" s="46"/>
      <c r="K241" s="76"/>
      <c r="L241" s="76"/>
      <c r="M241" s="79"/>
      <c r="N241" s="79"/>
      <c r="O241" s="65"/>
      <c r="P241" s="111"/>
      <c r="Q241" s="78"/>
      <c r="R241" s="78"/>
      <c r="S241" s="78"/>
      <c r="T241" s="78"/>
      <c r="U241" s="78"/>
      <c r="V241" s="79"/>
      <c r="W241" s="78"/>
      <c r="X241" s="78"/>
      <c r="Y241" s="78"/>
      <c r="Z241" s="78"/>
      <c r="AA241" s="79"/>
      <c r="AB241" s="112"/>
      <c r="AC241" s="70"/>
    </row>
    <row r="242" spans="1:29" s="142" customFormat="1" ht="13.5" thickBot="1" x14ac:dyDescent="0.25">
      <c r="A242" s="142" t="s">
        <v>1187</v>
      </c>
      <c r="B242" s="142">
        <v>3000</v>
      </c>
      <c r="D242" s="155"/>
      <c r="E242" s="116" t="s">
        <v>1338</v>
      </c>
      <c r="F242" s="115"/>
      <c r="G242" s="152"/>
      <c r="H242" s="118"/>
      <c r="I242" s="118"/>
      <c r="J242" s="119"/>
      <c r="K242" s="120">
        <v>0</v>
      </c>
      <c r="L242" s="346"/>
      <c r="M242" s="121"/>
      <c r="N242" s="121"/>
      <c r="O242" s="156"/>
      <c r="P242" s="122">
        <f>+K242+L242+M242</f>
        <v>0</v>
      </c>
      <c r="Q242" s="123">
        <f t="shared" si="100"/>
        <v>0</v>
      </c>
      <c r="R242" s="123">
        <f t="shared" si="101"/>
        <v>0</v>
      </c>
      <c r="S242" s="118"/>
      <c r="T242" s="118"/>
      <c r="U242" s="118"/>
      <c r="V242" s="124">
        <f t="shared" si="102"/>
        <v>0</v>
      </c>
      <c r="W242" s="118"/>
      <c r="X242" s="118"/>
      <c r="Y242" s="118"/>
      <c r="Z242" s="118"/>
      <c r="AA242" s="118"/>
      <c r="AB242" s="125"/>
      <c r="AC242" s="70"/>
    </row>
    <row r="243" spans="1:29" s="142" customFormat="1" ht="13.5" thickBot="1" x14ac:dyDescent="0.25">
      <c r="B243" s="126">
        <f>SUM(B236:B242)</f>
        <v>220030</v>
      </c>
      <c r="C243" s="126"/>
      <c r="D243" s="155"/>
      <c r="E243" s="127" t="s">
        <v>1372</v>
      </c>
      <c r="F243" s="128"/>
      <c r="G243" s="358" t="s">
        <v>1373</v>
      </c>
      <c r="H243" s="129"/>
      <c r="I243" s="353"/>
      <c r="J243" s="354"/>
      <c r="K243" s="129"/>
      <c r="L243" s="129">
        <f>SUM(L236:L242)</f>
        <v>0</v>
      </c>
      <c r="M243" s="129"/>
      <c r="N243" s="129"/>
      <c r="O243" s="153"/>
      <c r="P243" s="129">
        <f t="shared" ref="P243:AB243" si="103">SUM(P236:P242)</f>
        <v>0</v>
      </c>
      <c r="Q243" s="129">
        <f t="shared" si="103"/>
        <v>0</v>
      </c>
      <c r="R243" s="129">
        <f t="shared" si="103"/>
        <v>0</v>
      </c>
      <c r="S243" s="129">
        <f t="shared" si="103"/>
        <v>0</v>
      </c>
      <c r="T243" s="129">
        <f t="shared" si="103"/>
        <v>0</v>
      </c>
      <c r="U243" s="129">
        <f t="shared" si="103"/>
        <v>0</v>
      </c>
      <c r="V243" s="129">
        <f t="shared" si="103"/>
        <v>0</v>
      </c>
      <c r="W243" s="129">
        <f t="shared" si="103"/>
        <v>0</v>
      </c>
      <c r="X243" s="129">
        <f t="shared" si="103"/>
        <v>0</v>
      </c>
      <c r="Y243" s="129">
        <f t="shared" si="103"/>
        <v>0</v>
      </c>
      <c r="Z243" s="129">
        <f t="shared" si="103"/>
        <v>0</v>
      </c>
      <c r="AA243" s="129">
        <f t="shared" si="103"/>
        <v>0</v>
      </c>
      <c r="AB243" s="134">
        <f t="shared" si="103"/>
        <v>0</v>
      </c>
      <c r="AC243" s="70"/>
    </row>
    <row r="244" spans="1:29" s="142" customFormat="1" x14ac:dyDescent="0.2">
      <c r="B244" s="87">
        <f>(P243-B243)</f>
        <v>-220030</v>
      </c>
      <c r="C244" s="87"/>
      <c r="D244" s="1"/>
      <c r="E244" s="147"/>
      <c r="F244" s="148"/>
      <c r="G244" s="148"/>
      <c r="H244" s="111"/>
      <c r="I244" s="111"/>
      <c r="J244" s="154"/>
      <c r="K244" s="111"/>
      <c r="L244" s="111"/>
      <c r="M244" s="111"/>
      <c r="N244" s="111"/>
      <c r="O244" s="149"/>
      <c r="P244" s="111"/>
      <c r="Q244" s="111"/>
      <c r="R244" s="111"/>
      <c r="S244" s="111"/>
      <c r="T244" s="111"/>
      <c r="U244" s="111"/>
      <c r="V244" s="111"/>
      <c r="W244" s="111"/>
      <c r="X244" s="111"/>
      <c r="Y244" s="111"/>
      <c r="Z244" s="111"/>
      <c r="AA244" s="111"/>
      <c r="AB244" s="111"/>
      <c r="AC244" s="70"/>
    </row>
    <row r="245" spans="1:29" ht="13.5" thickBot="1" x14ac:dyDescent="0.25">
      <c r="A245" s="142"/>
      <c r="B245" s="142"/>
      <c r="C245" s="142"/>
      <c r="D245" s="142"/>
      <c r="E245" s="147"/>
      <c r="F245" s="148"/>
      <c r="G245" s="148"/>
      <c r="H245" s="111"/>
      <c r="I245" s="111"/>
      <c r="J245" s="154"/>
      <c r="K245" s="111"/>
      <c r="L245" s="111"/>
      <c r="M245" s="111"/>
      <c r="N245" s="111"/>
      <c r="O245" s="149"/>
      <c r="P245" s="111"/>
      <c r="Q245" s="111"/>
      <c r="R245" s="111"/>
      <c r="S245" s="111"/>
      <c r="T245" s="111"/>
      <c r="U245" s="111"/>
      <c r="V245" s="111"/>
      <c r="W245" s="111"/>
      <c r="X245" s="111"/>
      <c r="Y245" s="111"/>
      <c r="Z245" s="111"/>
      <c r="AA245" s="111"/>
      <c r="AB245" s="111"/>
    </row>
    <row r="246" spans="1:29" s="142" customFormat="1" x14ac:dyDescent="0.2">
      <c r="B246" s="142">
        <v>0</v>
      </c>
      <c r="D246" s="56"/>
      <c r="E246" s="57" t="s">
        <v>1180</v>
      </c>
      <c r="F246" s="223" t="s">
        <v>1300</v>
      </c>
      <c r="G246" s="59">
        <v>0.5</v>
      </c>
      <c r="H246" s="60"/>
      <c r="I246" s="60"/>
      <c r="J246" s="61"/>
      <c r="K246" s="359">
        <f>2*18585.32</f>
        <v>37170.639999999999</v>
      </c>
      <c r="L246" s="60"/>
      <c r="M246" s="63">
        <f>K246*$M$4</f>
        <v>1115.1191999999999</v>
      </c>
      <c r="N246" s="64"/>
      <c r="O246" s="139">
        <f>P246/24</f>
        <v>797.61998333333338</v>
      </c>
      <c r="P246" s="66">
        <f>+(+K246+M246)*G246</f>
        <v>19142.8796</v>
      </c>
      <c r="Q246" s="63">
        <f>ROUND(MIN(P246,Q$4)*Q$3,2)</f>
        <v>1186.8599999999999</v>
      </c>
      <c r="R246" s="63">
        <f>ROUND(P246*$R$3,2)</f>
        <v>277.57</v>
      </c>
      <c r="S246" s="67">
        <f>ROUND(P246*0.04,2)</f>
        <v>765.72</v>
      </c>
      <c r="T246" s="63">
        <f>IF(H246="new",ROUND(MIN(P246,$T$4)*$T$3*G246*2,2),ROUND(MIN(P246,$T$4)*$T$3*G246,2))</f>
        <v>262.5</v>
      </c>
      <c r="U246" s="63">
        <f>IF(H246="new",ROUND(MIN(P246,$U$4)*$U$3*G246*2,2),ROUND(MIN(P246,$U$4)*$U$3*G246,2))</f>
        <v>548</v>
      </c>
      <c r="V246" s="64">
        <f>SUM(Q246:U246)</f>
        <v>3040.6499999999996</v>
      </c>
      <c r="W246" s="140">
        <f>P246*$W$3</f>
        <v>2921.2034269600003</v>
      </c>
      <c r="X246" s="63">
        <f>IF(I246="x",0,IF(H246="new",ROUND(X$4*12*0.9*G246,2),ROUND(X$4*12*G246,2)))</f>
        <v>0</v>
      </c>
      <c r="Y246" s="63">
        <f>IF(I246="x",0,IF(H246="new",ROUND(Y$4*12*0.9*G246,2),ROUND(Y$4*12*G246,2)))</f>
        <v>0</v>
      </c>
      <c r="Z246" s="63">
        <f>ROUND((Z$3*(MIN(P246,10000)/1000))+((P246/1000)*(Z$4)),2)</f>
        <v>0</v>
      </c>
      <c r="AA246" s="64">
        <f>SUM(W246:Z246)</f>
        <v>2921.2034269600003</v>
      </c>
      <c r="AB246" s="360">
        <f>21.24*22</f>
        <v>467.28</v>
      </c>
      <c r="AC246" s="317"/>
    </row>
    <row r="247" spans="1:29" s="142" customFormat="1" x14ac:dyDescent="0.2">
      <c r="B247" s="142">
        <f>36720*0.5</f>
        <v>18360</v>
      </c>
      <c r="D247" s="71"/>
      <c r="E247" s="83" t="s">
        <v>1374</v>
      </c>
      <c r="F247" s="110" t="s">
        <v>1375</v>
      </c>
      <c r="G247" s="84">
        <v>1</v>
      </c>
      <c r="H247" s="76"/>
      <c r="I247" s="76"/>
      <c r="J247" s="46">
        <v>3000</v>
      </c>
      <c r="K247" s="356">
        <v>37822</v>
      </c>
      <c r="L247" s="76"/>
      <c r="M247" s="78">
        <f>K247*$M$4</f>
        <v>1134.6599999999999</v>
      </c>
      <c r="N247" s="79"/>
      <c r="O247" s="65">
        <f>P247/24</f>
        <v>1623.1941666666669</v>
      </c>
      <c r="P247" s="80">
        <f>G247*(K247+L247+M247)</f>
        <v>38956.660000000003</v>
      </c>
      <c r="Q247" s="78">
        <f>ROUND(MIN(P247,Q$4)*Q$3,2)</f>
        <v>2415.31</v>
      </c>
      <c r="R247" s="78">
        <f>ROUND(P247*$R$3,2)</f>
        <v>564.87</v>
      </c>
      <c r="S247" s="81">
        <f>ROUND(P247*0.04,2)</f>
        <v>1558.27</v>
      </c>
      <c r="T247" s="78">
        <f>IF(H247="new",ROUND(MIN(P247,$T$4)*$T$3*G247*2,2),ROUND(MIN(P247,$T$4)*$T$3*G247,2))</f>
        <v>525</v>
      </c>
      <c r="U247" s="78">
        <f>IF(H247="new",ROUND(MIN(P247,$U$4)*$U$3*G247*2,2),ROUND(MIN(P247,$U$4)*$U$3*G247,2))</f>
        <v>1096</v>
      </c>
      <c r="V247" s="79">
        <f>SUM(Q247:U247)</f>
        <v>6159.45</v>
      </c>
      <c r="W247" s="68">
        <f>P247*$W$3</f>
        <v>5944.7863160000006</v>
      </c>
      <c r="X247" s="78">
        <f>IF(I247="x",0,IF(H247="new",ROUND(X$4*12*0.9*G247,2),ROUND(X$4*12*G247,2)))</f>
        <v>0</v>
      </c>
      <c r="Y247" s="78">
        <f>IF(I247="x",0,IF(H247="new",ROUND(Y$4*12*0.9*G247,2),ROUND(Y$4*12*G247,2)))</f>
        <v>0</v>
      </c>
      <c r="Z247" s="78">
        <f>ROUND((Z$3*(MIN(P247,10000)/1000))+((P247/1000)*(Z$4)),2)</f>
        <v>0</v>
      </c>
      <c r="AA247" s="79">
        <f>SUM(W247:Z247)</f>
        <v>5944.7863160000006</v>
      </c>
      <c r="AB247" s="82">
        <f>ROUND((P247/100)*$AB$3,2)</f>
        <v>272.7</v>
      </c>
      <c r="AC247" s="70"/>
    </row>
    <row r="248" spans="1:29" s="142" customFormat="1" x14ac:dyDescent="0.2">
      <c r="B248" s="142">
        <f>36720*0.5</f>
        <v>18360</v>
      </c>
      <c r="D248" s="71"/>
      <c r="E248" s="83" t="s">
        <v>1376</v>
      </c>
      <c r="F248" s="110" t="s">
        <v>1377</v>
      </c>
      <c r="G248" s="84">
        <v>1</v>
      </c>
      <c r="H248" s="76"/>
      <c r="I248" s="76"/>
      <c r="J248" s="46">
        <v>3000</v>
      </c>
      <c r="K248" s="356">
        <v>47592</v>
      </c>
      <c r="L248" s="76"/>
      <c r="M248" s="78">
        <f>K248*$M$4</f>
        <v>1427.76</v>
      </c>
      <c r="N248" s="79"/>
      <c r="O248" s="65">
        <f>P248/24</f>
        <v>2042.49</v>
      </c>
      <c r="P248" s="80">
        <f>G248*(K248+L248+M248)</f>
        <v>49019.76</v>
      </c>
      <c r="Q248" s="78">
        <f>ROUND(MIN(P248,Q$4)*Q$3,2)</f>
        <v>3039.23</v>
      </c>
      <c r="R248" s="78">
        <f>ROUND(P248*$R$3,2)</f>
        <v>710.79</v>
      </c>
      <c r="S248" s="81">
        <f>ROUND(P248*0.04,2)</f>
        <v>1960.79</v>
      </c>
      <c r="T248" s="78">
        <f>IF(H248="new",ROUND(MIN(P248,$T$4)*$T$3*G248*2,2),ROUND(MIN(P248,$T$4)*$T$3*G248,2))</f>
        <v>525</v>
      </c>
      <c r="U248" s="78">
        <f>IF(H248="new",ROUND(MIN(P248,$U$4)*$U$3*G248*2,2),ROUND(MIN(P248,$U$4)*$U$3*G248,2))</f>
        <v>1096</v>
      </c>
      <c r="V248" s="79">
        <f>SUM(Q248:U248)</f>
        <v>7331.8099999999995</v>
      </c>
      <c r="W248" s="68">
        <f>P248*$W$3</f>
        <v>7480.4153760000008</v>
      </c>
      <c r="X248" s="78">
        <f>IF(I248="x",0,IF(H248="new",ROUND(X$4*12*0.9*G248,2),ROUND(X$4*12*G248,2)))</f>
        <v>0</v>
      </c>
      <c r="Y248" s="78">
        <f>IF(I248="x",0,IF(H248="new",ROUND(Y$4*12*0.9*G248,2),ROUND(Y$4*12*G248,2)))</f>
        <v>0</v>
      </c>
      <c r="Z248" s="78">
        <f>ROUND((Z$3*(MIN(P248,10000)/1000))+((P248/1000)*(Z$4)),2)</f>
        <v>0</v>
      </c>
      <c r="AA248" s="79">
        <f>SUM(W248:Z248)</f>
        <v>7480.4153760000008</v>
      </c>
      <c r="AB248" s="82">
        <f>37.55*22</f>
        <v>826.09999999999991</v>
      </c>
      <c r="AC248" s="70"/>
    </row>
    <row r="249" spans="1:29" x14ac:dyDescent="0.2">
      <c r="D249" s="71"/>
      <c r="E249" s="110"/>
      <c r="F249" s="110"/>
      <c r="G249" s="84"/>
      <c r="H249" s="76"/>
      <c r="I249" s="76"/>
      <c r="J249" s="46"/>
      <c r="K249" s="76"/>
      <c r="L249" s="76"/>
      <c r="M249" s="79"/>
      <c r="N249" s="79"/>
      <c r="O249" s="65"/>
      <c r="P249" s="111"/>
      <c r="Q249" s="78"/>
      <c r="R249" s="78"/>
      <c r="S249" s="78"/>
      <c r="T249" s="78"/>
      <c r="U249" s="78"/>
      <c r="V249" s="79"/>
      <c r="W249" s="78"/>
      <c r="X249" s="78"/>
      <c r="Y249" s="78"/>
      <c r="Z249" s="78"/>
      <c r="AA249" s="79"/>
      <c r="AB249" s="112"/>
    </row>
    <row r="250" spans="1:29" s="142" customFormat="1" x14ac:dyDescent="0.2">
      <c r="D250" s="71"/>
      <c r="E250" s="151"/>
      <c r="F250" s="110"/>
      <c r="G250" s="84"/>
      <c r="H250" s="76"/>
      <c r="I250" s="76"/>
      <c r="J250" s="46"/>
      <c r="K250" s="76"/>
      <c r="L250" s="76"/>
      <c r="M250" s="79"/>
      <c r="N250" s="79"/>
      <c r="O250" s="65"/>
      <c r="P250" s="111"/>
      <c r="Q250" s="78"/>
      <c r="R250" s="78"/>
      <c r="S250" s="78"/>
      <c r="T250" s="78"/>
      <c r="U250" s="78"/>
      <c r="V250" s="79"/>
      <c r="W250" s="78"/>
      <c r="X250" s="78"/>
      <c r="Y250" s="78"/>
      <c r="Z250" s="78"/>
      <c r="AA250" s="79"/>
      <c r="AB250" s="112"/>
      <c r="AC250" s="70"/>
    </row>
    <row r="251" spans="1:29" s="142" customFormat="1" ht="13.5" thickBot="1" x14ac:dyDescent="0.25">
      <c r="A251" s="142" t="s">
        <v>1378</v>
      </c>
      <c r="B251" s="142">
        <v>0</v>
      </c>
      <c r="D251" s="155"/>
      <c r="E251" s="116" t="s">
        <v>1338</v>
      </c>
      <c r="F251" s="115"/>
      <c r="G251" s="152"/>
      <c r="H251" s="118"/>
      <c r="I251" s="118"/>
      <c r="J251" s="119">
        <f>SUM(J246:J250)</f>
        <v>6000</v>
      </c>
      <c r="K251" s="120">
        <f>J251</f>
        <v>6000</v>
      </c>
      <c r="L251" s="346"/>
      <c r="M251" s="121"/>
      <c r="N251" s="121"/>
      <c r="O251" s="156"/>
      <c r="P251" s="122">
        <f>K251</f>
        <v>6000</v>
      </c>
      <c r="Q251" s="123">
        <f>ROUND(MIN(P251,Q$4)*Q$3,2)</f>
        <v>372</v>
      </c>
      <c r="R251" s="123">
        <f>ROUND(P251*$R$3,2)</f>
        <v>87</v>
      </c>
      <c r="S251" s="123">
        <v>0</v>
      </c>
      <c r="T251" s="123">
        <v>0</v>
      </c>
      <c r="U251" s="123">
        <f>IF(H251="new",ROUND(MIN(P251,$U$4)*$U$3*G251*2,2),ROUND(MIN(P251,$U$4)*$U$3*G251,2))</f>
        <v>0</v>
      </c>
      <c r="V251" s="124">
        <f>SUM(Q251:U251)</f>
        <v>459</v>
      </c>
      <c r="W251" s="123">
        <v>0</v>
      </c>
      <c r="X251" s="123">
        <v>0</v>
      </c>
      <c r="Y251" s="123">
        <v>0</v>
      </c>
      <c r="Z251" s="123">
        <v>0</v>
      </c>
      <c r="AA251" s="124">
        <f>SUM(W251:Z251)</f>
        <v>0</v>
      </c>
      <c r="AB251" s="125">
        <v>0</v>
      </c>
      <c r="AC251" s="70"/>
    </row>
    <row r="252" spans="1:29" s="142" customFormat="1" ht="13.5" thickBot="1" x14ac:dyDescent="0.25">
      <c r="B252" s="126">
        <f>SUM(B247:B251)</f>
        <v>36720</v>
      </c>
      <c r="C252" s="126"/>
      <c r="D252" s="155"/>
      <c r="E252" s="127" t="s">
        <v>1379</v>
      </c>
      <c r="F252" s="128"/>
      <c r="G252" s="358" t="s">
        <v>1373</v>
      </c>
      <c r="H252" s="129"/>
      <c r="I252" s="353"/>
      <c r="J252" s="354"/>
      <c r="K252" s="129"/>
      <c r="L252" s="129">
        <f>SUM(L247:L251)</f>
        <v>0</v>
      </c>
      <c r="M252" s="129"/>
      <c r="N252" s="129"/>
      <c r="O252" s="153"/>
      <c r="P252" s="132">
        <f t="shared" ref="P252:AB252" si="104">SUM(P247:P251)</f>
        <v>93976.420000000013</v>
      </c>
      <c r="Q252" s="129">
        <f t="shared" si="104"/>
        <v>5826.54</v>
      </c>
      <c r="R252" s="129">
        <f t="shared" si="104"/>
        <v>1362.6599999999999</v>
      </c>
      <c r="S252" s="129">
        <f t="shared" si="104"/>
        <v>3519.06</v>
      </c>
      <c r="T252" s="129">
        <f t="shared" si="104"/>
        <v>1050</v>
      </c>
      <c r="U252" s="129">
        <f t="shared" si="104"/>
        <v>2192</v>
      </c>
      <c r="V252" s="129">
        <f t="shared" si="104"/>
        <v>13950.259999999998</v>
      </c>
      <c r="W252" s="129">
        <f t="shared" si="104"/>
        <v>13425.201692000002</v>
      </c>
      <c r="X252" s="133">
        <f t="shared" si="104"/>
        <v>0</v>
      </c>
      <c r="Y252" s="129">
        <f t="shared" si="104"/>
        <v>0</v>
      </c>
      <c r="Z252" s="129">
        <f t="shared" si="104"/>
        <v>0</v>
      </c>
      <c r="AA252" s="129">
        <f t="shared" si="104"/>
        <v>13425.201692000002</v>
      </c>
      <c r="AB252" s="134">
        <f t="shared" si="104"/>
        <v>1098.8</v>
      </c>
      <c r="AC252" s="70"/>
    </row>
    <row r="253" spans="1:29" x14ac:dyDescent="0.2">
      <c r="B253" s="87">
        <f>(P252-B252)</f>
        <v>57256.420000000013</v>
      </c>
      <c r="C253" s="87"/>
      <c r="D253" s="1"/>
      <c r="E253" s="147"/>
      <c r="F253" s="148"/>
      <c r="G253" s="148"/>
      <c r="H253" s="111"/>
      <c r="I253" s="111"/>
      <c r="J253" s="154"/>
      <c r="K253" s="111"/>
      <c r="L253" s="111"/>
      <c r="M253" s="111"/>
      <c r="N253" s="111"/>
      <c r="O253" s="149"/>
      <c r="P253" s="111"/>
      <c r="Q253" s="111"/>
      <c r="R253" s="111"/>
      <c r="S253" s="111"/>
      <c r="T253" s="111"/>
      <c r="U253" s="111"/>
      <c r="V253" s="111"/>
      <c r="W253" s="111"/>
      <c r="X253" s="111"/>
      <c r="Y253" s="111"/>
      <c r="Z253" s="111"/>
      <c r="AA253" s="111"/>
      <c r="AB253" s="111"/>
    </row>
    <row r="254" spans="1:29" ht="13.5" thickBot="1" x14ac:dyDescent="0.25">
      <c r="D254" s="1"/>
      <c r="E254" s="147"/>
      <c r="F254" s="148"/>
      <c r="G254" s="148"/>
      <c r="H254" s="111"/>
      <c r="I254" s="111"/>
      <c r="J254" s="154"/>
      <c r="K254" s="111"/>
      <c r="L254" s="111"/>
      <c r="M254" s="111"/>
      <c r="N254" s="111"/>
      <c r="O254" s="149"/>
      <c r="P254" s="111"/>
      <c r="Q254" s="111"/>
      <c r="R254" s="111"/>
      <c r="S254" s="111"/>
      <c r="T254" s="111"/>
      <c r="U254" s="111"/>
      <c r="V254" s="111"/>
      <c r="W254" s="111"/>
      <c r="X254" s="111"/>
      <c r="Y254" s="111"/>
      <c r="Z254" s="111"/>
      <c r="AA254" s="111"/>
      <c r="AB254" s="111"/>
    </row>
    <row r="255" spans="1:29" x14ac:dyDescent="0.2">
      <c r="B255" s="1">
        <v>39000</v>
      </c>
      <c r="C255" s="1" t="s">
        <v>1380</v>
      </c>
      <c r="D255" s="56"/>
      <c r="E255" s="361" t="s">
        <v>1381</v>
      </c>
      <c r="F255" s="223" t="s">
        <v>1382</v>
      </c>
      <c r="G255" s="59">
        <v>1</v>
      </c>
      <c r="H255" s="60"/>
      <c r="I255" s="60"/>
      <c r="J255" s="61">
        <f>IF(H255="NEW",0,3000)</f>
        <v>3000</v>
      </c>
      <c r="K255" s="359">
        <v>40250</v>
      </c>
      <c r="L255" s="357"/>
      <c r="M255" s="63">
        <f>K255*$M$4</f>
        <v>1207.5</v>
      </c>
      <c r="N255" s="64"/>
      <c r="O255" s="139">
        <f>P255/24</f>
        <v>1727.3958333333333</v>
      </c>
      <c r="P255" s="66">
        <f>G255*(K255+L255+M255)</f>
        <v>41457.5</v>
      </c>
      <c r="Q255" s="63">
        <f>ROUND(MIN(P255,Q$4)*Q$3,2)</f>
        <v>2570.37</v>
      </c>
      <c r="R255" s="63">
        <f>ROUND(P255*$R$3,2)</f>
        <v>601.13</v>
      </c>
      <c r="S255" s="67">
        <f>ROUND(P255*0.04,2)</f>
        <v>1658.3</v>
      </c>
      <c r="T255" s="63">
        <f>IF(H255="new",ROUND(MIN(P255,$T$4)*$T$3*G255*2,2),ROUND(MIN(P255,$T$4)*$T$3*G255,2))</f>
        <v>525</v>
      </c>
      <c r="U255" s="63">
        <f>IF(H255="new",ROUND(MIN(P255,$U$4)*$U$3*G255*2,2),ROUND(MIN(P255,$U$4)*$U$3*G255,2))</f>
        <v>1096</v>
      </c>
      <c r="V255" s="64">
        <f>SUM(Q255:U255)</f>
        <v>6450.8</v>
      </c>
      <c r="W255" s="140">
        <f>P255*$W$3</f>
        <v>6326.4145000000008</v>
      </c>
      <c r="X255" s="63">
        <f>IF(I255="x",0,IF(H255="new",ROUND(X$4*12*0.9*G255,2),ROUND(X$4*12*G255,2)))</f>
        <v>0</v>
      </c>
      <c r="Y255" s="63">
        <f>IF(I255="x",0,IF(H255="new",ROUND(Y$4*12*0.9*G255,2),ROUND(Y$4*12*G255,2)))</f>
        <v>0</v>
      </c>
      <c r="Z255" s="63">
        <f>ROUND((Z$3*(MIN(P255,10000)/1000))+((P255/1000)*(Z$4)),2)</f>
        <v>0</v>
      </c>
      <c r="AA255" s="64">
        <f>SUM(W255:Z255)</f>
        <v>6326.4145000000008</v>
      </c>
      <c r="AB255" s="69">
        <f>18.47*22</f>
        <v>406.34</v>
      </c>
    </row>
    <row r="256" spans="1:29" x14ac:dyDescent="0.2">
      <c r="B256" s="1">
        <v>36000</v>
      </c>
      <c r="C256" s="1" t="s">
        <v>1380</v>
      </c>
      <c r="D256" s="71"/>
      <c r="E256" s="72" t="s">
        <v>1383</v>
      </c>
      <c r="F256" s="73" t="s">
        <v>1382</v>
      </c>
      <c r="G256" s="74">
        <v>1</v>
      </c>
      <c r="H256" s="75" t="s">
        <v>1142</v>
      </c>
      <c r="I256" s="76"/>
      <c r="J256" s="46">
        <f>IF(H256="NEW",0,3000)</f>
        <v>0</v>
      </c>
      <c r="K256" s="356">
        <v>38500</v>
      </c>
      <c r="L256" s="47"/>
      <c r="M256" s="78">
        <f>K256*$M$4</f>
        <v>1155</v>
      </c>
      <c r="N256" s="79"/>
      <c r="O256" s="65">
        <f>P256/24</f>
        <v>1652.2916666666667</v>
      </c>
      <c r="P256" s="80">
        <f>G256*(K256+L256+M256)</f>
        <v>39655</v>
      </c>
      <c r="Q256" s="78">
        <f>ROUND(MIN(P256,Q$4)*Q$3,2)</f>
        <v>2458.61</v>
      </c>
      <c r="R256" s="78">
        <f>ROUND(P256*$R$3,2)</f>
        <v>575</v>
      </c>
      <c r="S256" s="81">
        <f>ROUND(P256*0.04,2)</f>
        <v>1586.2</v>
      </c>
      <c r="T256" s="78">
        <f>IF(H256="new",ROUND(MIN(P256,$T$4)*$T$3*G256*2,2),ROUND(MIN(P256,$T$4)*$T$3*G256,2))</f>
        <v>1050</v>
      </c>
      <c r="U256" s="78">
        <f>IF(H256="new",ROUND(MIN(P256,$U$4)*$U$3*G256*2,2),ROUND(MIN(P256,$U$4)*$U$3*G256,2))</f>
        <v>2192</v>
      </c>
      <c r="V256" s="79">
        <f>SUM(Q256:U256)</f>
        <v>7861.81</v>
      </c>
      <c r="W256" s="68">
        <f>P256*$W$3</f>
        <v>6051.353000000001</v>
      </c>
      <c r="X256" s="78">
        <f>IF(I256="x",0,IF(H256="new",ROUND(X$4*12*0.9*G256,2),ROUND(X$4*12*G256,2)))</f>
        <v>0</v>
      </c>
      <c r="Y256" s="78">
        <f>IF(I256="x",0,IF(H256="new",ROUND(Y$4*12*0.9*G256,2),ROUND(Y$4*12*G256,2)))</f>
        <v>0</v>
      </c>
      <c r="Z256" s="78">
        <f>ROUND((Z$3*(MIN(P256,10000)/1000))+((P256/1000)*(Z$4)),2)</f>
        <v>0</v>
      </c>
      <c r="AA256" s="79">
        <f>SUM(W256:Z256)</f>
        <v>6051.353000000001</v>
      </c>
      <c r="AB256" s="82">
        <f>14.13*22</f>
        <v>310.86</v>
      </c>
    </row>
    <row r="257" spans="1:29" x14ac:dyDescent="0.2">
      <c r="D257" s="71"/>
      <c r="E257" s="110"/>
      <c r="F257" s="110"/>
      <c r="G257" s="84"/>
      <c r="H257" s="76"/>
      <c r="I257" s="76"/>
      <c r="J257" s="46"/>
      <c r="K257" s="76"/>
      <c r="L257" s="76"/>
      <c r="M257" s="79"/>
      <c r="N257" s="79"/>
      <c r="O257" s="65"/>
      <c r="P257" s="111"/>
      <c r="Q257" s="78"/>
      <c r="R257" s="78"/>
      <c r="S257" s="78"/>
      <c r="T257" s="78"/>
      <c r="U257" s="78"/>
      <c r="V257" s="79"/>
      <c r="W257" s="78"/>
      <c r="X257" s="78"/>
      <c r="Y257" s="78"/>
      <c r="Z257" s="78"/>
      <c r="AA257" s="79"/>
      <c r="AB257" s="112"/>
    </row>
    <row r="258" spans="1:29" s="142" customFormat="1" x14ac:dyDescent="0.2">
      <c r="D258" s="71"/>
      <c r="E258" s="151"/>
      <c r="F258" s="110"/>
      <c r="G258" s="84"/>
      <c r="H258" s="76"/>
      <c r="I258" s="76"/>
      <c r="J258" s="46"/>
      <c r="K258" s="76"/>
      <c r="L258" s="76"/>
      <c r="M258" s="79"/>
      <c r="N258" s="79"/>
      <c r="O258" s="65"/>
      <c r="P258" s="111"/>
      <c r="Q258" s="78"/>
      <c r="R258" s="78"/>
      <c r="S258" s="78"/>
      <c r="T258" s="78"/>
      <c r="U258" s="78"/>
      <c r="V258" s="79"/>
      <c r="W258" s="78"/>
      <c r="X258" s="78"/>
      <c r="Y258" s="78"/>
      <c r="Z258" s="78"/>
      <c r="AA258" s="79"/>
      <c r="AB258" s="112"/>
      <c r="AC258" s="70"/>
    </row>
    <row r="259" spans="1:29" ht="13.5" thickBot="1" x14ac:dyDescent="0.25">
      <c r="A259" s="1" t="s">
        <v>1187</v>
      </c>
      <c r="B259" s="1">
        <v>3500</v>
      </c>
      <c r="D259" s="155"/>
      <c r="E259" s="115" t="s">
        <v>1338</v>
      </c>
      <c r="F259" s="115"/>
      <c r="G259" s="152"/>
      <c r="H259" s="118"/>
      <c r="I259" s="118"/>
      <c r="J259" s="119">
        <f>SUM(J255:J258)</f>
        <v>3000</v>
      </c>
      <c r="K259" s="120">
        <f>J259</f>
        <v>3000</v>
      </c>
      <c r="L259" s="346"/>
      <c r="M259" s="121"/>
      <c r="N259" s="121"/>
      <c r="O259" s="156"/>
      <c r="P259" s="122">
        <f>K259</f>
        <v>3000</v>
      </c>
      <c r="Q259" s="123">
        <f>ROUND(MIN(P259,Q$4)*Q$3,2)</f>
        <v>186</v>
      </c>
      <c r="R259" s="123">
        <f>ROUND(P259*$R$3,2)</f>
        <v>43.5</v>
      </c>
      <c r="S259" s="123">
        <v>0</v>
      </c>
      <c r="T259" s="123">
        <v>0</v>
      </c>
      <c r="U259" s="123">
        <f>IF(H259="new",ROUND(MIN(P259,$U$4)*$U$3*G259*2,2),ROUND(MIN(P259,$U$4)*$U$3*G259,2))</f>
        <v>0</v>
      </c>
      <c r="V259" s="124">
        <f>SUM(Q259:U259)</f>
        <v>229.5</v>
      </c>
      <c r="W259" s="123">
        <v>0</v>
      </c>
      <c r="X259" s="123">
        <v>0</v>
      </c>
      <c r="Y259" s="123">
        <v>0</v>
      </c>
      <c r="Z259" s="123">
        <v>0</v>
      </c>
      <c r="AA259" s="124">
        <f>SUM(W259:Z259)</f>
        <v>0</v>
      </c>
      <c r="AB259" s="125">
        <v>0</v>
      </c>
    </row>
    <row r="260" spans="1:29" ht="13.5" thickBot="1" x14ac:dyDescent="0.25">
      <c r="B260" s="126">
        <f>SUM(B255:B259)</f>
        <v>78500</v>
      </c>
      <c r="C260" s="126"/>
      <c r="D260" s="155"/>
      <c r="E260" s="127" t="s">
        <v>1384</v>
      </c>
      <c r="F260" s="128"/>
      <c r="G260" s="128"/>
      <c r="H260" s="129"/>
      <c r="I260" s="353"/>
      <c r="J260" s="354"/>
      <c r="K260" s="129"/>
      <c r="L260" s="129">
        <f>SUM(L255:L259)</f>
        <v>0</v>
      </c>
      <c r="M260" s="129"/>
      <c r="N260" s="129"/>
      <c r="O260" s="153"/>
      <c r="P260" s="132">
        <f t="shared" ref="P260:AB260" si="105">SUM(P255:P259)</f>
        <v>84112.5</v>
      </c>
      <c r="Q260" s="129">
        <f t="shared" si="105"/>
        <v>5214.9799999999996</v>
      </c>
      <c r="R260" s="129">
        <f t="shared" si="105"/>
        <v>1219.6300000000001</v>
      </c>
      <c r="S260" s="129">
        <f t="shared" si="105"/>
        <v>3244.5</v>
      </c>
      <c r="T260" s="129">
        <f t="shared" si="105"/>
        <v>1575</v>
      </c>
      <c r="U260" s="129">
        <f t="shared" si="105"/>
        <v>3288</v>
      </c>
      <c r="V260" s="129">
        <f t="shared" si="105"/>
        <v>14542.11</v>
      </c>
      <c r="W260" s="129">
        <f t="shared" si="105"/>
        <v>12377.767500000002</v>
      </c>
      <c r="X260" s="133">
        <f t="shared" si="105"/>
        <v>0</v>
      </c>
      <c r="Y260" s="129">
        <f t="shared" si="105"/>
        <v>0</v>
      </c>
      <c r="Z260" s="129">
        <f t="shared" si="105"/>
        <v>0</v>
      </c>
      <c r="AA260" s="129">
        <f t="shared" si="105"/>
        <v>12377.767500000002</v>
      </c>
      <c r="AB260" s="134">
        <f t="shared" si="105"/>
        <v>717.2</v>
      </c>
    </row>
    <row r="261" spans="1:29" s="142" customFormat="1" x14ac:dyDescent="0.2">
      <c r="B261" s="87">
        <f>(P260-B260)</f>
        <v>5612.5</v>
      </c>
      <c r="C261" s="87"/>
      <c r="E261" s="147"/>
      <c r="F261" s="148"/>
      <c r="G261" s="148"/>
      <c r="H261" s="111"/>
      <c r="I261" s="111"/>
      <c r="J261" s="154"/>
      <c r="K261" s="111"/>
      <c r="L261" s="111"/>
      <c r="M261" s="111"/>
      <c r="N261" s="111"/>
      <c r="O261" s="149"/>
      <c r="P261" s="111"/>
      <c r="Q261" s="111"/>
      <c r="R261" s="111"/>
      <c r="S261" s="111"/>
      <c r="T261" s="111"/>
      <c r="U261" s="111"/>
      <c r="V261" s="111"/>
      <c r="W261" s="111"/>
      <c r="X261" s="111"/>
      <c r="Y261" s="111"/>
      <c r="Z261" s="111"/>
      <c r="AA261" s="111"/>
      <c r="AB261" s="111"/>
      <c r="AC261" s="70"/>
    </row>
    <row r="262" spans="1:29" ht="13.5" thickBot="1" x14ac:dyDescent="0.25">
      <c r="D262" s="1"/>
      <c r="E262" s="147"/>
      <c r="F262" s="148"/>
      <c r="G262" s="148"/>
      <c r="H262" s="111"/>
      <c r="I262" s="111"/>
      <c r="J262" s="154"/>
      <c r="K262" s="111"/>
      <c r="L262" s="111"/>
      <c r="M262" s="111"/>
      <c r="N262" s="111"/>
      <c r="O262" s="149"/>
      <c r="P262" s="111"/>
      <c r="Q262" s="111"/>
      <c r="R262" s="111"/>
      <c r="S262" s="111"/>
      <c r="T262" s="111"/>
      <c r="U262" s="111"/>
      <c r="V262" s="111"/>
      <c r="W262" s="111"/>
      <c r="X262" s="111"/>
      <c r="Y262" s="111"/>
      <c r="Z262" s="111"/>
      <c r="AA262" s="111"/>
      <c r="AB262" s="111"/>
    </row>
    <row r="263" spans="1:29" s="142" customFormat="1" x14ac:dyDescent="0.2">
      <c r="B263" s="142">
        <v>41200</v>
      </c>
      <c r="C263" s="142" t="s">
        <v>1385</v>
      </c>
      <c r="D263" s="56"/>
      <c r="E263" s="57" t="s">
        <v>1386</v>
      </c>
      <c r="F263" s="223" t="s">
        <v>1387</v>
      </c>
      <c r="G263" s="59">
        <v>1</v>
      </c>
      <c r="H263" s="60"/>
      <c r="I263" s="60"/>
      <c r="J263" s="61">
        <f>IF(H263="NEW",0,3000)</f>
        <v>3000</v>
      </c>
      <c r="K263" s="323">
        <v>51500</v>
      </c>
      <c r="L263" s="60"/>
      <c r="M263" s="63">
        <f>K263*$M$4</f>
        <v>1545</v>
      </c>
      <c r="N263" s="64"/>
      <c r="O263" s="139">
        <f>P263/24</f>
        <v>2210.2083333333335</v>
      </c>
      <c r="P263" s="66">
        <f>K263+L263+M263</f>
        <v>53045</v>
      </c>
      <c r="Q263" s="63">
        <f>ROUND(MIN(P263,Q$4)*Q$3,2)</f>
        <v>3288.79</v>
      </c>
      <c r="R263" s="63">
        <f>ROUND(P263*$R$3,2)</f>
        <v>769.15</v>
      </c>
      <c r="S263" s="67">
        <f>ROUND(P263*0.04,2)</f>
        <v>2121.8000000000002</v>
      </c>
      <c r="T263" s="63">
        <f>IF(H263="new",ROUND(MIN(P263,$T$4)*$T$3*G263*2,2),ROUND(MIN(P263,$T$4)*$T$3*G263,2))</f>
        <v>525</v>
      </c>
      <c r="U263" s="63">
        <f>IF(H263="new",ROUND(MIN(P263,$U$4)*$U$3*G263*2,2),ROUND(MIN(P263,$U$4)*$U$3*G263,2))</f>
        <v>1096</v>
      </c>
      <c r="V263" s="64">
        <f>SUM(Q263:U263)</f>
        <v>7800.74</v>
      </c>
      <c r="W263" s="140">
        <f>P263*$W$3</f>
        <v>8094.6670000000004</v>
      </c>
      <c r="X263" s="63">
        <f>IF(I263="x",0,IF(H263="new",ROUND(X$4*12*0.9*G263,2),ROUND(X$4*12*G263,2)))</f>
        <v>0</v>
      </c>
      <c r="Y263" s="63">
        <f>IF(I263="x",0,IF(H263="new",ROUND(Y$4*12*0.9*G263,2),ROUND(Y$4*12*G263,2)))</f>
        <v>0</v>
      </c>
      <c r="Z263" s="63">
        <f>ROUND((Z$3*(MIN(P263,10000)/1000))+((P263/1000)*(Z$4)),2)</f>
        <v>0</v>
      </c>
      <c r="AA263" s="64">
        <f>SUM(W263:Z263)</f>
        <v>8094.6670000000004</v>
      </c>
      <c r="AB263" s="69">
        <f>23.64*20</f>
        <v>472.8</v>
      </c>
      <c r="AC263" s="317"/>
    </row>
    <row r="264" spans="1:29" x14ac:dyDescent="0.2">
      <c r="D264" s="71"/>
      <c r="E264" s="110"/>
      <c r="F264" s="110"/>
      <c r="G264" s="84"/>
      <c r="H264" s="76"/>
      <c r="I264" s="76"/>
      <c r="J264" s="46"/>
      <c r="K264" s="76"/>
      <c r="L264" s="76"/>
      <c r="M264" s="79"/>
      <c r="N264" s="79"/>
      <c r="O264" s="65"/>
      <c r="P264" s="111"/>
      <c r="Q264" s="78"/>
      <c r="R264" s="78"/>
      <c r="S264" s="78"/>
      <c r="T264" s="78"/>
      <c r="U264" s="78"/>
      <c r="V264" s="79"/>
      <c r="W264" s="78"/>
      <c r="X264" s="78"/>
      <c r="Y264" s="78"/>
      <c r="Z264" s="78"/>
      <c r="AA264" s="79"/>
      <c r="AB264" s="112"/>
    </row>
    <row r="265" spans="1:29" x14ac:dyDescent="0.2">
      <c r="D265" s="71"/>
      <c r="E265" s="110"/>
      <c r="F265" s="110"/>
      <c r="G265" s="84"/>
      <c r="H265" s="76"/>
      <c r="I265" s="76"/>
      <c r="J265" s="46"/>
      <c r="K265" s="76"/>
      <c r="L265" s="76"/>
      <c r="M265" s="79"/>
      <c r="N265" s="79"/>
      <c r="O265" s="65"/>
      <c r="P265" s="111"/>
      <c r="Q265" s="78"/>
      <c r="R265" s="78"/>
      <c r="S265" s="78"/>
      <c r="T265" s="78"/>
      <c r="U265" s="78"/>
      <c r="V265" s="79"/>
      <c r="W265" s="78"/>
      <c r="X265" s="78"/>
      <c r="Y265" s="78"/>
      <c r="Z265" s="78"/>
      <c r="AA265" s="79"/>
      <c r="AB265" s="112"/>
    </row>
    <row r="266" spans="1:29" s="142" customFormat="1" ht="13.5" thickBot="1" x14ac:dyDescent="0.25">
      <c r="B266" s="142">
        <v>3000</v>
      </c>
      <c r="D266" s="155"/>
      <c r="E266" s="115" t="s">
        <v>1338</v>
      </c>
      <c r="F266" s="115"/>
      <c r="G266" s="152"/>
      <c r="H266" s="118"/>
      <c r="I266" s="118"/>
      <c r="J266" s="119">
        <f>SUM(J263:J265)</f>
        <v>3000</v>
      </c>
      <c r="K266" s="120">
        <f>J266</f>
        <v>3000</v>
      </c>
      <c r="L266" s="346"/>
      <c r="M266" s="121"/>
      <c r="N266" s="121"/>
      <c r="O266" s="156"/>
      <c r="P266" s="122">
        <f>K266</f>
        <v>3000</v>
      </c>
      <c r="Q266" s="123">
        <f>ROUND(MIN(P266,Q$4)*Q$3,2)</f>
        <v>186</v>
      </c>
      <c r="R266" s="123">
        <f>ROUND(P266*$R$3,2)</f>
        <v>43.5</v>
      </c>
      <c r="S266" s="123">
        <v>0</v>
      </c>
      <c r="T266" s="123">
        <v>0</v>
      </c>
      <c r="U266" s="123">
        <f>IF(H266="new",ROUND(MIN(P266,$U$4)*$U$3*G266*2,2),ROUND(MIN(P266,$U$4)*$U$3*G266,2))</f>
        <v>0</v>
      </c>
      <c r="V266" s="124">
        <f>SUM(Q266:U266)</f>
        <v>229.5</v>
      </c>
      <c r="W266" s="123">
        <v>0</v>
      </c>
      <c r="X266" s="123">
        <v>0</v>
      </c>
      <c r="Y266" s="123">
        <v>0</v>
      </c>
      <c r="Z266" s="123">
        <v>0</v>
      </c>
      <c r="AA266" s="124">
        <f>SUM(W266:Z266)</f>
        <v>0</v>
      </c>
      <c r="AB266" s="125">
        <v>0</v>
      </c>
      <c r="AC266" s="70"/>
    </row>
    <row r="267" spans="1:29" s="142" customFormat="1" ht="13.5" thickBot="1" x14ac:dyDescent="0.25">
      <c r="B267" s="126">
        <f>SUM(B263:B266)</f>
        <v>44200</v>
      </c>
      <c r="C267" s="126"/>
      <c r="D267" s="155"/>
      <c r="E267" s="127" t="s">
        <v>1388</v>
      </c>
      <c r="F267" s="128"/>
      <c r="G267" s="128"/>
      <c r="H267" s="129"/>
      <c r="I267" s="353"/>
      <c r="J267" s="354"/>
      <c r="K267" s="129"/>
      <c r="L267" s="129">
        <f>SUM(L263:L266)</f>
        <v>0</v>
      </c>
      <c r="M267" s="129"/>
      <c r="N267" s="129"/>
      <c r="O267" s="153"/>
      <c r="P267" s="132">
        <f>SUM(P263:P266)</f>
        <v>56045</v>
      </c>
      <c r="Q267" s="129">
        <f t="shared" ref="Q267:AB267" si="106">SUM(Q263:Q266)</f>
        <v>3474.79</v>
      </c>
      <c r="R267" s="129">
        <f t="shared" si="106"/>
        <v>812.65</v>
      </c>
      <c r="S267" s="129">
        <f t="shared" si="106"/>
        <v>2121.8000000000002</v>
      </c>
      <c r="T267" s="129">
        <f t="shared" si="106"/>
        <v>525</v>
      </c>
      <c r="U267" s="129">
        <f t="shared" si="106"/>
        <v>1096</v>
      </c>
      <c r="V267" s="129">
        <f t="shared" si="106"/>
        <v>8030.24</v>
      </c>
      <c r="W267" s="129">
        <f t="shared" si="106"/>
        <v>8094.6670000000004</v>
      </c>
      <c r="X267" s="133">
        <f t="shared" si="106"/>
        <v>0</v>
      </c>
      <c r="Y267" s="129">
        <f t="shared" si="106"/>
        <v>0</v>
      </c>
      <c r="Z267" s="129">
        <f t="shared" si="106"/>
        <v>0</v>
      </c>
      <c r="AA267" s="129">
        <f t="shared" si="106"/>
        <v>8094.6670000000004</v>
      </c>
      <c r="AB267" s="134">
        <f t="shared" si="106"/>
        <v>472.8</v>
      </c>
      <c r="AC267" s="70"/>
    </row>
    <row r="268" spans="1:29" s="142" customFormat="1" ht="13.5" thickBot="1" x14ac:dyDescent="0.25">
      <c r="B268" s="87">
        <f>(P267-B267)</f>
        <v>11845</v>
      </c>
      <c r="C268" s="87"/>
      <c r="E268" s="147"/>
      <c r="F268" s="148"/>
      <c r="G268" s="148"/>
      <c r="H268" s="111"/>
      <c r="I268" s="111"/>
      <c r="J268" s="154"/>
      <c r="K268" s="111"/>
      <c r="L268" s="111"/>
      <c r="M268" s="111"/>
      <c r="N268" s="111"/>
      <c r="O268" s="149"/>
      <c r="P268" s="111"/>
      <c r="Q268" s="111"/>
      <c r="R268" s="111"/>
      <c r="S268" s="111"/>
      <c r="T268" s="111"/>
      <c r="U268" s="111"/>
      <c r="V268" s="111"/>
      <c r="W268" s="111"/>
      <c r="X268" s="111"/>
      <c r="Y268" s="111"/>
      <c r="Z268" s="111"/>
      <c r="AA268" s="111"/>
      <c r="AB268" s="111"/>
      <c r="AC268" s="70"/>
    </row>
    <row r="269" spans="1:29" s="142" customFormat="1" x14ac:dyDescent="0.2">
      <c r="B269" s="142">
        <v>33660</v>
      </c>
      <c r="C269" s="142" t="s">
        <v>1389</v>
      </c>
      <c r="D269" s="56"/>
      <c r="E269" s="57" t="s">
        <v>1390</v>
      </c>
      <c r="F269" s="223" t="s">
        <v>1391</v>
      </c>
      <c r="G269" s="59">
        <v>1</v>
      </c>
      <c r="H269" s="60"/>
      <c r="I269" s="60"/>
      <c r="J269" s="61">
        <f>IF(H269="NEW",0,3000)</f>
        <v>3000</v>
      </c>
      <c r="K269" s="362">
        <v>33660</v>
      </c>
      <c r="L269" s="60"/>
      <c r="M269" s="63">
        <f>K269*$M$4</f>
        <v>1009.8</v>
      </c>
      <c r="N269" s="64"/>
      <c r="O269" s="139">
        <f>P269/24</f>
        <v>1444.575</v>
      </c>
      <c r="P269" s="66">
        <f>G269*(K269+L269+M269)</f>
        <v>34669.800000000003</v>
      </c>
      <c r="Q269" s="63">
        <f>ROUND(MIN(P269,Q$4)*Q$3,2)</f>
        <v>2149.5300000000002</v>
      </c>
      <c r="R269" s="63">
        <f>ROUND(P269*$R$3,2)</f>
        <v>502.71</v>
      </c>
      <c r="S269" s="67">
        <f>ROUND(P269*0.04,2)</f>
        <v>1386.79</v>
      </c>
      <c r="T269" s="63">
        <f>IF(H269="new",ROUND(MIN(P269,$T$4)*$T$3*G269*2,2),ROUND(MIN(P269,$T$4)*$T$3*G269,2))</f>
        <v>525</v>
      </c>
      <c r="U269" s="63">
        <f>IF(H269="new",ROUND(MIN(P269,$U$4)*$U$3*G269*2,2),ROUND(MIN(P269,$U$4)*$U$3*G269,2))</f>
        <v>1096</v>
      </c>
      <c r="V269" s="64">
        <f>SUM(Q269:U269)</f>
        <v>5660.0300000000007</v>
      </c>
      <c r="W269" s="140">
        <f>P269*$W$3</f>
        <v>5290.6114800000005</v>
      </c>
      <c r="X269" s="63">
        <f>IF(I269="x",0,IF(H269="new",ROUND(X$4*12*0.9*G269,2),ROUND(X$4*12*G269,2)))</f>
        <v>0</v>
      </c>
      <c r="Y269" s="63">
        <f>IF(I269="x",0,IF(H269="new",ROUND(Y$4*12*0.9*G269,2),ROUND(Y$4*12*G269,2)))</f>
        <v>0</v>
      </c>
      <c r="Z269" s="63">
        <f>ROUND((Z$3*(MIN(P269,10000)/1000))+((P269/1000)*(Z$4)),2)</f>
        <v>0</v>
      </c>
      <c r="AA269" s="64">
        <f>SUM(W269:Z269)</f>
        <v>5290.6114800000005</v>
      </c>
      <c r="AB269" s="69">
        <f>20.02*20</f>
        <v>400.4</v>
      </c>
      <c r="AC269" s="70"/>
    </row>
    <row r="270" spans="1:29" x14ac:dyDescent="0.2">
      <c r="D270" s="71"/>
      <c r="E270" s="110"/>
      <c r="F270" s="110"/>
      <c r="G270" s="84"/>
      <c r="H270" s="76"/>
      <c r="I270" s="76"/>
      <c r="J270" s="46"/>
      <c r="K270" s="76"/>
      <c r="L270" s="76"/>
      <c r="M270" s="79"/>
      <c r="N270" s="79"/>
      <c r="O270" s="65"/>
      <c r="P270" s="111"/>
      <c r="Q270" s="78"/>
      <c r="R270" s="78"/>
      <c r="S270" s="78"/>
      <c r="T270" s="78"/>
      <c r="U270" s="78"/>
      <c r="V270" s="79"/>
      <c r="W270" s="78"/>
      <c r="X270" s="78"/>
      <c r="Y270" s="78"/>
      <c r="Z270" s="78"/>
      <c r="AA270" s="79"/>
      <c r="AB270" s="112"/>
    </row>
    <row r="271" spans="1:29" x14ac:dyDescent="0.2">
      <c r="D271" s="71"/>
      <c r="E271" s="110"/>
      <c r="F271" s="110"/>
      <c r="G271" s="84"/>
      <c r="H271" s="76"/>
      <c r="I271" s="76"/>
      <c r="J271" s="46"/>
      <c r="K271" s="76"/>
      <c r="L271" s="76"/>
      <c r="M271" s="79"/>
      <c r="N271" s="79"/>
      <c r="O271" s="65"/>
      <c r="P271" s="111"/>
      <c r="Q271" s="78"/>
      <c r="R271" s="78"/>
      <c r="S271" s="78"/>
      <c r="T271" s="78"/>
      <c r="U271" s="78"/>
      <c r="V271" s="79"/>
      <c r="W271" s="78"/>
      <c r="X271" s="78"/>
      <c r="Y271" s="78"/>
      <c r="Z271" s="78"/>
      <c r="AA271" s="79"/>
      <c r="AB271" s="112"/>
    </row>
    <row r="272" spans="1:29" s="142" customFormat="1" ht="13.5" thickBot="1" x14ac:dyDescent="0.25">
      <c r="B272" s="142">
        <v>3000</v>
      </c>
      <c r="D272" s="155"/>
      <c r="E272" s="115" t="s">
        <v>1338</v>
      </c>
      <c r="F272" s="115"/>
      <c r="G272" s="152"/>
      <c r="H272" s="118"/>
      <c r="I272" s="118"/>
      <c r="J272" s="119">
        <f>SUM(J269:J271)</f>
        <v>3000</v>
      </c>
      <c r="K272" s="120">
        <f>J272</f>
        <v>3000</v>
      </c>
      <c r="L272" s="346"/>
      <c r="M272" s="121"/>
      <c r="N272" s="121"/>
      <c r="O272" s="156"/>
      <c r="P272" s="122">
        <f>K272</f>
        <v>3000</v>
      </c>
      <c r="Q272" s="123">
        <f>ROUND(MIN(P272,Q$4)*Q$3,2)</f>
        <v>186</v>
      </c>
      <c r="R272" s="123">
        <f>ROUND(P272*$R$3,2)</f>
        <v>43.5</v>
      </c>
      <c r="S272" s="123">
        <v>0</v>
      </c>
      <c r="T272" s="123">
        <v>0</v>
      </c>
      <c r="U272" s="123">
        <f>IF(H272="new",ROUND(MIN(P272,$U$4)*$U$3*G272*2,2),ROUND(MIN(P272,$U$4)*$U$3*G272,2))</f>
        <v>0</v>
      </c>
      <c r="V272" s="124">
        <f>SUM(Q272:U272)</f>
        <v>229.5</v>
      </c>
      <c r="W272" s="123">
        <v>0</v>
      </c>
      <c r="X272" s="123">
        <v>0</v>
      </c>
      <c r="Y272" s="123">
        <v>0</v>
      </c>
      <c r="Z272" s="123">
        <v>0</v>
      </c>
      <c r="AA272" s="124">
        <f>SUM(W272:Z272)</f>
        <v>0</v>
      </c>
      <c r="AB272" s="125">
        <v>0</v>
      </c>
      <c r="AC272" s="70"/>
    </row>
    <row r="273" spans="1:29" s="142" customFormat="1" ht="13.5" thickBot="1" x14ac:dyDescent="0.25">
      <c r="B273" s="126">
        <f>SUM(B269:B272)</f>
        <v>36660</v>
      </c>
      <c r="C273" s="126"/>
      <c r="D273" s="155"/>
      <c r="E273" s="127" t="s">
        <v>1392</v>
      </c>
      <c r="F273" s="128"/>
      <c r="G273" s="128"/>
      <c r="H273" s="129"/>
      <c r="I273" s="353"/>
      <c r="J273" s="354"/>
      <c r="K273" s="129"/>
      <c r="L273" s="129">
        <f>SUM(L269:L272)</f>
        <v>0</v>
      </c>
      <c r="M273" s="129"/>
      <c r="N273" s="129"/>
      <c r="O273" s="153"/>
      <c r="P273" s="132">
        <f t="shared" ref="P273:AB273" si="107">SUM(P269:P272)</f>
        <v>37669.800000000003</v>
      </c>
      <c r="Q273" s="129">
        <f t="shared" si="107"/>
        <v>2335.5300000000002</v>
      </c>
      <c r="R273" s="129">
        <f t="shared" si="107"/>
        <v>546.21</v>
      </c>
      <c r="S273" s="129">
        <f t="shared" si="107"/>
        <v>1386.79</v>
      </c>
      <c r="T273" s="129">
        <f t="shared" si="107"/>
        <v>525</v>
      </c>
      <c r="U273" s="129">
        <f t="shared" si="107"/>
        <v>1096</v>
      </c>
      <c r="V273" s="129">
        <f t="shared" si="107"/>
        <v>5889.5300000000007</v>
      </c>
      <c r="W273" s="129">
        <f t="shared" si="107"/>
        <v>5290.6114800000005</v>
      </c>
      <c r="X273" s="133">
        <f t="shared" si="107"/>
        <v>0</v>
      </c>
      <c r="Y273" s="129">
        <f t="shared" si="107"/>
        <v>0</v>
      </c>
      <c r="Z273" s="129">
        <f t="shared" si="107"/>
        <v>0</v>
      </c>
      <c r="AA273" s="129">
        <f t="shared" si="107"/>
        <v>5290.6114800000005</v>
      </c>
      <c r="AB273" s="134">
        <f t="shared" si="107"/>
        <v>400.4</v>
      </c>
      <c r="AC273" s="70"/>
    </row>
    <row r="274" spans="1:29" s="142" customFormat="1" x14ac:dyDescent="0.2">
      <c r="B274" s="87">
        <f>(P273-B273)</f>
        <v>1009.8000000000029</v>
      </c>
      <c r="C274" s="87"/>
      <c r="E274" s="147"/>
      <c r="F274" s="148"/>
      <c r="G274" s="148"/>
      <c r="H274" s="111"/>
      <c r="I274" s="111"/>
      <c r="J274" s="154"/>
      <c r="K274" s="111"/>
      <c r="L274" s="111"/>
      <c r="M274" s="111"/>
      <c r="N274" s="111"/>
      <c r="O274" s="149"/>
      <c r="P274" s="111"/>
      <c r="Q274" s="111"/>
      <c r="R274" s="111"/>
      <c r="S274" s="111"/>
      <c r="T274" s="111"/>
      <c r="U274" s="111"/>
      <c r="V274" s="111"/>
      <c r="W274" s="111"/>
      <c r="X274" s="111"/>
      <c r="Y274" s="111"/>
      <c r="Z274" s="111"/>
      <c r="AA274" s="111"/>
      <c r="AB274" s="111"/>
      <c r="AC274" s="70"/>
    </row>
    <row r="275" spans="1:29" s="142" customFormat="1" ht="13.5" thickBot="1" x14ac:dyDescent="0.25">
      <c r="E275" s="147"/>
      <c r="F275" s="148"/>
      <c r="G275" s="148"/>
      <c r="H275" s="111"/>
      <c r="I275" s="111"/>
      <c r="J275" s="154"/>
      <c r="K275" s="111"/>
      <c r="L275" s="111"/>
      <c r="M275" s="111"/>
      <c r="N275" s="111"/>
      <c r="O275" s="149"/>
      <c r="P275" s="111"/>
      <c r="Q275" s="111"/>
      <c r="R275" s="111"/>
      <c r="S275" s="111"/>
      <c r="T275" s="111"/>
      <c r="U275" s="111"/>
      <c r="V275" s="111"/>
      <c r="W275" s="111"/>
      <c r="X275" s="111"/>
      <c r="Y275" s="111"/>
      <c r="Z275" s="111"/>
      <c r="AA275" s="111"/>
      <c r="AB275" s="111"/>
      <c r="AC275" s="70"/>
    </row>
    <row r="276" spans="1:29" s="142" customFormat="1" x14ac:dyDescent="0.2">
      <c r="B276" s="142" t="s">
        <v>1393</v>
      </c>
      <c r="C276" s="142" t="s">
        <v>1394</v>
      </c>
      <c r="D276" s="56"/>
      <c r="E276" s="57" t="s">
        <v>1395</v>
      </c>
      <c r="F276" s="223" t="s">
        <v>1396</v>
      </c>
      <c r="G276" s="59">
        <v>1</v>
      </c>
      <c r="H276" s="60"/>
      <c r="I276" s="60"/>
      <c r="J276" s="322">
        <v>11</v>
      </c>
      <c r="K276" s="323">
        <f>J276*8*193</f>
        <v>16984</v>
      </c>
      <c r="L276" s="60"/>
      <c r="M276" s="63">
        <f>K276*$M$4</f>
        <v>509.52</v>
      </c>
      <c r="N276" s="64"/>
      <c r="O276" s="139">
        <f>P276/24</f>
        <v>728.89666666666665</v>
      </c>
      <c r="P276" s="66">
        <f>G276*(K276+L276+M276)</f>
        <v>17493.52</v>
      </c>
      <c r="Q276" s="63">
        <f>ROUND(MIN(P276,Q$4)*Q$3,2)</f>
        <v>1084.5999999999999</v>
      </c>
      <c r="R276" s="63">
        <f>ROUND(P276*$R$3,2)</f>
        <v>253.66</v>
      </c>
      <c r="S276" s="67">
        <f>ROUND(P276*0.04,2)</f>
        <v>699.74</v>
      </c>
      <c r="T276" s="63">
        <f>IF(H276="new",ROUND(MIN(P276,$T$4)*$T$3*G276*2,2),ROUND(MIN(P276,$T$4)*$T$3*G276,2))</f>
        <v>525</v>
      </c>
      <c r="U276" s="63">
        <f>IF(H276="new",ROUND(MIN(P276,$U$4)*$U$3*G276*2,2),ROUND(MIN(P276,$U$4)*$U$3*G276,2))</f>
        <v>1096</v>
      </c>
      <c r="V276" s="64">
        <f>SUM(Q276:U276)</f>
        <v>3659</v>
      </c>
      <c r="W276" s="140">
        <f>P276*$W$3</f>
        <v>2669.5111520000005</v>
      </c>
      <c r="X276" s="63">
        <f>IF(I276="x",0,IF(H276="new",ROUND(X$4*12*0.9*G276,2),ROUND(X$4*12*G276,2)))</f>
        <v>0</v>
      </c>
      <c r="Y276" s="63">
        <f>IF(I276="x",0,IF(H276="new",ROUND(Y$4*12*0.9*G276,2),ROUND(Y$4*12*G276,2)))</f>
        <v>0</v>
      </c>
      <c r="Z276" s="63">
        <f>ROUND((Z$3*(MIN(P276,10000)/1000))+((P276/1000)*(Z$4)),2)</f>
        <v>0</v>
      </c>
      <c r="AA276" s="64">
        <f>SUM(W276:Z276)</f>
        <v>2669.5111520000005</v>
      </c>
      <c r="AB276" s="69">
        <f>17.55*20</f>
        <v>351</v>
      </c>
      <c r="AC276" s="70"/>
    </row>
    <row r="277" spans="1:29" s="142" customFormat="1" x14ac:dyDescent="0.2">
      <c r="C277" s="142" t="s">
        <v>1394</v>
      </c>
      <c r="D277" s="71"/>
      <c r="E277" s="83" t="s">
        <v>1397</v>
      </c>
      <c r="F277" s="110" t="s">
        <v>1396</v>
      </c>
      <c r="G277" s="84">
        <v>1</v>
      </c>
      <c r="H277" s="76"/>
      <c r="I277" s="76"/>
      <c r="J277" s="313">
        <v>11</v>
      </c>
      <c r="K277" s="314">
        <f>J277*8*193</f>
        <v>16984</v>
      </c>
      <c r="L277" s="76"/>
      <c r="M277" s="78">
        <f>K277*$M$4</f>
        <v>509.52</v>
      </c>
      <c r="N277" s="79"/>
      <c r="O277" s="65">
        <f>P277/24</f>
        <v>728.89666666666665</v>
      </c>
      <c r="P277" s="80">
        <f>G277*(K277+L277+M277)</f>
        <v>17493.52</v>
      </c>
      <c r="Q277" s="78">
        <f>ROUND(MIN(P277,Q$4)*Q$3,2)</f>
        <v>1084.5999999999999</v>
      </c>
      <c r="R277" s="78">
        <f>ROUND(P277*$R$3,2)</f>
        <v>253.66</v>
      </c>
      <c r="S277" s="81">
        <f>ROUND(P277*0.04,2)</f>
        <v>699.74</v>
      </c>
      <c r="T277" s="78">
        <f>IF(H277="new",ROUND(MIN(P277,$T$4)*$T$3*G277*2,2),ROUND(MIN(P277,$T$4)*$T$3*G277,2))</f>
        <v>525</v>
      </c>
      <c r="U277" s="78">
        <f>IF(H277="new",ROUND(MIN(P277,$U$4)*$U$3*G277*2,2),ROUND(MIN(P277,$U$4)*$U$3*G277,2))</f>
        <v>1096</v>
      </c>
      <c r="V277" s="79">
        <f>SUM(Q277:U277)</f>
        <v>3659</v>
      </c>
      <c r="W277" s="68">
        <f>P277*$W$3</f>
        <v>2669.5111520000005</v>
      </c>
      <c r="X277" s="78">
        <f>IF(I277="x",0,IF(H277="new",ROUND(X$4*12*0.9*G277,2),ROUND(X$4*12*G277,2)))</f>
        <v>0</v>
      </c>
      <c r="Y277" s="78">
        <f>IF(I277="x",0,IF(H277="new",ROUND(Y$4*12*0.9*G277,2),ROUND(Y$4*12*G277,2)))</f>
        <v>0</v>
      </c>
      <c r="Z277" s="78">
        <f>ROUND((Z$3*(MIN(P277,10000)/1000))+((P277/1000)*(Z$4)),2)</f>
        <v>0</v>
      </c>
      <c r="AA277" s="79">
        <f>SUM(W277:Z277)</f>
        <v>2669.5111520000005</v>
      </c>
      <c r="AB277" s="82">
        <f>17.55*20</f>
        <v>351</v>
      </c>
      <c r="AC277" s="70"/>
    </row>
    <row r="278" spans="1:29" s="142" customFormat="1" x14ac:dyDescent="0.2">
      <c r="C278" s="142" t="s">
        <v>1394</v>
      </c>
      <c r="D278" s="71"/>
      <c r="E278" s="83" t="s">
        <v>1316</v>
      </c>
      <c r="F278" s="110" t="s">
        <v>1396</v>
      </c>
      <c r="G278" s="84">
        <v>1</v>
      </c>
      <c r="H278" s="76"/>
      <c r="I278" s="76"/>
      <c r="J278" s="313">
        <v>11</v>
      </c>
      <c r="K278" s="314">
        <f>J278*5*186</f>
        <v>10230</v>
      </c>
      <c r="L278" s="76"/>
      <c r="M278" s="78">
        <f>K278*$M$4</f>
        <v>306.89999999999998</v>
      </c>
      <c r="N278" s="79"/>
      <c r="O278" s="65">
        <f>P278/24</f>
        <v>439.03749999999997</v>
      </c>
      <c r="P278" s="80">
        <f>G278*(K278+L278+M278)</f>
        <v>10536.9</v>
      </c>
      <c r="Q278" s="78">
        <f>ROUND(MIN(P278,Q$4)*Q$3,2)</f>
        <v>653.29</v>
      </c>
      <c r="R278" s="78">
        <f>ROUND(P278*$R$3,2)</f>
        <v>152.79</v>
      </c>
      <c r="S278" s="81">
        <f>ROUND(P278*0.04,2)</f>
        <v>421.48</v>
      </c>
      <c r="T278" s="78">
        <f>IF(H278="new",ROUND(MIN(P278,$T$4)*$T$3*G278*2,2),ROUND(MIN(P278,$T$4)*$T$3*G278,2))</f>
        <v>525</v>
      </c>
      <c r="U278" s="78">
        <f>IF(H278="new",ROUND(MIN(P278,$U$4)*$U$3*G278*2,2),ROUND(MIN(P278,$U$4)*$U$3*G278,2))</f>
        <v>842.95</v>
      </c>
      <c r="V278" s="79">
        <f>SUM(Q278:U278)</f>
        <v>2595.5100000000002</v>
      </c>
      <c r="W278" s="68">
        <f>P278*$W$3</f>
        <v>1607.9309400000002</v>
      </c>
      <c r="X278" s="78">
        <f>IF(I278="x",0,IF(H278="new",ROUND(X$4*12*0.9*G278,2),ROUND(X$4*12*G278,2)))</f>
        <v>0</v>
      </c>
      <c r="Y278" s="78">
        <f>IF(I278="x",0,IF(H278="new",ROUND(Y$4*12*0.9*G278,2),ROUND(Y$4*12*G278,2)))</f>
        <v>0</v>
      </c>
      <c r="Z278" s="78">
        <f>ROUND((Z$3*(MIN(P278,10000)/1000))+((P278/1000)*(Z$4)),2)</f>
        <v>0</v>
      </c>
      <c r="AA278" s="79">
        <f>SUM(W278:Z278)</f>
        <v>1607.9309400000002</v>
      </c>
      <c r="AB278" s="82">
        <f>17.55*20</f>
        <v>351</v>
      </c>
      <c r="AC278" s="70"/>
    </row>
    <row r="279" spans="1:29" s="142" customFormat="1" x14ac:dyDescent="0.2">
      <c r="A279" s="142" t="s">
        <v>1398</v>
      </c>
      <c r="B279" s="142">
        <v>0</v>
      </c>
      <c r="C279" s="142" t="s">
        <v>1399</v>
      </c>
      <c r="D279" s="71"/>
      <c r="E279" s="83" t="s">
        <v>1400</v>
      </c>
      <c r="F279" s="151" t="s">
        <v>1401</v>
      </c>
      <c r="G279" s="84"/>
      <c r="H279" s="76"/>
      <c r="I279" s="76"/>
      <c r="J279" s="46"/>
      <c r="K279" s="85">
        <v>55000</v>
      </c>
      <c r="L279" s="76" t="s">
        <v>1402</v>
      </c>
      <c r="M279" s="78">
        <f>K279*$M$4</f>
        <v>1650</v>
      </c>
      <c r="N279" s="79"/>
      <c r="O279" s="65">
        <v>1737</v>
      </c>
      <c r="P279" s="80">
        <v>0</v>
      </c>
      <c r="Q279" s="78">
        <f>ROUND(MIN(P279,Q$4)*Q$3,2)</f>
        <v>0</v>
      </c>
      <c r="R279" s="78">
        <f>ROUND(P279*$R$3,2)</f>
        <v>0</v>
      </c>
      <c r="S279" s="78">
        <f>ROUND(P279*0.04,2)</f>
        <v>0</v>
      </c>
      <c r="T279" s="78">
        <f>IF(H279="new",ROUND(MIN(P279,$T$4)*$T$3*G279*2,2),ROUND(MIN(P279,$T$4)*$T$3*G279,2))</f>
        <v>0</v>
      </c>
      <c r="U279" s="78">
        <f>IF(H279="new",ROUND(MIN(P279,$U$4)*$U$3*G279*2,2),ROUND(MIN(P279,$U$4)*$U$3*G279,2))</f>
        <v>0</v>
      </c>
      <c r="V279" s="79">
        <f>SUM(Q279:U279)</f>
        <v>0</v>
      </c>
      <c r="W279" s="78">
        <v>0</v>
      </c>
      <c r="X279" s="78">
        <v>0</v>
      </c>
      <c r="Y279" s="78">
        <v>0</v>
      </c>
      <c r="Z279" s="78">
        <f>ROUND((Z$3*(MIN(P279,10000)/1000))+((P279/1000)*(Z$4)),2)</f>
        <v>0</v>
      </c>
      <c r="AA279" s="79">
        <f>SUM(W279:Z279)</f>
        <v>0</v>
      </c>
      <c r="AB279" s="112">
        <v>0</v>
      </c>
      <c r="AC279" s="70" t="s">
        <v>1403</v>
      </c>
    </row>
    <row r="280" spans="1:29" x14ac:dyDescent="0.2">
      <c r="D280" s="71"/>
      <c r="E280" s="110"/>
      <c r="F280" s="110"/>
      <c r="G280" s="84"/>
      <c r="H280" s="76"/>
      <c r="I280" s="76"/>
      <c r="J280" s="46"/>
      <c r="K280" s="76"/>
      <c r="L280" s="76"/>
      <c r="M280" s="79"/>
      <c r="N280" s="79"/>
      <c r="O280" s="65"/>
      <c r="P280" s="111"/>
      <c r="Q280" s="78"/>
      <c r="R280" s="78"/>
      <c r="S280" s="78"/>
      <c r="T280" s="78"/>
      <c r="U280" s="78"/>
      <c r="V280" s="79"/>
      <c r="W280" s="78"/>
      <c r="X280" s="78"/>
      <c r="Y280" s="78"/>
      <c r="Z280" s="78"/>
      <c r="AA280" s="79"/>
      <c r="AB280" s="112"/>
    </row>
    <row r="281" spans="1:29" x14ac:dyDescent="0.2">
      <c r="D281" s="71"/>
      <c r="E281" s="110"/>
      <c r="F281" s="110"/>
      <c r="G281" s="84"/>
      <c r="H281" s="76"/>
      <c r="I281" s="76"/>
      <c r="J281" s="46"/>
      <c r="K281" s="76"/>
      <c r="L281" s="76"/>
      <c r="M281" s="79"/>
      <c r="N281" s="79"/>
      <c r="O281" s="65"/>
      <c r="P281" s="111"/>
      <c r="Q281" s="78"/>
      <c r="R281" s="78"/>
      <c r="S281" s="78"/>
      <c r="T281" s="78"/>
      <c r="U281" s="78"/>
      <c r="V281" s="79"/>
      <c r="W281" s="78"/>
      <c r="X281" s="78"/>
      <c r="Y281" s="78"/>
      <c r="Z281" s="78"/>
      <c r="AA281" s="79"/>
      <c r="AB281" s="112"/>
    </row>
    <row r="282" spans="1:29" s="142" customFormat="1" ht="16.5" customHeight="1" thickBot="1" x14ac:dyDescent="0.25">
      <c r="B282" s="142">
        <v>3000</v>
      </c>
      <c r="D282" s="155"/>
      <c r="E282" s="115" t="s">
        <v>1338</v>
      </c>
      <c r="F282" s="115"/>
      <c r="G282" s="152"/>
      <c r="H282" s="118"/>
      <c r="I282" s="118"/>
      <c r="J282" s="119"/>
      <c r="K282" s="120">
        <v>3000</v>
      </c>
      <c r="L282" s="346"/>
      <c r="M282" s="121"/>
      <c r="N282" s="121"/>
      <c r="O282" s="156"/>
      <c r="P282" s="122">
        <f>+K282+L282+M282</f>
        <v>3000</v>
      </c>
      <c r="Q282" s="123">
        <f>ROUND(MIN(P282,Q$4)*Q$3,2)</f>
        <v>186</v>
      </c>
      <c r="R282" s="123">
        <f>ROUND(P282*$R$3,2)</f>
        <v>43.5</v>
      </c>
      <c r="S282" s="118"/>
      <c r="T282" s="118"/>
      <c r="U282" s="118"/>
      <c r="V282" s="124">
        <f>SUM(Q282:U282)</f>
        <v>229.5</v>
      </c>
      <c r="W282" s="118"/>
      <c r="X282" s="118"/>
      <c r="Y282" s="118"/>
      <c r="Z282" s="118"/>
      <c r="AA282" s="118"/>
      <c r="AB282" s="125">
        <v>0</v>
      </c>
      <c r="AC282" s="70"/>
    </row>
    <row r="283" spans="1:29" ht="13.5" thickBot="1" x14ac:dyDescent="0.25">
      <c r="B283" s="126">
        <f>SUM(B276:B282)</f>
        <v>3000</v>
      </c>
      <c r="C283" s="126"/>
      <c r="D283" s="155"/>
      <c r="E283" s="127" t="s">
        <v>1404</v>
      </c>
      <c r="F283" s="128"/>
      <c r="G283" s="128"/>
      <c r="H283" s="129"/>
      <c r="I283" s="353"/>
      <c r="J283" s="354"/>
      <c r="K283" s="129"/>
      <c r="L283" s="129">
        <f>SUM(L276:L282)</f>
        <v>0</v>
      </c>
      <c r="M283" s="129"/>
      <c r="N283" s="129"/>
      <c r="O283" s="153"/>
      <c r="P283" s="132">
        <f t="shared" ref="P283:AB283" si="108">SUM(P276:P282)</f>
        <v>48523.94</v>
      </c>
      <c r="Q283" s="129">
        <f t="shared" si="108"/>
        <v>3008.49</v>
      </c>
      <c r="R283" s="129">
        <f t="shared" si="108"/>
        <v>703.61</v>
      </c>
      <c r="S283" s="129">
        <f t="shared" si="108"/>
        <v>1820.96</v>
      </c>
      <c r="T283" s="129">
        <f t="shared" si="108"/>
        <v>1575</v>
      </c>
      <c r="U283" s="129">
        <f t="shared" si="108"/>
        <v>3034.95</v>
      </c>
      <c r="V283" s="129">
        <f t="shared" si="108"/>
        <v>10143.01</v>
      </c>
      <c r="W283" s="129">
        <f t="shared" si="108"/>
        <v>6946.9532440000012</v>
      </c>
      <c r="X283" s="133">
        <f t="shared" si="108"/>
        <v>0</v>
      </c>
      <c r="Y283" s="129">
        <f t="shared" si="108"/>
        <v>0</v>
      </c>
      <c r="Z283" s="129">
        <f t="shared" si="108"/>
        <v>0</v>
      </c>
      <c r="AA283" s="129">
        <f t="shared" si="108"/>
        <v>6946.9532440000012</v>
      </c>
      <c r="AB283" s="134">
        <f t="shared" si="108"/>
        <v>1053</v>
      </c>
    </row>
    <row r="284" spans="1:29" x14ac:dyDescent="0.2">
      <c r="B284" s="87">
        <f>(P283-B283)</f>
        <v>45523.94</v>
      </c>
      <c r="C284" s="87"/>
      <c r="D284" s="227"/>
      <c r="E284" s="110"/>
      <c r="F284" s="110"/>
      <c r="G284" s="158"/>
      <c r="H284" s="76"/>
      <c r="I284" s="76"/>
      <c r="J284" s="46"/>
      <c r="K284" s="350"/>
      <c r="L284" s="350"/>
      <c r="M284" s="363"/>
      <c r="N284" s="363"/>
      <c r="O284" s="352"/>
      <c r="P284" s="166"/>
      <c r="Q284" s="160"/>
      <c r="R284" s="160"/>
      <c r="S284" s="160"/>
      <c r="T284" s="160"/>
      <c r="U284" s="160"/>
      <c r="V284" s="161"/>
      <c r="W284" s="160"/>
      <c r="X284" s="160"/>
      <c r="Y284" s="160"/>
      <c r="Z284" s="160"/>
      <c r="AA284" s="161"/>
      <c r="AB284" s="161"/>
    </row>
    <row r="285" spans="1:29" s="142" customFormat="1" ht="13.5" thickBot="1" x14ac:dyDescent="0.25">
      <c r="E285" s="147"/>
      <c r="F285" s="148"/>
      <c r="G285" s="148"/>
      <c r="H285" s="111"/>
      <c r="I285" s="111"/>
      <c r="J285" s="154"/>
      <c r="K285" s="111"/>
      <c r="L285" s="111"/>
      <c r="M285" s="111"/>
      <c r="N285" s="111"/>
      <c r="O285" s="149"/>
      <c r="P285" s="111"/>
      <c r="Q285" s="111"/>
      <c r="R285" s="111"/>
      <c r="S285" s="111"/>
      <c r="T285" s="111"/>
      <c r="U285" s="111"/>
      <c r="V285" s="111"/>
      <c r="W285" s="111"/>
      <c r="X285" s="111"/>
      <c r="Y285" s="111"/>
      <c r="Z285" s="111"/>
      <c r="AA285" s="111"/>
      <c r="AB285" s="111"/>
      <c r="AC285" s="70"/>
    </row>
    <row r="286" spans="1:29" s="142" customFormat="1" x14ac:dyDescent="0.2">
      <c r="D286" s="56"/>
      <c r="E286" s="83" t="s">
        <v>1405</v>
      </c>
      <c r="F286" s="364" t="s">
        <v>1406</v>
      </c>
      <c r="G286" s="84">
        <v>0.6</v>
      </c>
      <c r="H286" s="76"/>
      <c r="I286" s="76"/>
      <c r="J286" s="46">
        <f>IF(H286="NEW",0,3000)</f>
        <v>3000</v>
      </c>
      <c r="K286" s="314">
        <f>SUM(63750+21250)*0.6</f>
        <v>51000</v>
      </c>
      <c r="L286" s="76"/>
      <c r="M286" s="78">
        <f>K286*$M$4</f>
        <v>1530</v>
      </c>
      <c r="N286" s="79"/>
      <c r="O286" s="65">
        <f>P286/24</f>
        <v>2188.75</v>
      </c>
      <c r="P286" s="80">
        <f>(K286+L286+M286)</f>
        <v>52530</v>
      </c>
      <c r="Q286" s="78">
        <f>ROUND(MIN(P286,Q$4)*Q$3,2)</f>
        <v>3256.86</v>
      </c>
      <c r="R286" s="78">
        <f>ROUND(P286*$R$3,2)</f>
        <v>761.69</v>
      </c>
      <c r="S286" s="81">
        <f>ROUND(P286*0.04,2)</f>
        <v>2101.1999999999998</v>
      </c>
      <c r="T286" s="78">
        <f>IF(H286="new",ROUND(MIN(P286,$T$4)*$T$3*G286*2,2),ROUND(MIN(P286,$T$4)*$T$3*G286,2))</f>
        <v>315</v>
      </c>
      <c r="U286" s="78">
        <f>IF(H286="new",ROUND(MIN(P286,$U$4)*$U$3*G286*2,2),ROUND(MIN(P286,$U$4)*$U$3*G286,2))</f>
        <v>657.6</v>
      </c>
      <c r="V286" s="79">
        <f>SUM(Q286:U286)</f>
        <v>7092.35</v>
      </c>
      <c r="W286" s="68">
        <f>P286*$W$3</f>
        <v>8016.0780000000004</v>
      </c>
      <c r="X286" s="78">
        <f>IF(I286="x",0,IF(H286="new",ROUND(X$4*12*0.9*G286,2),ROUND(X$4*12*G286,2)))</f>
        <v>0</v>
      </c>
      <c r="Y286" s="78">
        <f>IF(I286="x",0,IF(H286="new",ROUND(Y$4*12*0.9*G286,2),ROUND(Y$4*12*G286,2)))</f>
        <v>0</v>
      </c>
      <c r="Z286" s="78">
        <f>ROUND((Z$3*(MIN(P286,10000)/1000))+((P286/1000)*(Z$4)),2)</f>
        <v>0</v>
      </c>
      <c r="AA286" s="79">
        <f>+W286</f>
        <v>8016.0780000000004</v>
      </c>
      <c r="AB286" s="82">
        <f>41.56*20*G286</f>
        <v>498.72</v>
      </c>
      <c r="AC286" s="70"/>
    </row>
    <row r="287" spans="1:29" s="142" customFormat="1" x14ac:dyDescent="0.2">
      <c r="D287" s="71"/>
      <c r="E287" s="83" t="s">
        <v>1405</v>
      </c>
      <c r="F287" s="364" t="s">
        <v>1407</v>
      </c>
      <c r="G287" s="84">
        <v>0.4</v>
      </c>
      <c r="H287" s="76"/>
      <c r="I287" s="76"/>
      <c r="J287" s="46">
        <f>IF(H287="NEW",0,3000)</f>
        <v>3000</v>
      </c>
      <c r="K287" s="314">
        <f>SUM(63750+21250)*0.4</f>
        <v>34000</v>
      </c>
      <c r="L287" s="76"/>
      <c r="M287" s="78">
        <f>K287*$M$4</f>
        <v>1020</v>
      </c>
      <c r="N287" s="79"/>
      <c r="O287" s="65">
        <f>P287/24</f>
        <v>1459.1666666666667</v>
      </c>
      <c r="P287" s="80">
        <f>(K287+L287+M287)</f>
        <v>35020</v>
      </c>
      <c r="Q287" s="78">
        <f>ROUND(MIN(P287,Q$4)*Q$3,2)</f>
        <v>2171.2399999999998</v>
      </c>
      <c r="R287" s="78">
        <f>ROUND(P287*$R$3,2)</f>
        <v>507.79</v>
      </c>
      <c r="S287" s="81">
        <f>ROUND(P287*0.04,2)</f>
        <v>1400.8</v>
      </c>
      <c r="T287" s="78">
        <f>IF(H287="new",ROUND(MIN(P287,$T$4)*$T$3*G287*2,2),ROUND(MIN(P287,$T$4)*$T$3*G287,2))</f>
        <v>210</v>
      </c>
      <c r="U287" s="78">
        <f>IF(H287="new",ROUND(MIN(P287,$U$4)*$U$3*G287*2,2),ROUND(MIN(P287,$U$4)*$U$3*G287,2))</f>
        <v>438.4</v>
      </c>
      <c r="V287" s="79">
        <f>SUM(Q287:U287)</f>
        <v>4728.2299999999996</v>
      </c>
      <c r="W287" s="68">
        <f>P287*$W$3</f>
        <v>5344.0520000000006</v>
      </c>
      <c r="X287" s="78">
        <f>IF(I287="x",0,IF(H287="new",ROUND(X$4*12*0.9*G287,2),ROUND(X$4*12*G287,2)))</f>
        <v>0</v>
      </c>
      <c r="Y287" s="78">
        <f>IF(I287="x",0,IF(H287="new",ROUND(Y$4*12*0.9*G287,2),ROUND(Y$4*12*G287,2)))</f>
        <v>0</v>
      </c>
      <c r="Z287" s="78">
        <f>ROUND((Z$3*(MIN(P287,10000)/1000))+((P287/1000)*(Z$4)),2)</f>
        <v>0</v>
      </c>
      <c r="AA287" s="79">
        <f>+W287</f>
        <v>5344.0520000000006</v>
      </c>
      <c r="AB287" s="82">
        <f>41.56*20*G287</f>
        <v>332.48</v>
      </c>
      <c r="AC287" s="70"/>
    </row>
    <row r="288" spans="1:29" s="142" customFormat="1" ht="13.5" thickBot="1" x14ac:dyDescent="0.25">
      <c r="B288" s="142">
        <v>3000</v>
      </c>
      <c r="D288" s="155"/>
      <c r="E288" s="115" t="s">
        <v>1338</v>
      </c>
      <c r="F288" s="115"/>
      <c r="G288" s="152"/>
      <c r="H288" s="118"/>
      <c r="I288" s="118"/>
      <c r="J288" s="119"/>
      <c r="K288" s="118"/>
      <c r="L288" s="346"/>
      <c r="M288" s="121"/>
      <c r="N288" s="121"/>
      <c r="O288" s="156"/>
      <c r="P288" s="129"/>
      <c r="Q288" s="123"/>
      <c r="R288" s="123"/>
      <c r="S288" s="118"/>
      <c r="T288" s="118"/>
      <c r="U288" s="118"/>
      <c r="V288" s="124"/>
      <c r="W288" s="118"/>
      <c r="X288" s="118"/>
      <c r="Y288" s="118"/>
      <c r="Z288" s="118"/>
      <c r="AA288" s="118"/>
      <c r="AB288" s="125"/>
      <c r="AC288" s="70"/>
    </row>
    <row r="289" spans="1:35" s="142" customFormat="1" ht="13.5" thickBot="1" x14ac:dyDescent="0.25">
      <c r="B289" s="126">
        <f>SUM(B286:B288)</f>
        <v>3000</v>
      </c>
      <c r="C289" s="126"/>
      <c r="D289" s="155"/>
      <c r="E289" s="127" t="s">
        <v>1408</v>
      </c>
      <c r="F289" s="128"/>
      <c r="G289" s="128"/>
      <c r="H289" s="129"/>
      <c r="I289" s="353"/>
      <c r="J289" s="354"/>
      <c r="K289" s="129"/>
      <c r="L289" s="129">
        <f>SUM(L286:L288)</f>
        <v>0</v>
      </c>
      <c r="M289" s="129"/>
      <c r="N289" s="129"/>
      <c r="O289" s="153"/>
      <c r="P289" s="132">
        <f t="shared" ref="P289:AB289" si="109">SUM(P286:P288)</f>
        <v>87550</v>
      </c>
      <c r="Q289" s="129">
        <f t="shared" si="109"/>
        <v>5428.1</v>
      </c>
      <c r="R289" s="129">
        <f t="shared" si="109"/>
        <v>1269.48</v>
      </c>
      <c r="S289" s="129">
        <f t="shared" si="109"/>
        <v>3502</v>
      </c>
      <c r="T289" s="129">
        <f t="shared" si="109"/>
        <v>525</v>
      </c>
      <c r="U289" s="129">
        <f t="shared" si="109"/>
        <v>1096</v>
      </c>
      <c r="V289" s="129">
        <f t="shared" si="109"/>
        <v>11820.58</v>
      </c>
      <c r="W289" s="129">
        <f t="shared" si="109"/>
        <v>13360.130000000001</v>
      </c>
      <c r="X289" s="133">
        <f t="shared" si="109"/>
        <v>0</v>
      </c>
      <c r="Y289" s="129">
        <f t="shared" si="109"/>
        <v>0</v>
      </c>
      <c r="Z289" s="129">
        <f t="shared" si="109"/>
        <v>0</v>
      </c>
      <c r="AA289" s="129">
        <f t="shared" si="109"/>
        <v>13360.130000000001</v>
      </c>
      <c r="AB289" s="134">
        <f t="shared" si="109"/>
        <v>831.2</v>
      </c>
      <c r="AC289" s="70"/>
    </row>
    <row r="290" spans="1:35" s="142" customFormat="1" ht="16.5" customHeight="1" x14ac:dyDescent="0.2">
      <c r="E290" s="147"/>
      <c r="F290" s="148"/>
      <c r="G290" s="148"/>
      <c r="H290" s="111"/>
      <c r="I290" s="111"/>
      <c r="J290" s="154"/>
      <c r="K290" s="111"/>
      <c r="L290" s="111"/>
      <c r="M290" s="111"/>
      <c r="N290" s="111"/>
      <c r="O290" s="149"/>
      <c r="P290" s="111"/>
      <c r="Q290" s="111"/>
      <c r="R290" s="111"/>
      <c r="S290" s="111"/>
      <c r="T290" s="111"/>
      <c r="U290" s="111"/>
      <c r="V290" s="111"/>
      <c r="W290" s="111"/>
      <c r="X290" s="111"/>
      <c r="Y290" s="111"/>
      <c r="Z290" s="111"/>
      <c r="AA290" s="111"/>
      <c r="AB290" s="111"/>
      <c r="AC290" s="70"/>
    </row>
    <row r="291" spans="1:35" s="142" customFormat="1" ht="13.5" thickBot="1" x14ac:dyDescent="0.25">
      <c r="E291" s="147"/>
      <c r="F291" s="148"/>
      <c r="G291" s="148"/>
      <c r="H291" s="111"/>
      <c r="I291" s="111"/>
      <c r="J291" s="154"/>
      <c r="K291" s="111"/>
      <c r="L291" s="111"/>
      <c r="M291" s="111"/>
      <c r="N291" s="111"/>
      <c r="O291" s="149"/>
      <c r="P291" s="111"/>
      <c r="Q291" s="111"/>
      <c r="R291" s="111"/>
      <c r="S291" s="111"/>
      <c r="T291" s="111"/>
      <c r="U291" s="111"/>
      <c r="V291" s="111"/>
      <c r="W291" s="129"/>
      <c r="X291" s="111"/>
      <c r="Y291" s="111"/>
      <c r="Z291" s="111"/>
      <c r="AA291" s="111"/>
      <c r="AB291" s="111"/>
      <c r="AC291" s="70"/>
    </row>
    <row r="292" spans="1:35" s="142" customFormat="1" x14ac:dyDescent="0.2">
      <c r="B292" s="142">
        <v>44151</v>
      </c>
      <c r="C292" s="142" t="s">
        <v>1409</v>
      </c>
      <c r="D292" s="56"/>
      <c r="E292" s="57" t="s">
        <v>1410</v>
      </c>
      <c r="F292" s="223" t="s">
        <v>1411</v>
      </c>
      <c r="G292" s="59">
        <v>1</v>
      </c>
      <c r="H292" s="60"/>
      <c r="I292" s="60"/>
      <c r="J292" s="61">
        <f>IF(H292="NEW",0,3000)</f>
        <v>3000</v>
      </c>
      <c r="K292" s="323">
        <v>52530</v>
      </c>
      <c r="L292" s="60"/>
      <c r="M292" s="63">
        <f>+K292*$M$4</f>
        <v>1575.8999999999999</v>
      </c>
      <c r="N292" s="64"/>
      <c r="O292" s="139">
        <f>P292/24</f>
        <v>2254.4124999999999</v>
      </c>
      <c r="P292" s="66">
        <f>G292*(K292+L292+M292)</f>
        <v>54105.9</v>
      </c>
      <c r="Q292" s="63">
        <f>ROUND(MIN(P292,Q$4)*Q$3,2)</f>
        <v>3354.57</v>
      </c>
      <c r="R292" s="63">
        <f>ROUND(P292*$R$3,2)</f>
        <v>784.54</v>
      </c>
      <c r="S292" s="67">
        <f t="shared" ref="S292:S300" si="110">ROUND(P292*0.04,2)</f>
        <v>2164.2399999999998</v>
      </c>
      <c r="T292" s="63">
        <f>IF(H292="new",ROUND(MIN(P292,$T$4)*$T$3*G292*2,2),ROUND(MIN(P292,$T$4)*$T$3*G292,2))</f>
        <v>525</v>
      </c>
      <c r="U292" s="63">
        <f>IF(H292="new",ROUND(MIN(P292,$U$4)*$U$3*G292*2,2),ROUND(MIN(P292,$U$4)*$U$3*G292,2))</f>
        <v>1096</v>
      </c>
      <c r="V292" s="64">
        <f>SUM(Q292:U292)</f>
        <v>7924.35</v>
      </c>
      <c r="W292" s="68">
        <f t="shared" ref="W292:W300" si="111">P292*$W$3</f>
        <v>8256.5603400000018</v>
      </c>
      <c r="X292" s="63">
        <f>IF(I292="x",0,IF(H292="new",ROUND(X$4*12*0.9*G292,2),ROUND(X$4*12*G292,2)))</f>
        <v>0</v>
      </c>
      <c r="Y292" s="63">
        <f>IF(I292="x",0,IF(H292="new",ROUND(Y$4*12*0.9*G292,2),ROUND(Y$4*12*G292,2)))</f>
        <v>0</v>
      </c>
      <c r="Z292" s="63">
        <f>ROUND((Z$3*(MIN(P292,10000)/1000))+((P292/1000)*(Z$4)),2)</f>
        <v>0</v>
      </c>
      <c r="AA292" s="64">
        <f>SUM(W292:Z292)</f>
        <v>8256.5603400000018</v>
      </c>
      <c r="AB292" s="69">
        <f>157.2*20</f>
        <v>3144</v>
      </c>
      <c r="AC292" s="70"/>
      <c r="AF292" s="86"/>
      <c r="AG292" s="86"/>
    </row>
    <row r="293" spans="1:35" s="142" customFormat="1" x14ac:dyDescent="0.2">
      <c r="D293" s="71"/>
      <c r="E293" s="83" t="s">
        <v>1412</v>
      </c>
      <c r="F293" s="110" t="s">
        <v>1413</v>
      </c>
      <c r="G293" s="84">
        <v>1</v>
      </c>
      <c r="H293" s="76"/>
      <c r="I293" s="76"/>
      <c r="J293" s="313">
        <v>11</v>
      </c>
      <c r="K293" s="314">
        <f>J293*8*260</f>
        <v>22880</v>
      </c>
      <c r="L293" s="76"/>
      <c r="M293" s="78">
        <f>+K293*$M$4</f>
        <v>686.4</v>
      </c>
      <c r="N293" s="79"/>
      <c r="O293" s="65"/>
      <c r="P293" s="80">
        <f>G293*(K293+L293+M293)</f>
        <v>23566.400000000001</v>
      </c>
      <c r="Q293" s="78">
        <f t="shared" ref="Q293:AB293" si="112">AVERAGE(Q295:Q296)</f>
        <v>1635.79</v>
      </c>
      <c r="R293" s="78">
        <f t="shared" si="112"/>
        <v>382.565</v>
      </c>
      <c r="S293" s="81">
        <f t="shared" si="112"/>
        <v>1055.345</v>
      </c>
      <c r="T293" s="78">
        <f t="shared" si="112"/>
        <v>525</v>
      </c>
      <c r="U293" s="78">
        <f t="shared" ref="U293:U301" si="113">IF(H293="new",ROUND(MIN(P293,$U$4)*$U$3*G293*2,2),ROUND(MIN(P293,$U$4)*$U$3*G293,2))</f>
        <v>1096</v>
      </c>
      <c r="V293" s="79">
        <f t="shared" si="112"/>
        <v>4694.7</v>
      </c>
      <c r="W293" s="68">
        <f t="shared" si="111"/>
        <v>3596.2326400000006</v>
      </c>
      <c r="X293" s="78">
        <f t="shared" si="112"/>
        <v>0</v>
      </c>
      <c r="Y293" s="78">
        <f t="shared" si="112"/>
        <v>0</v>
      </c>
      <c r="Z293" s="78">
        <f t="shared" si="112"/>
        <v>0</v>
      </c>
      <c r="AA293" s="79">
        <f t="shared" si="112"/>
        <v>4026.1459056000003</v>
      </c>
      <c r="AB293" s="82">
        <f t="shared" si="112"/>
        <v>1616.2</v>
      </c>
      <c r="AC293" s="70"/>
      <c r="AF293" s="86"/>
      <c r="AG293" s="86"/>
    </row>
    <row r="294" spans="1:35" s="142" customFormat="1" x14ac:dyDescent="0.2">
      <c r="D294" s="71"/>
      <c r="E294" s="83" t="s">
        <v>1414</v>
      </c>
      <c r="F294" s="110" t="s">
        <v>1413</v>
      </c>
      <c r="G294" s="84">
        <v>1</v>
      </c>
      <c r="H294" s="76"/>
      <c r="I294" s="76"/>
      <c r="J294" s="313">
        <v>11</v>
      </c>
      <c r="K294" s="314">
        <f>J294*8*260</f>
        <v>22880</v>
      </c>
      <c r="L294" s="76"/>
      <c r="M294" s="78">
        <f>+K294*$M$4</f>
        <v>686.4</v>
      </c>
      <c r="N294" s="79"/>
      <c r="O294" s="65"/>
      <c r="P294" s="80">
        <f t="shared" ref="P294:P300" si="114">G294*(K294+L294+M294)</f>
        <v>23566.400000000001</v>
      </c>
      <c r="Q294" s="78">
        <f t="shared" ref="Q294:AB294" si="115">Q293</f>
        <v>1635.79</v>
      </c>
      <c r="R294" s="78">
        <f t="shared" si="115"/>
        <v>382.565</v>
      </c>
      <c r="S294" s="81">
        <f t="shared" si="115"/>
        <v>1055.345</v>
      </c>
      <c r="T294" s="78">
        <f t="shared" si="115"/>
        <v>525</v>
      </c>
      <c r="U294" s="78">
        <f t="shared" si="113"/>
        <v>1096</v>
      </c>
      <c r="V294" s="79">
        <f t="shared" si="115"/>
        <v>4694.7</v>
      </c>
      <c r="W294" s="68">
        <f t="shared" si="111"/>
        <v>3596.2326400000006</v>
      </c>
      <c r="X294" s="78">
        <f t="shared" si="115"/>
        <v>0</v>
      </c>
      <c r="Y294" s="78">
        <f t="shared" si="115"/>
        <v>0</v>
      </c>
      <c r="Z294" s="78">
        <f t="shared" si="115"/>
        <v>0</v>
      </c>
      <c r="AA294" s="79">
        <f t="shared" si="115"/>
        <v>4026.1459056000003</v>
      </c>
      <c r="AB294" s="82">
        <f t="shared" si="115"/>
        <v>1616.2</v>
      </c>
      <c r="AC294" s="70"/>
      <c r="AF294" s="86"/>
      <c r="AG294" s="86"/>
    </row>
    <row r="295" spans="1:35" x14ac:dyDescent="0.2">
      <c r="A295" s="269">
        <v>11.82</v>
      </c>
      <c r="B295" s="1">
        <v>24000</v>
      </c>
      <c r="C295" s="1" t="s">
        <v>1415</v>
      </c>
      <c r="D295" s="71"/>
      <c r="E295" s="83" t="s">
        <v>1416</v>
      </c>
      <c r="F295" s="110" t="s">
        <v>1417</v>
      </c>
      <c r="G295" s="84">
        <v>1</v>
      </c>
      <c r="H295" s="76"/>
      <c r="I295" s="76"/>
      <c r="J295" s="313">
        <v>12.17</v>
      </c>
      <c r="K295" s="314">
        <f>J295*8*260</f>
        <v>25313.599999999999</v>
      </c>
      <c r="L295" s="76"/>
      <c r="M295" s="78">
        <f>+K295*$M$4</f>
        <v>759.4079999999999</v>
      </c>
      <c r="N295" s="79"/>
      <c r="O295" s="65">
        <f>P295/24</f>
        <v>1086.3753333333332</v>
      </c>
      <c r="P295" s="80">
        <f t="shared" si="114"/>
        <v>26073.007999999998</v>
      </c>
      <c r="Q295" s="78">
        <f>ROUND(MIN(P295,Q$4)*Q$3,2)</f>
        <v>1616.53</v>
      </c>
      <c r="R295" s="78">
        <f>ROUND(P295*$R$3,2)</f>
        <v>378.06</v>
      </c>
      <c r="S295" s="81">
        <f t="shared" si="110"/>
        <v>1042.92</v>
      </c>
      <c r="T295" s="78">
        <f t="shared" ref="T295:T300" si="116">IF(H295="new",ROUND(MIN(P295,$T$4)*$T$3*G295*2,2),ROUND(MIN(P295,$T$4)*$T$3*G295,2))</f>
        <v>525</v>
      </c>
      <c r="U295" s="78">
        <f t="shared" si="113"/>
        <v>1096</v>
      </c>
      <c r="V295" s="79">
        <f t="shared" ref="V295:V301" si="117">SUM(Q295:U295)</f>
        <v>4658.51</v>
      </c>
      <c r="W295" s="68">
        <f t="shared" si="111"/>
        <v>3978.7410208000001</v>
      </c>
      <c r="X295" s="78">
        <f>IF(I295="x",0,IF(H295="new",ROUND(X$4*12*0.9*G295,2),ROUND(X$4*12*G295,2)))</f>
        <v>0</v>
      </c>
      <c r="Y295" s="78">
        <f>IF(I295="x",0,IF(H295="new",ROUND(Y$4*12*0.9*G295,2),ROUND(Y$4*12*G295,2)))</f>
        <v>0</v>
      </c>
      <c r="Z295" s="78">
        <f t="shared" ref="Z295:Z300" si="118">ROUND((Z$3*(MIN(P295,10000)/1000))+((P295/1000)*(Z$4)),2)</f>
        <v>0</v>
      </c>
      <c r="AA295" s="79">
        <f t="shared" ref="AA295:AA301" si="119">SUM(W295:Z295)</f>
        <v>3978.7410208000001</v>
      </c>
      <c r="AB295" s="82">
        <f>79.94*20</f>
        <v>1598.8</v>
      </c>
      <c r="AI295" s="55"/>
    </row>
    <row r="296" spans="1:35" x14ac:dyDescent="0.2">
      <c r="A296" s="269">
        <v>12.1</v>
      </c>
      <c r="B296" s="1">
        <v>24500</v>
      </c>
      <c r="C296" s="1" t="s">
        <v>1415</v>
      </c>
      <c r="D296" s="71"/>
      <c r="E296" s="83" t="s">
        <v>1418</v>
      </c>
      <c r="F296" s="110" t="s">
        <v>1417</v>
      </c>
      <c r="G296" s="84">
        <v>1</v>
      </c>
      <c r="H296" s="76"/>
      <c r="I296" s="76"/>
      <c r="J296" s="313">
        <v>12.46</v>
      </c>
      <c r="K296" s="314">
        <f>J296*8*260</f>
        <v>25916.800000000003</v>
      </c>
      <c r="L296" s="76"/>
      <c r="M296" s="78">
        <f>+K296*$M$4</f>
        <v>777.50400000000002</v>
      </c>
      <c r="N296" s="79"/>
      <c r="O296" s="65">
        <f>P296/24</f>
        <v>1112.2626666666667</v>
      </c>
      <c r="P296" s="80">
        <f t="shared" si="114"/>
        <v>26694.304000000004</v>
      </c>
      <c r="Q296" s="78">
        <f>ROUND(MIN(P296,Q$4)*Q$3,2)</f>
        <v>1655.05</v>
      </c>
      <c r="R296" s="78">
        <f>ROUND(P296*$R$3,2)</f>
        <v>387.07</v>
      </c>
      <c r="S296" s="81">
        <f t="shared" si="110"/>
        <v>1067.77</v>
      </c>
      <c r="T296" s="78">
        <f t="shared" si="116"/>
        <v>525</v>
      </c>
      <c r="U296" s="78">
        <f t="shared" si="113"/>
        <v>1096</v>
      </c>
      <c r="V296" s="79">
        <f t="shared" si="117"/>
        <v>4730.8899999999994</v>
      </c>
      <c r="W296" s="68">
        <f t="shared" si="111"/>
        <v>4073.550790400001</v>
      </c>
      <c r="X296" s="78">
        <f>IF(I296="x",0,IF(H296="new",ROUND(X$4*12*0.9*G296,2),ROUND(X$4*12*G296,2)))</f>
        <v>0</v>
      </c>
      <c r="Y296" s="78">
        <f>IF(I296="x",0,IF(H296="new",ROUND(Y$4*12*0.9*G296,2),ROUND(Y$4*12*G296,2)))</f>
        <v>0</v>
      </c>
      <c r="Z296" s="78">
        <f t="shared" si="118"/>
        <v>0</v>
      </c>
      <c r="AA296" s="79">
        <f t="shared" si="119"/>
        <v>4073.550790400001</v>
      </c>
      <c r="AB296" s="82">
        <f>81.68*20</f>
        <v>1633.6000000000001</v>
      </c>
    </row>
    <row r="297" spans="1:35" x14ac:dyDescent="0.2">
      <c r="A297" s="269">
        <v>13</v>
      </c>
      <c r="B297" s="142">
        <v>15000</v>
      </c>
      <c r="C297" s="142" t="s">
        <v>1285</v>
      </c>
      <c r="D297" s="71"/>
      <c r="E297" s="83" t="s">
        <v>1419</v>
      </c>
      <c r="F297" s="365" t="s">
        <v>1420</v>
      </c>
      <c r="G297" s="84">
        <v>1</v>
      </c>
      <c r="H297" s="76"/>
      <c r="I297" s="76"/>
      <c r="J297" s="313">
        <v>12.39</v>
      </c>
      <c r="K297" s="85">
        <f>J297*8*188</f>
        <v>18634.560000000001</v>
      </c>
      <c r="L297" s="76"/>
      <c r="M297" s="78">
        <f>K297*$M$4</f>
        <v>559.03679999999997</v>
      </c>
      <c r="N297" s="79"/>
      <c r="O297" s="65"/>
      <c r="P297" s="80">
        <f t="shared" si="114"/>
        <v>19193.596800000003</v>
      </c>
      <c r="Q297" s="78">
        <f>MIN(P297,$Q$4)*$Q$3</f>
        <v>1190.0030016000003</v>
      </c>
      <c r="R297" s="78">
        <f>P297*$R$3</f>
        <v>278.30715360000005</v>
      </c>
      <c r="S297" s="81">
        <f t="shared" si="110"/>
        <v>767.74</v>
      </c>
      <c r="T297" s="78">
        <f t="shared" si="116"/>
        <v>525</v>
      </c>
      <c r="U297" s="78">
        <f t="shared" si="113"/>
        <v>1096</v>
      </c>
      <c r="V297" s="79">
        <f t="shared" si="117"/>
        <v>3857.0501552000005</v>
      </c>
      <c r="W297" s="68">
        <f t="shared" si="111"/>
        <v>2928.9428716800007</v>
      </c>
      <c r="X297" s="78">
        <v>0</v>
      </c>
      <c r="Y297" s="78">
        <v>0</v>
      </c>
      <c r="Z297" s="78">
        <f t="shared" si="118"/>
        <v>0</v>
      </c>
      <c r="AA297" s="79">
        <f t="shared" si="119"/>
        <v>2928.9428716800007</v>
      </c>
      <c r="AB297" s="82">
        <f>6.97*22</f>
        <v>153.34</v>
      </c>
      <c r="AC297" s="70"/>
      <c r="AD297" s="87">
        <f>P297+V297+AA297+AB297</f>
        <v>26132.929826880005</v>
      </c>
      <c r="AE297" s="87">
        <f>AD297</f>
        <v>26132.929826880005</v>
      </c>
    </row>
    <row r="298" spans="1:35" x14ac:dyDescent="0.2">
      <c r="A298" s="287">
        <v>10.199999999999999</v>
      </c>
      <c r="B298" s="142">
        <v>9500</v>
      </c>
      <c r="C298" s="142" t="s">
        <v>1285</v>
      </c>
      <c r="D298" s="71"/>
      <c r="E298" s="83" t="s">
        <v>1421</v>
      </c>
      <c r="F298" s="110" t="s">
        <v>1422</v>
      </c>
      <c r="G298" s="84">
        <v>1</v>
      </c>
      <c r="H298" s="76"/>
      <c r="I298" s="76"/>
      <c r="J298" s="313">
        <v>11</v>
      </c>
      <c r="K298" s="85">
        <f>J298*5*188</f>
        <v>10340</v>
      </c>
      <c r="L298" s="76"/>
      <c r="M298" s="78">
        <f>K298*$M$4</f>
        <v>310.2</v>
      </c>
      <c r="N298" s="79"/>
      <c r="O298" s="65">
        <f>P298/24</f>
        <v>443.75833333333338</v>
      </c>
      <c r="P298" s="80">
        <f t="shared" si="114"/>
        <v>10650.2</v>
      </c>
      <c r="Q298" s="78">
        <f>MIN(P298,$Q$4)*$Q$3</f>
        <v>660.31240000000003</v>
      </c>
      <c r="R298" s="78">
        <f>P298*$R$3</f>
        <v>154.42790000000002</v>
      </c>
      <c r="S298" s="81">
        <f t="shared" si="110"/>
        <v>426.01</v>
      </c>
      <c r="T298" s="78">
        <f t="shared" si="116"/>
        <v>525</v>
      </c>
      <c r="U298" s="78">
        <f t="shared" si="113"/>
        <v>852.02</v>
      </c>
      <c r="V298" s="79">
        <f t="shared" si="117"/>
        <v>2617.7703000000001</v>
      </c>
      <c r="W298" s="68">
        <f t="shared" si="111"/>
        <v>1625.2205200000003</v>
      </c>
      <c r="X298" s="78">
        <v>0</v>
      </c>
      <c r="Y298" s="78">
        <v>0</v>
      </c>
      <c r="Z298" s="78">
        <f t="shared" si="118"/>
        <v>0</v>
      </c>
      <c r="AA298" s="79">
        <f t="shared" si="119"/>
        <v>1625.2205200000003</v>
      </c>
      <c r="AB298" s="82">
        <f>24.89*20</f>
        <v>497.8</v>
      </c>
      <c r="AC298" s="70"/>
      <c r="AD298" s="87">
        <f>P298+V298+AA298+AB298</f>
        <v>15390.990820000001</v>
      </c>
      <c r="AE298" s="87">
        <f>AD298</f>
        <v>15390.990820000001</v>
      </c>
    </row>
    <row r="299" spans="1:35" x14ac:dyDescent="0.2">
      <c r="A299" s="269">
        <v>13</v>
      </c>
      <c r="B299" s="142">
        <v>15000</v>
      </c>
      <c r="C299" s="142" t="s">
        <v>1285</v>
      </c>
      <c r="D299" s="71"/>
      <c r="E299" s="83" t="s">
        <v>1423</v>
      </c>
      <c r="F299" s="110" t="s">
        <v>1424</v>
      </c>
      <c r="G299" s="84">
        <v>1</v>
      </c>
      <c r="H299" s="76"/>
      <c r="I299" s="76"/>
      <c r="J299" s="313">
        <v>10.51</v>
      </c>
      <c r="K299" s="85">
        <f>J299*5*188</f>
        <v>9879.4</v>
      </c>
      <c r="L299" s="76"/>
      <c r="M299" s="78">
        <f>K299*$M$4</f>
        <v>296.38200000000001</v>
      </c>
      <c r="N299" s="79"/>
      <c r="O299" s="65">
        <f>P299/24</f>
        <v>423.99091666666664</v>
      </c>
      <c r="P299" s="80">
        <f t="shared" si="114"/>
        <v>10175.781999999999</v>
      </c>
      <c r="Q299" s="78">
        <f>MIN(P299,$Q$4)*$Q$3</f>
        <v>630.89848399999994</v>
      </c>
      <c r="R299" s="78">
        <f>P299*$R$3</f>
        <v>147.54883899999999</v>
      </c>
      <c r="S299" s="81">
        <f t="shared" si="110"/>
        <v>407.03</v>
      </c>
      <c r="T299" s="78">
        <f t="shared" si="116"/>
        <v>525</v>
      </c>
      <c r="U299" s="78">
        <f t="shared" si="113"/>
        <v>814.06</v>
      </c>
      <c r="V299" s="79">
        <f t="shared" si="117"/>
        <v>2524.5373229999996</v>
      </c>
      <c r="W299" s="68">
        <f t="shared" si="111"/>
        <v>1552.8243332</v>
      </c>
      <c r="X299" s="78">
        <v>0</v>
      </c>
      <c r="Y299" s="78">
        <v>0</v>
      </c>
      <c r="Z299" s="78">
        <f t="shared" si="118"/>
        <v>0</v>
      </c>
      <c r="AA299" s="79">
        <f t="shared" si="119"/>
        <v>1552.8243332</v>
      </c>
      <c r="AB299" s="82">
        <f>24.89*20</f>
        <v>497.8</v>
      </c>
      <c r="AC299" s="70"/>
      <c r="AD299" s="87">
        <f>P299+V299+AA299+AB299</f>
        <v>14750.943656199999</v>
      </c>
      <c r="AE299" s="87">
        <f>AD299</f>
        <v>14750.943656199999</v>
      </c>
    </row>
    <row r="300" spans="1:35" x14ac:dyDescent="0.2">
      <c r="A300" s="287">
        <v>10.5</v>
      </c>
      <c r="B300" s="142">
        <v>15656</v>
      </c>
      <c r="C300" s="142" t="s">
        <v>1425</v>
      </c>
      <c r="D300" s="71"/>
      <c r="E300" s="83" t="s">
        <v>1426</v>
      </c>
      <c r="F300" s="365" t="s">
        <v>1422</v>
      </c>
      <c r="G300" s="84">
        <v>1</v>
      </c>
      <c r="H300" s="76"/>
      <c r="I300" s="76"/>
      <c r="J300" s="313">
        <v>13</v>
      </c>
      <c r="K300" s="85">
        <f>J300*8*188</f>
        <v>19552</v>
      </c>
      <c r="L300" s="76"/>
      <c r="M300" s="78">
        <f>K300*$M$4</f>
        <v>586.55999999999995</v>
      </c>
      <c r="N300" s="79"/>
      <c r="O300" s="65"/>
      <c r="P300" s="80">
        <f t="shared" si="114"/>
        <v>20138.560000000001</v>
      </c>
      <c r="Q300" s="78">
        <f>MIN(P300,$Q$4)*$Q$3</f>
        <v>1248.5907200000001</v>
      </c>
      <c r="R300" s="78">
        <f>P300*$R$3</f>
        <v>292.00912000000005</v>
      </c>
      <c r="S300" s="81">
        <f t="shared" si="110"/>
        <v>805.54</v>
      </c>
      <c r="T300" s="78">
        <f t="shared" si="116"/>
        <v>525</v>
      </c>
      <c r="U300" s="78">
        <f t="shared" si="113"/>
        <v>1096</v>
      </c>
      <c r="V300" s="79">
        <f t="shared" si="117"/>
        <v>3967.1398400000003</v>
      </c>
      <c r="W300" s="68">
        <f t="shared" si="111"/>
        <v>3073.1442560000005</v>
      </c>
      <c r="X300" s="78">
        <v>0</v>
      </c>
      <c r="Y300" s="78">
        <v>0</v>
      </c>
      <c r="Z300" s="78">
        <f t="shared" si="118"/>
        <v>0</v>
      </c>
      <c r="AA300" s="79">
        <f t="shared" si="119"/>
        <v>3073.1442560000005</v>
      </c>
      <c r="AB300" s="82">
        <f>6.97*22</f>
        <v>153.34</v>
      </c>
      <c r="AC300" s="70"/>
      <c r="AD300" s="87">
        <f>P300+V300+AA300+AB300</f>
        <v>27332.184096000001</v>
      </c>
      <c r="AE300" s="87">
        <f>AD300</f>
        <v>27332.184096000001</v>
      </c>
    </row>
    <row r="301" spans="1:35" ht="13.5" thickBot="1" x14ac:dyDescent="0.25">
      <c r="B301" s="142">
        <v>3000</v>
      </c>
      <c r="C301" s="142"/>
      <c r="D301" s="155"/>
      <c r="E301" s="116" t="s">
        <v>1338</v>
      </c>
      <c r="F301" s="115"/>
      <c r="G301" s="152"/>
      <c r="H301" s="118"/>
      <c r="I301" s="118"/>
      <c r="J301" s="119">
        <f>J292</f>
        <v>3000</v>
      </c>
      <c r="K301" s="120">
        <f>J301</f>
        <v>3000</v>
      </c>
      <c r="L301" s="346"/>
      <c r="M301" s="121"/>
      <c r="N301" s="121"/>
      <c r="O301" s="156"/>
      <c r="P301" s="122">
        <f>K301</f>
        <v>3000</v>
      </c>
      <c r="Q301" s="123">
        <f>ROUND(MIN(P301,Q$4)*Q$3,2)</f>
        <v>186</v>
      </c>
      <c r="R301" s="123">
        <f>ROUND(P301*$R$3,2)</f>
        <v>43.5</v>
      </c>
      <c r="S301" s="123">
        <v>0</v>
      </c>
      <c r="T301" s="123">
        <v>0</v>
      </c>
      <c r="U301" s="123">
        <f t="shared" si="113"/>
        <v>0</v>
      </c>
      <c r="V301" s="124">
        <f t="shared" si="117"/>
        <v>229.5</v>
      </c>
      <c r="W301" s="123">
        <v>0</v>
      </c>
      <c r="X301" s="123">
        <v>0</v>
      </c>
      <c r="Y301" s="123">
        <v>0</v>
      </c>
      <c r="Z301" s="123">
        <v>0</v>
      </c>
      <c r="AA301" s="124">
        <f t="shared" si="119"/>
        <v>0</v>
      </c>
      <c r="AB301" s="125">
        <v>0</v>
      </c>
    </row>
    <row r="302" spans="1:35" ht="13.5" thickBot="1" x14ac:dyDescent="0.25">
      <c r="B302" s="126">
        <f>SUM(B292:B301)</f>
        <v>150807</v>
      </c>
      <c r="C302" s="126"/>
      <c r="D302" s="155"/>
      <c r="E302" s="127" t="s">
        <v>1427</v>
      </c>
      <c r="F302" s="128"/>
      <c r="G302" s="128"/>
      <c r="H302" s="129"/>
      <c r="I302" s="353"/>
      <c r="J302" s="354"/>
      <c r="K302" s="129"/>
      <c r="L302" s="129">
        <f>SUM(L292:L301)</f>
        <v>0</v>
      </c>
      <c r="M302" s="129"/>
      <c r="N302" s="129"/>
      <c r="O302" s="153"/>
      <c r="P302" s="132">
        <f t="shared" ref="P302:AB302" si="120">SUM(P292:P301)</f>
        <v>217164.15080000003</v>
      </c>
      <c r="Q302" s="129">
        <f t="shared" si="120"/>
        <v>13813.5346056</v>
      </c>
      <c r="R302" s="129">
        <f t="shared" si="120"/>
        <v>3230.5930126000007</v>
      </c>
      <c r="S302" s="129">
        <f t="shared" si="120"/>
        <v>8791.94</v>
      </c>
      <c r="T302" s="129">
        <f t="shared" si="120"/>
        <v>4725</v>
      </c>
      <c r="U302" s="129">
        <f t="shared" si="120"/>
        <v>9338.08</v>
      </c>
      <c r="V302" s="129">
        <f t="shared" si="120"/>
        <v>39899.147618200004</v>
      </c>
      <c r="W302" s="129">
        <f t="shared" si="120"/>
        <v>32681.449412079997</v>
      </c>
      <c r="X302" s="133">
        <f t="shared" si="120"/>
        <v>0</v>
      </c>
      <c r="Y302" s="129">
        <f t="shared" si="120"/>
        <v>0</v>
      </c>
      <c r="Z302" s="129">
        <f t="shared" si="120"/>
        <v>0</v>
      </c>
      <c r="AA302" s="129">
        <f t="shared" si="120"/>
        <v>33541.275943280001</v>
      </c>
      <c r="AB302" s="134">
        <f t="shared" si="120"/>
        <v>10911.079999999998</v>
      </c>
    </row>
    <row r="303" spans="1:35" x14ac:dyDescent="0.2">
      <c r="B303" s="87">
        <f>(P302-B302)</f>
        <v>66357.150800000032</v>
      </c>
      <c r="C303" s="87"/>
      <c r="D303" s="227"/>
      <c r="E303" s="110"/>
      <c r="F303" s="110"/>
      <c r="G303" s="158"/>
      <c r="H303" s="76"/>
      <c r="I303" s="76"/>
      <c r="J303" s="46"/>
      <c r="K303" s="350"/>
      <c r="L303" s="350"/>
      <c r="M303" s="363"/>
      <c r="N303" s="363"/>
      <c r="O303" s="352"/>
      <c r="P303" s="166"/>
      <c r="Q303" s="160"/>
      <c r="R303" s="160"/>
      <c r="S303" s="160"/>
      <c r="T303" s="160"/>
      <c r="U303" s="160"/>
      <c r="V303" s="161"/>
      <c r="W303" s="160"/>
      <c r="X303" s="160"/>
      <c r="Y303" s="160"/>
      <c r="Z303" s="160"/>
      <c r="AA303" s="161"/>
      <c r="AB303" s="161"/>
    </row>
    <row r="304" spans="1:35" s="142" customFormat="1" ht="13.5" thickBot="1" x14ac:dyDescent="0.25">
      <c r="E304" s="116"/>
      <c r="F304" s="115"/>
      <c r="G304" s="148"/>
      <c r="H304" s="111"/>
      <c r="I304" s="111"/>
      <c r="J304" s="154"/>
      <c r="K304" s="111"/>
      <c r="L304" s="111"/>
      <c r="M304" s="111"/>
      <c r="N304" s="111"/>
      <c r="O304" s="149"/>
      <c r="P304" s="111"/>
      <c r="Q304" s="111"/>
      <c r="R304" s="111"/>
      <c r="S304" s="111"/>
      <c r="T304" s="111"/>
      <c r="U304" s="111"/>
      <c r="V304" s="111"/>
      <c r="W304" s="129"/>
      <c r="X304" s="111"/>
      <c r="Y304" s="111"/>
      <c r="Z304" s="111"/>
      <c r="AA304" s="111"/>
      <c r="AB304" s="111"/>
      <c r="AC304" s="70"/>
    </row>
    <row r="305" spans="2:39" s="157" customFormat="1" ht="13.5" thickBot="1" x14ac:dyDescent="0.25">
      <c r="B305" s="366">
        <f>SUM(B45,B68,B103,B110,B118,B125,B141,B146,B160,B167,B179,B188,B193,B204,B212,B223,B233,B243,B252,B260,B267,B273,B283,B302)</f>
        <v>2869144.42</v>
      </c>
      <c r="C305" s="366"/>
      <c r="D305" s="367"/>
      <c r="E305" s="127" t="s">
        <v>1428</v>
      </c>
      <c r="F305" s="128"/>
      <c r="G305" s="368"/>
      <c r="H305" s="292"/>
      <c r="I305" s="292"/>
      <c r="J305" s="293"/>
      <c r="K305" s="292"/>
      <c r="L305" s="292">
        <f>L45+L68+L103+L110+L118+L125+L141+L146+L160+L179+L188+L193+L204+L212+PL130252+L252+L260+L267+L273+L283+L302+L223+L167</f>
        <v>0</v>
      </c>
      <c r="M305" s="292"/>
      <c r="N305" s="292"/>
      <c r="O305" s="131"/>
      <c r="P305" s="294">
        <f t="shared" ref="P305:AB305" si="121">P45+P68+P103+P110+P118+P125+P141+P146+P160+P179+P188+P193+P204+P212+PP130252+P252+P260+P267+P273+P283+P302+P223+P167+P289+P243+P233+P86</f>
        <v>4306447.1787141068</v>
      </c>
      <c r="Q305" s="292">
        <f t="shared" si="121"/>
        <v>265385.18003559997</v>
      </c>
      <c r="R305" s="292">
        <f t="shared" si="121"/>
        <v>62366.114605100011</v>
      </c>
      <c r="S305" s="292">
        <f t="shared" si="121"/>
        <v>161897.01</v>
      </c>
      <c r="T305" s="292">
        <f t="shared" si="121"/>
        <v>64279.37</v>
      </c>
      <c r="U305" s="292">
        <f t="shared" si="121"/>
        <v>130578.54999999999</v>
      </c>
      <c r="V305" s="292">
        <f t="shared" si="121"/>
        <v>684213.49464069982</v>
      </c>
      <c r="W305" s="292">
        <f t="shared" si="121"/>
        <v>598407.18289046083</v>
      </c>
      <c r="X305" s="292">
        <f t="shared" si="121"/>
        <v>0</v>
      </c>
      <c r="Y305" s="292">
        <f t="shared" si="121"/>
        <v>0</v>
      </c>
      <c r="Z305" s="292">
        <f t="shared" si="121"/>
        <v>0</v>
      </c>
      <c r="AA305" s="292">
        <f t="shared" si="121"/>
        <v>597511.52477686096</v>
      </c>
      <c r="AB305" s="296">
        <f t="shared" si="121"/>
        <v>57918.11</v>
      </c>
      <c r="AC305" s="369">
        <f>SUM(P305:AB305)</f>
        <v>6929003.7156628277</v>
      </c>
      <c r="AD305" s="1"/>
      <c r="AE305" s="1"/>
      <c r="AF305" s="1"/>
      <c r="AG305" s="1"/>
      <c r="AH305" s="1"/>
      <c r="AI305" s="1"/>
      <c r="AJ305" s="1"/>
      <c r="AK305" s="1"/>
      <c r="AL305" s="1"/>
      <c r="AM305" s="1"/>
    </row>
    <row r="306" spans="2:39" s="157" customFormat="1" x14ac:dyDescent="0.2">
      <c r="B306" s="370">
        <f>(P305-B305)</f>
        <v>1437302.7587141069</v>
      </c>
      <c r="C306" s="370"/>
      <c r="E306" s="349"/>
      <c r="F306" s="349"/>
      <c r="G306" s="349"/>
      <c r="H306" s="159"/>
      <c r="I306" s="159"/>
      <c r="J306" s="229"/>
      <c r="K306" s="371"/>
      <c r="L306" s="371"/>
      <c r="M306" s="372"/>
      <c r="N306" s="372"/>
      <c r="O306" s="373"/>
      <c r="P306" s="371"/>
      <c r="Q306" s="372"/>
      <c r="R306" s="372"/>
      <c r="S306" s="372"/>
      <c r="T306" s="374"/>
      <c r="U306" s="374"/>
      <c r="V306" s="375"/>
      <c r="W306" s="374"/>
      <c r="X306" s="372"/>
      <c r="Y306" s="372"/>
      <c r="Z306" s="372"/>
      <c r="AA306" s="372"/>
      <c r="AB306" s="372"/>
      <c r="AC306" s="317"/>
      <c r="AD306" s="1"/>
      <c r="AE306" s="1"/>
      <c r="AF306" s="1"/>
      <c r="AG306" s="1"/>
      <c r="AH306" s="1"/>
      <c r="AI306" s="1"/>
      <c r="AJ306" s="1"/>
      <c r="AK306" s="1"/>
      <c r="AL306" s="1"/>
      <c r="AM306" s="1"/>
    </row>
    <row r="307" spans="2:39" s="157" customFormat="1" x14ac:dyDescent="0.2">
      <c r="E307" s="349"/>
      <c r="F307" s="349"/>
      <c r="G307" s="349"/>
      <c r="H307" s="159"/>
      <c r="I307" s="159"/>
      <c r="J307" s="229"/>
      <c r="K307" s="371"/>
      <c r="L307" s="371"/>
      <c r="M307" s="372"/>
      <c r="N307" s="372"/>
      <c r="O307" s="373"/>
      <c r="P307" s="371">
        <f>2355794-P305</f>
        <v>-1950653.1787141068</v>
      </c>
      <c r="Q307" s="372"/>
      <c r="R307" s="372"/>
      <c r="S307" s="372"/>
      <c r="T307" s="376"/>
      <c r="U307" s="377"/>
      <c r="V307" s="377"/>
      <c r="W307" s="378"/>
      <c r="X307" s="378"/>
      <c r="Y307" s="378"/>
      <c r="Z307" s="378"/>
      <c r="AA307" s="378"/>
      <c r="AB307" s="372"/>
      <c r="AC307" s="317"/>
      <c r="AD307" s="1"/>
      <c r="AE307" s="1"/>
      <c r="AF307" s="1"/>
      <c r="AG307" s="1"/>
      <c r="AH307" s="1"/>
      <c r="AI307" s="1"/>
      <c r="AJ307" s="1"/>
      <c r="AK307" s="1"/>
      <c r="AL307" s="1"/>
      <c r="AM307" s="1"/>
    </row>
    <row r="308" spans="2:39" s="157" customFormat="1" x14ac:dyDescent="0.2">
      <c r="E308" s="349"/>
      <c r="F308" s="349"/>
      <c r="G308" s="349"/>
      <c r="H308" s="159"/>
      <c r="I308" s="159"/>
      <c r="J308" s="229"/>
      <c r="K308" s="379"/>
      <c r="L308" s="380"/>
      <c r="M308" s="381" t="s">
        <v>1429</v>
      </c>
      <c r="N308" s="381"/>
      <c r="O308" s="382"/>
      <c r="P308" s="371">
        <f t="shared" ref="P308:AB308" si="122">+P305-P204</f>
        <v>4274836.4787141066</v>
      </c>
      <c r="Q308" s="372">
        <f t="shared" si="122"/>
        <v>263425.3166356</v>
      </c>
      <c r="R308" s="372">
        <f t="shared" si="122"/>
        <v>61907.759455100007</v>
      </c>
      <c r="S308" s="372">
        <f t="shared" si="122"/>
        <v>160632.56</v>
      </c>
      <c r="T308" s="372">
        <f t="shared" si="122"/>
        <v>62432.05</v>
      </c>
      <c r="U308" s="372">
        <f t="shared" si="122"/>
        <v>128447.46999999999</v>
      </c>
      <c r="V308" s="372">
        <f t="shared" si="122"/>
        <v>676552.42609069985</v>
      </c>
      <c r="W308" s="372">
        <f t="shared" si="122"/>
        <v>593583.39007046085</v>
      </c>
      <c r="X308" s="372">
        <f t="shared" si="122"/>
        <v>0</v>
      </c>
      <c r="Y308" s="372">
        <f t="shared" si="122"/>
        <v>0</v>
      </c>
      <c r="Z308" s="372">
        <f t="shared" si="122"/>
        <v>0</v>
      </c>
      <c r="AA308" s="372">
        <f t="shared" si="122"/>
        <v>592687.73195686098</v>
      </c>
      <c r="AB308" s="372">
        <f t="shared" si="122"/>
        <v>55958.51</v>
      </c>
      <c r="AC308" s="317"/>
      <c r="AD308" s="1"/>
      <c r="AE308" s="1"/>
      <c r="AF308" s="1"/>
      <c r="AG308" s="1"/>
      <c r="AH308" s="1"/>
      <c r="AI308" s="1"/>
      <c r="AJ308" s="1"/>
      <c r="AK308" s="1"/>
      <c r="AL308" s="1"/>
      <c r="AM308" s="1"/>
    </row>
    <row r="309" spans="2:39" s="157" customFormat="1" x14ac:dyDescent="0.2">
      <c r="D309" s="1"/>
      <c r="E309" s="44"/>
      <c r="F309" s="44"/>
      <c r="G309" s="44"/>
      <c r="H309" s="383"/>
      <c r="I309" s="383"/>
      <c r="J309" s="229"/>
      <c r="K309" s="380"/>
      <c r="L309" s="380"/>
      <c r="M309" s="381"/>
      <c r="N309" s="381"/>
      <c r="O309" s="382"/>
      <c r="P309" s="371"/>
      <c r="Q309" s="372"/>
      <c r="R309" s="372"/>
      <c r="S309" s="372"/>
      <c r="T309" s="372"/>
      <c r="U309" s="372"/>
      <c r="V309" s="372"/>
      <c r="W309" s="372"/>
      <c r="X309" s="372"/>
      <c r="Y309" s="372"/>
      <c r="Z309" s="372"/>
      <c r="AA309" s="372"/>
      <c r="AB309" s="372"/>
      <c r="AC309" s="317"/>
      <c r="AD309" s="1"/>
      <c r="AE309" s="1"/>
      <c r="AF309" s="1"/>
      <c r="AG309" s="1"/>
      <c r="AH309" s="1"/>
      <c r="AI309" s="1"/>
      <c r="AJ309" s="1"/>
      <c r="AK309" s="1"/>
      <c r="AL309" s="1"/>
      <c r="AM309" s="1"/>
    </row>
    <row r="310" spans="2:39" s="157" customFormat="1" x14ac:dyDescent="0.2">
      <c r="E310" s="349"/>
      <c r="F310" s="349"/>
      <c r="G310" s="349"/>
      <c r="H310" s="383"/>
      <c r="I310" s="383"/>
      <c r="J310" s="229"/>
      <c r="K310" s="371"/>
      <c r="L310" s="371"/>
      <c r="M310" s="372"/>
      <c r="N310" s="372"/>
      <c r="O310" s="373"/>
      <c r="P310" s="371">
        <v>0</v>
      </c>
      <c r="Q310" s="372"/>
      <c r="R310" s="372"/>
      <c r="S310" s="372"/>
      <c r="T310" s="372"/>
      <c r="U310" s="372"/>
      <c r="V310" s="372"/>
      <c r="W310" s="372"/>
      <c r="X310" s="372"/>
      <c r="Y310" s="372"/>
      <c r="Z310" s="372"/>
      <c r="AA310" s="372"/>
      <c r="AB310" s="372"/>
      <c r="AC310" s="317"/>
      <c r="AD310" s="1"/>
      <c r="AE310" s="1"/>
      <c r="AF310" s="1"/>
      <c r="AG310" s="1"/>
      <c r="AH310" s="1"/>
      <c r="AI310" s="1"/>
      <c r="AJ310" s="1"/>
      <c r="AK310" s="1"/>
      <c r="AL310" s="1"/>
      <c r="AM310" s="1"/>
    </row>
    <row r="311" spans="2:39" s="157" customFormat="1" x14ac:dyDescent="0.2">
      <c r="E311" s="349"/>
      <c r="F311" s="349"/>
      <c r="G311" s="349"/>
      <c r="H311" s="383"/>
      <c r="I311" s="383"/>
      <c r="J311" s="229"/>
      <c r="K311" s="371"/>
      <c r="L311" s="371">
        <f>K296/J296/8</f>
        <v>260</v>
      </c>
      <c r="M311" s="372"/>
      <c r="N311" s="372"/>
      <c r="O311" s="373"/>
      <c r="P311" s="371"/>
      <c r="Q311" s="372"/>
      <c r="R311" s="372"/>
      <c r="S311" s="372"/>
      <c r="T311" s="372"/>
      <c r="U311" s="372"/>
      <c r="V311" s="372">
        <f>+V305+AA305+AB305</f>
        <v>1339643.1294175608</v>
      </c>
      <c r="W311" s="372"/>
      <c r="X311" s="372"/>
      <c r="Y311" s="372"/>
      <c r="Z311" s="372"/>
      <c r="AA311" s="372"/>
      <c r="AB311" s="372">
        <f>+P305+V311</f>
        <v>5646090.3081316678</v>
      </c>
      <c r="AC311" s="317"/>
      <c r="AD311" s="1"/>
      <c r="AE311" s="1"/>
      <c r="AF311" s="1"/>
      <c r="AG311" s="1"/>
      <c r="AH311" s="1"/>
      <c r="AI311" s="1"/>
      <c r="AJ311" s="1"/>
      <c r="AK311" s="1"/>
      <c r="AL311" s="1"/>
      <c r="AM311" s="1"/>
    </row>
    <row r="312" spans="2:39" s="157" customFormat="1" x14ac:dyDescent="0.2">
      <c r="E312" s="349"/>
      <c r="F312" s="349"/>
      <c r="G312" s="349"/>
      <c r="H312" s="383"/>
      <c r="I312" s="383"/>
      <c r="J312" s="229"/>
      <c r="K312" s="371"/>
      <c r="L312" s="371"/>
      <c r="M312" s="372"/>
      <c r="N312" s="372"/>
      <c r="O312" s="373"/>
      <c r="P312" s="371">
        <f>+P305-L305-125106</f>
        <v>4181341.1787141068</v>
      </c>
      <c r="Q312" s="372"/>
      <c r="R312" s="372"/>
      <c r="S312" s="372"/>
      <c r="T312" s="372"/>
      <c r="U312" s="372"/>
      <c r="V312" s="372">
        <v>705240.673847</v>
      </c>
      <c r="W312" s="372"/>
      <c r="X312" s="372"/>
      <c r="Y312" s="372"/>
      <c r="Z312" s="372"/>
      <c r="AA312" s="372"/>
      <c r="AB312" s="372">
        <v>3049814.2633469999</v>
      </c>
      <c r="AC312" s="317"/>
      <c r="AD312" s="1"/>
      <c r="AE312" s="1"/>
      <c r="AF312" s="1"/>
      <c r="AG312" s="1"/>
      <c r="AH312" s="1"/>
      <c r="AI312" s="1"/>
      <c r="AJ312" s="1"/>
      <c r="AK312" s="1"/>
      <c r="AL312" s="1"/>
      <c r="AM312" s="1"/>
    </row>
    <row r="313" spans="2:39" s="157" customFormat="1" x14ac:dyDescent="0.2">
      <c r="E313" s="349"/>
      <c r="F313" s="349"/>
      <c r="G313" s="349"/>
      <c r="H313" s="383"/>
      <c r="I313" s="383"/>
      <c r="J313" s="229"/>
      <c r="K313" s="371"/>
      <c r="L313" s="371"/>
      <c r="M313" s="372"/>
      <c r="N313" s="372"/>
      <c r="O313" s="373"/>
      <c r="P313" s="371"/>
      <c r="Q313" s="372"/>
      <c r="R313" s="372"/>
      <c r="S313" s="372"/>
      <c r="T313" s="372"/>
      <c r="U313" s="372"/>
      <c r="V313" s="372">
        <f>+V311-V312</f>
        <v>634402.45557056076</v>
      </c>
      <c r="W313" s="372"/>
      <c r="X313" s="372"/>
      <c r="Y313" s="372"/>
      <c r="Z313" s="372"/>
      <c r="AA313" s="372"/>
      <c r="AB313" s="372">
        <f>+AB312-AB311</f>
        <v>-2596276.0447846679</v>
      </c>
      <c r="AC313" s="317"/>
      <c r="AD313" s="1"/>
      <c r="AE313" s="1"/>
      <c r="AF313" s="1"/>
      <c r="AG313" s="1"/>
      <c r="AH313" s="1"/>
      <c r="AI313" s="1"/>
      <c r="AJ313" s="1"/>
      <c r="AK313" s="1"/>
      <c r="AL313" s="1"/>
      <c r="AM313" s="1"/>
    </row>
    <row r="314" spans="2:39" s="157" customFormat="1" x14ac:dyDescent="0.2">
      <c r="E314" s="349"/>
      <c r="F314" s="349"/>
      <c r="G314" s="349"/>
      <c r="H314" s="383"/>
      <c r="I314" s="383"/>
      <c r="J314" s="229"/>
      <c r="K314" s="371"/>
      <c r="L314" s="371"/>
      <c r="M314" s="372"/>
      <c r="N314" s="372"/>
      <c r="O314" s="373"/>
      <c r="P314" s="371"/>
      <c r="Q314" s="372"/>
      <c r="R314" s="372"/>
      <c r="S314" s="372"/>
      <c r="T314" s="372"/>
      <c r="U314" s="372"/>
      <c r="V314" s="372"/>
      <c r="W314" s="372"/>
      <c r="X314" s="372"/>
      <c r="Y314" s="372"/>
      <c r="Z314" s="372"/>
      <c r="AA314" s="372"/>
      <c r="AB314" s="372"/>
      <c r="AC314" s="317"/>
      <c r="AD314" s="1"/>
      <c r="AE314" s="1"/>
      <c r="AF314" s="1"/>
      <c r="AG314" s="1"/>
      <c r="AH314" s="1"/>
      <c r="AI314" s="1"/>
      <c r="AJ314" s="1"/>
      <c r="AK314" s="1"/>
      <c r="AL314" s="1"/>
      <c r="AM314" s="1"/>
    </row>
    <row r="315" spans="2:39" s="157" customFormat="1" x14ac:dyDescent="0.2">
      <c r="E315" s="349"/>
      <c r="F315" s="349"/>
      <c r="G315" s="349"/>
      <c r="H315" s="383"/>
      <c r="I315" s="383"/>
      <c r="J315" s="229"/>
      <c r="K315" s="371"/>
      <c r="L315" s="371"/>
      <c r="M315" s="372"/>
      <c r="N315" s="372"/>
      <c r="O315" s="373"/>
      <c r="P315" s="371"/>
      <c r="Q315" s="384"/>
      <c r="R315" s="384"/>
      <c r="S315" s="384"/>
      <c r="T315" s="384"/>
      <c r="U315" s="384"/>
      <c r="V315" s="374"/>
      <c r="W315" s="384"/>
      <c r="X315" s="372"/>
      <c r="Y315" s="372"/>
      <c r="Z315" s="372"/>
      <c r="AA315" s="372"/>
      <c r="AB315" s="372"/>
      <c r="AC315" s="317"/>
      <c r="AD315" s="1"/>
      <c r="AE315" s="1"/>
      <c r="AF315" s="1"/>
      <c r="AG315" s="1"/>
      <c r="AH315" s="1"/>
      <c r="AI315" s="1"/>
      <c r="AJ315" s="1"/>
      <c r="AK315" s="1"/>
      <c r="AL315" s="1"/>
      <c r="AM315" s="1"/>
    </row>
    <row r="316" spans="2:39" s="157" customFormat="1" x14ac:dyDescent="0.2">
      <c r="E316" s="349"/>
      <c r="F316" s="349"/>
      <c r="G316" s="349"/>
      <c r="H316" s="383"/>
      <c r="I316" s="383"/>
      <c r="J316" s="229"/>
      <c r="K316" s="371"/>
      <c r="L316" s="371"/>
      <c r="M316" s="372"/>
      <c r="N316" s="372"/>
      <c r="O316" s="373"/>
      <c r="P316" s="371"/>
      <c r="Q316" s="372"/>
      <c r="R316" s="372"/>
      <c r="S316" s="372"/>
      <c r="T316" s="372"/>
      <c r="U316" s="372"/>
      <c r="V316" s="374"/>
      <c r="W316" s="384"/>
      <c r="X316" s="372"/>
      <c r="Y316" s="372"/>
      <c r="Z316" s="372"/>
      <c r="AA316" s="372"/>
      <c r="AB316" s="372"/>
      <c r="AC316" s="317"/>
      <c r="AD316" s="1"/>
      <c r="AE316" s="1"/>
      <c r="AF316" s="1"/>
      <c r="AG316" s="1"/>
      <c r="AH316" s="1"/>
      <c r="AI316" s="1"/>
      <c r="AJ316" s="1"/>
      <c r="AK316" s="1"/>
      <c r="AL316" s="1"/>
      <c r="AM316" s="1"/>
    </row>
    <row r="317" spans="2:39" s="157" customFormat="1" x14ac:dyDescent="0.2">
      <c r="E317" s="349"/>
      <c r="F317" s="349"/>
      <c r="G317" s="349"/>
      <c r="H317" s="383"/>
      <c r="I317" s="383"/>
      <c r="J317" s="229"/>
      <c r="K317" s="371"/>
      <c r="L317" s="371"/>
      <c r="M317" s="372"/>
      <c r="N317" s="372"/>
      <c r="O317" s="373"/>
      <c r="P317" s="371"/>
      <c r="Q317" s="372"/>
      <c r="R317" s="372"/>
      <c r="S317" s="372"/>
      <c r="T317" s="372"/>
      <c r="U317" s="372"/>
      <c r="V317" s="374"/>
      <c r="W317" s="384"/>
      <c r="X317" s="372"/>
      <c r="Y317" s="372"/>
      <c r="Z317" s="372"/>
      <c r="AA317" s="372"/>
      <c r="AB317" s="372"/>
      <c r="AC317" s="317"/>
      <c r="AD317" s="1"/>
      <c r="AE317" s="1"/>
      <c r="AF317" s="1"/>
      <c r="AG317" s="1"/>
      <c r="AH317" s="1"/>
      <c r="AI317" s="1"/>
      <c r="AJ317" s="1"/>
      <c r="AK317" s="1"/>
      <c r="AL317" s="1"/>
      <c r="AM317" s="1"/>
    </row>
    <row r="318" spans="2:39" s="157" customFormat="1" x14ac:dyDescent="0.2">
      <c r="E318" s="349"/>
      <c r="F318" s="349"/>
      <c r="G318" s="349"/>
      <c r="H318" s="383"/>
      <c r="I318" s="383"/>
      <c r="J318" s="229"/>
      <c r="K318" s="371"/>
      <c r="L318" s="371"/>
      <c r="M318" s="372"/>
      <c r="N318" s="372"/>
      <c r="O318" s="373"/>
      <c r="P318" s="371"/>
      <c r="Q318" s="372"/>
      <c r="R318" s="372"/>
      <c r="S318" s="372"/>
      <c r="T318" s="372"/>
      <c r="U318" s="372"/>
      <c r="V318" s="372"/>
      <c r="W318" s="384"/>
      <c r="X318" s="372"/>
      <c r="Y318" s="372"/>
      <c r="Z318" s="372"/>
      <c r="AA318" s="372"/>
      <c r="AB318" s="372"/>
      <c r="AC318" s="317"/>
      <c r="AD318" s="1"/>
      <c r="AE318" s="1"/>
      <c r="AF318" s="1"/>
      <c r="AG318" s="1"/>
      <c r="AH318" s="1"/>
      <c r="AI318" s="1"/>
      <c r="AJ318" s="1"/>
      <c r="AK318" s="1"/>
      <c r="AL318" s="1"/>
      <c r="AM318" s="1"/>
    </row>
    <row r="319" spans="2:39" s="157" customFormat="1" x14ac:dyDescent="0.2">
      <c r="E319" s="349"/>
      <c r="F319" s="349"/>
      <c r="G319" s="349"/>
      <c r="H319" s="383"/>
      <c r="I319" s="383"/>
      <c r="J319" s="229"/>
      <c r="K319" s="371"/>
      <c r="L319" s="371"/>
      <c r="M319" s="372"/>
      <c r="N319" s="372"/>
      <c r="O319" s="373"/>
      <c r="P319" s="385">
        <f>SUM(P305-P301-P282-P279-P259-P242-P211-P144-P102-P67-P44)-12*1680</f>
        <v>4023788.7449791669</v>
      </c>
      <c r="Q319" s="372"/>
      <c r="R319" s="372"/>
      <c r="S319" s="372"/>
      <c r="T319" s="372"/>
      <c r="U319" s="372"/>
      <c r="V319" s="372"/>
      <c r="W319" s="384"/>
      <c r="X319" s="372"/>
      <c r="Y319" s="372"/>
      <c r="Z319" s="372"/>
      <c r="AA319" s="372"/>
      <c r="AB319" s="372"/>
      <c r="AC319" s="317"/>
      <c r="AD319" s="1"/>
      <c r="AE319" s="1"/>
      <c r="AF319" s="1"/>
      <c r="AG319" s="1"/>
      <c r="AH319" s="1"/>
      <c r="AI319" s="1"/>
      <c r="AJ319" s="1"/>
      <c r="AK319" s="1"/>
      <c r="AL319" s="1"/>
      <c r="AM319" s="1"/>
    </row>
    <row r="320" spans="2:39" s="157" customFormat="1" x14ac:dyDescent="0.2">
      <c r="E320" s="349"/>
      <c r="F320" s="349"/>
      <c r="G320" s="349"/>
      <c r="H320" s="383"/>
      <c r="I320" s="383"/>
      <c r="J320" s="229"/>
      <c r="K320" s="371"/>
      <c r="L320" s="371"/>
      <c r="M320" s="372"/>
      <c r="N320" s="372"/>
      <c r="O320" s="373"/>
      <c r="P320" s="371">
        <f>1802602-P319</f>
        <v>-2221186.7449791669</v>
      </c>
      <c r="Q320" s="372"/>
      <c r="R320" s="372"/>
      <c r="S320" s="372"/>
      <c r="T320" s="372"/>
      <c r="U320" s="372"/>
      <c r="V320" s="372"/>
      <c r="W320" s="372"/>
      <c r="X320" s="372"/>
      <c r="Y320" s="372"/>
      <c r="Z320" s="372"/>
      <c r="AA320" s="372"/>
      <c r="AB320" s="372"/>
      <c r="AC320" s="317"/>
      <c r="AD320" s="1"/>
      <c r="AE320" s="1"/>
      <c r="AF320" s="1"/>
      <c r="AG320" s="1"/>
      <c r="AH320" s="1"/>
      <c r="AI320" s="1"/>
      <c r="AJ320" s="1"/>
      <c r="AK320" s="1"/>
      <c r="AL320" s="1"/>
      <c r="AM320" s="1"/>
    </row>
    <row r="321" spans="5:39" s="157" customFormat="1" x14ac:dyDescent="0.2">
      <c r="E321" s="349"/>
      <c r="F321" s="349"/>
      <c r="G321" s="349"/>
      <c r="H321" s="383"/>
      <c r="I321" s="383"/>
      <c r="J321" s="229"/>
      <c r="K321" s="371"/>
      <c r="L321" s="371"/>
      <c r="M321" s="372"/>
      <c r="N321" s="372"/>
      <c r="O321" s="373"/>
      <c r="P321" s="371"/>
      <c r="Q321" s="372"/>
      <c r="R321" s="372"/>
      <c r="S321" s="372"/>
      <c r="T321" s="372"/>
      <c r="U321" s="372"/>
      <c r="V321" s="372"/>
      <c r="W321" s="384"/>
      <c r="X321" s="372"/>
      <c r="Y321" s="372"/>
      <c r="Z321" s="372"/>
      <c r="AA321" s="372"/>
      <c r="AB321" s="372"/>
      <c r="AC321" s="317"/>
      <c r="AD321" s="1"/>
      <c r="AE321" s="1"/>
      <c r="AF321" s="1"/>
      <c r="AG321" s="1"/>
      <c r="AH321" s="1"/>
      <c r="AI321" s="1"/>
      <c r="AJ321" s="1"/>
      <c r="AK321" s="1"/>
      <c r="AL321" s="1"/>
      <c r="AM321" s="1"/>
    </row>
    <row r="322" spans="5:39" s="157" customFormat="1" x14ac:dyDescent="0.2">
      <c r="H322" s="386"/>
      <c r="I322" s="386"/>
      <c r="J322" s="387"/>
      <c r="K322" s="388"/>
      <c r="L322" s="388"/>
      <c r="M322" s="389"/>
      <c r="N322" s="389"/>
      <c r="O322" s="390"/>
      <c r="P322" s="388"/>
      <c r="Q322" s="389"/>
      <c r="R322" s="389"/>
      <c r="S322" s="389"/>
      <c r="T322" s="389"/>
      <c r="U322" s="389"/>
      <c r="V322" s="389"/>
      <c r="W322" s="389"/>
      <c r="X322" s="389"/>
      <c r="Y322" s="389"/>
      <c r="Z322" s="389"/>
      <c r="AA322" s="389"/>
      <c r="AB322" s="389"/>
      <c r="AC322" s="317"/>
      <c r="AD322" s="1"/>
      <c r="AE322" s="1"/>
      <c r="AF322" s="1"/>
      <c r="AG322" s="1"/>
      <c r="AH322" s="1"/>
      <c r="AI322" s="1"/>
      <c r="AJ322" s="1"/>
      <c r="AK322" s="1"/>
      <c r="AL322" s="1"/>
      <c r="AM322" s="1"/>
    </row>
    <row r="323" spans="5:39" s="157" customFormat="1" x14ac:dyDescent="0.2">
      <c r="H323" s="386"/>
      <c r="I323" s="386"/>
      <c r="J323" s="387"/>
      <c r="K323" s="388"/>
      <c r="L323" s="388"/>
      <c r="M323" s="389"/>
      <c r="N323" s="389"/>
      <c r="O323" s="390"/>
      <c r="P323" s="388"/>
      <c r="Q323" s="389"/>
      <c r="R323" s="389"/>
      <c r="S323" s="389"/>
      <c r="T323" s="389"/>
      <c r="U323" s="389"/>
      <c r="V323" s="389"/>
      <c r="W323" s="391"/>
      <c r="X323" s="389"/>
      <c r="Y323" s="389"/>
      <c r="Z323" s="389"/>
      <c r="AA323" s="389"/>
      <c r="AB323" s="389"/>
      <c r="AC323" s="317"/>
      <c r="AD323" s="1"/>
      <c r="AE323" s="1"/>
      <c r="AF323" s="1"/>
      <c r="AG323" s="1"/>
      <c r="AH323" s="1"/>
      <c r="AI323" s="1"/>
      <c r="AJ323" s="1"/>
      <c r="AK323" s="1"/>
      <c r="AL323" s="1"/>
      <c r="AM323" s="1"/>
    </row>
    <row r="324" spans="5:39" s="157" customFormat="1" x14ac:dyDescent="0.2">
      <c r="H324" s="386"/>
      <c r="I324" s="386"/>
      <c r="J324" s="387"/>
      <c r="K324" s="388"/>
      <c r="L324" s="388"/>
      <c r="M324" s="389"/>
      <c r="N324" s="389"/>
      <c r="O324" s="390"/>
      <c r="P324" s="388"/>
      <c r="Q324" s="389"/>
      <c r="R324" s="389"/>
      <c r="S324" s="389"/>
      <c r="T324" s="389"/>
      <c r="U324" s="389"/>
      <c r="V324" s="389"/>
      <c r="W324" s="392"/>
      <c r="X324" s="389"/>
      <c r="Y324" s="389"/>
      <c r="Z324" s="389"/>
      <c r="AA324" s="389"/>
      <c r="AB324" s="389"/>
      <c r="AC324" s="317"/>
      <c r="AD324" s="1"/>
      <c r="AE324" s="1"/>
      <c r="AF324" s="1"/>
      <c r="AG324" s="1"/>
      <c r="AH324" s="1"/>
      <c r="AI324" s="1"/>
      <c r="AJ324" s="1"/>
      <c r="AK324" s="1"/>
      <c r="AL324" s="1"/>
      <c r="AM324" s="1"/>
    </row>
    <row r="325" spans="5:39" s="157" customFormat="1" x14ac:dyDescent="0.2">
      <c r="H325" s="386"/>
      <c r="I325" s="386"/>
      <c r="J325" s="387"/>
      <c r="K325" s="388"/>
      <c r="L325" s="388"/>
      <c r="M325" s="389"/>
      <c r="N325" s="389"/>
      <c r="O325" s="390"/>
      <c r="P325" s="388"/>
      <c r="Q325" s="389"/>
      <c r="R325" s="389"/>
      <c r="S325" s="389"/>
      <c r="T325" s="389"/>
      <c r="U325" s="389"/>
      <c r="V325" s="389"/>
      <c r="W325" s="389"/>
      <c r="X325" s="389"/>
      <c r="Y325" s="389"/>
      <c r="Z325" s="389"/>
      <c r="AA325" s="389"/>
      <c r="AB325" s="389"/>
      <c r="AC325" s="317"/>
      <c r="AD325" s="1"/>
      <c r="AE325" s="1"/>
      <c r="AF325" s="1"/>
      <c r="AG325" s="1"/>
      <c r="AH325" s="1"/>
      <c r="AI325" s="1"/>
      <c r="AJ325" s="1"/>
      <c r="AK325" s="1"/>
      <c r="AL325" s="1"/>
      <c r="AM325" s="1"/>
    </row>
    <row r="326" spans="5:39" s="157" customFormat="1" x14ac:dyDescent="0.2">
      <c r="H326" s="386"/>
      <c r="I326" s="386"/>
      <c r="J326" s="387"/>
      <c r="K326" s="388"/>
      <c r="L326" s="388"/>
      <c r="M326" s="389"/>
      <c r="N326" s="389"/>
      <c r="O326" s="390"/>
      <c r="P326" s="388"/>
      <c r="Q326" s="393"/>
      <c r="R326" s="393"/>
      <c r="S326" s="393"/>
      <c r="T326" s="393"/>
      <c r="U326" s="393"/>
      <c r="V326" s="393"/>
      <c r="W326" s="393"/>
      <c r="X326" s="389"/>
      <c r="Y326" s="389"/>
      <c r="Z326" s="389"/>
      <c r="AA326" s="389"/>
      <c r="AB326" s="389"/>
      <c r="AC326" s="317"/>
      <c r="AD326" s="1"/>
      <c r="AE326" s="1"/>
      <c r="AF326" s="1"/>
      <c r="AG326" s="1"/>
      <c r="AH326" s="1"/>
      <c r="AI326" s="1"/>
      <c r="AJ326" s="1"/>
      <c r="AK326" s="1"/>
      <c r="AL326" s="1"/>
      <c r="AM326" s="1"/>
    </row>
    <row r="327" spans="5:39" s="157" customFormat="1" x14ac:dyDescent="0.2">
      <c r="H327" s="386"/>
      <c r="I327" s="386"/>
      <c r="J327" s="387"/>
      <c r="K327" s="388"/>
      <c r="L327" s="388"/>
      <c r="M327" s="389"/>
      <c r="N327" s="389"/>
      <c r="O327" s="390"/>
      <c r="P327" s="388"/>
      <c r="Q327" s="389"/>
      <c r="R327" s="389"/>
      <c r="S327" s="389"/>
      <c r="T327" s="389"/>
      <c r="U327" s="389"/>
      <c r="V327" s="393"/>
      <c r="W327" s="389"/>
      <c r="X327" s="389"/>
      <c r="Y327" s="389"/>
      <c r="Z327" s="389"/>
      <c r="AA327" s="389"/>
      <c r="AB327" s="389"/>
      <c r="AC327" s="317"/>
      <c r="AD327" s="1"/>
      <c r="AE327" s="1"/>
      <c r="AF327" s="1"/>
      <c r="AG327" s="1"/>
      <c r="AH327" s="1"/>
      <c r="AI327" s="1"/>
      <c r="AJ327" s="1"/>
      <c r="AK327" s="1"/>
      <c r="AL327" s="1"/>
      <c r="AM327" s="1"/>
    </row>
    <row r="328" spans="5:39" s="157" customFormat="1" x14ac:dyDescent="0.2">
      <c r="H328" s="386"/>
      <c r="I328" s="386"/>
      <c r="J328" s="387"/>
      <c r="K328" s="388"/>
      <c r="L328" s="388"/>
      <c r="M328" s="389"/>
      <c r="N328" s="389"/>
      <c r="O328" s="390"/>
      <c r="P328" s="388"/>
      <c r="Q328" s="389"/>
      <c r="R328" s="389"/>
      <c r="S328" s="389"/>
      <c r="T328" s="389"/>
      <c r="U328" s="389"/>
      <c r="V328" s="389"/>
      <c r="W328" s="389"/>
      <c r="X328" s="389"/>
      <c r="Y328" s="389"/>
      <c r="Z328" s="389"/>
      <c r="AA328" s="389"/>
      <c r="AB328" s="389"/>
      <c r="AC328" s="317"/>
      <c r="AD328" s="1"/>
      <c r="AE328" s="1"/>
      <c r="AF328" s="1"/>
      <c r="AG328" s="1"/>
      <c r="AH328" s="1"/>
      <c r="AI328" s="1"/>
      <c r="AJ328" s="1"/>
      <c r="AK328" s="1"/>
      <c r="AL328" s="1"/>
      <c r="AM328" s="1"/>
    </row>
    <row r="329" spans="5:39" s="157" customFormat="1" x14ac:dyDescent="0.2">
      <c r="H329" s="386"/>
      <c r="I329" s="386"/>
      <c r="J329" s="387"/>
      <c r="K329" s="394"/>
      <c r="L329" s="394"/>
      <c r="M329" s="386"/>
      <c r="N329" s="386"/>
      <c r="O329" s="395"/>
      <c r="P329" s="227"/>
      <c r="AC329" s="317"/>
      <c r="AD329" s="1"/>
      <c r="AE329" s="1"/>
      <c r="AF329" s="1"/>
      <c r="AG329" s="1"/>
      <c r="AH329" s="1"/>
      <c r="AI329" s="1"/>
      <c r="AJ329" s="1"/>
      <c r="AK329" s="1"/>
      <c r="AL329" s="1"/>
      <c r="AM329" s="1"/>
    </row>
    <row r="330" spans="5:39" s="157" customFormat="1" x14ac:dyDescent="0.2">
      <c r="H330" s="386"/>
      <c r="I330" s="386"/>
      <c r="J330" s="387"/>
      <c r="K330" s="394"/>
      <c r="L330" s="394"/>
      <c r="M330" s="386"/>
      <c r="N330" s="386"/>
      <c r="O330" s="395"/>
      <c r="P330" s="227"/>
      <c r="AC330" s="317"/>
      <c r="AD330" s="1"/>
      <c r="AE330" s="1"/>
      <c r="AF330" s="1"/>
      <c r="AG330" s="1"/>
      <c r="AH330" s="1"/>
      <c r="AI330" s="1"/>
      <c r="AJ330" s="1"/>
      <c r="AK330" s="1"/>
      <c r="AL330" s="1"/>
      <c r="AM330" s="1"/>
    </row>
    <row r="331" spans="5:39" s="157" customFormat="1" x14ac:dyDescent="0.2">
      <c r="H331" s="386"/>
      <c r="I331" s="386"/>
      <c r="J331" s="387"/>
      <c r="K331" s="394"/>
      <c r="L331" s="394"/>
      <c r="M331" s="386"/>
      <c r="N331" s="386"/>
      <c r="O331" s="395"/>
      <c r="P331" s="227"/>
      <c r="AC331" s="317"/>
      <c r="AD331" s="1"/>
      <c r="AE331" s="1"/>
      <c r="AF331" s="1"/>
      <c r="AG331" s="1"/>
      <c r="AH331" s="1"/>
      <c r="AI331" s="1"/>
      <c r="AJ331" s="1"/>
      <c r="AK331" s="1"/>
      <c r="AL331" s="1"/>
      <c r="AM331" s="1"/>
    </row>
    <row r="332" spans="5:39" s="157" customFormat="1" x14ac:dyDescent="0.2">
      <c r="H332" s="386"/>
      <c r="I332" s="386"/>
      <c r="J332" s="387"/>
      <c r="K332" s="394"/>
      <c r="L332" s="394"/>
      <c r="M332" s="386"/>
      <c r="N332" s="386"/>
      <c r="O332" s="395"/>
      <c r="P332" s="227"/>
      <c r="AC332" s="317"/>
      <c r="AD332" s="1"/>
      <c r="AE332" s="1"/>
      <c r="AF332" s="1"/>
      <c r="AG332" s="1"/>
      <c r="AH332" s="1"/>
      <c r="AI332" s="1"/>
      <c r="AJ332" s="1"/>
      <c r="AK332" s="1"/>
      <c r="AL332" s="1"/>
      <c r="AM332" s="1"/>
    </row>
    <row r="333" spans="5:39" s="157" customFormat="1" x14ac:dyDescent="0.2">
      <c r="H333" s="386"/>
      <c r="I333" s="386"/>
      <c r="J333" s="387"/>
      <c r="K333" s="394"/>
      <c r="L333" s="394"/>
      <c r="M333" s="386"/>
      <c r="N333" s="386"/>
      <c r="O333" s="395"/>
      <c r="P333" s="227"/>
      <c r="AC333" s="317"/>
      <c r="AD333" s="1"/>
      <c r="AE333" s="1"/>
      <c r="AF333" s="1"/>
      <c r="AG333" s="1"/>
      <c r="AH333" s="1"/>
      <c r="AI333" s="1"/>
      <c r="AJ333" s="1"/>
      <c r="AK333" s="1"/>
      <c r="AL333" s="1"/>
      <c r="AM333" s="1"/>
    </row>
    <row r="334" spans="5:39" s="157" customFormat="1" x14ac:dyDescent="0.2">
      <c r="H334" s="386"/>
      <c r="I334" s="386"/>
      <c r="J334" s="387"/>
      <c r="K334" s="394"/>
      <c r="L334" s="394"/>
      <c r="M334" s="386"/>
      <c r="N334" s="386"/>
      <c r="O334" s="395"/>
      <c r="P334" s="227"/>
      <c r="AC334" s="317"/>
      <c r="AD334" s="1"/>
      <c r="AE334" s="1"/>
      <c r="AF334" s="1"/>
      <c r="AG334" s="1"/>
      <c r="AH334" s="1"/>
      <c r="AI334" s="1"/>
      <c r="AJ334" s="1"/>
      <c r="AK334" s="1"/>
      <c r="AL334" s="1"/>
      <c r="AM334" s="1"/>
    </row>
    <row r="335" spans="5:39" s="157" customFormat="1" x14ac:dyDescent="0.2">
      <c r="H335" s="386"/>
      <c r="I335" s="386"/>
      <c r="J335" s="387"/>
      <c r="K335" s="394"/>
      <c r="L335" s="394"/>
      <c r="M335" s="386"/>
      <c r="N335" s="386"/>
      <c r="O335" s="395"/>
      <c r="P335" s="227"/>
      <c r="AC335" s="317"/>
      <c r="AD335" s="1"/>
      <c r="AE335" s="1"/>
      <c r="AF335" s="1"/>
      <c r="AG335" s="1"/>
      <c r="AH335" s="1"/>
      <c r="AI335" s="1"/>
      <c r="AJ335" s="1"/>
      <c r="AK335" s="1"/>
      <c r="AL335" s="1"/>
      <c r="AM335" s="1"/>
    </row>
    <row r="336" spans="5:39" s="157" customFormat="1" x14ac:dyDescent="0.2">
      <c r="H336" s="386"/>
      <c r="I336" s="386"/>
      <c r="J336" s="387"/>
      <c r="K336" s="394"/>
      <c r="L336" s="394"/>
      <c r="M336" s="386"/>
      <c r="N336" s="386"/>
      <c r="O336" s="395"/>
      <c r="P336" s="227"/>
      <c r="AC336" s="317"/>
      <c r="AD336" s="1"/>
      <c r="AE336" s="1"/>
      <c r="AF336" s="1"/>
      <c r="AG336" s="1"/>
      <c r="AH336" s="1"/>
      <c r="AI336" s="1"/>
      <c r="AJ336" s="1"/>
      <c r="AK336" s="1"/>
      <c r="AL336" s="1"/>
      <c r="AM336" s="1"/>
    </row>
    <row r="337" spans="8:39" s="157" customFormat="1" x14ac:dyDescent="0.2">
      <c r="H337" s="386"/>
      <c r="I337" s="386"/>
      <c r="J337" s="387"/>
      <c r="K337" s="394"/>
      <c r="L337" s="394"/>
      <c r="M337" s="386"/>
      <c r="N337" s="386"/>
      <c r="O337" s="395"/>
      <c r="P337" s="227"/>
      <c r="AC337" s="317"/>
      <c r="AD337" s="1"/>
      <c r="AE337" s="1"/>
      <c r="AF337" s="1"/>
      <c r="AG337" s="1"/>
      <c r="AH337" s="1"/>
      <c r="AI337" s="1"/>
      <c r="AJ337" s="1"/>
      <c r="AK337" s="1"/>
      <c r="AL337" s="1"/>
      <c r="AM337" s="1"/>
    </row>
    <row r="338" spans="8:39" s="157" customFormat="1" x14ac:dyDescent="0.2">
      <c r="H338" s="386"/>
      <c r="I338" s="386"/>
      <c r="J338" s="387"/>
      <c r="K338" s="394"/>
      <c r="L338" s="394"/>
      <c r="M338" s="386"/>
      <c r="N338" s="386"/>
      <c r="O338" s="395"/>
      <c r="P338" s="227"/>
      <c r="AC338" s="317"/>
      <c r="AD338" s="1"/>
      <c r="AE338" s="1"/>
      <c r="AF338" s="1"/>
      <c r="AG338" s="1"/>
      <c r="AH338" s="1"/>
      <c r="AI338" s="1"/>
      <c r="AJ338" s="1"/>
      <c r="AK338" s="1"/>
      <c r="AL338" s="1"/>
      <c r="AM338" s="1"/>
    </row>
    <row r="339" spans="8:39" s="157" customFormat="1" x14ac:dyDescent="0.2">
      <c r="H339" s="386"/>
      <c r="I339" s="386"/>
      <c r="J339" s="387"/>
      <c r="K339" s="394"/>
      <c r="L339" s="394"/>
      <c r="M339" s="386"/>
      <c r="N339" s="386"/>
      <c r="O339" s="395"/>
      <c r="P339" s="227"/>
      <c r="AC339" s="317"/>
      <c r="AD339" s="1"/>
      <c r="AE339" s="1"/>
      <c r="AF339" s="1"/>
      <c r="AG339" s="1"/>
      <c r="AH339" s="1"/>
      <c r="AI339" s="1"/>
      <c r="AJ339" s="1"/>
      <c r="AK339" s="1"/>
      <c r="AL339" s="1"/>
      <c r="AM339" s="1"/>
    </row>
    <row r="340" spans="8:39" s="157" customFormat="1" x14ac:dyDescent="0.2">
      <c r="H340" s="386"/>
      <c r="I340" s="386"/>
      <c r="J340" s="387"/>
      <c r="K340" s="394"/>
      <c r="L340" s="394"/>
      <c r="M340" s="386"/>
      <c r="N340" s="386"/>
      <c r="O340" s="395"/>
      <c r="P340" s="227"/>
      <c r="AC340" s="317"/>
      <c r="AD340" s="1"/>
      <c r="AE340" s="1"/>
      <c r="AF340" s="1"/>
      <c r="AG340" s="1"/>
      <c r="AH340" s="1"/>
      <c r="AI340" s="1"/>
      <c r="AJ340" s="1"/>
      <c r="AK340" s="1"/>
      <c r="AL340" s="1"/>
      <c r="AM340" s="1"/>
    </row>
    <row r="341" spans="8:39" s="157" customFormat="1" x14ac:dyDescent="0.2">
      <c r="H341" s="386"/>
      <c r="I341" s="386"/>
      <c r="J341" s="387"/>
      <c r="K341" s="394"/>
      <c r="L341" s="394"/>
      <c r="M341" s="386"/>
      <c r="N341" s="386"/>
      <c r="O341" s="395"/>
      <c r="P341" s="227"/>
      <c r="AC341" s="317"/>
      <c r="AD341" s="1"/>
      <c r="AE341" s="1"/>
      <c r="AF341" s="1"/>
      <c r="AG341" s="1"/>
      <c r="AH341" s="1"/>
      <c r="AI341" s="1"/>
      <c r="AJ341" s="1"/>
      <c r="AK341" s="1"/>
      <c r="AL341" s="1"/>
      <c r="AM341" s="1"/>
    </row>
    <row r="342" spans="8:39" s="157" customFormat="1" x14ac:dyDescent="0.2">
      <c r="H342" s="386"/>
      <c r="I342" s="386"/>
      <c r="J342" s="387"/>
      <c r="K342" s="394"/>
      <c r="L342" s="394"/>
      <c r="M342" s="386"/>
      <c r="N342" s="386"/>
      <c r="O342" s="395"/>
      <c r="P342" s="227"/>
      <c r="AC342" s="317"/>
      <c r="AD342" s="1"/>
      <c r="AE342" s="1"/>
      <c r="AF342" s="1"/>
      <c r="AG342" s="1"/>
      <c r="AH342" s="1"/>
      <c r="AI342" s="1"/>
      <c r="AJ342" s="1"/>
      <c r="AK342" s="1"/>
      <c r="AL342" s="1"/>
      <c r="AM342" s="1"/>
    </row>
    <row r="343" spans="8:39" s="157" customFormat="1" x14ac:dyDescent="0.2">
      <c r="H343" s="386"/>
      <c r="I343" s="386"/>
      <c r="J343" s="387"/>
      <c r="K343" s="394"/>
      <c r="L343" s="394"/>
      <c r="M343" s="386"/>
      <c r="N343" s="386"/>
      <c r="O343" s="395"/>
      <c r="P343" s="227"/>
      <c r="AC343" s="317"/>
      <c r="AD343" s="1"/>
      <c r="AE343" s="1"/>
      <c r="AF343" s="1"/>
      <c r="AG343" s="1"/>
      <c r="AH343" s="1"/>
      <c r="AI343" s="1"/>
      <c r="AJ343" s="1"/>
      <c r="AK343" s="1"/>
      <c r="AL343" s="1"/>
      <c r="AM343" s="1"/>
    </row>
    <row r="344" spans="8:39" s="157" customFormat="1" x14ac:dyDescent="0.2">
      <c r="H344" s="386"/>
      <c r="I344" s="386"/>
      <c r="J344" s="387"/>
      <c r="K344" s="394"/>
      <c r="L344" s="394"/>
      <c r="M344" s="386"/>
      <c r="N344" s="386"/>
      <c r="O344" s="395"/>
      <c r="P344" s="227"/>
      <c r="AC344" s="317"/>
      <c r="AD344" s="1"/>
      <c r="AE344" s="1"/>
      <c r="AF344" s="1"/>
      <c r="AG344" s="1"/>
      <c r="AH344" s="1"/>
      <c r="AI344" s="1"/>
      <c r="AJ344" s="1"/>
      <c r="AK344" s="1"/>
      <c r="AL344" s="1"/>
      <c r="AM344" s="1"/>
    </row>
    <row r="345" spans="8:39" s="157" customFormat="1" x14ac:dyDescent="0.2">
      <c r="H345" s="386"/>
      <c r="I345" s="386"/>
      <c r="J345" s="387"/>
      <c r="K345" s="394"/>
      <c r="L345" s="394"/>
      <c r="M345" s="386"/>
      <c r="N345" s="386"/>
      <c r="O345" s="395"/>
      <c r="P345" s="227"/>
      <c r="AC345" s="317"/>
      <c r="AD345" s="1"/>
      <c r="AE345" s="1"/>
      <c r="AF345" s="1"/>
      <c r="AG345" s="1"/>
      <c r="AH345" s="1"/>
      <c r="AI345" s="1"/>
      <c r="AJ345" s="1"/>
      <c r="AK345" s="1"/>
      <c r="AL345" s="1"/>
      <c r="AM345" s="1"/>
    </row>
    <row r="346" spans="8:39" s="157" customFormat="1" x14ac:dyDescent="0.2">
      <c r="H346" s="386"/>
      <c r="I346" s="386"/>
      <c r="J346" s="387"/>
      <c r="K346" s="394"/>
      <c r="L346" s="394"/>
      <c r="M346" s="386"/>
      <c r="N346" s="386"/>
      <c r="O346" s="395"/>
      <c r="P346" s="227"/>
      <c r="AC346" s="317"/>
      <c r="AD346" s="1"/>
      <c r="AE346" s="1"/>
      <c r="AF346" s="1"/>
      <c r="AG346" s="1"/>
      <c r="AH346" s="1"/>
      <c r="AI346" s="1"/>
      <c r="AJ346" s="1"/>
      <c r="AK346" s="1"/>
      <c r="AL346" s="1"/>
      <c r="AM346" s="1"/>
    </row>
    <row r="347" spans="8:39" s="157" customFormat="1" x14ac:dyDescent="0.2">
      <c r="H347" s="386"/>
      <c r="I347" s="386"/>
      <c r="J347" s="387"/>
      <c r="K347" s="394"/>
      <c r="L347" s="394"/>
      <c r="M347" s="386"/>
      <c r="N347" s="386"/>
      <c r="O347" s="395"/>
      <c r="P347" s="227"/>
      <c r="AC347" s="317"/>
      <c r="AD347" s="1"/>
      <c r="AE347" s="1"/>
      <c r="AF347" s="1"/>
      <c r="AG347" s="1"/>
      <c r="AH347" s="1"/>
      <c r="AI347" s="1"/>
      <c r="AJ347" s="1"/>
      <c r="AK347" s="1"/>
      <c r="AL347" s="1"/>
      <c r="AM347" s="1"/>
    </row>
    <row r="348" spans="8:39" s="157" customFormat="1" x14ac:dyDescent="0.2">
      <c r="H348" s="386"/>
      <c r="I348" s="386"/>
      <c r="J348" s="387"/>
      <c r="K348" s="394"/>
      <c r="L348" s="394"/>
      <c r="M348" s="386"/>
      <c r="N348" s="386"/>
      <c r="O348" s="395"/>
      <c r="P348" s="227"/>
      <c r="AC348" s="317"/>
      <c r="AD348" s="1"/>
      <c r="AE348" s="1"/>
      <c r="AF348" s="1"/>
      <c r="AG348" s="1"/>
      <c r="AH348" s="1"/>
      <c r="AI348" s="1"/>
      <c r="AJ348" s="1"/>
      <c r="AK348" s="1"/>
      <c r="AL348" s="1"/>
      <c r="AM348" s="1"/>
    </row>
    <row r="349" spans="8:39" s="157" customFormat="1" x14ac:dyDescent="0.2">
      <c r="H349" s="386"/>
      <c r="I349" s="386"/>
      <c r="J349" s="387"/>
      <c r="K349" s="394"/>
      <c r="L349" s="394"/>
      <c r="M349" s="386"/>
      <c r="N349" s="386"/>
      <c r="O349" s="395"/>
      <c r="P349" s="227"/>
      <c r="AC349" s="317"/>
      <c r="AD349" s="1"/>
      <c r="AE349" s="1"/>
      <c r="AF349" s="1"/>
      <c r="AG349" s="1"/>
      <c r="AH349" s="1"/>
      <c r="AI349" s="1"/>
      <c r="AJ349" s="1"/>
      <c r="AK349" s="1"/>
      <c r="AL349" s="1"/>
      <c r="AM349" s="1"/>
    </row>
    <row r="350" spans="8:39" s="157" customFormat="1" x14ac:dyDescent="0.2">
      <c r="H350" s="386"/>
      <c r="I350" s="386"/>
      <c r="J350" s="387"/>
      <c r="K350" s="394"/>
      <c r="L350" s="394"/>
      <c r="M350" s="386"/>
      <c r="N350" s="386"/>
      <c r="O350" s="395"/>
      <c r="P350" s="227"/>
      <c r="AC350" s="317"/>
      <c r="AD350" s="1"/>
      <c r="AE350" s="1"/>
      <c r="AF350" s="1"/>
      <c r="AG350" s="1"/>
      <c r="AH350" s="1"/>
      <c r="AI350" s="1"/>
      <c r="AJ350" s="1"/>
      <c r="AK350" s="1"/>
      <c r="AL350" s="1"/>
      <c r="AM350" s="1"/>
    </row>
    <row r="351" spans="8:39" s="157" customFormat="1" x14ac:dyDescent="0.2">
      <c r="H351" s="386"/>
      <c r="I351" s="386"/>
      <c r="J351" s="387"/>
      <c r="K351" s="394"/>
      <c r="L351" s="394"/>
      <c r="M351" s="386"/>
      <c r="N351" s="386"/>
      <c r="O351" s="395"/>
      <c r="P351" s="227"/>
      <c r="AC351" s="317"/>
      <c r="AD351" s="1"/>
      <c r="AE351" s="1"/>
      <c r="AF351" s="1"/>
      <c r="AG351" s="1"/>
      <c r="AH351" s="1"/>
      <c r="AI351" s="1"/>
      <c r="AJ351" s="1"/>
      <c r="AK351" s="1"/>
      <c r="AL351" s="1"/>
      <c r="AM351" s="1"/>
    </row>
    <row r="352" spans="8:39" s="157" customFormat="1" x14ac:dyDescent="0.2">
      <c r="H352" s="386"/>
      <c r="I352" s="386"/>
      <c r="J352" s="387"/>
      <c r="K352" s="394"/>
      <c r="L352" s="394"/>
      <c r="M352" s="386"/>
      <c r="N352" s="386"/>
      <c r="O352" s="395"/>
      <c r="P352" s="227"/>
      <c r="AC352" s="317"/>
      <c r="AD352" s="1"/>
      <c r="AE352" s="1"/>
      <c r="AF352" s="1"/>
      <c r="AG352" s="1"/>
      <c r="AH352" s="1"/>
      <c r="AI352" s="1"/>
      <c r="AJ352" s="1"/>
      <c r="AK352" s="1"/>
      <c r="AL352" s="1"/>
      <c r="AM352" s="1"/>
    </row>
    <row r="353" spans="8:39" s="157" customFormat="1" x14ac:dyDescent="0.2">
      <c r="H353" s="386"/>
      <c r="I353" s="386"/>
      <c r="J353" s="387"/>
      <c r="K353" s="394"/>
      <c r="L353" s="394"/>
      <c r="M353" s="386"/>
      <c r="N353" s="386"/>
      <c r="O353" s="395"/>
      <c r="P353" s="227"/>
      <c r="AC353" s="317"/>
      <c r="AD353" s="1"/>
      <c r="AE353" s="1"/>
      <c r="AF353" s="1"/>
      <c r="AG353" s="1"/>
      <c r="AH353" s="1"/>
      <c r="AI353" s="1"/>
      <c r="AJ353" s="1"/>
      <c r="AK353" s="1"/>
      <c r="AL353" s="1"/>
      <c r="AM353" s="1"/>
    </row>
    <row r="354" spans="8:39" s="157" customFormat="1" x14ac:dyDescent="0.2">
      <c r="H354" s="386"/>
      <c r="I354" s="386"/>
      <c r="J354" s="387"/>
      <c r="K354" s="394"/>
      <c r="L354" s="394"/>
      <c r="M354" s="386"/>
      <c r="N354" s="386"/>
      <c r="O354" s="395"/>
      <c r="P354" s="227"/>
      <c r="AC354" s="317"/>
      <c r="AD354" s="1"/>
      <c r="AE354" s="1"/>
      <c r="AF354" s="1"/>
      <c r="AG354" s="1"/>
      <c r="AH354" s="1"/>
      <c r="AI354" s="1"/>
      <c r="AJ354" s="1"/>
      <c r="AK354" s="1"/>
      <c r="AL354" s="1"/>
      <c r="AM354" s="1"/>
    </row>
    <row r="355" spans="8:39" s="157" customFormat="1" x14ac:dyDescent="0.2">
      <c r="H355" s="386"/>
      <c r="I355" s="386"/>
      <c r="J355" s="387"/>
      <c r="K355" s="394"/>
      <c r="L355" s="394"/>
      <c r="M355" s="386"/>
      <c r="N355" s="386"/>
      <c r="O355" s="395"/>
      <c r="P355" s="227"/>
      <c r="AC355" s="317"/>
      <c r="AD355" s="1"/>
      <c r="AE355" s="1"/>
      <c r="AF355" s="1"/>
      <c r="AG355" s="1"/>
      <c r="AH355" s="1"/>
      <c r="AI355" s="1"/>
      <c r="AJ355" s="1"/>
      <c r="AK355" s="1"/>
      <c r="AL355" s="1"/>
      <c r="AM355" s="1"/>
    </row>
    <row r="356" spans="8:39" s="157" customFormat="1" x14ac:dyDescent="0.2">
      <c r="H356" s="386"/>
      <c r="I356" s="386"/>
      <c r="J356" s="387"/>
      <c r="K356" s="394"/>
      <c r="L356" s="394"/>
      <c r="M356" s="386"/>
      <c r="N356" s="386"/>
      <c r="O356" s="395"/>
      <c r="P356" s="227"/>
      <c r="AC356" s="317"/>
      <c r="AD356" s="1"/>
      <c r="AE356" s="1"/>
      <c r="AF356" s="1"/>
      <c r="AG356" s="1"/>
      <c r="AH356" s="1"/>
      <c r="AI356" s="1"/>
      <c r="AJ356" s="1"/>
      <c r="AK356" s="1"/>
      <c r="AL356" s="1"/>
      <c r="AM356" s="1"/>
    </row>
    <row r="357" spans="8:39" s="157" customFormat="1" x14ac:dyDescent="0.2">
      <c r="H357" s="386"/>
      <c r="I357" s="386"/>
      <c r="J357" s="387"/>
      <c r="K357" s="394"/>
      <c r="L357" s="394"/>
      <c r="M357" s="386"/>
      <c r="N357" s="386"/>
      <c r="O357" s="395"/>
      <c r="P357" s="227"/>
      <c r="AC357" s="317"/>
      <c r="AD357" s="1"/>
      <c r="AE357" s="1"/>
      <c r="AF357" s="1"/>
      <c r="AG357" s="1"/>
      <c r="AH357" s="1"/>
      <c r="AI357" s="1"/>
      <c r="AJ357" s="1"/>
      <c r="AK357" s="1"/>
      <c r="AL357" s="1"/>
      <c r="AM357" s="1"/>
    </row>
    <row r="358" spans="8:39" s="157" customFormat="1" x14ac:dyDescent="0.2">
      <c r="H358" s="386"/>
      <c r="I358" s="386"/>
      <c r="J358" s="387"/>
      <c r="K358" s="394"/>
      <c r="L358" s="394"/>
      <c r="M358" s="386"/>
      <c r="N358" s="386"/>
      <c r="O358" s="395"/>
      <c r="P358" s="227"/>
      <c r="AC358" s="317"/>
      <c r="AD358" s="1"/>
      <c r="AE358" s="1"/>
      <c r="AF358" s="1"/>
      <c r="AG358" s="1"/>
      <c r="AH358" s="1"/>
      <c r="AI358" s="1"/>
      <c r="AJ358" s="1"/>
      <c r="AK358" s="1"/>
      <c r="AL358" s="1"/>
      <c r="AM358" s="1"/>
    </row>
    <row r="359" spans="8:39" s="157" customFormat="1" x14ac:dyDescent="0.2">
      <c r="H359" s="386"/>
      <c r="I359" s="386"/>
      <c r="J359" s="387"/>
      <c r="K359" s="394"/>
      <c r="L359" s="394"/>
      <c r="M359" s="386"/>
      <c r="N359" s="386"/>
      <c r="O359" s="395"/>
      <c r="P359" s="227"/>
      <c r="AC359" s="317"/>
      <c r="AD359" s="1"/>
      <c r="AE359" s="1"/>
      <c r="AF359" s="1"/>
      <c r="AG359" s="1"/>
      <c r="AH359" s="1"/>
      <c r="AI359" s="1"/>
      <c r="AJ359" s="1"/>
      <c r="AK359" s="1"/>
      <c r="AL359" s="1"/>
      <c r="AM359" s="1"/>
    </row>
    <row r="360" spans="8:39" s="157" customFormat="1" x14ac:dyDescent="0.2">
      <c r="H360" s="386"/>
      <c r="I360" s="386"/>
      <c r="J360" s="387"/>
      <c r="K360" s="394"/>
      <c r="L360" s="394"/>
      <c r="M360" s="386"/>
      <c r="N360" s="386"/>
      <c r="O360" s="395"/>
      <c r="P360" s="227"/>
      <c r="AC360" s="317"/>
      <c r="AD360" s="1"/>
      <c r="AE360" s="1"/>
      <c r="AF360" s="1"/>
      <c r="AG360" s="1"/>
      <c r="AH360" s="1"/>
      <c r="AI360" s="1"/>
      <c r="AJ360" s="1"/>
      <c r="AK360" s="1"/>
      <c r="AL360" s="1"/>
      <c r="AM360" s="1"/>
    </row>
    <row r="361" spans="8:39" s="157" customFormat="1" x14ac:dyDescent="0.2">
      <c r="H361" s="386"/>
      <c r="I361" s="386"/>
      <c r="J361" s="387"/>
      <c r="K361" s="394"/>
      <c r="L361" s="394"/>
      <c r="M361" s="386"/>
      <c r="N361" s="386"/>
      <c r="O361" s="395"/>
      <c r="P361" s="227"/>
      <c r="AC361" s="317"/>
      <c r="AD361" s="1"/>
      <c r="AE361" s="1"/>
      <c r="AF361" s="1"/>
      <c r="AG361" s="1"/>
      <c r="AH361" s="1"/>
      <c r="AI361" s="1"/>
      <c r="AJ361" s="1"/>
      <c r="AK361" s="1"/>
      <c r="AL361" s="1"/>
      <c r="AM361" s="1"/>
    </row>
    <row r="362" spans="8:39" s="157" customFormat="1" x14ac:dyDescent="0.2">
      <c r="H362" s="386"/>
      <c r="I362" s="386"/>
      <c r="J362" s="387"/>
      <c r="K362" s="394"/>
      <c r="L362" s="394"/>
      <c r="M362" s="386"/>
      <c r="N362" s="386"/>
      <c r="O362" s="395"/>
      <c r="P362" s="227"/>
      <c r="AC362" s="317"/>
      <c r="AD362" s="1"/>
      <c r="AE362" s="1"/>
      <c r="AF362" s="1"/>
      <c r="AG362" s="1"/>
      <c r="AH362" s="1"/>
      <c r="AI362" s="1"/>
      <c r="AJ362" s="1"/>
      <c r="AK362" s="1"/>
      <c r="AL362" s="1"/>
      <c r="AM362" s="1"/>
    </row>
    <row r="363" spans="8:39" s="157" customFormat="1" x14ac:dyDescent="0.2">
      <c r="H363" s="386"/>
      <c r="I363" s="386"/>
      <c r="J363" s="387"/>
      <c r="K363" s="394"/>
      <c r="L363" s="394"/>
      <c r="M363" s="386"/>
      <c r="N363" s="386"/>
      <c r="O363" s="395"/>
      <c r="P363" s="227"/>
      <c r="AC363" s="317"/>
      <c r="AD363" s="1"/>
      <c r="AE363" s="1"/>
      <c r="AF363" s="1"/>
      <c r="AG363" s="1"/>
      <c r="AH363" s="1"/>
      <c r="AI363" s="1"/>
      <c r="AJ363" s="1"/>
      <c r="AK363" s="1"/>
      <c r="AL363" s="1"/>
      <c r="AM363" s="1"/>
    </row>
    <row r="364" spans="8:39" s="157" customFormat="1" x14ac:dyDescent="0.2">
      <c r="H364" s="386"/>
      <c r="I364" s="386"/>
      <c r="J364" s="387"/>
      <c r="K364" s="394"/>
      <c r="L364" s="394"/>
      <c r="M364" s="386"/>
      <c r="N364" s="386"/>
      <c r="O364" s="395"/>
      <c r="P364" s="227"/>
      <c r="AC364" s="317"/>
      <c r="AD364" s="1"/>
      <c r="AE364" s="1"/>
      <c r="AF364" s="1"/>
      <c r="AG364" s="1"/>
      <c r="AH364" s="1"/>
      <c r="AI364" s="1"/>
      <c r="AJ364" s="1"/>
      <c r="AK364" s="1"/>
      <c r="AL364" s="1"/>
      <c r="AM364" s="1"/>
    </row>
    <row r="365" spans="8:39" s="157" customFormat="1" x14ac:dyDescent="0.2">
      <c r="H365" s="386"/>
      <c r="I365" s="386"/>
      <c r="J365" s="387"/>
      <c r="K365" s="394"/>
      <c r="L365" s="394"/>
      <c r="M365" s="386"/>
      <c r="N365" s="386"/>
      <c r="O365" s="395"/>
      <c r="P365" s="227"/>
      <c r="AC365" s="317"/>
      <c r="AD365" s="1"/>
      <c r="AE365" s="1"/>
      <c r="AF365" s="1"/>
      <c r="AG365" s="1"/>
      <c r="AH365" s="1"/>
      <c r="AI365" s="1"/>
      <c r="AJ365" s="1"/>
      <c r="AK365" s="1"/>
      <c r="AL365" s="1"/>
      <c r="AM365" s="1"/>
    </row>
    <row r="366" spans="8:39" s="157" customFormat="1" x14ac:dyDescent="0.2">
      <c r="H366" s="386"/>
      <c r="I366" s="386"/>
      <c r="J366" s="387"/>
      <c r="K366" s="394"/>
      <c r="L366" s="394"/>
      <c r="M366" s="386"/>
      <c r="N366" s="386"/>
      <c r="O366" s="395"/>
      <c r="P366" s="227"/>
      <c r="AC366" s="317"/>
      <c r="AD366" s="1"/>
      <c r="AE366" s="1"/>
      <c r="AF366" s="1"/>
      <c r="AG366" s="1"/>
      <c r="AH366" s="1"/>
      <c r="AI366" s="1"/>
      <c r="AJ366" s="1"/>
      <c r="AK366" s="1"/>
      <c r="AL366" s="1"/>
      <c r="AM366" s="1"/>
    </row>
    <row r="367" spans="8:39" s="157" customFormat="1" x14ac:dyDescent="0.2">
      <c r="H367" s="386"/>
      <c r="I367" s="386"/>
      <c r="J367" s="387"/>
      <c r="K367" s="394"/>
      <c r="L367" s="394"/>
      <c r="M367" s="386"/>
      <c r="N367" s="386"/>
      <c r="O367" s="395"/>
      <c r="P367" s="227"/>
      <c r="AC367" s="317"/>
      <c r="AD367" s="1"/>
      <c r="AE367" s="1"/>
      <c r="AF367" s="1"/>
      <c r="AG367" s="1"/>
      <c r="AH367" s="1"/>
      <c r="AI367" s="1"/>
      <c r="AJ367" s="1"/>
      <c r="AK367" s="1"/>
      <c r="AL367" s="1"/>
      <c r="AM367" s="1"/>
    </row>
    <row r="368" spans="8:39" s="157" customFormat="1" x14ac:dyDescent="0.2">
      <c r="H368" s="386"/>
      <c r="I368" s="386"/>
      <c r="J368" s="387"/>
      <c r="K368" s="394"/>
      <c r="L368" s="394"/>
      <c r="M368" s="386"/>
      <c r="N368" s="386"/>
      <c r="O368" s="395"/>
      <c r="P368" s="227"/>
      <c r="AC368" s="317"/>
      <c r="AD368" s="1"/>
      <c r="AE368" s="1"/>
      <c r="AF368" s="1"/>
      <c r="AG368" s="1"/>
      <c r="AH368" s="1"/>
      <c r="AI368" s="1"/>
      <c r="AJ368" s="1"/>
      <c r="AK368" s="1"/>
      <c r="AL368" s="1"/>
      <c r="AM368" s="1"/>
    </row>
    <row r="369" spans="8:39" s="157" customFormat="1" x14ac:dyDescent="0.2">
      <c r="H369" s="386"/>
      <c r="I369" s="386"/>
      <c r="J369" s="387"/>
      <c r="K369" s="394"/>
      <c r="L369" s="394"/>
      <c r="M369" s="386"/>
      <c r="N369" s="386"/>
      <c r="O369" s="395"/>
      <c r="P369" s="227"/>
      <c r="AC369" s="317"/>
      <c r="AD369" s="1"/>
      <c r="AE369" s="1"/>
      <c r="AF369" s="1"/>
      <c r="AG369" s="1"/>
      <c r="AH369" s="1"/>
      <c r="AI369" s="1"/>
      <c r="AJ369" s="1"/>
      <c r="AK369" s="1"/>
      <c r="AL369" s="1"/>
      <c r="AM369" s="1"/>
    </row>
    <row r="370" spans="8:39" s="157" customFormat="1" x14ac:dyDescent="0.2">
      <c r="H370" s="386"/>
      <c r="I370" s="386"/>
      <c r="J370" s="387"/>
      <c r="K370" s="394"/>
      <c r="L370" s="394"/>
      <c r="M370" s="386"/>
      <c r="N370" s="386"/>
      <c r="O370" s="395"/>
      <c r="P370" s="227"/>
      <c r="AC370" s="317"/>
      <c r="AD370" s="1"/>
      <c r="AE370" s="1"/>
      <c r="AF370" s="1"/>
      <c r="AG370" s="1"/>
      <c r="AH370" s="1"/>
      <c r="AI370" s="1"/>
      <c r="AJ370" s="1"/>
      <c r="AK370" s="1"/>
      <c r="AL370" s="1"/>
      <c r="AM370" s="1"/>
    </row>
    <row r="371" spans="8:39" s="157" customFormat="1" x14ac:dyDescent="0.2">
      <c r="H371" s="386"/>
      <c r="I371" s="386"/>
      <c r="J371" s="387"/>
      <c r="K371" s="394"/>
      <c r="L371" s="394"/>
      <c r="M371" s="386"/>
      <c r="N371" s="386"/>
      <c r="O371" s="395"/>
      <c r="P371" s="227"/>
      <c r="AC371" s="317"/>
      <c r="AD371" s="1"/>
      <c r="AE371" s="1"/>
      <c r="AF371" s="1"/>
      <c r="AG371" s="1"/>
      <c r="AH371" s="1"/>
      <c r="AI371" s="1"/>
      <c r="AJ371" s="1"/>
      <c r="AK371" s="1"/>
      <c r="AL371" s="1"/>
      <c r="AM371" s="1"/>
    </row>
    <row r="372" spans="8:39" s="157" customFormat="1" x14ac:dyDescent="0.2">
      <c r="H372" s="386"/>
      <c r="I372" s="386"/>
      <c r="J372" s="387"/>
      <c r="K372" s="394"/>
      <c r="L372" s="394"/>
      <c r="M372" s="386"/>
      <c r="N372" s="386"/>
      <c r="O372" s="395"/>
      <c r="P372" s="227"/>
      <c r="AC372" s="317"/>
      <c r="AD372" s="1"/>
      <c r="AE372" s="1"/>
      <c r="AF372" s="1"/>
      <c r="AG372" s="1"/>
      <c r="AH372" s="1"/>
      <c r="AI372" s="1"/>
      <c r="AJ372" s="1"/>
      <c r="AK372" s="1"/>
      <c r="AL372" s="1"/>
      <c r="AM372" s="1"/>
    </row>
    <row r="373" spans="8:39" s="157" customFormat="1" x14ac:dyDescent="0.2">
      <c r="H373" s="386"/>
      <c r="I373" s="386"/>
      <c r="J373" s="387"/>
      <c r="K373" s="394"/>
      <c r="L373" s="394"/>
      <c r="M373" s="386"/>
      <c r="N373" s="386"/>
      <c r="O373" s="395"/>
      <c r="P373" s="227"/>
      <c r="AC373" s="317"/>
      <c r="AD373" s="1"/>
      <c r="AE373" s="1"/>
      <c r="AF373" s="1"/>
      <c r="AG373" s="1"/>
      <c r="AH373" s="1"/>
      <c r="AI373" s="1"/>
      <c r="AJ373" s="1"/>
      <c r="AK373" s="1"/>
      <c r="AL373" s="1"/>
      <c r="AM373" s="1"/>
    </row>
    <row r="374" spans="8:39" s="157" customFormat="1" x14ac:dyDescent="0.2">
      <c r="H374" s="386"/>
      <c r="I374" s="386"/>
      <c r="J374" s="387"/>
      <c r="K374" s="394"/>
      <c r="L374" s="394"/>
      <c r="M374" s="386"/>
      <c r="N374" s="386"/>
      <c r="O374" s="395"/>
      <c r="P374" s="227"/>
      <c r="AC374" s="317"/>
      <c r="AD374" s="1"/>
      <c r="AE374" s="1"/>
      <c r="AF374" s="1"/>
      <c r="AG374" s="1"/>
      <c r="AH374" s="1"/>
      <c r="AI374" s="1"/>
      <c r="AJ374" s="1"/>
      <c r="AK374" s="1"/>
      <c r="AL374" s="1"/>
      <c r="AM374" s="1"/>
    </row>
    <row r="375" spans="8:39" s="157" customFormat="1" x14ac:dyDescent="0.2">
      <c r="H375" s="386"/>
      <c r="I375" s="386"/>
      <c r="J375" s="387"/>
      <c r="K375" s="394"/>
      <c r="L375" s="394"/>
      <c r="M375" s="386"/>
      <c r="N375" s="386"/>
      <c r="O375" s="395"/>
      <c r="P375" s="227"/>
      <c r="AC375" s="317"/>
      <c r="AD375" s="1"/>
      <c r="AE375" s="1"/>
      <c r="AF375" s="1"/>
      <c r="AG375" s="1"/>
      <c r="AH375" s="1"/>
      <c r="AI375" s="1"/>
      <c r="AJ375" s="1"/>
      <c r="AK375" s="1"/>
      <c r="AL375" s="1"/>
      <c r="AM375" s="1"/>
    </row>
    <row r="376" spans="8:39" s="157" customFormat="1" x14ac:dyDescent="0.2">
      <c r="H376" s="386"/>
      <c r="I376" s="386"/>
      <c r="J376" s="387"/>
      <c r="K376" s="394"/>
      <c r="L376" s="394"/>
      <c r="M376" s="386"/>
      <c r="N376" s="386"/>
      <c r="O376" s="395"/>
      <c r="P376" s="227"/>
      <c r="AC376" s="317"/>
      <c r="AD376" s="1"/>
      <c r="AE376" s="1"/>
      <c r="AF376" s="1"/>
      <c r="AG376" s="1"/>
      <c r="AH376" s="1"/>
      <c r="AI376" s="1"/>
      <c r="AJ376" s="1"/>
      <c r="AK376" s="1"/>
      <c r="AL376" s="1"/>
      <c r="AM376" s="1"/>
    </row>
    <row r="377" spans="8:39" s="157" customFormat="1" x14ac:dyDescent="0.2">
      <c r="H377" s="386"/>
      <c r="I377" s="386"/>
      <c r="J377" s="387"/>
      <c r="K377" s="394"/>
      <c r="L377" s="394"/>
      <c r="M377" s="386"/>
      <c r="N377" s="386"/>
      <c r="O377" s="395"/>
      <c r="P377" s="227"/>
      <c r="AC377" s="317"/>
      <c r="AD377" s="1"/>
      <c r="AE377" s="1"/>
      <c r="AF377" s="1"/>
      <c r="AG377" s="1"/>
      <c r="AH377" s="1"/>
      <c r="AI377" s="1"/>
      <c r="AJ377" s="1"/>
      <c r="AK377" s="1"/>
      <c r="AL377" s="1"/>
      <c r="AM377" s="1"/>
    </row>
    <row r="378" spans="8:39" s="157" customFormat="1" x14ac:dyDescent="0.2">
      <c r="H378" s="386"/>
      <c r="I378" s="386"/>
      <c r="J378" s="387"/>
      <c r="K378" s="394"/>
      <c r="L378" s="394"/>
      <c r="M378" s="386"/>
      <c r="N378" s="386"/>
      <c r="O378" s="395"/>
      <c r="P378" s="227"/>
      <c r="AC378" s="317"/>
      <c r="AD378" s="1"/>
      <c r="AE378" s="1"/>
      <c r="AF378" s="1"/>
      <c r="AG378" s="1"/>
      <c r="AH378" s="1"/>
      <c r="AI378" s="1"/>
      <c r="AJ378" s="1"/>
      <c r="AK378" s="1"/>
      <c r="AL378" s="1"/>
      <c r="AM378" s="1"/>
    </row>
    <row r="379" spans="8:39" s="157" customFormat="1" x14ac:dyDescent="0.2">
      <c r="H379" s="386"/>
      <c r="I379" s="386"/>
      <c r="J379" s="387"/>
      <c r="K379" s="394"/>
      <c r="L379" s="394"/>
      <c r="M379" s="386"/>
      <c r="N379" s="386"/>
      <c r="O379" s="395"/>
      <c r="P379" s="227"/>
      <c r="AC379" s="317"/>
      <c r="AD379" s="1"/>
      <c r="AE379" s="1"/>
      <c r="AF379" s="1"/>
      <c r="AG379" s="1"/>
      <c r="AH379" s="1"/>
      <c r="AI379" s="1"/>
      <c r="AJ379" s="1"/>
      <c r="AK379" s="1"/>
      <c r="AL379" s="1"/>
      <c r="AM379" s="1"/>
    </row>
    <row r="380" spans="8:39" s="157" customFormat="1" x14ac:dyDescent="0.2">
      <c r="H380" s="386"/>
      <c r="I380" s="386"/>
      <c r="J380" s="387"/>
      <c r="K380" s="394"/>
      <c r="L380" s="394"/>
      <c r="M380" s="386"/>
      <c r="N380" s="386"/>
      <c r="O380" s="395"/>
      <c r="P380" s="227"/>
      <c r="AC380" s="317"/>
      <c r="AD380" s="1"/>
      <c r="AE380" s="1"/>
      <c r="AF380" s="1"/>
      <c r="AG380" s="1"/>
      <c r="AH380" s="1"/>
      <c r="AI380" s="1"/>
      <c r="AJ380" s="1"/>
      <c r="AK380" s="1"/>
      <c r="AL380" s="1"/>
      <c r="AM380" s="1"/>
    </row>
    <row r="381" spans="8:39" s="157" customFormat="1" x14ac:dyDescent="0.2">
      <c r="H381" s="386"/>
      <c r="I381" s="386"/>
      <c r="J381" s="387"/>
      <c r="K381" s="394"/>
      <c r="L381" s="394"/>
      <c r="M381" s="386"/>
      <c r="N381" s="386"/>
      <c r="O381" s="395"/>
      <c r="P381" s="227"/>
      <c r="AC381" s="317"/>
      <c r="AD381" s="1"/>
      <c r="AE381" s="1"/>
      <c r="AF381" s="1"/>
      <c r="AG381" s="1"/>
      <c r="AH381" s="1"/>
      <c r="AI381" s="1"/>
      <c r="AJ381" s="1"/>
      <c r="AK381" s="1"/>
      <c r="AL381" s="1"/>
      <c r="AM381" s="1"/>
    </row>
    <row r="382" spans="8:39" s="157" customFormat="1" x14ac:dyDescent="0.2">
      <c r="H382" s="386"/>
      <c r="I382" s="386"/>
      <c r="J382" s="387"/>
      <c r="K382" s="394"/>
      <c r="L382" s="394"/>
      <c r="M382" s="386"/>
      <c r="N382" s="386"/>
      <c r="O382" s="395"/>
      <c r="P382" s="227"/>
      <c r="AC382" s="317"/>
      <c r="AD382" s="1"/>
      <c r="AE382" s="1"/>
      <c r="AF382" s="1"/>
      <c r="AG382" s="1"/>
      <c r="AH382" s="1"/>
      <c r="AI382" s="1"/>
      <c r="AJ382" s="1"/>
      <c r="AK382" s="1"/>
      <c r="AL382" s="1"/>
      <c r="AM382" s="1"/>
    </row>
    <row r="383" spans="8:39" s="157" customFormat="1" x14ac:dyDescent="0.2">
      <c r="H383" s="386"/>
      <c r="I383" s="386"/>
      <c r="J383" s="387"/>
      <c r="K383" s="394"/>
      <c r="L383" s="394"/>
      <c r="M383" s="386"/>
      <c r="N383" s="386"/>
      <c r="O383" s="395"/>
      <c r="P383" s="227"/>
      <c r="AC383" s="317"/>
      <c r="AD383" s="1"/>
      <c r="AE383" s="1"/>
      <c r="AF383" s="1"/>
      <c r="AG383" s="1"/>
      <c r="AH383" s="1"/>
      <c r="AI383" s="1"/>
      <c r="AJ383" s="1"/>
      <c r="AK383" s="1"/>
      <c r="AL383" s="1"/>
      <c r="AM383" s="1"/>
    </row>
    <row r="384" spans="8:39" s="157" customFormat="1" x14ac:dyDescent="0.2">
      <c r="H384" s="386"/>
      <c r="I384" s="386"/>
      <c r="J384" s="387"/>
      <c r="K384" s="394"/>
      <c r="L384" s="394"/>
      <c r="M384" s="386"/>
      <c r="N384" s="386"/>
      <c r="O384" s="395"/>
      <c r="P384" s="227"/>
      <c r="AC384" s="317"/>
      <c r="AD384" s="1"/>
      <c r="AE384" s="1"/>
      <c r="AF384" s="1"/>
      <c r="AG384" s="1"/>
      <c r="AH384" s="1"/>
      <c r="AI384" s="1"/>
      <c r="AJ384" s="1"/>
      <c r="AK384" s="1"/>
      <c r="AL384" s="1"/>
      <c r="AM384" s="1"/>
    </row>
    <row r="385" spans="8:39" s="157" customFormat="1" x14ac:dyDescent="0.2">
      <c r="H385" s="386"/>
      <c r="I385" s="386"/>
      <c r="J385" s="387"/>
      <c r="K385" s="394"/>
      <c r="L385" s="394"/>
      <c r="M385" s="386"/>
      <c r="N385" s="386"/>
      <c r="O385" s="395"/>
      <c r="P385" s="227"/>
      <c r="AC385" s="317"/>
      <c r="AD385" s="1"/>
      <c r="AE385" s="1"/>
      <c r="AF385" s="1"/>
      <c r="AG385" s="1"/>
      <c r="AH385" s="1"/>
      <c r="AI385" s="1"/>
      <c r="AJ385" s="1"/>
      <c r="AK385" s="1"/>
      <c r="AL385" s="1"/>
      <c r="AM385" s="1"/>
    </row>
    <row r="386" spans="8:39" s="157" customFormat="1" x14ac:dyDescent="0.2">
      <c r="H386" s="386"/>
      <c r="I386" s="386"/>
      <c r="J386" s="387"/>
      <c r="K386" s="394"/>
      <c r="L386" s="394"/>
      <c r="M386" s="386"/>
      <c r="N386" s="386"/>
      <c r="O386" s="395"/>
      <c r="P386" s="227"/>
      <c r="AC386" s="317"/>
      <c r="AD386" s="1"/>
      <c r="AE386" s="1"/>
      <c r="AF386" s="1"/>
      <c r="AG386" s="1"/>
      <c r="AH386" s="1"/>
      <c r="AI386" s="1"/>
      <c r="AJ386" s="1"/>
      <c r="AK386" s="1"/>
      <c r="AL386" s="1"/>
      <c r="AM386" s="1"/>
    </row>
    <row r="387" spans="8:39" s="157" customFormat="1" x14ac:dyDescent="0.2">
      <c r="H387" s="386"/>
      <c r="I387" s="386"/>
      <c r="J387" s="387"/>
      <c r="K387" s="394"/>
      <c r="L387" s="394"/>
      <c r="M387" s="386"/>
      <c r="N387" s="386"/>
      <c r="O387" s="395"/>
      <c r="P387" s="227"/>
      <c r="AC387" s="317"/>
      <c r="AD387" s="1"/>
      <c r="AE387" s="1"/>
      <c r="AF387" s="1"/>
      <c r="AG387" s="1"/>
      <c r="AH387" s="1"/>
      <c r="AI387" s="1"/>
      <c r="AJ387" s="1"/>
      <c r="AK387" s="1"/>
      <c r="AL387" s="1"/>
      <c r="AM387" s="1"/>
    </row>
    <row r="388" spans="8:39" s="157" customFormat="1" x14ac:dyDescent="0.2">
      <c r="H388" s="386"/>
      <c r="I388" s="386"/>
      <c r="J388" s="387"/>
      <c r="K388" s="394"/>
      <c r="L388" s="394"/>
      <c r="M388" s="386"/>
      <c r="N388" s="386"/>
      <c r="O388" s="395"/>
      <c r="P388" s="227"/>
      <c r="AC388" s="317"/>
      <c r="AD388" s="1"/>
      <c r="AE388" s="1"/>
      <c r="AF388" s="1"/>
      <c r="AG388" s="1"/>
      <c r="AH388" s="1"/>
      <c r="AI388" s="1"/>
      <c r="AJ388" s="1"/>
      <c r="AK388" s="1"/>
      <c r="AL388" s="1"/>
      <c r="AM388" s="1"/>
    </row>
    <row r="389" spans="8:39" s="157" customFormat="1" x14ac:dyDescent="0.2">
      <c r="H389" s="386"/>
      <c r="I389" s="386"/>
      <c r="J389" s="387"/>
      <c r="K389" s="394"/>
      <c r="L389" s="394"/>
      <c r="M389" s="386"/>
      <c r="N389" s="386"/>
      <c r="O389" s="395"/>
      <c r="P389" s="227"/>
      <c r="AC389" s="317"/>
      <c r="AD389" s="1"/>
      <c r="AE389" s="1"/>
      <c r="AF389" s="1"/>
      <c r="AG389" s="1"/>
      <c r="AH389" s="1"/>
      <c r="AI389" s="1"/>
      <c r="AJ389" s="1"/>
      <c r="AK389" s="1"/>
      <c r="AL389" s="1"/>
      <c r="AM389" s="1"/>
    </row>
    <row r="390" spans="8:39" s="157" customFormat="1" x14ac:dyDescent="0.2">
      <c r="H390" s="386"/>
      <c r="I390" s="386"/>
      <c r="J390" s="387"/>
      <c r="K390" s="394"/>
      <c r="L390" s="394"/>
      <c r="M390" s="386"/>
      <c r="N390" s="386"/>
      <c r="O390" s="395"/>
      <c r="P390" s="227"/>
      <c r="AC390" s="317"/>
      <c r="AD390" s="1"/>
      <c r="AE390" s="1"/>
      <c r="AF390" s="1"/>
      <c r="AG390" s="1"/>
      <c r="AH390" s="1"/>
      <c r="AI390" s="1"/>
      <c r="AJ390" s="1"/>
      <c r="AK390" s="1"/>
      <c r="AL390" s="1"/>
      <c r="AM390" s="1"/>
    </row>
    <row r="391" spans="8:39" s="157" customFormat="1" x14ac:dyDescent="0.2">
      <c r="H391" s="386"/>
      <c r="I391" s="386"/>
      <c r="J391" s="387"/>
      <c r="K391" s="394"/>
      <c r="L391" s="394"/>
      <c r="M391" s="386"/>
      <c r="N391" s="386"/>
      <c r="O391" s="395"/>
      <c r="P391" s="227"/>
      <c r="AC391" s="317"/>
      <c r="AD391" s="1"/>
      <c r="AE391" s="1"/>
      <c r="AF391" s="1"/>
      <c r="AG391" s="1"/>
      <c r="AH391" s="1"/>
      <c r="AI391" s="1"/>
      <c r="AJ391" s="1"/>
      <c r="AK391" s="1"/>
      <c r="AL391" s="1"/>
      <c r="AM391" s="1"/>
    </row>
    <row r="392" spans="8:39" s="157" customFormat="1" x14ac:dyDescent="0.2">
      <c r="H392" s="386"/>
      <c r="I392" s="386"/>
      <c r="J392" s="387"/>
      <c r="K392" s="394"/>
      <c r="L392" s="394"/>
      <c r="M392" s="386"/>
      <c r="N392" s="386"/>
      <c r="O392" s="395"/>
      <c r="P392" s="227"/>
      <c r="AC392" s="317"/>
      <c r="AD392" s="1"/>
      <c r="AE392" s="1"/>
      <c r="AF392" s="1"/>
      <c r="AG392" s="1"/>
      <c r="AH392" s="1"/>
      <c r="AI392" s="1"/>
      <c r="AJ392" s="1"/>
      <c r="AK392" s="1"/>
      <c r="AL392" s="1"/>
      <c r="AM392" s="1"/>
    </row>
    <row r="393" spans="8:39" s="157" customFormat="1" x14ac:dyDescent="0.2">
      <c r="H393" s="386"/>
      <c r="I393" s="386"/>
      <c r="J393" s="387"/>
      <c r="K393" s="394"/>
      <c r="L393" s="394"/>
      <c r="M393" s="386"/>
      <c r="N393" s="386"/>
      <c r="O393" s="395"/>
      <c r="P393" s="227"/>
      <c r="AC393" s="317"/>
      <c r="AD393" s="1"/>
      <c r="AE393" s="1"/>
      <c r="AF393" s="1"/>
      <c r="AG393" s="1"/>
      <c r="AH393" s="1"/>
      <c r="AI393" s="1"/>
      <c r="AJ393" s="1"/>
      <c r="AK393" s="1"/>
      <c r="AL393" s="1"/>
      <c r="AM393" s="1"/>
    </row>
    <row r="394" spans="8:39" s="157" customFormat="1" x14ac:dyDescent="0.2">
      <c r="H394" s="386"/>
      <c r="I394" s="386"/>
      <c r="J394" s="387"/>
      <c r="K394" s="394"/>
      <c r="L394" s="394"/>
      <c r="M394" s="386"/>
      <c r="N394" s="386"/>
      <c r="O394" s="395"/>
      <c r="P394" s="227"/>
      <c r="AC394" s="317"/>
      <c r="AD394" s="1"/>
      <c r="AE394" s="1"/>
      <c r="AF394" s="1"/>
      <c r="AG394" s="1"/>
      <c r="AH394" s="1"/>
      <c r="AI394" s="1"/>
      <c r="AJ394" s="1"/>
      <c r="AK394" s="1"/>
      <c r="AL394" s="1"/>
      <c r="AM394" s="1"/>
    </row>
    <row r="395" spans="8:39" s="157" customFormat="1" x14ac:dyDescent="0.2">
      <c r="H395" s="386"/>
      <c r="I395" s="386"/>
      <c r="J395" s="387"/>
      <c r="K395" s="394"/>
      <c r="L395" s="394"/>
      <c r="M395" s="386"/>
      <c r="N395" s="386"/>
      <c r="O395" s="395"/>
      <c r="P395" s="227"/>
      <c r="AC395" s="317"/>
      <c r="AD395" s="1"/>
      <c r="AE395" s="1"/>
      <c r="AF395" s="1"/>
      <c r="AG395" s="1"/>
      <c r="AH395" s="1"/>
      <c r="AI395" s="1"/>
      <c r="AJ395" s="1"/>
      <c r="AK395" s="1"/>
      <c r="AL395" s="1"/>
      <c r="AM395" s="1"/>
    </row>
    <row r="396" spans="8:39" s="157" customFormat="1" x14ac:dyDescent="0.2">
      <c r="H396" s="386"/>
      <c r="I396" s="386"/>
      <c r="J396" s="387"/>
      <c r="K396" s="394"/>
      <c r="L396" s="394"/>
      <c r="M396" s="386"/>
      <c r="N396" s="386"/>
      <c r="O396" s="395"/>
      <c r="P396" s="227"/>
      <c r="AC396" s="317"/>
      <c r="AD396" s="1"/>
      <c r="AE396" s="1"/>
      <c r="AF396" s="1"/>
      <c r="AG396" s="1"/>
      <c r="AH396" s="1"/>
      <c r="AI396" s="1"/>
      <c r="AJ396" s="1"/>
      <c r="AK396" s="1"/>
      <c r="AL396" s="1"/>
      <c r="AM396" s="1"/>
    </row>
    <row r="397" spans="8:39" x14ac:dyDescent="0.2">
      <c r="K397" s="394"/>
      <c r="L397" s="394"/>
      <c r="M397" s="386"/>
      <c r="N397" s="386"/>
      <c r="O397" s="395"/>
      <c r="P397" s="227"/>
    </row>
    <row r="398" spans="8:39" x14ac:dyDescent="0.2">
      <c r="K398" s="394"/>
      <c r="L398" s="394"/>
      <c r="M398" s="386"/>
      <c r="N398" s="386"/>
      <c r="O398" s="395"/>
      <c r="P398" s="227"/>
    </row>
    <row r="399" spans="8:39" x14ac:dyDescent="0.2">
      <c r="K399" s="394"/>
      <c r="L399" s="394"/>
      <c r="M399" s="386"/>
      <c r="N399" s="386"/>
      <c r="O399" s="395"/>
      <c r="P399" s="227"/>
    </row>
    <row r="400" spans="8:39" x14ac:dyDescent="0.2">
      <c r="K400" s="394"/>
      <c r="L400" s="394"/>
      <c r="M400" s="386"/>
      <c r="N400" s="386"/>
      <c r="O400" s="395"/>
      <c r="P400" s="227"/>
    </row>
    <row r="401" spans="11:16" x14ac:dyDescent="0.2">
      <c r="K401" s="394"/>
      <c r="L401" s="394"/>
      <c r="M401" s="386"/>
      <c r="N401" s="386"/>
      <c r="O401" s="395"/>
      <c r="P401" s="227"/>
    </row>
    <row r="402" spans="11:16" x14ac:dyDescent="0.2">
      <c r="K402" s="394"/>
      <c r="L402" s="394"/>
      <c r="M402" s="386"/>
      <c r="N402" s="386"/>
      <c r="O402" s="395"/>
    </row>
  </sheetData>
  <mergeCells count="4">
    <mergeCell ref="AC1:AC4"/>
    <mergeCell ref="K2:M2"/>
    <mergeCell ref="P2:P3"/>
    <mergeCell ref="S3:S4"/>
  </mergeCells>
  <conditionalFormatting sqref="AC5:AC44 AC72:AC104 AC46:AC69 AC117:AC119 AC106:AC111 AC113:AC115 AC121:AC122 AC124:AC134 AC160:AC164 AC177:AC181 AC166:AC169 AC183:AC185 AC189 AC191:AC201 AC210:AC216 AC205:AC206 AC219:AC220 AC242:AC248 AC232:AC234 AC222:AC225 AC227:AC228 AC259:AC261 AC266:AC269 AC251:AC256 AC272:AC277 AC282:AC296 AC279 AC301:AC302 AC304 AC236:AC239 AC136:AC158">
    <cfRule type="notContainsBlanks" dxfId="49" priority="50">
      <formula>LEN(TRIM(AC5))&gt;0</formula>
    </cfRule>
  </conditionalFormatting>
  <conditionalFormatting sqref="AC246">
    <cfRule type="notContainsBlanks" dxfId="48" priority="49">
      <formula>LEN(TRIM(AC246))&gt;0</formula>
    </cfRule>
  </conditionalFormatting>
  <conditionalFormatting sqref="AC45">
    <cfRule type="notContainsBlanks" dxfId="47" priority="48">
      <formula>LEN(TRIM(AC45))&gt;0</formula>
    </cfRule>
  </conditionalFormatting>
  <conditionalFormatting sqref="AC70:AC71">
    <cfRule type="notContainsBlanks" dxfId="46" priority="47">
      <formula>LEN(TRIM(AC70))&gt;0</formula>
    </cfRule>
  </conditionalFormatting>
  <conditionalFormatting sqref="AC116">
    <cfRule type="notContainsBlanks" dxfId="45" priority="46">
      <formula>LEN(TRIM(AC116))&gt;0</formula>
    </cfRule>
  </conditionalFormatting>
  <conditionalFormatting sqref="AC105">
    <cfRule type="notContainsBlanks" dxfId="44" priority="45">
      <formula>LEN(TRIM(AC105))&gt;0</formula>
    </cfRule>
  </conditionalFormatting>
  <conditionalFormatting sqref="AC112">
    <cfRule type="notContainsBlanks" dxfId="43" priority="44">
      <formula>LEN(TRIM(AC112))&gt;0</formula>
    </cfRule>
  </conditionalFormatting>
  <conditionalFormatting sqref="AC120">
    <cfRule type="notContainsBlanks" dxfId="42" priority="43">
      <formula>LEN(TRIM(AC120))&gt;0</formula>
    </cfRule>
  </conditionalFormatting>
  <conditionalFormatting sqref="AC135">
    <cfRule type="notContainsBlanks" dxfId="41" priority="42">
      <formula>LEN(TRIM(AC135))&gt;0</formula>
    </cfRule>
  </conditionalFormatting>
  <conditionalFormatting sqref="AC123">
    <cfRule type="notContainsBlanks" dxfId="40" priority="41">
      <formula>LEN(TRIM(AC123))&gt;0</formula>
    </cfRule>
  </conditionalFormatting>
  <conditionalFormatting sqref="AC159">
    <cfRule type="notContainsBlanks" dxfId="39" priority="40">
      <formula>LEN(TRIM(AC159))&gt;0</formula>
    </cfRule>
  </conditionalFormatting>
  <conditionalFormatting sqref="AC176">
    <cfRule type="notContainsBlanks" dxfId="38" priority="37">
      <formula>LEN(TRIM(AC176))&gt;0</formula>
    </cfRule>
  </conditionalFormatting>
  <conditionalFormatting sqref="AC171:AC172">
    <cfRule type="notContainsBlanks" dxfId="37" priority="39">
      <formula>LEN(TRIM(AC171))&gt;0</formula>
    </cfRule>
  </conditionalFormatting>
  <conditionalFormatting sqref="AC173">
    <cfRule type="notContainsBlanks" dxfId="36" priority="38">
      <formula>LEN(TRIM(AC173))&gt;0</formula>
    </cfRule>
  </conditionalFormatting>
  <conditionalFormatting sqref="AC182">
    <cfRule type="notContainsBlanks" dxfId="35" priority="33">
      <formula>LEN(TRIM(AC182))&gt;0</formula>
    </cfRule>
  </conditionalFormatting>
  <conditionalFormatting sqref="AC186:AC187">
    <cfRule type="notContainsBlanks" dxfId="34" priority="32">
      <formula>LEN(TRIM(AC186))&gt;0</formula>
    </cfRule>
  </conditionalFormatting>
  <conditionalFormatting sqref="AC165">
    <cfRule type="notContainsBlanks" dxfId="33" priority="34">
      <formula>LEN(TRIM(AC165))&gt;0</formula>
    </cfRule>
  </conditionalFormatting>
  <conditionalFormatting sqref="AC175">
    <cfRule type="notContainsBlanks" dxfId="32" priority="36">
      <formula>LEN(TRIM(AC175))&gt;0</formula>
    </cfRule>
  </conditionalFormatting>
  <conditionalFormatting sqref="AC174">
    <cfRule type="notContainsBlanks" dxfId="31" priority="35">
      <formula>LEN(TRIM(AC174))&gt;0</formula>
    </cfRule>
  </conditionalFormatting>
  <conditionalFormatting sqref="AC188">
    <cfRule type="notContainsBlanks" dxfId="30" priority="30">
      <formula>LEN(TRIM(AC188))&gt;0</formula>
    </cfRule>
  </conditionalFormatting>
  <conditionalFormatting sqref="AC190">
    <cfRule type="notContainsBlanks" dxfId="29" priority="31">
      <formula>LEN(TRIM(AC190))&gt;0</formula>
    </cfRule>
  </conditionalFormatting>
  <conditionalFormatting sqref="AC207:AC209">
    <cfRule type="notContainsBlanks" dxfId="28" priority="29">
      <formula>LEN(TRIM(AC207))&gt;0</formula>
    </cfRule>
  </conditionalFormatting>
  <conditionalFormatting sqref="AC203:AC204">
    <cfRule type="notContainsBlanks" dxfId="27" priority="27">
      <formula>LEN(TRIM(AC203))&gt;0</formula>
    </cfRule>
  </conditionalFormatting>
  <conditionalFormatting sqref="AC221">
    <cfRule type="notContainsBlanks" dxfId="26" priority="25">
      <formula>LEN(TRIM(AC221))&gt;0</formula>
    </cfRule>
  </conditionalFormatting>
  <conditionalFormatting sqref="AC217:AC218">
    <cfRule type="notContainsBlanks" dxfId="25" priority="26">
      <formula>LEN(TRIM(AC217))&gt;0</formula>
    </cfRule>
  </conditionalFormatting>
  <conditionalFormatting sqref="AC241">
    <cfRule type="notContainsBlanks" dxfId="24" priority="23">
      <formula>LEN(TRIM(AC241))&gt;0</formula>
    </cfRule>
  </conditionalFormatting>
  <conditionalFormatting sqref="AC240">
    <cfRule type="notContainsBlanks" dxfId="23" priority="24">
      <formula>LEN(TRIM(AC240))&gt;0</formula>
    </cfRule>
  </conditionalFormatting>
  <conditionalFormatting sqref="AC231">
    <cfRule type="notContainsBlanks" dxfId="22" priority="22">
      <formula>LEN(TRIM(AC231))&gt;0</formula>
    </cfRule>
  </conditionalFormatting>
  <conditionalFormatting sqref="AC202">
    <cfRule type="notContainsBlanks" dxfId="21" priority="28">
      <formula>LEN(TRIM(AC202))&gt;0</formula>
    </cfRule>
  </conditionalFormatting>
  <conditionalFormatting sqref="AC229">
    <cfRule type="notContainsBlanks" dxfId="20" priority="21">
      <formula>LEN(TRIM(AC229))&gt;0</formula>
    </cfRule>
  </conditionalFormatting>
  <conditionalFormatting sqref="AC230">
    <cfRule type="notContainsBlanks" dxfId="19" priority="20">
      <formula>LEN(TRIM(AC230))&gt;0</formula>
    </cfRule>
  </conditionalFormatting>
  <conditionalFormatting sqref="AC226">
    <cfRule type="notContainsBlanks" dxfId="18" priority="19">
      <formula>LEN(TRIM(AC226))&gt;0</formula>
    </cfRule>
  </conditionalFormatting>
  <conditionalFormatting sqref="AC257">
    <cfRule type="notContainsBlanks" dxfId="17" priority="18">
      <formula>LEN(TRIM(AC257))&gt;0</formula>
    </cfRule>
  </conditionalFormatting>
  <conditionalFormatting sqref="AC258">
    <cfRule type="notContainsBlanks" dxfId="16" priority="17">
      <formula>LEN(TRIM(AC258))&gt;0</formula>
    </cfRule>
  </conditionalFormatting>
  <conditionalFormatting sqref="AC264">
    <cfRule type="notContainsBlanks" dxfId="15" priority="15">
      <formula>LEN(TRIM(AC264))&gt;0</formula>
    </cfRule>
  </conditionalFormatting>
  <conditionalFormatting sqref="AC265">
    <cfRule type="notContainsBlanks" dxfId="14" priority="16">
      <formula>LEN(TRIM(AC265))&gt;0</formula>
    </cfRule>
  </conditionalFormatting>
  <conditionalFormatting sqref="AC262">
    <cfRule type="notContainsBlanks" dxfId="13" priority="14">
      <formula>LEN(TRIM(AC262))&gt;0</formula>
    </cfRule>
  </conditionalFormatting>
  <conditionalFormatting sqref="AC250">
    <cfRule type="notContainsBlanks" dxfId="12" priority="12">
      <formula>LEN(TRIM(AC250))&gt;0</formula>
    </cfRule>
  </conditionalFormatting>
  <conditionalFormatting sqref="AC249">
    <cfRule type="notContainsBlanks" dxfId="11" priority="13">
      <formula>LEN(TRIM(AC249))&gt;0</formula>
    </cfRule>
  </conditionalFormatting>
  <conditionalFormatting sqref="AC271">
    <cfRule type="notContainsBlanks" dxfId="10" priority="10">
      <formula>LEN(TRIM(AC271))&gt;0</formula>
    </cfRule>
  </conditionalFormatting>
  <conditionalFormatting sqref="AC270">
    <cfRule type="notContainsBlanks" dxfId="9" priority="11">
      <formula>LEN(TRIM(AC270))&gt;0</formula>
    </cfRule>
  </conditionalFormatting>
  <conditionalFormatting sqref="AC281">
    <cfRule type="notContainsBlanks" dxfId="8" priority="8">
      <formula>LEN(TRIM(AC281))&gt;0</formula>
    </cfRule>
  </conditionalFormatting>
  <conditionalFormatting sqref="AC280">
    <cfRule type="notContainsBlanks" dxfId="7" priority="9">
      <formula>LEN(TRIM(AC280))&gt;0</formula>
    </cfRule>
  </conditionalFormatting>
  <conditionalFormatting sqref="AC263">
    <cfRule type="notContainsBlanks" dxfId="6" priority="6">
      <formula>LEN(TRIM(AC263))&gt;0</formula>
    </cfRule>
  </conditionalFormatting>
  <conditionalFormatting sqref="AC278">
    <cfRule type="notContainsBlanks" dxfId="5" priority="7">
      <formula>LEN(TRIM(AC278))&gt;0</formula>
    </cfRule>
  </conditionalFormatting>
  <conditionalFormatting sqref="AC303">
    <cfRule type="notContainsBlanks" dxfId="4" priority="5">
      <formula>LEN(TRIM(AC303))&gt;0</formula>
    </cfRule>
  </conditionalFormatting>
  <conditionalFormatting sqref="AC170">
    <cfRule type="notContainsBlanks" dxfId="3" priority="4">
      <formula>LEN(TRIM(AC170))&gt;0</formula>
    </cfRule>
  </conditionalFormatting>
  <conditionalFormatting sqref="AC235">
    <cfRule type="notContainsBlanks" dxfId="2" priority="3">
      <formula>LEN(TRIM(AC235))&gt;0</formula>
    </cfRule>
  </conditionalFormatting>
  <conditionalFormatting sqref="AC300">
    <cfRule type="notContainsBlanks" dxfId="1" priority="1">
      <formula>LEN(TRIM(AC300))&gt;0</formula>
    </cfRule>
  </conditionalFormatting>
  <conditionalFormatting sqref="AC297:AC299">
    <cfRule type="notContainsBlanks" dxfId="0" priority="2">
      <formula>LEN(TRIM(AC297))&gt;0</formula>
    </cfRule>
  </conditionalFormatting>
  <pageMargins left="0.23" right="0.17" top="0.75" bottom="0.75" header="0.3" footer="0.3"/>
  <pageSetup scale="5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PL - School COA</vt:lpstr>
      <vt:lpstr>PL - School COA (3)</vt:lpstr>
      <vt:lpstr>YTD Trial Balance</vt:lpstr>
      <vt:lpstr>Balance Sheet</vt:lpstr>
      <vt:lpstr>Rev-Exp 12.31.18</vt:lpstr>
      <vt:lpstr>FY19 Original Budget</vt:lpstr>
      <vt:lpstr>FY19 Staffing V1-1 (3)</vt:lpstr>
      <vt:lpstr>'Balance Sheet'!Print_Area</vt:lpstr>
      <vt:lpstr>'FY19 Original Budget'!Print_Area</vt:lpstr>
      <vt:lpstr>'PL - School COA'!Print_Area</vt:lpstr>
      <vt:lpstr>'PL - School COA (3)'!Print_Area</vt:lpstr>
      <vt:lpstr>'Rev-Exp 12.31.18'!Print_Area</vt:lpstr>
      <vt:lpstr>'FY19 Original Budget'!Print_Titles</vt:lpstr>
      <vt:lpstr>'PL - School COA'!Print_Titles</vt:lpstr>
      <vt:lpstr>'PL - School COA (3)'!Print_Titles</vt:lpstr>
      <vt:lpstr>'Rev-Exp 12.31.18'!Print_Titles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Baba Janneh</dc:creator>
  <cp:lastModifiedBy>Todd Morse</cp:lastModifiedBy>
  <cp:lastPrinted>2019-01-09T00:40:55Z</cp:lastPrinted>
  <dcterms:created xsi:type="dcterms:W3CDTF">2018-03-08T23:36:58Z</dcterms:created>
  <dcterms:modified xsi:type="dcterms:W3CDTF">2019-01-15T20:31:43Z</dcterms:modified>
</cp:coreProperties>
</file>